
<file path=[Content_Types].xml><?xml version="1.0" encoding="utf-8"?>
<Types xmlns="http://schemas.openxmlformats.org/package/2006/content-types">
  <Default ContentType="application/vnd.ms-office.activeX" Extension="bin"/>
  <Default ContentType="image/x-emf" Extension="emf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ms-office.activeX+xml" PartName="/xl/activeX/activeX1.xml"/>
  <Override ContentType="application/vnd.ms-office.activeX+xml" PartName="/xl/activeX/activeX2.xml"/>
  <Override ContentType="application/vnd.ms-office.activeX+xml" PartName="/xl/activeX/activeX3.xml"/>
  <Override ContentType="application/vnd.ms-office.activeX+xml" PartName="/xl/activeX/activeX4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officedocument.drawing+xml" PartName="/xl/drawings/drawing8.xml"/>
  <Override ContentType="application/vnd.openxmlformats-officedocument.drawing+xml" PartName="/xl/drawings/drawing9.xml"/>
  <Override ContentType="application/vnd.openxmlformats-officedocument.drawing+xml" PartName="/xl/drawings/drawing10.xml"/>
  <Override ContentType="application/vnd.openxmlformats-officedocument.spreadsheetml.printerSettings" PartName="/xl/printerSettings/printerSettings1.bin"/>
  <Override ContentType="application/vnd.openxmlformats-officedocument.spreadsheetml.printerSettings" PartName="/xl/printerSettings/printerSettings2.bin"/>
  <Override ContentType="application/vnd.openxmlformats-officedocument.spreadsheetml.printerSettings" PartName="/xl/printerSettings/printerSettings3.bin"/>
  <Override ContentType="application/vnd.openxmlformats-officedocument.spreadsheetml.printerSettings" PartName="/xl/printerSettings/printerSettings4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ms-office.vbaProject" PartName="/xl/vbaProject.bin"/>
  <Override ContentType="application/vnd.ms-excel.sheet.macroEnabled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codeName="{62F9E958-00F4-224C-1CEB-3A4BEE276A53}" lastEdited="7" lowestEdited="4" rupBuild="26626"/>
  <workbookPr codeName="ThisWorkbook" defaultThemeVersion="124226" filterPrivacy="1"/>
  <xr:revisionPtr documentId="13_ncr:1_{8D08286F-4D65-4790-BDF6-83463880850F}" revIDLastSave="0" xr10:uidLastSave="{00000000-0000-0000-0000-000000000000}" xr6:coauthVersionLast="47" xr6:coauthVersionMax="47"/>
  <bookViews>
    <workbookView activeTab="9" firstSheet="2" tabRatio="830" windowHeight="15840" windowWidth="29040" xWindow="-28920" xr2:uid="{00000000-000D-0000-FFFF-FFFF00000000}" yWindow="-120"/>
  </bookViews>
  <sheets>
    <sheet name="T" r:id="rId1" sheetId="1" state="hidden"/>
    <sheet name="DE" r:id="rId2" sheetId="8" state="hidden"/>
    <sheet name="Ibilgailu-mota" r:id="rId3" sheetId="3"/>
    <sheet name="Ibilgailuaren Ezaugarriak" r:id="rId4" sheetId="10"/>
    <sheet name="Erosketa kostuak" r:id="rId5" sheetId="11"/>
    <sheet name="Ibilgailuan doazen langileen ko" r:id="rId6" sheetId="12"/>
    <sheet name="Aseguruak esta zerga arloko kos" r:id="rId7" sheetId="13"/>
    <sheet name="Kostu aldakorrak" r:id="rId8" sheetId="14"/>
    <sheet name="Zeharkako kostuak" r:id="rId9" sheetId="15"/>
    <sheet name="Emaitzak" r:id="rId10" sheetId="9"/>
    <sheet name="Zerbitzuaren kostua" r:id="rId11" sheetId="16"/>
  </sheets>
  <definedNames>
    <definedName name="Adquisicion">T!$F$2:$F$3</definedName>
    <definedName name="Precarga">T!$C$2:$C$3</definedName>
    <definedName name="TipoV">T!$A$2:$A$6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i="9" l="1" r="I91"/>
  <c i="9" r="I68"/>
  <c i="9" r="I41"/>
  <c i="9" r="I9"/>
  <c i="15" r="K9"/>
  <c i="14" r="M49"/>
  <c i="14" r="M43"/>
  <c i="14" r="M21"/>
  <c i="14" r="M9"/>
  <c i="13" r="K29"/>
  <c i="13" r="K9"/>
  <c i="12" r="K9"/>
  <c i="11" r="M45"/>
  <c i="11" r="M27"/>
  <c i="11" r="M9"/>
  <c i="10" r="M21"/>
  <c i="10" r="M9"/>
  <c i="8" r="L80"/>
  <c i="8" r="J80"/>
  <c i="8" r="H80"/>
  <c i="8" r="F80"/>
  <c i="8" r="D80"/>
  <c i="8" l="1" r="L67"/>
  <c i="8" r="J67"/>
  <c i="8" r="H67"/>
  <c i="8" r="F67"/>
  <c i="8" r="D67"/>
  <c i="8" l="1" r="L82"/>
  <c i="8" r="J82"/>
  <c i="8" r="H82"/>
  <c i="8" r="F82"/>
  <c i="8" r="D82"/>
  <c i="8" r="H69"/>
  <c i="8" r="H70" s="1"/>
  <c i="8" r="D68"/>
  <c i="8" r="L69"/>
  <c i="8" r="L70" s="1"/>
  <c i="8" r="J69"/>
  <c i="8" r="J70" s="1"/>
  <c i="8" r="H68"/>
  <c i="8" r="F69"/>
  <c i="8" r="F70" s="1"/>
  <c i="8" r="D69"/>
  <c i="8" r="D70" s="1"/>
  <c i="8" r="L64"/>
  <c i="8" r="J64"/>
  <c i="8" r="H64"/>
  <c i="8" r="F64"/>
  <c i="8" r="D64"/>
  <c i="8" r="L56"/>
  <c i="8" r="J56"/>
  <c i="8" r="H56"/>
  <c i="8" r="F56"/>
  <c i="8" r="D56"/>
  <c i="8" r="D65" s="1"/>
  <c i="8" r="L46"/>
  <c i="8" r="J46"/>
  <c i="8" r="H46"/>
  <c i="8" r="L41"/>
  <c i="8" r="J41"/>
  <c i="8" r="H41"/>
  <c i="8" r="F46"/>
  <c i="8" r="D41"/>
  <c i="8" r="L31"/>
  <c i="8" r="L33" s="1"/>
  <c i="8" r="J31"/>
  <c i="8" r="J33" s="1"/>
  <c i="8" r="H31"/>
  <c i="8" r="H33" s="1"/>
  <c i="8" r="F31"/>
  <c i="8" r="F32" s="1"/>
  <c i="8" r="D31"/>
  <c i="8" r="D32" s="1"/>
  <c i="8" r="L25"/>
  <c i="8" r="L27" s="1"/>
  <c i="8" r="H25"/>
  <c i="8" r="H27" s="1"/>
  <c i="8" r="L19"/>
  <c i="8" r="L20" s="1"/>
  <c i="8" r="J19"/>
  <c i="8" r="J20" s="1"/>
  <c i="8" r="H19"/>
  <c i="8" r="H20" s="1"/>
  <c i="8" r="F19"/>
  <c i="8" r="L21"/>
  <c i="8" r="L14"/>
  <c i="8" r="J14"/>
  <c i="8" r="H14"/>
  <c i="8" r="F14"/>
  <c i="8" r="D14"/>
  <c i="8" r="L13"/>
  <c i="8" r="J13"/>
  <c i="8" r="H13"/>
  <c i="8" r="F13"/>
  <c i="8" r="D13"/>
  <c i="8" r="L12"/>
  <c i="8" r="J12"/>
  <c i="8" r="H12"/>
  <c i="8" r="F12"/>
  <c i="8" r="D12"/>
  <c i="8" r="L9"/>
  <c i="8" r="J9"/>
  <c i="8" r="H9"/>
  <c i="8" r="F9"/>
  <c i="8" r="D9"/>
  <c i="8" l="1" r="H65"/>
  <c i="8" r="J47"/>
  <c i="8" r="L47"/>
  <c i="8" r="L15"/>
  <c i="8" r="J15"/>
  <c i="8" r="H15"/>
  <c i="8" r="F84"/>
  <c i="8" r="F33"/>
  <c i="8" r="F65"/>
  <c i="8" r="H32"/>
  <c i="8" r="J32"/>
  <c i="8" r="D15"/>
  <c i="8" r="F15"/>
  <c i="8" r="D84"/>
  <c i="8" r="J84"/>
  <c i="8" r="L84"/>
  <c i="8" r="H84"/>
  <c i="8" r="F68"/>
  <c i="8" r="J68"/>
  <c i="8" r="J65"/>
  <c i="8" r="L65"/>
  <c i="8" r="L26"/>
  <c i="8" r="J21"/>
  <c i="8" r="J25"/>
  <c i="8" r="J27" s="1"/>
  <c i="8" r="H47"/>
  <c i="8" r="H21"/>
  <c i="8" r="D25"/>
  <c i="8" r="D27" s="1"/>
  <c i="8" r="L32"/>
  <c i="8" r="L68"/>
  <c i="8" r="F41"/>
  <c i="8" r="F47" s="1"/>
  <c i="8" r="F20"/>
  <c i="8" r="F25"/>
  <c i="8" r="F27" s="1"/>
  <c i="8" r="D33"/>
  <c i="8" r="D46"/>
  <c i="8" r="D47" s="1"/>
  <c i="8" r="F21"/>
  <c i="8" r="H26"/>
  <c i="8" r="D19"/>
  <c i="8" r="D21" s="1"/>
  <c i="8" l="1" r="L34"/>
  <c i="8" r="L85" s="1"/>
  <c i="8" r="D20"/>
  <c i="8" r="F26"/>
  <c i="8" r="F34" s="1"/>
  <c i="8" r="F85" s="1"/>
  <c i="8" r="H34"/>
  <c i="8" r="H85" s="1"/>
  <c i="8" r="J26"/>
  <c i="8" r="J34" s="1"/>
  <c i="8" r="J85" s="1"/>
  <c i="8" r="D26"/>
  <c i="8" l="1" r="D34"/>
  <c i="8" r="D85" s="1"/>
  <c i="8" r="L86"/>
  <c i="8" r="L87" s="1"/>
  <c i="8" r="L88" s="1"/>
  <c i="8" r="H86"/>
  <c i="8" r="H87" s="1"/>
  <c i="8" r="H88" s="1"/>
  <c i="14" r="J41"/>
  <c i="11" r="J57"/>
  <c i="11" r="J39"/>
  <c i="11" r="J41" s="1"/>
  <c i="11" r="J21"/>
  <c i="11" r="J23" s="1"/>
  <c i="10" r="J31"/>
  <c i="10" r="J37"/>
  <c i="8" l="1" r="J86"/>
  <c i="8" r="J87" s="1"/>
  <c i="8" r="J88" s="1"/>
  <c i="8" r="F86"/>
  <c i="8" r="F87" s="1"/>
  <c i="8" r="F88" s="1"/>
  <c i="11" r="J59"/>
  <c i="14" r="J13"/>
  <c i="8" l="1" r="D86"/>
  <c i="8" r="D87" s="1"/>
  <c i="8" r="D88" s="1"/>
  <c i="9" r="E25"/>
  <c i="9" r="L24" s="1"/>
  <c i="9" l="1" r="E16"/>
  <c i="9" r="E13"/>
  <c i="9" l="1" r="L13"/>
  <c i="9" r="L16"/>
  <c i="9" l="1" r="E23"/>
  <c i="14" r="J47"/>
  <c i="9" r="E24" s="1"/>
  <c i="9" l="1" r="L23"/>
  <c i="9" r="L22"/>
  <c i="13" r="H45"/>
  <c i="9" r="E19" s="1"/>
  <c i="9" r="L19" s="1"/>
  <c i="13" r="H27"/>
  <c i="9" r="E18" s="1"/>
  <c i="12" r="H37"/>
  <c i="12" r="H25"/>
  <c i="9" l="1" r="E17"/>
  <c i="9" r="L17" s="1"/>
  <c i="9" r="L18"/>
  <c i="13" r="H47"/>
  <c i="12" r="H39"/>
  <c i="9" r="E14"/>
  <c i="10" r="J25"/>
  <c i="10" r="J35"/>
  <c i="10" r="J39" s="1"/>
  <c i="9" l="1" r="E44"/>
  <c i="9" r="L14"/>
  <c i="3" l="1" r="E10"/>
  <c i="13" r="J21" s="1"/>
  <c i="11" l="1" r="K39"/>
  <c i="11" r="K21"/>
  <c i="11" r="K57"/>
  <c i="10" r="J11"/>
  <c i="11" r="L63"/>
  <c i="11" r="L55"/>
  <c i="11" r="L61"/>
  <c i="11" r="L53"/>
  <c i="11" r="L59"/>
  <c i="11" r="L49"/>
  <c i="11" r="L57"/>
  <c i="14" r="L13"/>
  <c i="14" r="L11"/>
  <c i="14" r="K13"/>
  <c i="15" r="J11"/>
  <c i="14" r="K15"/>
  <c i="15" r="J15"/>
  <c i="14" r="L27"/>
  <c i="14" r="L55"/>
  <c i="14" r="L53"/>
  <c i="14" r="L41"/>
  <c i="9" r="H23" s="1"/>
  <c i="14" r="L33"/>
  <c i="14" r="L25"/>
  <c i="14" r="L15"/>
  <c i="14" r="L51"/>
  <c i="9" r="H25" s="1"/>
  <c i="9" r="O24" s="1"/>
  <c i="14" r="L39"/>
  <c i="14" r="L31"/>
  <c i="14" r="L23"/>
  <c i="15" r="J13"/>
  <c i="9" r="H20" s="1"/>
  <c i="14" r="L47"/>
  <c i="9" r="H24" s="1"/>
  <c i="14" r="L37"/>
  <c i="14" r="L29"/>
  <c i="14" r="L19"/>
  <c i="9" r="H22" s="1"/>
  <c i="14" r="L45"/>
  <c i="14" r="L35"/>
  <c i="14" r="L17"/>
  <c i="13" r="J13"/>
  <c i="10" r="L19"/>
  <c i="13" r="J41"/>
  <c i="13" r="J33"/>
  <c i="13" r="J27"/>
  <c i="9" r="H18" s="1"/>
  <c i="13" r="J19"/>
  <c i="13" r="J11"/>
  <c i="12" r="J39"/>
  <c i="12" r="J31"/>
  <c i="12" r="J21"/>
  <c i="12" r="J11"/>
  <c i="9" r="H16" s="1"/>
  <c i="11" r="L13"/>
  <c i="10" r="K31"/>
  <c i="13" r="J47"/>
  <c i="13" r="J39"/>
  <c i="13" r="J31"/>
  <c i="13" r="J25"/>
  <c i="13" r="J17"/>
  <c i="12" r="J37"/>
  <c i="12" r="J29"/>
  <c i="12" r="J19"/>
  <c i="11" r="L43"/>
  <c i="11" r="L10"/>
  <c i="10" r="K25"/>
  <c i="13" r="J45"/>
  <c i="9" r="H19" s="1"/>
  <c i="13" r="J37"/>
  <c i="13" r="J23"/>
  <c i="13" r="J15"/>
  <c i="12" r="J35"/>
  <c i="12" r="J25"/>
  <c i="12" r="J17"/>
  <c i="11" r="L31"/>
  <c i="10" r="K37"/>
  <c i="10" r="L39"/>
  <c i="13" r="J43"/>
  <c i="13" r="J35"/>
  <c i="12" r="J33"/>
  <c i="12" r="J23"/>
  <c i="12" r="J13"/>
  <c i="11" r="L25"/>
  <c i="10" r="K35"/>
  <c i="11" r="L39"/>
  <c i="11" r="L37"/>
  <c i="11" r="L23"/>
  <c i="11" r="L21"/>
  <c i="11" r="L35"/>
  <c i="11" r="L19"/>
  <c i="11" r="L41"/>
  <c i="11" r="L17"/>
  <c i="10" r="L25"/>
  <c i="10" r="L23"/>
  <c i="10" r="L27"/>
  <c i="10" r="L31"/>
  <c i="10" r="L17"/>
  <c i="10" r="L29"/>
  <c i="10" r="L15"/>
  <c i="10" r="L37"/>
  <c i="10" r="L13"/>
  <c i="10" r="L35"/>
  <c i="9" l="1" r="H17"/>
  <c i="9" r="O17" s="1"/>
  <c i="11" r="J43"/>
  <c i="11" r="J61"/>
  <c i="11" r="J25"/>
  <c i="9" r="H14"/>
  <c i="9" r="O14" s="1"/>
  <c i="9" r="H96"/>
  <c i="9" r="H101"/>
  <c i="9" r="H95"/>
  <c i="9" r="H94"/>
  <c i="9" r="H93"/>
  <c i="9" r="O16"/>
  <c i="9" r="O23"/>
  <c i="9" r="H13"/>
  <c i="9" r="H15"/>
  <c i="9" r="O19"/>
  <c i="9" r="O18"/>
  <c i="9" r="H45"/>
  <c i="9" r="O21"/>
  <c i="9" r="H21"/>
  <c i="9" r="H46"/>
  <c i="9" r="O20"/>
  <c i="9" r="O22"/>
  <c i="9" l="1" r="H44"/>
  <c i="9" r="E15"/>
  <c i="9" r="H43"/>
  <c i="9" r="H12"/>
  <c i="9" r="O13"/>
  <c i="9" r="O15"/>
  <c i="9" r="H73"/>
  <c i="11" r="J63"/>
  <c i="9" l="1" r="H48"/>
  <c i="9" r="I73" s="1"/>
  <c i="9" r="H98"/>
  <c i="9" r="H97"/>
  <c i="9" r="L15"/>
  <c i="9" r="E43"/>
  <c i="9" r="H72"/>
  <c i="9" r="H11"/>
  <c i="9" l="1" r="I43"/>
  <c i="9" r="I45"/>
  <c i="9" r="I46"/>
  <c i="9" r="I44"/>
  <c i="9" r="I12"/>
  <c i="9" r="I25"/>
  <c i="9" r="P24" s="1"/>
  <c i="9" r="I24"/>
  <c i="9" r="P23" s="1"/>
  <c i="9" r="I19"/>
  <c i="9" r="P19" s="1"/>
  <c i="9" r="I15"/>
  <c i="9" r="P15" s="1"/>
  <c i="9" r="I13"/>
  <c i="9" r="P13" s="1"/>
  <c i="9" r="I23"/>
  <c i="9" r="P22" s="1"/>
  <c i="9" r="I18"/>
  <c i="9" r="P18" s="1"/>
  <c i="9" r="I14"/>
  <c i="9" r="P14" s="1"/>
  <c i="9" r="I16"/>
  <c i="9" r="P16" s="1"/>
  <c i="9" r="I22"/>
  <c i="9" r="P21" s="1"/>
  <c i="9" r="I17"/>
  <c i="9" r="P17" s="1"/>
  <c i="9" r="I20"/>
  <c i="9" r="H100"/>
  <c i="9" r="H99"/>
  <c i="9" r="I72"/>
  <c i="9" r="H75"/>
  <c i="9" l="1" r="P20"/>
  <c i="9" r="I21"/>
  <c i="14" r="J15"/>
  <c i="14" l="1" r="J17"/>
  <c i="14" l="1" r="J19"/>
  <c i="16" r="H25"/>
  <c i="9" l="1" r="E22"/>
  <c i="14" r="J53"/>
  <c i="14" r="J55" s="1"/>
  <c i="15" l="1" r="H11"/>
  <c i="15" r="H13" s="1"/>
  <c i="9" r="L21"/>
  <c i="9" r="E46"/>
  <c i="9" r="E21"/>
  <c i="15" l="1" r="H15"/>
  <c i="9" r="E94" s="1"/>
  <c i="16" r="H27"/>
  <c i="16" r="H31" s="1"/>
  <c i="16" r="H33" s="1"/>
  <c i="9" r="E20"/>
  <c i="9" r="E45" s="1"/>
  <c i="9" r="E73"/>
  <c i="9" l="1" r="E96"/>
  <c i="9" r="E95"/>
  <c i="9" r="E101"/>
  <c i="9" r="E93"/>
  <c i="9" r="E12"/>
  <c i="9" r="E11" s="1"/>
  <c i="9" r="L20"/>
  <c i="9" r="E48"/>
  <c i="9" r="F73" s="1"/>
  <c i="9" r="E98"/>
  <c i="9" r="E97"/>
  <c i="9" l="1" r="F44"/>
  <c i="9" r="F43"/>
  <c i="9" r="F46"/>
  <c i="9" r="F45"/>
  <c i="9" r="E72"/>
  <c i="9" r="F15"/>
  <c i="9" r="M15" s="1"/>
  <c i="9" r="F19"/>
  <c i="9" r="M19" s="1"/>
  <c i="9" r="F13"/>
  <c i="9" r="M13" s="1"/>
  <c i="9" r="F18"/>
  <c i="9" r="M18" s="1"/>
  <c i="9" r="F24"/>
  <c i="9" r="M23" s="1"/>
  <c i="9" r="F23"/>
  <c i="9" r="M22" s="1"/>
  <c i="9" r="F25"/>
  <c i="9" r="M24" s="1"/>
  <c i="9" r="F16"/>
  <c i="9" r="M16" s="1"/>
  <c i="9" r="F17"/>
  <c i="9" r="M17" s="1"/>
  <c i="9" r="F14"/>
  <c i="9" r="M14" s="1"/>
  <c i="9" r="F22"/>
  <c i="9" r="M21" s="1"/>
  <c i="9" r="F20"/>
  <c i="9" r="F12"/>
  <c i="9" l="1" r="E99"/>
  <c i="9" r="F72"/>
  <c i="9" r="E75"/>
  <c i="9" r="E100"/>
  <c i="9" r="M20"/>
  <c i="9" r="F21"/>
</calcChain>
</file>

<file path=xl/sharedStrings.xml><?xml version="1.0" encoding="utf-8"?>
<sst xmlns="http://schemas.openxmlformats.org/spreadsheetml/2006/main" count="412" uniqueCount="291">
  <si>
    <t>Tipo de vehículo</t>
  </si>
  <si>
    <t>Kilómetros recorridos anualmente</t>
  </si>
  <si>
    <t>Consumo medio (litros/100km)</t>
  </si>
  <si>
    <t>Horas trabajadas al año</t>
  </si>
  <si>
    <t>%</t>
  </si>
  <si>
    <t>¿Desea cargar los datos estadísticos en los campos a rellenar?</t>
  </si>
  <si>
    <t>Pregunta</t>
  </si>
  <si>
    <t>No</t>
  </si>
  <si>
    <t>S</t>
  </si>
  <si>
    <t>N</t>
  </si>
  <si>
    <t>T17</t>
  </si>
  <si>
    <t>T18</t>
  </si>
  <si>
    <t>T19</t>
  </si>
  <si>
    <t>T20</t>
  </si>
  <si>
    <t>T21</t>
  </si>
  <si>
    <t>Producción anual: Viajeros x Kilómetros</t>
  </si>
  <si>
    <t>Coste total anual del personal de a bordo, incluidos costes de empresa (Seguridad Social y otros) (€)</t>
  </si>
  <si>
    <t>COSTES TOTALES</t>
  </si>
  <si>
    <t>A</t>
  </si>
  <si>
    <t>B</t>
  </si>
  <si>
    <t>C</t>
  </si>
  <si>
    <t>D</t>
  </si>
  <si>
    <t>Número de plazas incluido el conductor</t>
  </si>
  <si>
    <t>Potencia (CV)</t>
  </si>
  <si>
    <t>Masa Máxima Autorizada (kg)</t>
  </si>
  <si>
    <t>Número de ejes</t>
  </si>
  <si>
    <t>Kilómetros facturados de los recorridos al año (km)</t>
  </si>
  <si>
    <t>Horas facturadas de las trabajadas al año (h,%)</t>
  </si>
  <si>
    <t>Kilómetros con viajeros de los recorridos al año (km,%)</t>
  </si>
  <si>
    <t>Ocupación media de las plazas en los kilómetros recorridos con viajeros (viajeros/autocar,%)</t>
  </si>
  <si>
    <t>Pago de alquiler o leasing anual (€)</t>
  </si>
  <si>
    <t>Precio de adquisición (precio de tarifa - descuento) sin IVA (€)</t>
  </si>
  <si>
    <t>Vida útil (años)</t>
  </si>
  <si>
    <t>Valor residual sin IVA (€)</t>
  </si>
  <si>
    <t>AMORTIZACION DEL CHASIS</t>
  </si>
  <si>
    <t>GASTOS FINANCIEROS DEL CHASIS</t>
  </si>
  <si>
    <t>AMORTIZACION CARROZADO</t>
  </si>
  <si>
    <t>GASTOS FINANCIEROS CARROZADO</t>
  </si>
  <si>
    <t>AMORTIZACION EQUIPOS</t>
  </si>
  <si>
    <t>GASTOS FINANCIEROS EQUIPOS</t>
  </si>
  <si>
    <t>COSTES DE ADQUISICION</t>
  </si>
  <si>
    <t>Otros complementos retributivos del personal de a bordo (€)</t>
  </si>
  <si>
    <t>Dieta total diaria del personal de a bordo de transporte regular (€/día)</t>
  </si>
  <si>
    <t>Número de días de transporte regular con dieta al año</t>
  </si>
  <si>
    <t>Dieta total diaria internacional del personal de a bordo de transporte regular (€/día)</t>
  </si>
  <si>
    <t>Número de días de transporte regular con dieta internacional al año</t>
  </si>
  <si>
    <t>Dietas totales anuales por transporte regular (€)</t>
  </si>
  <si>
    <t>Dieta total diaria del personal de a bordo de transporte discrecional (€/día)</t>
  </si>
  <si>
    <t>Número de días de transporte discrecional con dieta al año</t>
  </si>
  <si>
    <t>Dieta total diaria internacional del personal de a bordo de transporte discrecional (€/día)</t>
  </si>
  <si>
    <t>Número de días de transporte discrecional con dieta internacional al año</t>
  </si>
  <si>
    <t>Dietas totales anuales por transporte discrecional (€)</t>
  </si>
  <si>
    <t>COSTES DE PERSONAL</t>
  </si>
  <si>
    <t>Seguro obligatorio del autocar (€)</t>
  </si>
  <si>
    <t>Responsabilidad civil (€)</t>
  </si>
  <si>
    <t>Seguro obligatorio de viajeros (€)</t>
  </si>
  <si>
    <t>Seguro de accidentes del conductor (€)</t>
  </si>
  <si>
    <t>Defensa y reclamación de daños (€)</t>
  </si>
  <si>
    <t>Seguro de incendios (€)</t>
  </si>
  <si>
    <t>Otros seguros (€)</t>
  </si>
  <si>
    <t>TOTAL SEGUROS (€)</t>
  </si>
  <si>
    <t>COSTE TOTAL ANUAL DE LOS SEGUROS (€)</t>
  </si>
  <si>
    <t>Visados</t>
  </si>
  <si>
    <t>Inspección técnica de vehículos (I.T.V.) (€)</t>
  </si>
  <si>
    <t>Impuesto de actividades económicas (I.A.E.) repercutible a este vehículo (€)</t>
  </si>
  <si>
    <t>Impuesto de Vehículos de Tracción Mecánica (I.T.V.M.) (€)</t>
  </si>
  <si>
    <t>Revisión tacógrafo (€)</t>
  </si>
  <si>
    <t>Otros costes fiscales (€)</t>
  </si>
  <si>
    <t>TOTAL COSTES FISCALES (€)</t>
  </si>
  <si>
    <t>COSTE FISCAL TOTAL ANUAL</t>
  </si>
  <si>
    <t>SEGUROS Y COSTES FISCALES</t>
  </si>
  <si>
    <t>Precio del carburante, con IVA (€/litro)</t>
  </si>
  <si>
    <t>Descuento (%, €/litro)</t>
  </si>
  <si>
    <t>IVA aplicado al carburante (€/litro)</t>
  </si>
  <si>
    <t>Precio carburante sin IVA (€/litro)</t>
  </si>
  <si>
    <t>GASTO TOTAL ANUAL EN CARBURANTE, SIN IVA (€)</t>
  </si>
  <si>
    <t>Número de neumáticos direccionables</t>
  </si>
  <si>
    <t>Número de neumáticos motrices</t>
  </si>
  <si>
    <t>Número de neumáticos arrastre</t>
  </si>
  <si>
    <t>Precio sin IVA de un neumático direccionable (€)</t>
  </si>
  <si>
    <t>Precio sin IVA de un neumático motriz (€)</t>
  </si>
  <si>
    <t>Precio sin IVA de un neumático arrastre (€)</t>
  </si>
  <si>
    <t>Duración media de un neumático direccionable (km)</t>
  </si>
  <si>
    <t>Duración media de un neumático motriz (km)</t>
  </si>
  <si>
    <t>Duración media de un neumático arrastre (km)</t>
  </si>
  <si>
    <t>GASTO TOTAL ANUAL EN NEUMATICOS, SIN IVA (€)</t>
  </si>
  <si>
    <t>Coste de mantenimento y reparaciones por km, sin IVA (€/km)</t>
  </si>
  <si>
    <t>GASTO ANUAL EN MANTENIMIENTO Y REPARACIONES, SIN IVA (€)</t>
  </si>
  <si>
    <t>GASTO ANUAL EN PEAJES, SIN IVA (€)</t>
  </si>
  <si>
    <t>COSTES VARIABLES</t>
  </si>
  <si>
    <t>COSTES DIRECTOS</t>
  </si>
  <si>
    <t>Costes anuales de gestión, administración y comercialización, repercutibles a este vehículo</t>
  </si>
  <si>
    <t>COSTES INDIRECTOS</t>
  </si>
  <si>
    <t>Descripción:</t>
  </si>
  <si>
    <t>MMA ( Tm)</t>
  </si>
  <si>
    <t>T17A</t>
  </si>
  <si>
    <t>T18A</t>
  </si>
  <si>
    <t>T19A</t>
  </si>
  <si>
    <t>T20A</t>
  </si>
  <si>
    <t>T21A</t>
  </si>
  <si>
    <t xml:space="preserve"> </t>
  </si>
  <si>
    <t>Adquisicion</t>
  </si>
  <si>
    <t>Tipo interes</t>
  </si>
  <si>
    <t>E</t>
  </si>
  <si>
    <t>F</t>
  </si>
  <si>
    <t>G</t>
  </si>
  <si>
    <t>H</t>
  </si>
  <si>
    <t>I</t>
  </si>
  <si>
    <t>J</t>
  </si>
  <si>
    <t>K</t>
  </si>
  <si>
    <t>L</t>
  </si>
  <si>
    <t>Bai</t>
  </si>
  <si>
    <t>Ez</t>
  </si>
  <si>
    <t>ALOKAIRUA, LEASING...</t>
  </si>
  <si>
    <t>15 metroko autobusa</t>
  </si>
  <si>
    <t>12 metroko autobusa</t>
  </si>
  <si>
    <t>9 metroko autobusa</t>
  </si>
  <si>
    <t>Mikrobusa</t>
  </si>
  <si>
    <t>Autobus arrunta (aurreko kategorietan sartzen ez diren gainerako ibilgailu guztiak)</t>
  </si>
  <si>
    <t xml:space="preserve">ZERBITZUAREN KOSTUA </t>
  </si>
  <si>
    <t xml:space="preserve">Zerbitzuaren izena </t>
  </si>
  <si>
    <t xml:space="preserve">Zerbitzu honetan egindako kilometroak </t>
  </si>
  <si>
    <t xml:space="preserve">Kilometroak bidaiariko (km) </t>
  </si>
  <si>
    <t xml:space="preserve">Zerbitzu honetan batez besteko kontsumoa kilometroko (litro / 100 km-ko) </t>
  </si>
  <si>
    <t xml:space="preserve">Zerbitzu honetan bidaiariek batez beste okupatutako plaza kopurua </t>
  </si>
  <si>
    <t>Zerbitzu honen guztizko orduak  (h)</t>
  </si>
  <si>
    <t>Bidesariak (€)</t>
  </si>
  <si>
    <t>Zerbitzu honen kostua ibilbidearen arabera  (€)</t>
  </si>
  <si>
    <t>Zerbitzu honen kostua denboraren arabera  (€)</t>
  </si>
  <si>
    <t>Zerbitzu honekin lotutako beste kostu batzuk  (€)</t>
  </si>
  <si>
    <t>Zerbitzu honen guztizko kostua  (€)</t>
  </si>
  <si>
    <t>Zerbitzu honen bidaiari-kilometroko kostua  (€)</t>
  </si>
  <si>
    <t>Zerbitzuaren kostua</t>
  </si>
  <si>
    <t>Emaitzak</t>
  </si>
  <si>
    <t xml:space="preserve">URTEKO KOSTUEN EMAITZAK </t>
  </si>
  <si>
    <t>KOSTU GUZTIAK</t>
  </si>
  <si>
    <t xml:space="preserve">KOSTUAK DENBORAREN ARABERA </t>
  </si>
  <si>
    <t xml:space="preserve">Leasinga </t>
  </si>
  <si>
    <t xml:space="preserve">Amortización </t>
  </si>
  <si>
    <t xml:space="preserve">Finantza-gastuak </t>
  </si>
  <si>
    <t xml:space="preserve">Gidariaren urteko kostua guztira </t>
  </si>
  <si>
    <t xml:space="preserve">Dietak guztira eta jarduera-plusa </t>
  </si>
  <si>
    <t xml:space="preserve">Aseguruak </t>
  </si>
  <si>
    <t xml:space="preserve">Zerga-arloko kostuak </t>
  </si>
  <si>
    <t xml:space="preserve">Kudeaketa eta merkaturatzea </t>
  </si>
  <si>
    <t xml:space="preserve">KOSTUAK IBILBIDEAREN ARABERA </t>
  </si>
  <si>
    <t xml:space="preserve">Erregaia </t>
  </si>
  <si>
    <t xml:space="preserve">Pneumatikoak </t>
  </si>
  <si>
    <t>Mantentzea eta konponketak</t>
  </si>
  <si>
    <t>Bidesariak</t>
  </si>
  <si>
    <t xml:space="preserve">URTEKO KOSTUEN EGITURA </t>
  </si>
  <si>
    <t xml:space="preserve">Amortizazioa eta finantza-gastuak eta leasinga </t>
  </si>
  <si>
    <t>Langileak</t>
  </si>
  <si>
    <t xml:space="preserve">Aseguruak, zerga-arloko kostuak, kudeaketa eta merkaturatzea </t>
  </si>
  <si>
    <t>GUZTIZKO KOSTUAK</t>
  </si>
  <si>
    <t xml:space="preserve">KOSTUAK DENBORAREN ARABERA- KOSTUAK IBILBIDEAREN ARABERA </t>
  </si>
  <si>
    <t xml:space="preserve">Kostuak denboraren arabera </t>
  </si>
  <si>
    <t xml:space="preserve">Kostuak ibilbidearen arabera </t>
  </si>
  <si>
    <t xml:space="preserve">Erregaia, pneumatikoak, konponketak, mantentzea eta bidesariak </t>
  </si>
  <si>
    <t xml:space="preserve">Batez besteko kostu guztia (fakturatutako km-ko) </t>
  </si>
  <si>
    <t xml:space="preserve">Batez besteko kostu guztia (fakturatutako orduko) </t>
  </si>
  <si>
    <t xml:space="preserve">Distantzia ertaineko kostua (km-ko) </t>
  </si>
  <si>
    <t xml:space="preserve">Distantzia ertaineko kostua (fakturatutako km-ko) </t>
  </si>
  <si>
    <t xml:space="preserve">Bidaldi ertaineko kostua (orduko) </t>
  </si>
  <si>
    <t xml:space="preserve">Bidaldi ertaineko kostua (fakturatutako orduko) </t>
  </si>
  <si>
    <t>Bidaiari-kilometroko kostu guztiak</t>
  </si>
  <si>
    <t>Batez besteko kostu guztia (km-ko)</t>
  </si>
  <si>
    <t>Batez besteko kostu guztia (orduko)</t>
  </si>
  <si>
    <t>1. Ibilgailu-mota hautatu</t>
  </si>
  <si>
    <t>Ibilgailu-mota:</t>
  </si>
  <si>
    <t>Kalkulu-formularioetara gehitutako datu estatistikoekin simulazioa hasi nahi duzu?</t>
  </si>
  <si>
    <t>1. Ibilgailuaren Ezaugarriak</t>
  </si>
  <si>
    <t xml:space="preserve">Ibilgailuaren ezaugarri teknikoak </t>
  </si>
  <si>
    <t>Deskripzioa:</t>
  </si>
  <si>
    <t xml:space="preserve">Plaza kopurua, gidaria barne </t>
  </si>
  <si>
    <t xml:space="preserve">Potentzia (CV) </t>
  </si>
  <si>
    <t xml:space="preserve">Ardatz-kopurua </t>
  </si>
  <si>
    <t xml:space="preserve">Ibilgailuaren ustiapen-ezaugarriak </t>
  </si>
  <si>
    <t>Urtero egindako kilometroak  (km)</t>
  </si>
  <si>
    <t>Urtean egindako kilometroetatik fakturatutakoak (km)</t>
  </si>
  <si>
    <t xml:space="preserve">Batez besteko kontsumoa (litro/100km) </t>
  </si>
  <si>
    <t xml:space="preserve">Urtean lanean emandako orduak </t>
  </si>
  <si>
    <t>Urtean egindakoetatik orduetatik fakturatutakoak (h,%)</t>
  </si>
  <si>
    <t>Garraiatutako bidaiariak</t>
  </si>
  <si>
    <t>Egindako kilometroetatik bidaiariekin egindako kilometroak (km,%)</t>
  </si>
  <si>
    <t>Bidaiariekin egindako kilometroetan batez beste okupatutako plazak (% bidaiari/autobus)</t>
  </si>
  <si>
    <t xml:space="preserve">Urteko ekoizpena: bidaiariak x kilometroak </t>
  </si>
  <si>
    <t>2. Erosketa kostuak</t>
  </si>
  <si>
    <t xml:space="preserve">Autobusaren bastidorea </t>
  </si>
  <si>
    <t xml:space="preserve">Autobusaren bastidorea: </t>
  </si>
  <si>
    <t>Urteko alokairu edo leasing-aren ordainketa (€)</t>
  </si>
  <si>
    <t>Bastidorearen erosketa (€)</t>
  </si>
  <si>
    <t>Erosketa-prezioa (tarifa prezioa-deskontua), BEZ gabe (€)</t>
  </si>
  <si>
    <t xml:space="preserve">Bizitza teknikoa (urteak) </t>
  </si>
  <si>
    <t>Hondar-balioa BEZ gabe (€)</t>
  </si>
  <si>
    <t>BASTIDOREAREN AMORTIZAZIOA  (€)</t>
  </si>
  <si>
    <t>TRAKZIOZKO IBILGAILUAREN FINANTZA GASTUAK  (€)</t>
  </si>
  <si>
    <t xml:space="preserve">Karrozeria jartzea </t>
  </si>
  <si>
    <t>Erosteko modua:</t>
  </si>
  <si>
    <t>Karrozeriaren erosketa  (€)</t>
  </si>
  <si>
    <t>KARROZERIAREN AMORTIZAZIOA  (€)</t>
  </si>
  <si>
    <t>KARROZERIAREN FINANTZA GASTUAK  (€)</t>
  </si>
  <si>
    <t xml:space="preserve">Ekipo osagarriak </t>
  </si>
  <si>
    <t xml:space="preserve">Erosteko modua: </t>
  </si>
  <si>
    <t>Ekipamendu osagarri amortizagarrien erosketa (€)</t>
  </si>
  <si>
    <t>Erosketa-prezioa (tarifa prezioa - deskontua) BEZ gabe (€)</t>
  </si>
  <si>
    <t>EKIPOEN AMORTIZAZIOA  (€)</t>
  </si>
  <si>
    <t>EKIPOEN FINANTZA GASTUAK  (€)</t>
  </si>
  <si>
    <t>EROSKETA KOSTUAK (€)</t>
  </si>
  <si>
    <t xml:space="preserve">IBIGAILUAN DOAZEN LANGILEEN KOSTUAK </t>
  </si>
  <si>
    <t>Ibilgailuan doazen langileen urteko kostuak, guztira, enpresa-kostuak barne (Gizarte Segurantza eta beste)(€)</t>
  </si>
  <si>
    <t>Ibilgailuan doazen langileen beste ordainsari osagarri batzuk (€)</t>
  </si>
  <si>
    <t>GARRAIO ERREGULARREKO ZERBITZUAK</t>
  </si>
  <si>
    <t xml:space="preserve">Garraio erregularreko ibilgailuan doazen langileen eguneko dieta osoa (€/egun) </t>
  </si>
  <si>
    <t xml:space="preserve">Dietarekin urtean emandako garraio erregularreko egunen kopurua </t>
  </si>
  <si>
    <t xml:space="preserve">Garraio erregularreko ibilgailuan doazen langileen eguneko nazioarteko dieta osoa (€/egun) </t>
  </si>
  <si>
    <t xml:space="preserve">Nazioarteko dietarekin urtean egindako garraio erregularreko egunen kopurua </t>
  </si>
  <si>
    <t>Garraio erregularrengatiko urteko dieta guztiak (€)</t>
  </si>
  <si>
    <t>ESKATU AHALAKO GARRAIO ZERBITZUAK</t>
  </si>
  <si>
    <t xml:space="preserve">Eskatu ahalako garraioko ibilgailuan doazen langileen eguneko dieta osoa (€/egun) </t>
  </si>
  <si>
    <t xml:space="preserve">Dietarekin urtean egindako eskatu ahalako garraio egunen kopurua </t>
  </si>
  <si>
    <t xml:space="preserve">Eskatu ahalako garraioko ibilgailuan doazen langileen eguneko nazioarteko dieta osoa (€/egun) </t>
  </si>
  <si>
    <t xml:space="preserve">Nazioarteko dietarekin urtean egindako eskatu ahalako garraio egunen kopurua </t>
  </si>
  <si>
    <t>PERTSONAL KOSTUAK (€)</t>
  </si>
  <si>
    <t xml:space="preserve">3. Ibilgailuan doazen langileen kostuak </t>
  </si>
  <si>
    <t>4. Aseguruak esta zerga arloko kostuak</t>
  </si>
  <si>
    <t>Autobusaren nahitaezko asegurua (€)</t>
  </si>
  <si>
    <t>Erantzukizun zibila (€)</t>
  </si>
  <si>
    <t>Bidaiarien nahitaezko asegurua (€)</t>
  </si>
  <si>
    <t>Gidariaren istripu-asegurua (€)</t>
  </si>
  <si>
    <t>Defentsa eta kalteengatiko erreklamazioa (€)</t>
  </si>
  <si>
    <t>Suteen kontrako asegurua (€)</t>
  </si>
  <si>
    <t>Beste aseguru batzuk (€)</t>
  </si>
  <si>
    <t>ASEGURUEN GUZTIRA (€)</t>
  </si>
  <si>
    <t>URTEAN GUZTIRA ASEGURUETAN GASTATUTAKOA (€)</t>
  </si>
  <si>
    <t>Oniritziak  (€)</t>
  </si>
  <si>
    <t>Ibilgailuen azterketa teknikoa (IAT) (€)</t>
  </si>
  <si>
    <t>Ibilgailu honi jasanaraz dakiokeen jarduera ekonomikoen gaineko zerga (JEZ) (€)</t>
  </si>
  <si>
    <t>Trakzio Mekanikozko Ibilgailuen Zerga (TMIZ) (€)</t>
  </si>
  <si>
    <t>Takografoaren azterketa (€)</t>
  </si>
  <si>
    <t>Zerga-arloko beste kostu batzuk (€)</t>
  </si>
  <si>
    <t>ZERGA ARLOKO KOSTUAK GUZTIRA (€)</t>
  </si>
  <si>
    <t>URTEKO ZERGA ARLOKO KOSTUA GUZTIRA  (€)</t>
  </si>
  <si>
    <t>ASEGURUAK ETA ZERGA ARLOKO KOSTUAK (€)</t>
  </si>
  <si>
    <t xml:space="preserve">5. Kostu aldakorrak </t>
  </si>
  <si>
    <t xml:space="preserve">Erregaiaren prezioa BEZ barne (€/litroko) </t>
  </si>
  <si>
    <t>Deskontua (%, €/litroko)</t>
  </si>
  <si>
    <t>Erregaiari aplikatutako BEZa (€/litroKO)</t>
  </si>
  <si>
    <t xml:space="preserve">Erregaiaren prezioa, BEZ gabe (€/litro) </t>
  </si>
  <si>
    <t>URTEAN ERREGAITAN EGINDAKO GASTU OSOA, BEZ GABE (€)</t>
  </si>
  <si>
    <t xml:space="preserve">Urtean pneumatikoetan gastatutakoa </t>
  </si>
  <si>
    <t xml:space="preserve">Norabidezko pneumatiko-kopurua </t>
  </si>
  <si>
    <t xml:space="preserve">Pneumatiko eragile-kopurua </t>
  </si>
  <si>
    <t xml:space="preserve">Arrasteko pneumatiko-kopurua </t>
  </si>
  <si>
    <t>Norabidezko pneumatiko baten prezioa BEZ gabe (€)</t>
  </si>
  <si>
    <t>Pneumatiko eragile bat prezioa BEZ gabe (€)</t>
  </si>
  <si>
    <t>Arrasteko pneumatiko baten prezioa BEZ gabe (€)</t>
  </si>
  <si>
    <t xml:space="preserve">Norabidezko pneumatiko baten batez besteko iraunaldia (km) </t>
  </si>
  <si>
    <t xml:space="preserve">Pneumatiko eragile baten batez besteko iraunaldia (km) </t>
  </si>
  <si>
    <t xml:space="preserve">Arrasteko pneumatiko baten batez besteko iraunaldia (km) </t>
  </si>
  <si>
    <t>URTEAN GUZTIRA PNEUMATIKOETAN GASTATUTAKOA, BEZ GABE (€)</t>
  </si>
  <si>
    <t xml:space="preserve">Mantentze eta konponketengatiko gastuak </t>
  </si>
  <si>
    <t xml:space="preserve">Mantentze eta konponketengatiko kilometroko gastuak, BEZ gabe (€/km) </t>
  </si>
  <si>
    <t>URTEAN MANTENTZE ETA KONPONKETETAN EGINDAKO GASTU OSOA, BEZ GABE (€)</t>
  </si>
  <si>
    <t xml:space="preserve">Bidesariak </t>
  </si>
  <si>
    <t>URTEAN BIDESARITAN GASTATUTAKOA, BEZ GABE (€)</t>
  </si>
  <si>
    <t>KOSTU ALDAKORRAK  (€)</t>
  </si>
  <si>
    <t>ZUZENEKO KOSTUAK  (€)</t>
  </si>
  <si>
    <t xml:space="preserve">Zeharkako kostuak </t>
  </si>
  <si>
    <t>Urtean izandako kudeketa, administrazio eta merkaturatze kostuak, ibilgailu honi egoztekoak direnak  (€)</t>
  </si>
  <si>
    <t>ZEHARKAKO GASTUAK  (€)</t>
  </si>
  <si>
    <t>KOSTU GUZTIAK (€)</t>
  </si>
  <si>
    <t xml:space="preserve">6. Zeharkako kostuak </t>
  </si>
  <si>
    <t>Erabiltzailea</t>
  </si>
  <si>
    <t>Euro</t>
  </si>
  <si>
    <t>BATEZ BESTEKO KOSTUAK</t>
  </si>
  <si>
    <t>Editar</t>
  </si>
  <si>
    <t xml:space="preserve"> EROSKETA</t>
  </si>
  <si>
    <t>CHASIS</t>
  </si>
  <si>
    <t>CARROZADO</t>
  </si>
  <si>
    <t>EQUIPOS</t>
  </si>
  <si>
    <t>Autocar de 15 metros</t>
  </si>
  <si>
    <t>Autocar de 12 metros</t>
  </si>
  <si>
    <t>Autocar de 9 metros</t>
  </si>
  <si>
    <t>Microbús</t>
  </si>
  <si>
    <t>Autocar genérico (autocares no englobados en las categorías anteriores)</t>
  </si>
  <si>
    <t>08/01/2024</t>
  </si>
  <si>
    <t>Datu estadistikoak</t>
  </si>
  <si>
    <t>12/01/2024</t>
  </si>
  <si>
    <t>17/01/2024</t>
  </si>
  <si>
    <t>22/01/2024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</si>
</sst>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yyyy\-mm\-dd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sz val="9"/>
      <color rgb="FF000000"/>
      <name val="Arial"/>
      <family val="2"/>
    </font>
    <font>
      <sz val="11"/>
      <color theme="0" tint="-0.34998626667073579"/>
      <name val="Calibri"/>
      <family val="2"/>
      <scheme val="minor"/>
    </font>
    <font>
      <sz val="9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F7FB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6795556505021"/>
      </left>
      <right/>
      <top style="thin">
        <color theme="0" tint="-0.14999847407452621"/>
      </top>
      <bottom/>
      <diagonal/>
    </border>
    <border>
      <left/>
      <right style="thin">
        <color theme="0" tint="-0.14996795556505021"/>
      </right>
      <top style="thin">
        <color theme="0" tint="-0.149998474074526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984740745262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borderId="0" fillId="0" fontId="0" numFmtId="0"/>
  </cellStyleXfs>
  <cellXfs count="100">
    <xf borderId="0" fillId="0" fontId="0" numFmtId="0" xfId="0"/>
    <xf applyBorder="1" applyFont="1" borderId="1" fillId="0" fontId="1" numFmtId="0" xfId="0"/>
    <xf applyFill="1" borderId="0" fillId="2" fontId="0" numFmtId="0" xfId="0"/>
    <xf applyFill="1" applyFont="1" borderId="0" fillId="2" fontId="4" numFmtId="0" xfId="0"/>
    <xf applyBorder="1" applyFill="1" borderId="2" fillId="2" fontId="0" numFmtId="0" xfId="0"/>
    <xf applyBorder="1" applyFill="1" borderId="3" fillId="2" fontId="0" numFmtId="0" xfId="0"/>
    <xf applyBorder="1" applyFill="1" borderId="4" fillId="2" fontId="0" numFmtId="0" xfId="0"/>
    <xf applyBorder="1" applyFill="1" borderId="5" fillId="2" fontId="0" numFmtId="0" xfId="0"/>
    <xf applyAlignment="1" applyFill="1" applyFont="1" borderId="0" fillId="3" fontId="2" numFmtId="0" xfId="0">
      <alignment vertical="center"/>
    </xf>
    <xf applyFill="1" borderId="0" fillId="3" fontId="0" numFmtId="0" xfId="0"/>
    <xf applyBorder="1" applyFill="1" borderId="6" fillId="2" fontId="0" numFmtId="0" xfId="0"/>
    <xf applyFill="1" applyFont="1" borderId="0" fillId="2" fontId="1" numFmtId="0" xfId="0"/>
    <xf applyBorder="1" applyFill="1" borderId="7" fillId="2" fontId="0" numFmtId="0" xfId="0"/>
    <xf applyBorder="1" applyFill="1" borderId="8" fillId="2" fontId="0" numFmtId="0" xfId="0"/>
    <xf applyAlignment="1" applyFill="1" applyFont="1" borderId="0" fillId="2" fontId="3" numFmtId="0" xfId="0">
      <alignment horizontal="center"/>
    </xf>
    <xf applyAlignment="1" applyFill="1" borderId="0" fillId="2" fontId="0" numFmtId="0" xfId="0">
      <alignment horizontal="center"/>
    </xf>
    <xf applyFill="1" applyFont="1" applyProtection="1" borderId="0" fillId="4" fontId="7" numFmtId="0" xfId="0">
      <protection locked="0"/>
    </xf>
    <xf applyBorder="1" applyFill="1" borderId="9" fillId="2" fontId="0" numFmtId="0" xfId="0"/>
    <xf applyBorder="1" applyFill="1" borderId="10" fillId="2" fontId="0" numFmtId="0" xfId="0"/>
    <xf applyBorder="1" applyFill="1" borderId="11" fillId="2" fontId="0" numFmtId="0" xfId="0"/>
    <xf applyBorder="1" applyFill="1" borderId="12" fillId="2" fontId="0" numFmtId="0" xfId="0"/>
    <xf applyFont="1" borderId="0" fillId="0" fontId="1" numFmtId="0" xfId="0"/>
    <xf applyFill="1" applyFont="1" borderId="0" fillId="2" fontId="6" numFmtId="0" xfId="0"/>
    <xf applyBorder="1" applyFill="1" borderId="13" fillId="2" fontId="0" numFmtId="0" xfId="0"/>
    <xf applyBorder="1" applyFill="1" borderId="14" fillId="2" fontId="0" numFmtId="0" xfId="0"/>
    <xf applyBorder="1" applyFill="1" borderId="15" fillId="2" fontId="0" numFmtId="0" xfId="0"/>
    <xf applyAlignment="1" borderId="0" fillId="0" fontId="0" numFmtId="0" xfId="0">
      <alignment vertical="center" wrapText="1"/>
    </xf>
    <xf applyAlignment="1" applyFill="1" borderId="0" fillId="2" fontId="0" numFmtId="0" xfId="0">
      <alignment horizontal="right"/>
    </xf>
    <xf applyFill="1" applyFont="1" applyNumberFormat="1" borderId="0" fillId="2" fontId="6" numFmtId="4" xfId="0"/>
    <xf applyAlignment="1" applyFill="1" applyFont="1" borderId="0" fillId="2" fontId="6" numFmtId="0" xfId="0">
      <alignment horizontal="left"/>
    </xf>
    <xf applyFill="1" applyFont="1" borderId="0" fillId="3" fontId="3" numFmtId="0" xfId="0"/>
    <xf applyFill="1" applyFont="1" borderId="0" fillId="2" fontId="2" numFmtId="0" xfId="0"/>
    <xf applyFill="1" applyFont="1" borderId="0" fillId="2" fontId="3" numFmtId="0" xfId="0"/>
    <xf applyBorder="1" applyFill="1" borderId="16" fillId="2" fontId="0" numFmtId="0" xfId="0"/>
    <xf applyAlignment="1" applyFill="1" borderId="0" fillId="2" fontId="0" numFmtId="0" xfId="0">
      <alignment vertical="top"/>
    </xf>
    <xf applyFill="1" applyNumberFormat="1" borderId="0" fillId="2" fontId="0" numFmtId="2" xfId="0"/>
    <xf applyFill="1" applyFont="1" borderId="0" fillId="2" fontId="8" numFmtId="0" xfId="0"/>
    <xf applyFont="1" borderId="0" fillId="0" fontId="8" numFmtId="0" xfId="0"/>
    <xf applyFill="1" applyFont="1" borderId="0" fillId="2" fontId="9" numFmtId="0" xfId="0"/>
    <xf applyBorder="1" applyFill="1" applyFont="1" borderId="1" fillId="6" fontId="1" numFmtId="0" xfId="0"/>
    <xf applyBorder="1" applyFill="1" applyFont="1" borderId="17" fillId="4" fontId="1" numFmtId="0" xfId="0"/>
    <xf applyBorder="1" applyFill="1" applyFont="1" borderId="1" fillId="4" fontId="1" numFmtId="0" xfId="0"/>
    <xf applyFill="1" applyFont="1" applyNumberFormat="1" borderId="0" fillId="2" fontId="3" numFmtId="2" xfId="0"/>
    <xf applyFill="1" applyFont="1" applyNumberFormat="1" borderId="0" fillId="2" fontId="3" numFmtId="1" xfId="0"/>
    <xf applyAlignment="1" applyFill="1" borderId="0" fillId="2" fontId="0" numFmtId="0" xfId="0">
      <alignment wrapText="1"/>
    </xf>
    <xf applyAlignment="1" applyBorder="1" borderId="1" fillId="0" fontId="0" numFmtId="0" xfId="0">
      <alignment vertical="center" wrapText="1"/>
    </xf>
    <xf applyBorder="1" borderId="1" fillId="0" fontId="0" numFmtId="0" xfId="0"/>
    <xf applyNumberFormat="1" borderId="0" fillId="0" fontId="0" numFmtId="4" xfId="0"/>
    <xf applyFill="1" applyNumberFormat="1" borderId="0" fillId="2" fontId="0" numFmtId="4" xfId="0"/>
    <xf applyBorder="1" applyFill="1" applyNumberFormat="1" borderId="3" fillId="2" fontId="0" numFmtId="4" xfId="0"/>
    <xf applyFill="1" applyNumberFormat="1" borderId="0" fillId="3" fontId="0" numFmtId="4" xfId="0"/>
    <xf applyAlignment="1" applyFill="1" applyFont="1" applyNumberFormat="1" borderId="0" fillId="3" fontId="2" numFmtId="4" xfId="0">
      <alignment vertical="center"/>
    </xf>
    <xf applyFill="1" applyFont="1" applyNumberFormat="1" borderId="0" fillId="2" fontId="5" numFmtId="4" xfId="0"/>
    <xf applyFill="1" applyNumberFormat="1" applyProtection="1" borderId="0" fillId="4" fontId="0" numFmtId="4" xfId="0">
      <protection locked="0"/>
    </xf>
    <xf applyAlignment="1" applyFill="1" applyFont="1" applyNumberFormat="1" borderId="0" fillId="2" fontId="6" numFmtId="4" xfId="0">
      <alignment horizontal="right"/>
    </xf>
    <xf applyAlignment="1" applyFill="1" applyNumberFormat="1" borderId="0" fillId="2" fontId="0" numFmtId="4" xfId="0">
      <alignment horizontal="right"/>
    </xf>
    <xf applyFill="1" applyFont="1" applyNumberFormat="1" borderId="0" fillId="3" fontId="3" numFmtId="4" xfId="0"/>
    <xf applyFill="1" applyFont="1" applyNumberFormat="1" borderId="0" fillId="2" fontId="3" numFmtId="4" xfId="0"/>
    <xf applyAlignment="1" applyNumberFormat="1" borderId="0" fillId="0" fontId="0" numFmtId="4" xfId="0">
      <alignment horizontal="right"/>
    </xf>
    <xf applyFill="1" applyFont="1" applyNumberFormat="1" borderId="0" fillId="2" fontId="1" numFmtId="4" xfId="0"/>
    <xf applyFill="1" applyNumberFormat="1" borderId="0" fillId="5" fontId="0" numFmtId="4" xfId="0"/>
    <xf applyAlignment="1" applyFill="1" applyFont="1" applyNumberFormat="1" borderId="0" fillId="2" fontId="6" numFmtId="4" xfId="0">
      <alignment horizontal="left"/>
    </xf>
    <xf applyBorder="1" applyFill="1" applyNumberFormat="1" borderId="7" fillId="2" fontId="0" numFmtId="4" xfId="0"/>
    <xf applyAlignment="1" applyFill="1" applyFont="1" applyNumberFormat="1" borderId="0" fillId="2" fontId="3" numFmtId="4" xfId="0">
      <alignment horizontal="right"/>
    </xf>
    <xf applyAlignment="1" applyFill="1" applyNumberFormat="1" borderId="0" fillId="2" fontId="0" numFmtId="4" xfId="0">
      <alignment vertical="top"/>
    </xf>
    <xf applyBorder="1" applyFill="1" applyNumberFormat="1" borderId="14" fillId="2" fontId="0" numFmtId="4" xfId="0"/>
    <xf applyAlignment="1" applyBorder="1" applyFill="1" applyNumberFormat="1" borderId="1" fillId="2" fontId="0" numFmtId="4" xfId="0">
      <alignment horizontal="right"/>
    </xf>
    <xf applyBorder="1" applyFill="1" applyNumberFormat="1" borderId="1" fillId="6" fontId="0" numFmtId="4" xfId="0"/>
    <xf applyNumberFormat="1" borderId="0" fillId="0" fontId="0" numFmtId="14" xfId="0"/>
    <xf applyFill="1" applyFont="1" borderId="0" fillId="2" fontId="11" numFmtId="0" xfId="0"/>
    <xf applyBorder="1" applyFill="1" applyFont="1" applyNumberFormat="1" borderId="1" fillId="6" fontId="12" numFmtId="4" xfId="0"/>
    <xf applyBorder="1" applyFill="1" applyFont="1" applyNumberFormat="1" borderId="1" fillId="4" fontId="12" numFmtId="4" xfId="0"/>
    <xf applyFill="1" applyFont="1" applyNumberFormat="1" borderId="0" fillId="2" fontId="12" numFmtId="4" xfId="0"/>
    <xf applyBorder="1" applyFill="1" applyFont="1" applyNumberFormat="1" borderId="1" fillId="8" fontId="10" numFmtId="4" xfId="0"/>
    <xf applyBorder="1" applyFill="1" applyFont="1" applyNumberFormat="1" borderId="1" fillId="7" fontId="10" numFmtId="4" xfId="0"/>
    <xf applyAlignment="1" applyBorder="1" applyFill="1" borderId="3" fillId="2" fontId="0" numFmtId="0" xfId="0">
      <alignment horizontal="right"/>
    </xf>
    <xf applyAlignment="1" applyFill="1" borderId="0" fillId="3" fontId="0" numFmtId="0" xfId="0">
      <alignment horizontal="right"/>
    </xf>
    <xf applyAlignment="1" applyFill="1" applyFont="1" borderId="0" fillId="2" fontId="1" numFmtId="0" xfId="0">
      <alignment horizontal="right"/>
    </xf>
    <xf applyAlignment="1" applyBorder="1" applyFill="1" borderId="14" fillId="2" fontId="0" numFmtId="0" xfId="0">
      <alignment horizontal="right"/>
    </xf>
    <xf applyAlignment="1" borderId="0" fillId="0" fontId="0" numFmtId="0" xfId="0">
      <alignment horizontal="right"/>
    </xf>
    <xf applyAlignment="1" applyFill="1" applyFont="1" applyNumberFormat="1" applyProtection="1" borderId="0" fillId="3" fontId="2" numFmtId="4" xfId="0">
      <alignment vertical="center"/>
      <protection locked="0"/>
    </xf>
    <xf applyFill="1" borderId="0" fillId="4" fontId="0" numFmtId="0" xfId="0"/>
    <xf applyAlignment="1" applyFill="1" borderId="0" fillId="4" fontId="0" numFmtId="0" xfId="0">
      <alignment vertical="center" wrapText="1"/>
    </xf>
    <xf applyAlignment="1" applyNumberFormat="1" borderId="0" fillId="0" fontId="0" numFmtId="1" xfId="0">
      <alignment vertical="center" wrapText="1"/>
    </xf>
    <xf applyNumberFormat="1" borderId="0" fillId="0" fontId="0" numFmtId="1" xfId="0"/>
    <xf applyAlignment="1" borderId="0" fillId="0" fontId="0" numFmtId="0" xfId="0">
      <alignment vertical="center"/>
    </xf>
    <xf applyFill="1" applyNumberFormat="1" borderId="0" fillId="4" fontId="0" numFmtId="2" xfId="0"/>
    <xf applyNumberFormat="1" borderId="0" fillId="0" fontId="0" numFmtId="164" xfId="0"/>
    <xf applyNumberFormat="1" borderId="0" fillId="0" fontId="0" numFmtId="2" xfId="0"/>
    <xf applyAlignment="1" applyFill="1" applyFont="1" applyProtection="1" borderId="0" fillId="4" fontId="5" numFmtId="0" xfId="0">
      <alignment horizontal="left"/>
      <protection locked="0"/>
    </xf>
    <xf applyAlignment="1" applyFill="1" applyFont="1" applyProtection="1" borderId="0" fillId="7" fontId="13" numFmtId="0" xfId="0">
      <alignment horizontal="center" vertical="center"/>
      <protection locked="0"/>
    </xf>
    <xf applyNumberFormat="1" borderId="0" fillId="0" fontId="0" numFmtId="165" xfId="0"/>
    <xf applyAlignment="1" applyFill="1" applyFont="1" applyNumberFormat="1" applyProtection="1" borderId="0" fillId="3" fontId="2" numFmtId="165" xfId="0">
      <alignment horizontal="left" vertical="center"/>
      <protection locked="0"/>
    </xf>
    <xf applyAlignment="1" applyFill="1" applyFont="1" applyNumberFormat="1" applyProtection="1" borderId="0" fillId="7" fontId="13" numFmtId="165" xfId="0">
      <alignment horizontal="left" vertical="center"/>
      <protection locked="0"/>
    </xf>
    <xf applyAlignment="1" borderId="0" fillId="0" fontId="0" numFmtId="0" xfId="0">
      <alignment horizontal="center"/>
    </xf>
    <xf applyAlignment="1" applyFill="1" applyFont="1" applyProtection="1" borderId="0" fillId="4" fontId="5" numFmtId="0" xfId="0">
      <alignment horizontal="left"/>
      <protection locked="0"/>
    </xf>
    <xf applyAlignment="1" applyFill="1" applyFont="1" applyNumberFormat="1" applyProtection="1" borderId="0" fillId="4" fontId="1" numFmtId="4" xfId="0">
      <alignment horizontal="center" vertical="center"/>
      <protection locked="0"/>
    </xf>
    <xf applyAlignment="1" applyFill="1" applyFont="1" applyProtection="1" borderId="0" fillId="3" fontId="2" numFmtId="0" xfId="0">
      <alignment horizontal="center" vertical="center"/>
      <protection locked="0"/>
    </xf>
    <xf applyAlignment="1" applyFill="1" applyNumberFormat="1" applyProtection="1" borderId="0" fillId="4" fontId="0" numFmtId="2" xfId="0">
      <alignment horizontal="left"/>
      <protection locked="0"/>
    </xf>
    <xf applyAlignment="1" applyFill="1" applyFont="1" applyNumberFormat="1" applyProtection="1" borderId="0" fillId="7" fontId="13" numFmtId="14" xfId="0">
      <alignment vertical="center"/>
      <protection locked="0"/>
    </xf>
  </cellXfs>
  <cellStyles count="1">
    <cellStyle builtinId="0" name="Normal" xfId="0"/>
  </cellStyles>
  <dxfs count="0"/>
  <tableStyles count="0" defaultPivotStyle="PivotStyleMedium9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worksheets/sheet10.xml" Type="http://schemas.openxmlformats.org/officeDocument/2006/relationships/worksheet"/>
<Relationship Id="rId11" Target="worksheets/sheet11.xml" Type="http://schemas.openxmlformats.org/officeDocument/2006/relationships/worksheet"/>
<Relationship Id="rId12" Target="theme/theme1.xml" Type="http://schemas.openxmlformats.org/officeDocument/2006/relationships/theme"/>
<Relationship Id="rId13" Target="styles.xml" Type="http://schemas.openxmlformats.org/officeDocument/2006/relationships/styles"/>
<Relationship Id="rId14" Target="sharedStrings.xml" Type="http://schemas.openxmlformats.org/officeDocument/2006/relationships/sharedStrings"/>
<Relationship Id="rId15" Target="calcChain.xml" Type="http://schemas.openxmlformats.org/officeDocument/2006/relationships/calcChain"/>
<Relationship Id="rId16" Target="vbaProject.bin" Type="http://schemas.microsoft.com/office/2006/relationships/vbaProject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worksheets/sheet5.xml" Type="http://schemas.openxmlformats.org/officeDocument/2006/relationships/worksheet"/>
<Relationship Id="rId6" Target="worksheets/sheet6.xml" Type="http://schemas.openxmlformats.org/officeDocument/2006/relationships/worksheet"/>
<Relationship Id="rId7" Target="worksheets/sheet7.xml" Type="http://schemas.openxmlformats.org/officeDocument/2006/relationships/worksheet"/>
<Relationship Id="rId8" Target="worksheets/sheet8.xml" Type="http://schemas.openxmlformats.org/officeDocument/2006/relationships/worksheet"/>
<Relationship Id="rId9" Target="worksheets/sheet9.xml" Type="http://schemas.openxmlformats.org/officeDocument/2006/relationships/worksheet"/>
</Relationships>

</file>

<file path=xl/activeX/_rels/activeX1.xml.rels><?xml version="1.0" encoding="UTF-8" standalone="no"?>
<Relationships xmlns="http://schemas.openxmlformats.org/package/2006/relationships">
<Relationship Id="rId1" Target="activeX1.bin" Type="http://schemas.microsoft.com/office/2006/relationships/activeXControlBinary"/>
</Relationships>

</file>

<file path=xl/activeX/_rels/activeX2.xml.rels><?xml version="1.0" encoding="UTF-8" standalone="no"?>
<Relationships xmlns="http://schemas.openxmlformats.org/package/2006/relationships">
<Relationship Id="rId1" Target="activeX2.bin" Type="http://schemas.microsoft.com/office/2006/relationships/activeXControlBinary"/>
</Relationships>

</file>

<file path=xl/activeX/_rels/activeX3.xml.rels><?xml version="1.0" encoding="UTF-8" standalone="no"?>
<Relationships xmlns="http://schemas.openxmlformats.org/package/2006/relationships">
<Relationship Id="rId1" Target="activeX3.bin" Type="http://schemas.microsoft.com/office/2006/relationships/activeXControlBinary"/>
</Relationships>

</file>

<file path=xl/activeX/_rels/activeX4.xml.rels><?xml version="1.0" encoding="UTF-8" standalone="no"?>
<Relationships xmlns="http://schemas.openxmlformats.org/package/2006/relationships">
<Relationship Id="rId1" Target="activeX4.bin" Type="http://schemas.microsoft.com/office/2006/relationships/activeXControlBinary"/>
</Relationships>
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harts/chart1.xml><?xml version="1.0" encoding="utf-8"?>
<c:chartSpace xmlns:a="http://schemas.openxmlformats.org/drawingml/2006/main" xmlns:c="http://schemas.openxmlformats.org/drawingml/2006/chart" xmlns:c16r2="http://schemas.microsoft.com/office/drawing/2015/06/chart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cat>
            <c:strRef>
              <c:f>Emaitzak!$D$43:$D$46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Emaitzak!$E$43:$E$46</c:f>
              <c:numCache>
                <c:formatCode>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0C-44AF-AA93-DFA78C155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footer="0.3" header="0.3" l="0.7" r="0.7" t="0.75"/>
    <c:pageSetup/>
  </c:printSettings>
</c:chartSpace>
</file>

<file path=xl/charts/chart2.xml><?xml version="1.0" encoding="utf-8"?>
<c:chartSpace xmlns:a="http://schemas.openxmlformats.org/drawingml/2006/main" xmlns:c="http://schemas.openxmlformats.org/drawingml/2006/chart" xmlns:c16r2="http://schemas.microsoft.com/office/drawing/2015/06/chart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cat>
            <c:strRef>
              <c:f>Emaitzak!$G$43:$G$46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Emaitzak!$H$43:$H$46</c:f>
              <c:numCache>
                <c:formatCode>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00-4638-B867-54D23DFD2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c16r2="http://schemas.microsoft.com/office/drawing/2015/06/chart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cat>
            <c:strRef>
              <c:f>Emaitzak!$D$72:$D$73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Emaitzak!$E$72:$E$73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21-4699-83E8-D1AF4C706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c16r2="http://schemas.microsoft.com/office/drawing/2015/06/chart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cat>
            <c:strRef>
              <c:f>Emaitzak!$G$72:$G$73</c:f>
              <c:strCache>
                <c:ptCount val="2"/>
                <c:pt idx="0">
                  <c:v>A</c:v>
                </c:pt>
                <c:pt idx="1">
                  <c:v>B</c:v>
                </c:pt>
              </c:strCache>
            </c:strRef>
          </c:cat>
          <c:val>
            <c:numRef>
              <c:f>Emaitzak!$H$72:$H$73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02-4D54-898D-19F6D4556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c16r2="http://schemas.microsoft.com/office/drawing/2015/06/chart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74756394317107"/>
          <c:y val="8.9159039431015982E-2"/>
          <c:w val="0.54723368081014168"/>
          <c:h val="0.82168192113796801"/>
        </c:manualLayout>
      </c:layout>
      <c:pie3DChart>
        <c:varyColors val="1"/>
        <c:ser>
          <c:idx val="0"/>
          <c:order val="0"/>
          <c:explosion val="25"/>
          <c:cat>
            <c:strRef>
              <c:f>Emaitzak!$K$13:$K$24</c:f>
              <c:strCache>
                <c:ptCount val="12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</c:strCache>
            </c:strRef>
          </c:cat>
          <c:val>
            <c:numRef>
              <c:f>Emaitzak!$L$13:$L$24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AD-450B-9812-D762033E4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84122922134733158"/>
          <c:y val="2.7874026199484867E-3"/>
          <c:w val="0.10784485272674249"/>
          <c:h val="0.91559095677196667"/>
        </c:manualLayout>
      </c:layout>
      <c:overlay val="0"/>
    </c:legend>
    <c:plotVisOnly val="1"/>
    <c:dispBlanksAs val="gap"/>
    <c:showDLblsOverMax val="0"/>
  </c:chart>
  <c:printSettings>
    <c:headerFooter/>
    <c:pageMargins b="0.75" footer="0.3" header="0.3" l="0.7" r="0.7" t="0.75"/>
    <c:pageSetup/>
  </c:printSettings>
</c:chartSpace>
</file>

<file path=xl/charts/chart6.xml><?xml version="1.0" encoding="utf-8"?>
<c:chartSpace xmlns:a="http://schemas.openxmlformats.org/drawingml/2006/main" xmlns:c="http://schemas.openxmlformats.org/drawingml/2006/chart" xmlns:c16r2="http://schemas.microsoft.com/office/drawing/2015/06/chart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74756394317107"/>
          <c:y val="8.9159039431015982E-2"/>
          <c:w val="0.54723368081014168"/>
          <c:h val="0.82168192113796801"/>
        </c:manualLayout>
      </c:layout>
      <c:pie3DChart>
        <c:varyColors val="1"/>
        <c:ser>
          <c:idx val="0"/>
          <c:order val="0"/>
          <c:explosion val="25"/>
          <c:cat>
            <c:strRef>
              <c:f>Emaitzak!$N$13:$N$24</c:f>
              <c:strCache>
                <c:ptCount val="12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</c:strCache>
            </c:strRef>
          </c:cat>
          <c:val>
            <c:numRef>
              <c:f>Emaitzak!$O$13:$O$24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8B-4463-B347-BBB782769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82112955305047297"/>
          <c:y val="1.1157618455587789E-2"/>
          <c:w val="0.11172416397590589"/>
          <c:h val="0.94296131313919729"/>
        </c:manualLayout>
      </c:layout>
      <c:overlay val="0"/>
    </c:legend>
    <c:plotVisOnly val="1"/>
    <c:dispBlanksAs val="gap"/>
    <c:showDLblsOverMax val="0"/>
  </c:chart>
  <c:printSettings>
    <c:headerFooter/>
    <c:pageMargins b="0.75" footer="0.3" header="0.3" l="0.7" r="0.7" t="0.75"/>
    <c:pageSetup/>
  </c:printSettings>
</c:chartSpace>
</file>

<file path=xl/drawings/_rels/drawing10.xml.rels><?xml version="1.0" encoding="UTF-8" standalone="no"?>
<Relationships xmlns="http://schemas.openxmlformats.org/package/2006/relationships">
<Relationship Id="rId1" Target="../media/image5.jpeg" Type="http://schemas.openxmlformats.org/officeDocument/2006/relationships/image"/>
</Relationships>

</file>

<file path=xl/drawings/_rels/drawing2.xml.rels><?xml version="1.0" encoding="UTF-8" standalone="no"?>
<Relationships xmlns="http://schemas.openxmlformats.org/package/2006/relationships">
<Relationship Id="rId1" Target="../media/image5.jpeg" Type="http://schemas.openxmlformats.org/officeDocument/2006/relationships/image"/>
</Relationships>

</file>

<file path=xl/drawings/_rels/drawing3.xml.rels><?xml version="1.0" encoding="UTF-8" standalone="no"?>
<Relationships xmlns="http://schemas.openxmlformats.org/package/2006/relationships">
<Relationship Id="rId1" Target="../media/image5.jpeg" Type="http://schemas.openxmlformats.org/officeDocument/2006/relationships/image"/>
</Relationships>

</file>

<file path=xl/drawings/_rels/drawing4.xml.rels><?xml version="1.0" encoding="UTF-8" standalone="no"?>
<Relationships xmlns="http://schemas.openxmlformats.org/package/2006/relationships">
<Relationship Id="rId1" Target="../media/image5.jpeg" Type="http://schemas.openxmlformats.org/officeDocument/2006/relationships/image"/>
</Relationships>

</file>

<file path=xl/drawings/_rels/drawing5.xml.rels><?xml version="1.0" encoding="UTF-8" standalone="no"?>
<Relationships xmlns="http://schemas.openxmlformats.org/package/2006/relationships">
<Relationship Id="rId1" Target="../media/image5.jpeg" Type="http://schemas.openxmlformats.org/officeDocument/2006/relationships/image"/>
</Relationships>

</file>

<file path=xl/drawings/_rels/drawing6.xml.rels><?xml version="1.0" encoding="UTF-8" standalone="no"?>
<Relationships xmlns="http://schemas.openxmlformats.org/package/2006/relationships">
<Relationship Id="rId1" Target="../media/image5.jpeg" Type="http://schemas.openxmlformats.org/officeDocument/2006/relationships/image"/>
</Relationships>

</file>

<file path=xl/drawings/_rels/drawing7.xml.rels><?xml version="1.0" encoding="UTF-8" standalone="no"?>
<Relationships xmlns="http://schemas.openxmlformats.org/package/2006/relationships">
<Relationship Id="rId1" Target="../media/image5.jpeg" Type="http://schemas.openxmlformats.org/officeDocument/2006/relationships/image"/>
</Relationships>

</file>

<file path=xl/drawings/_rels/drawing8.xml.rels><?xml version="1.0" encoding="UTF-8" standalone="no"?>
<Relationships xmlns="http://schemas.openxmlformats.org/package/2006/relationships">
<Relationship Id="rId1" Target="../media/image5.jpeg" Type="http://schemas.openxmlformats.org/officeDocument/2006/relationships/image"/>
</Relationships>

</file>

<file path=xl/drawings/_rels/drawing9.xml.rels><?xml version="1.0" encoding="UTF-8" standalone="no"?>
<Relationships xmlns="http://schemas.openxmlformats.org/package/2006/relationships">
<Relationship Id="rId1" Target="../media/image5.jpeg" Type="http://schemas.openxmlformats.org/officeDocument/2006/relationships/image"/>
<Relationship Id="rId2" Target="../charts/chart1.xml" Type="http://schemas.openxmlformats.org/officeDocument/2006/relationships/chart"/>
<Relationship Id="rId3" Target="../charts/chart2.xml" Type="http://schemas.openxmlformats.org/officeDocument/2006/relationships/chart"/>
<Relationship Id="rId4" Target="../charts/chart3.xml" Type="http://schemas.openxmlformats.org/officeDocument/2006/relationships/chart"/>
<Relationship Id="rId5" Target="../charts/chart4.xml" Type="http://schemas.openxmlformats.org/officeDocument/2006/relationships/chart"/>
<Relationship Id="rId6" Target="../charts/chart5.xml" Type="http://schemas.openxmlformats.org/officeDocument/2006/relationships/chart"/>
<Relationship Id="rId7" Target="../charts/chart6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emf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2.emf" Type="http://schemas.openxmlformats.org/officeDocument/2006/relationships/image"/>
<Relationship Id="rId2" Target="../media/image3.emf" Type="http://schemas.openxmlformats.org/officeDocument/2006/relationships/image"/>
<Relationship Id="rId3" Target="../media/image4.emf" Type="http://schemas.openxmlformats.org/officeDocument/2006/relationships/image"/>
</Relationships>

</file>

<file path=xl/drawings/drawing1.xml><?xml version="1.0" encoding="utf-8"?>
<xdr:wsDr xmlns:a="http://schemas.openxmlformats.org/drawingml/2006/main" xmlns:xdr="http://schemas.openxmlformats.org/drawingml/2006/spreadsheetDrawing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</xdr:row>
          <xdr:rowOff>83820</xdr:rowOff>
        </xdr:from>
        <xdr:to>
          <xdr:col>7</xdr:col>
          <xdr:colOff>457200</xdr:colOff>
          <xdr:row>2</xdr:row>
          <xdr:rowOff>160020</xdr:rowOff>
        </xdr:to>
        <xdr:sp macro="" textlink="">
          <xdr:nvSpPr>
            <xdr:cNvPr hidden="1" id="21505" name="EDITABLE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00000000-0008-0000-0000-00000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a="http://schemas.openxmlformats.org/drawingml/2006/main" xmlns:xdr="http://schemas.openxmlformats.org/drawingml/2006/spreadsheetDrawing">
  <xdr:twoCellAnchor editAs="oneCell">
    <xdr:from>
      <xdr:col>2</xdr:col>
      <xdr:colOff>2039418</xdr:colOff>
      <xdr:row>0</xdr:row>
      <xdr:rowOff>48581</xdr:rowOff>
    </xdr:from>
    <xdr:to>
      <xdr:col>7</xdr:col>
      <xdr:colOff>635638</xdr:colOff>
      <xdr:row>4</xdr:row>
      <xdr:rowOff>158073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418" y="48581"/>
          <a:ext cx="3120595" cy="8714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a="http://schemas.openxmlformats.org/drawingml/2006/main" xmlns:xdr="http://schemas.openxmlformats.org/drawingml/2006/spreadsheetDrawing">
  <xdr:twoCellAnchor editAs="oneCell">
    <xdr:from>
      <xdr:col>5</xdr:col>
      <xdr:colOff>467793</xdr:colOff>
      <xdr:row>0</xdr:row>
      <xdr:rowOff>48581</xdr:rowOff>
    </xdr:from>
    <xdr:to>
      <xdr:col>7</xdr:col>
      <xdr:colOff>933655</xdr:colOff>
      <xdr:row>4</xdr:row>
      <xdr:rowOff>158073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1443" y="48581"/>
          <a:ext cx="3120595" cy="87149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1409700</xdr:colOff>
          <xdr:row>10</xdr:row>
          <xdr:rowOff>175260</xdr:rowOff>
        </xdr:from>
        <xdr:to>
          <xdr:col>7</xdr:col>
          <xdr:colOff>1927860</xdr:colOff>
          <xdr:row>16</xdr:row>
          <xdr:rowOff>60960</xdr:rowOff>
        </xdr:to>
        <xdr:sp macro="" textlink="">
          <xdr:nvSpPr>
            <xdr:cNvPr hidden="1" id="12290" name="B_Carga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2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2049780</xdr:colOff>
          <xdr:row>10</xdr:row>
          <xdr:rowOff>175260</xdr:rowOff>
        </xdr:from>
        <xdr:to>
          <xdr:col>7</xdr:col>
          <xdr:colOff>2552700</xdr:colOff>
          <xdr:row>16</xdr:row>
          <xdr:rowOff>60960</xdr:rowOff>
        </xdr:to>
        <xdr:sp macro="" textlink="">
          <xdr:nvSpPr>
            <xdr:cNvPr hidden="1" id="12291" name="B_Vaciar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2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541020</xdr:colOff>
          <xdr:row>8</xdr:row>
          <xdr:rowOff>167640</xdr:rowOff>
        </xdr:from>
        <xdr:to>
          <xdr:col>8</xdr:col>
          <xdr:colOff>22860</xdr:colOff>
          <xdr:row>10</xdr:row>
          <xdr:rowOff>60960</xdr:rowOff>
        </xdr:to>
        <xdr:sp macro="" textlink="">
          <xdr:nvSpPr>
            <xdr:cNvPr hidden="1" id="12293" name="CB_Vehiculo">
              <a:extLst>
                <a:ext uri="{63B3BB69-23CF-44E3-9099-C40C66FF867C}">
                  <a14:compatExt spid="_x0000_s12293"/>
                </a:ext>
                <a:ext uri="{FF2B5EF4-FFF2-40B4-BE49-F238E27FC236}">
                  <a16:creationId xmlns:a16="http://schemas.microsoft.com/office/drawing/2014/main" id="{00000000-0008-0000-0200-00000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a="http://schemas.openxmlformats.org/drawingml/2006/main" xmlns:xdr="http://schemas.openxmlformats.org/drawingml/2006/spreadsheetDrawing">
  <xdr:twoCellAnchor editAs="oneCell">
    <xdr:from>
      <xdr:col>3</xdr:col>
      <xdr:colOff>453505</xdr:colOff>
      <xdr:row>0</xdr:row>
      <xdr:rowOff>48581</xdr:rowOff>
    </xdr:from>
    <xdr:to>
      <xdr:col>8</xdr:col>
      <xdr:colOff>192725</xdr:colOff>
      <xdr:row>4</xdr:row>
      <xdr:rowOff>169503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8230" y="48581"/>
          <a:ext cx="3120595" cy="8714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a="http://schemas.openxmlformats.org/drawingml/2006/main" xmlns:xdr="http://schemas.openxmlformats.org/drawingml/2006/spreadsheetDrawing">
  <xdr:twoCellAnchor editAs="oneCell">
    <xdr:from>
      <xdr:col>5</xdr:col>
      <xdr:colOff>24880</xdr:colOff>
      <xdr:row>0</xdr:row>
      <xdr:rowOff>48581</xdr:rowOff>
    </xdr:from>
    <xdr:to>
      <xdr:col>9</xdr:col>
      <xdr:colOff>817565</xdr:colOff>
      <xdr:row>4</xdr:row>
      <xdr:rowOff>169503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6705" y="48581"/>
          <a:ext cx="3120595" cy="87149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a="http://schemas.openxmlformats.org/drawingml/2006/main" xmlns:xdr="http://schemas.openxmlformats.org/drawingml/2006/spreadsheetDrawing">
  <xdr:twoCellAnchor editAs="oneCell">
    <xdr:from>
      <xdr:col>2</xdr:col>
      <xdr:colOff>3130030</xdr:colOff>
      <xdr:row>0</xdr:row>
      <xdr:rowOff>48581</xdr:rowOff>
    </xdr:from>
    <xdr:to>
      <xdr:col>6</xdr:col>
      <xdr:colOff>649925</xdr:colOff>
      <xdr:row>4</xdr:row>
      <xdr:rowOff>173313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2030" y="48581"/>
          <a:ext cx="3120595" cy="87149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a="http://schemas.openxmlformats.org/drawingml/2006/main" xmlns:xdr="http://schemas.openxmlformats.org/drawingml/2006/spreadsheetDrawing">
  <xdr:twoCellAnchor editAs="oneCell">
    <xdr:from>
      <xdr:col>5</xdr:col>
      <xdr:colOff>205855</xdr:colOff>
      <xdr:row>0</xdr:row>
      <xdr:rowOff>48581</xdr:rowOff>
    </xdr:from>
    <xdr:to>
      <xdr:col>7</xdr:col>
      <xdr:colOff>743270</xdr:colOff>
      <xdr:row>4</xdr:row>
      <xdr:rowOff>173313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3855" y="48581"/>
          <a:ext cx="3120595" cy="87149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a="http://schemas.openxmlformats.org/drawingml/2006/main" xmlns:xdr="http://schemas.openxmlformats.org/drawingml/2006/spreadsheetDrawing">
  <xdr:twoCellAnchor editAs="oneCell">
    <xdr:from>
      <xdr:col>5</xdr:col>
      <xdr:colOff>572568</xdr:colOff>
      <xdr:row>0</xdr:row>
      <xdr:rowOff>48581</xdr:rowOff>
    </xdr:from>
    <xdr:to>
      <xdr:col>10</xdr:col>
      <xdr:colOff>35563</xdr:colOff>
      <xdr:row>4</xdr:row>
      <xdr:rowOff>169503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3918" y="48581"/>
          <a:ext cx="3120595" cy="87149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a="http://schemas.openxmlformats.org/drawingml/2006/main" xmlns:xdr="http://schemas.openxmlformats.org/drawingml/2006/spreadsheetDrawing">
  <xdr:twoCellAnchor editAs="oneCell">
    <xdr:from>
      <xdr:col>3</xdr:col>
      <xdr:colOff>20118</xdr:colOff>
      <xdr:row>0</xdr:row>
      <xdr:rowOff>48581</xdr:rowOff>
    </xdr:from>
    <xdr:to>
      <xdr:col>6</xdr:col>
      <xdr:colOff>854713</xdr:colOff>
      <xdr:row>4</xdr:row>
      <xdr:rowOff>173313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8168" y="48581"/>
          <a:ext cx="3120595" cy="87149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a="http://schemas.openxmlformats.org/drawingml/2006/main" xmlns:xdr="http://schemas.openxmlformats.org/drawingml/2006/spreadsheetDrawing">
  <xdr:twoCellAnchor editAs="oneCell">
    <xdr:from>
      <xdr:col>2</xdr:col>
      <xdr:colOff>3448853</xdr:colOff>
      <xdr:row>0</xdr:row>
      <xdr:rowOff>48581</xdr:rowOff>
    </xdr:from>
    <xdr:to>
      <xdr:col>6</xdr:col>
      <xdr:colOff>92448</xdr:colOff>
      <xdr:row>4</xdr:row>
      <xdr:rowOff>173313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0853" y="48581"/>
          <a:ext cx="3120595" cy="871492"/>
        </a:xfrm>
        <a:prstGeom prst="rect">
          <a:avLst/>
        </a:prstGeom>
      </xdr:spPr>
    </xdr:pic>
    <xdr:clientData/>
  </xdr:twoCellAnchor>
  <xdr:twoCellAnchor>
    <xdr:from>
      <xdr:col>3</xdr:col>
      <xdr:colOff>133350</xdr:colOff>
      <xdr:row>49</xdr:row>
      <xdr:rowOff>128588</xdr:rowOff>
    </xdr:from>
    <xdr:to>
      <xdr:col>6</xdr:col>
      <xdr:colOff>0</xdr:colOff>
      <xdr:row>61</xdr:row>
      <xdr:rowOff>28576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190500</xdr:colOff>
      <xdr:row>49</xdr:row>
      <xdr:rowOff>123825</xdr:rowOff>
    </xdr:from>
    <xdr:to>
      <xdr:col>8</xdr:col>
      <xdr:colOff>704850</xdr:colOff>
      <xdr:row>61</xdr:row>
      <xdr:rowOff>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76</xdr:row>
      <xdr:rowOff>133351</xdr:rowOff>
    </xdr:from>
    <xdr:to>
      <xdr:col>6</xdr:col>
      <xdr:colOff>0</xdr:colOff>
      <xdr:row>87</xdr:row>
      <xdr:rowOff>104776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190500</xdr:colOff>
      <xdr:row>76</xdr:row>
      <xdr:rowOff>142876</xdr:rowOff>
    </xdr:from>
    <xdr:to>
      <xdr:col>9</xdr:col>
      <xdr:colOff>9526</xdr:colOff>
      <xdr:row>87</xdr:row>
      <xdr:rowOff>114300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9525</xdr:colOff>
      <xdr:row>25</xdr:row>
      <xdr:rowOff>171452</xdr:rowOff>
    </xdr:from>
    <xdr:to>
      <xdr:col>6</xdr:col>
      <xdr:colOff>0</xdr:colOff>
      <xdr:row>34</xdr:row>
      <xdr:rowOff>142875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0</xdr:colOff>
      <xdr:row>25</xdr:row>
      <xdr:rowOff>180976</xdr:rowOff>
    </xdr:from>
    <xdr:to>
      <xdr:col>9</xdr:col>
      <xdr:colOff>38100</xdr:colOff>
      <xdr:row>34</xdr:row>
      <xdr:rowOff>133350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drawings/drawing1.xml" Type="http://schemas.openxmlformats.org/officeDocument/2006/relationships/drawing"/>
<Relationship Id="rId2" Target="../drawings/vmlDrawing1.vml" Type="http://schemas.openxmlformats.org/officeDocument/2006/relationships/vmlDrawing"/>
<Relationship Id="rId3" Target="../activeX/activeX1.xml" Type="http://schemas.openxmlformats.org/officeDocument/2006/relationships/control"/>
<Relationship Id="rId4" Target="../media/image1.emf" Type="http://schemas.openxmlformats.org/officeDocument/2006/relationships/image"/>
</Relationships>

</file>

<file path=xl/worksheets/_rels/sheet10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9.xml" Type="http://schemas.openxmlformats.org/officeDocument/2006/relationships/drawing"/>
</Relationships>

</file>

<file path=xl/worksheets/_rels/sheet11.xml.rels><?xml version="1.0" encoding="UTF-8" standalone="no"?>
<Relationships xmlns="http://schemas.openxmlformats.org/package/2006/relationships">
<Relationship Id="rId1" Target="../drawings/drawing10.xml" Type="http://schemas.openxmlformats.org/officeDocument/2006/relationships/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Relationship Id="rId4" Target="../activeX/activeX2.xml" Type="http://schemas.openxmlformats.org/officeDocument/2006/relationships/control"/>
<Relationship Id="rId5" Target="../media/image2.emf" Type="http://schemas.openxmlformats.org/officeDocument/2006/relationships/image"/>
<Relationship Id="rId6" Target="../activeX/activeX3.xml" Type="http://schemas.openxmlformats.org/officeDocument/2006/relationships/control"/>
<Relationship Id="rId7" Target="../media/image3.emf" Type="http://schemas.openxmlformats.org/officeDocument/2006/relationships/image"/>
<Relationship Id="rId8" Target="../activeX/activeX4.xml" Type="http://schemas.openxmlformats.org/officeDocument/2006/relationships/control"/>
<Relationship Id="rId9" Target="../media/image4.emf" Type="http://schemas.openxmlformats.org/officeDocument/2006/relationships/image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3.xml" Type="http://schemas.openxmlformats.org/officeDocument/2006/relationships/drawing"/>
</Relationships>

</file>

<file path=xl/worksheets/_rels/sheet5.xml.rels><?xml version="1.0" encoding="UTF-8" standalone="no"?>
<Relationships xmlns="http://schemas.openxmlformats.org/package/2006/relationships">
<Relationship Id="rId1" Target="../drawings/drawing4.xml" Type="http://schemas.openxmlformats.org/officeDocument/2006/relationships/drawing"/>
</Relationships>

</file>

<file path=xl/worksheets/_rels/sheet6.xml.rels><?xml version="1.0" encoding="UTF-8" standalone="no"?>
<Relationships xmlns="http://schemas.openxmlformats.org/package/2006/relationships">
<Relationship Id="rId1" Target="../drawings/drawing5.xml" Type="http://schemas.openxmlformats.org/officeDocument/2006/relationships/drawing"/>
</Relationships>

</file>

<file path=xl/worksheets/_rels/sheet7.xml.rels><?xml version="1.0" encoding="UTF-8" standalone="no"?>
<Relationships xmlns="http://schemas.openxmlformats.org/package/2006/relationships">
<Relationship Id="rId1" Target="../drawings/drawing6.xml" Type="http://schemas.openxmlformats.org/officeDocument/2006/relationships/drawing"/>
</Relationships>

</file>

<file path=xl/worksheets/_rels/sheet8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7.xml" Type="http://schemas.openxmlformats.org/officeDocument/2006/relationships/drawing"/>
</Relationships>

</file>

<file path=xl/worksheets/_rels/sheet9.xml.rels><?xml version="1.0" encoding="UTF-8" standalone="no"?>
<Relationships xmlns="http://schemas.openxmlformats.org/package/2006/relationships">
<Relationship Id="rId1" Target="../drawings/drawing8.xml" Type="http://schemas.openxmlformats.org/officeDocument/2006/relationships/drawing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H6"/>
  <sheetViews>
    <sheetView workbookViewId="0">
      <selection activeCell="F2" sqref="F2:F3"/>
    </sheetView>
  </sheetViews>
  <sheetFormatPr baseColWidth="10" defaultColWidth="9.109375" defaultRowHeight="14.4" x14ac:dyDescent="0.3"/>
  <cols>
    <col min="1" max="1" bestFit="true" customWidth="true" width="99.109375" collapsed="true"/>
    <col min="2" max="2" customWidth="true" width="8.44140625" collapsed="true"/>
    <col min="3" max="3" customWidth="true" width="3.6640625" collapsed="true"/>
    <col min="4" max="4" bestFit="true" customWidth="true" width="2.44140625" collapsed="true"/>
    <col min="6" max="6" customWidth="true" width="24.109375" collapsed="true"/>
  </cols>
  <sheetData>
    <row r="1" spans="1:8" x14ac:dyDescent="0.3">
      <c r="A1" s="1" t="s">
        <v>0</v>
      </c>
      <c r="C1" s="1" t="s">
        <v>6</v>
      </c>
      <c r="F1" s="1" t="s">
        <v>101</v>
      </c>
      <c r="H1" s="1" t="s">
        <v>276</v>
      </c>
    </row>
    <row r="2" spans="1:8" x14ac:dyDescent="0.3">
      <c r="A2" t="s">
        <v>114</v>
      </c>
      <c r="B2" t="s">
        <v>10</v>
      </c>
      <c r="C2" t="s">
        <v>111</v>
      </c>
      <c r="D2" t="s">
        <v>8</v>
      </c>
      <c r="F2" t="s">
        <v>277</v>
      </c>
    </row>
    <row r="3" spans="1:8" x14ac:dyDescent="0.3">
      <c r="A3" t="s">
        <v>115</v>
      </c>
      <c r="B3" t="s">
        <v>11</v>
      </c>
      <c r="C3" t="s">
        <v>112</v>
      </c>
      <c r="D3" t="s">
        <v>9</v>
      </c>
      <c r="F3" t="s">
        <v>113</v>
      </c>
    </row>
    <row r="4" spans="1:8" x14ac:dyDescent="0.3">
      <c r="A4" t="s">
        <v>116</v>
      </c>
      <c r="B4" t="s">
        <v>12</v>
      </c>
    </row>
    <row r="5" spans="1:8" x14ac:dyDescent="0.3">
      <c r="A5" t="s">
        <v>117</v>
      </c>
      <c r="B5" t="s">
        <v>13</v>
      </c>
    </row>
    <row r="6" spans="1:8" x14ac:dyDescent="0.3">
      <c r="A6" t="s">
        <v>118</v>
      </c>
      <c r="B6" t="s">
        <v>14</v>
      </c>
    </row>
  </sheetData>
  <sheetProtection selectLockedCells="1" selectUnlockedCells="1"/>
  <pageMargins bottom="0.75" footer="0.3" header="0.3" left="0.7" right="0.7" top="0.75"/>
  <drawing r:id="rId1"/>
  <legacyDrawing r:id="rId2"/>
  <controls>
    <mc:AlternateContent>
      <mc:Choice Requires="x14">
        <control name="EDITABLE" r:id="rId3" shapeId="21505">
          <controlPr autoLine="0" defaultSize="0" r:id="rId4">
            <anchor moveWithCells="1">
              <from>
                <xdr:col>7</xdr:col>
                <xdr:colOff>114300</xdr:colOff>
                <xdr:row>1</xdr:row>
                <xdr:rowOff>83820</xdr:rowOff>
              </from>
              <to>
                <xdr:col>7</xdr:col>
                <xdr:colOff>457200</xdr:colOff>
                <xdr:row>2</xdr:row>
                <xdr:rowOff>160020</xdr:rowOff>
              </to>
            </anchor>
          </controlPr>
        </control>
      </mc:Choice>
      <mc:Fallback>
        <control name="EDITABLE" r:id="rId3" shapeId="21505"/>
      </mc:Fallback>
    </mc:AlternateContent>
  </controls>
</worksheet>
</file>

<file path=xl/worksheets/sheet10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U128"/>
  <sheetViews>
    <sheetView tabSelected="1" topLeftCell="A67" workbookViewId="0">
      <selection activeCell="J97" sqref="J97"/>
    </sheetView>
  </sheetViews>
  <sheetFormatPr baseColWidth="10" defaultColWidth="11.44140625" defaultRowHeight="14.4" x14ac:dyDescent="0.3"/>
  <cols>
    <col min="1" max="2" customWidth="true" width="5.6640625" collapsed="true"/>
    <col min="3" max="3" customWidth="true" width="63.5546875" collapsed="true"/>
    <col min="4" max="4" bestFit="true" customWidth="true" width="2.33203125" collapsed="true"/>
    <col min="5" max="5" customWidth="true" style="47" width="20.6640625" collapsed="true"/>
    <col min="6" max="6" customWidth="true" style="47" width="10.6640625" collapsed="true"/>
    <col min="7" max="7" customWidth="true" style="79" width="3.109375" collapsed="true"/>
    <col min="8" max="8" customWidth="true" style="47" width="20.6640625" collapsed="true"/>
    <col min="9" max="9" customWidth="true" style="47" width="10.6640625" collapsed="true"/>
    <col min="10" max="10" customWidth="true" width="1.6640625" collapsed="true"/>
    <col min="11" max="13" customWidth="true" width="2.5546875" collapsed="true"/>
    <col min="14" max="14" bestFit="true" customWidth="true" width="2.33203125" collapsed="true"/>
    <col min="15" max="15" customWidth="true" width="1.33203125" collapsed="true"/>
    <col min="16" max="16" customWidth="true" width="1.6640625" collapsed="true"/>
    <col min="17" max="17" customWidth="true" width="2.33203125" collapsed="true"/>
    <col min="18" max="18" customWidth="true" width="1.33203125" collapsed="true"/>
    <col min="19" max="19" customWidth="true" width="5.6640625" collapsed="true"/>
    <col min="21" max="21" customWidth="true" width="120.0" collapsed="true"/>
  </cols>
  <sheetData>
    <row r="1" spans="1:21" x14ac:dyDescent="0.3">
      <c r="A1" s="2"/>
      <c r="B1" s="2"/>
      <c r="C1" s="2"/>
      <c r="D1" s="2"/>
      <c r="E1" s="48"/>
      <c r="F1" s="48"/>
      <c r="G1" s="27"/>
      <c r="H1" s="48"/>
      <c r="I1" s="48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3">
      <c r="A2" s="2"/>
      <c r="B2" s="2"/>
      <c r="C2" s="2"/>
      <c r="D2" s="2"/>
      <c r="E2" s="48"/>
      <c r="F2" s="48"/>
      <c r="G2" s="27"/>
      <c r="H2" s="48"/>
      <c r="I2" s="4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3">
      <c r="A3" s="2"/>
      <c r="B3" s="2"/>
      <c r="C3" s="2"/>
      <c r="D3" s="2"/>
      <c r="E3" s="48"/>
      <c r="F3" s="48"/>
      <c r="G3" s="27"/>
      <c r="H3" s="48"/>
      <c r="I3" s="4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3">
      <c r="A4" s="2"/>
      <c r="B4" s="2"/>
      <c r="C4" s="2"/>
      <c r="D4" s="2"/>
      <c r="E4" s="48"/>
      <c r="F4" s="48"/>
      <c r="G4" s="27"/>
      <c r="H4" s="48"/>
      <c r="I4" s="48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x14ac:dyDescent="0.3">
      <c r="A5" s="2"/>
      <c r="B5" s="2"/>
      <c r="C5" s="2"/>
      <c r="D5" s="2"/>
      <c r="E5" s="48"/>
      <c r="F5" s="48"/>
      <c r="G5" s="27"/>
      <c r="H5" s="48"/>
      <c r="I5" s="48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ht="23.4" r="6" spans="1:21" x14ac:dyDescent="0.45">
      <c r="A6" s="2"/>
      <c r="B6" s="2"/>
      <c r="C6" s="3" t="s">
        <v>133</v>
      </c>
      <c r="D6" s="3"/>
      <c r="E6" s="48"/>
      <c r="F6" s="48"/>
      <c r="G6" s="27"/>
      <c r="H6" s="48"/>
      <c r="I6" s="48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customHeight="1" ht="9" r="7" spans="1:21" x14ac:dyDescent="0.3">
      <c r="A7" s="2"/>
      <c r="B7" s="2"/>
      <c r="C7" s="2"/>
      <c r="D7" s="2"/>
      <c r="E7" s="48"/>
      <c r="F7" s="48"/>
      <c r="G7" s="27"/>
      <c r="H7" s="48"/>
      <c r="I7" s="48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x14ac:dyDescent="0.3">
      <c r="A8" s="2"/>
      <c r="B8" s="17"/>
      <c r="C8" s="5"/>
      <c r="D8" s="5"/>
      <c r="E8" s="49"/>
      <c r="F8" s="49"/>
      <c r="G8" s="75"/>
      <c r="H8" s="49"/>
      <c r="I8" s="49"/>
      <c r="J8" s="5"/>
      <c r="K8" s="5"/>
      <c r="L8" s="5"/>
      <c r="M8" s="5"/>
      <c r="N8" s="5"/>
      <c r="O8" s="5"/>
      <c r="P8" s="5"/>
      <c r="Q8" s="5"/>
      <c r="R8" s="18"/>
      <c r="S8" s="2"/>
      <c r="T8" s="2"/>
      <c r="U8" s="2"/>
    </row>
    <row customHeight="1" ht="20.100000000000001" r="9" spans="1:21" x14ac:dyDescent="0.3">
      <c r="A9" s="2"/>
      <c r="B9" s="19"/>
      <c r="C9" s="8" t="s">
        <v>134</v>
      </c>
      <c r="D9" s="8"/>
      <c r="E9" s="97" t="s">
        <v>273</v>
      </c>
      <c r="F9" s="97"/>
      <c r="G9" s="76"/>
      <c r="H9" s="90" t="s">
        <v>287</v>
      </c>
      <c r="I9" s="93" t="str">
        <f>DE!$AJ$2</f>
        <v>08/01/2024</v>
      </c>
      <c r="J9" s="27"/>
      <c r="K9" s="27"/>
      <c r="L9" s="27"/>
      <c r="M9" s="27"/>
      <c r="N9" s="2"/>
      <c r="O9" s="2"/>
      <c r="P9" s="2"/>
      <c r="Q9" s="2"/>
      <c r="R9" s="20"/>
      <c r="S9" s="2"/>
      <c r="T9" s="2"/>
      <c r="U9" s="2"/>
    </row>
    <row r="10" spans="1:21" x14ac:dyDescent="0.3">
      <c r="A10" s="2"/>
      <c r="B10" s="19"/>
      <c r="C10" s="2"/>
      <c r="D10" s="2"/>
      <c r="E10" s="66" t="s">
        <v>274</v>
      </c>
      <c r="F10" s="66" t="s">
        <v>4</v>
      </c>
      <c r="G10" s="27"/>
      <c r="H10" s="66" t="s">
        <v>274</v>
      </c>
      <c r="I10" s="66" t="s">
        <v>4</v>
      </c>
      <c r="J10" s="27"/>
      <c r="K10" s="27"/>
      <c r="L10" s="27"/>
      <c r="M10" s="27"/>
      <c r="N10" s="2"/>
      <c r="O10" s="2"/>
      <c r="P10" s="2"/>
      <c r="Q10" s="2"/>
      <c r="R10" s="20"/>
      <c r="S10" s="2"/>
      <c r="T10" s="2"/>
      <c r="U10" s="2"/>
    </row>
    <row r="11" spans="1:21" x14ac:dyDescent="0.3">
      <c r="A11" s="2"/>
      <c r="B11" s="19"/>
      <c r="C11" s="39" t="s">
        <v>135</v>
      </c>
      <c r="D11" s="2"/>
      <c r="E11" s="70">
        <f>E12+E21</f>
        <v>0</v>
      </c>
      <c r="F11" s="70">
        <v>100</v>
      </c>
      <c r="G11" s="27"/>
      <c r="H11" s="74">
        <f>H12+H21</f>
        <v>0</v>
      </c>
      <c r="I11" s="74">
        <v>100</v>
      </c>
      <c r="J11" s="69"/>
      <c r="K11" s="69"/>
      <c r="L11" s="69"/>
      <c r="M11" s="69"/>
      <c r="N11" s="69"/>
      <c r="O11" s="69"/>
      <c r="P11" s="69"/>
      <c r="Q11" s="69"/>
      <c r="R11" s="20"/>
      <c r="S11" s="2"/>
      <c r="T11" s="2"/>
      <c r="U11" s="2"/>
    </row>
    <row r="12" spans="1:21" x14ac:dyDescent="0.3">
      <c r="A12" s="2"/>
      <c r="B12" s="19"/>
      <c r="C12" s="40" t="s">
        <v>136</v>
      </c>
      <c r="D12" s="2"/>
      <c r="E12" s="71">
        <f>IFERROR(SUM(E13:E20),0)</f>
        <v>0</v>
      </c>
      <c r="F12" s="71">
        <f>IFERROR(E12*F11/E11,0)</f>
        <v>0</v>
      </c>
      <c r="G12" s="27"/>
      <c r="H12" s="73">
        <f>IFERROR(SUM(H13:H20),0)</f>
        <v>0</v>
      </c>
      <c r="I12" s="73">
        <f>IFERROR(H12*I11/H11,0)</f>
        <v>0</v>
      </c>
      <c r="J12" s="69"/>
      <c r="K12" s="69"/>
      <c r="L12" s="69"/>
      <c r="M12" s="69"/>
      <c r="N12" s="69"/>
      <c r="O12" s="69"/>
      <c r="P12" s="69"/>
      <c r="Q12" s="69"/>
      <c r="R12" s="20"/>
      <c r="S12" s="2"/>
      <c r="T12" s="2"/>
      <c r="U12" s="2"/>
    </row>
    <row r="13" spans="1:21" x14ac:dyDescent="0.3">
      <c r="A13" s="2"/>
      <c r="B13" s="19"/>
      <c r="C13" s="2" t="s">
        <v>137</v>
      </c>
      <c r="D13" s="11" t="s">
        <v>18</v>
      </c>
      <c r="E13" s="72">
        <f>'Erosketa kostuak'!J13+'Erosketa kostuak'!J31+'Erosketa kostuak'!J49</f>
        <v>0</v>
      </c>
      <c r="F13" s="72">
        <f ref="F13:F20" si="0" t="shared">IFERROR(E13*F$11/E$11,0)</f>
        <v>0</v>
      </c>
      <c r="G13" s="77" t="s">
        <v>18</v>
      </c>
      <c r="H13" s="28" t="e">
        <f>'Erosketa kostuak'!L13+'Erosketa kostuak'!L31+'Erosketa kostuak'!L49</f>
        <v>#VALUE!</v>
      </c>
      <c r="I13" s="28">
        <f ref="I13:I20" si="1" t="shared">IFERROR(H13*I$11/H$11,0)</f>
        <v>0</v>
      </c>
      <c r="J13" s="69"/>
      <c r="K13" s="32" t="s">
        <v>18</v>
      </c>
      <c r="L13" s="43">
        <f ref="L13:M20" si="2" t="shared">E13</f>
        <v>0</v>
      </c>
      <c r="M13" s="42">
        <f si="2" t="shared"/>
        <v>0</v>
      </c>
      <c r="N13" s="32" t="s">
        <v>18</v>
      </c>
      <c r="O13" s="32" t="e">
        <f ref="O13:P20" si="3" t="shared">H13</f>
        <v>#VALUE!</v>
      </c>
      <c r="P13" s="42">
        <f si="3" t="shared"/>
        <v>0</v>
      </c>
      <c r="Q13" s="69"/>
      <c r="R13" s="20"/>
      <c r="S13" s="2"/>
      <c r="T13" s="2"/>
      <c r="U13" s="44"/>
    </row>
    <row r="14" spans="1:21" x14ac:dyDescent="0.3">
      <c r="A14" s="2"/>
      <c r="B14" s="19"/>
      <c r="C14" s="2" t="s">
        <v>138</v>
      </c>
      <c r="D14" s="11" t="s">
        <v>19</v>
      </c>
      <c r="E14" s="72">
        <f>'Erosketa kostuak'!J23+'Erosketa kostuak'!J41+'Erosketa kostuak'!J59</f>
        <v>0</v>
      </c>
      <c r="F14" s="72">
        <f si="0" t="shared"/>
        <v>0</v>
      </c>
      <c r="G14" s="77" t="s">
        <v>19</v>
      </c>
      <c r="H14" s="28">
        <f>'Erosketa kostuak'!L23+'Erosketa kostuak'!L41+'Erosketa kostuak'!L59</f>
        <v>0</v>
      </c>
      <c r="I14" s="28">
        <f si="1" t="shared"/>
        <v>0</v>
      </c>
      <c r="J14" s="69"/>
      <c r="K14" s="32" t="s">
        <v>19</v>
      </c>
      <c r="L14" s="43">
        <f si="2" t="shared"/>
        <v>0</v>
      </c>
      <c r="M14" s="42">
        <f si="2" t="shared"/>
        <v>0</v>
      </c>
      <c r="N14" s="32" t="s">
        <v>19</v>
      </c>
      <c r="O14" s="32">
        <f si="3" t="shared"/>
        <v>0</v>
      </c>
      <c r="P14" s="42">
        <f si="3" t="shared"/>
        <v>0</v>
      </c>
      <c r="Q14" s="69"/>
      <c r="R14" s="20"/>
      <c r="S14" s="2"/>
      <c r="T14" s="2"/>
      <c r="U14" s="2"/>
    </row>
    <row r="15" spans="1:21" x14ac:dyDescent="0.3">
      <c r="A15" s="2"/>
      <c r="B15" s="19"/>
      <c r="C15" s="2" t="s">
        <v>139</v>
      </c>
      <c r="D15" s="11" t="s">
        <v>20</v>
      </c>
      <c r="E15" s="72">
        <f>'Erosketa kostuak'!J25+'Erosketa kostuak'!J43+'Erosketa kostuak'!J61</f>
        <v>0</v>
      </c>
      <c r="F15" s="72">
        <f si="0" t="shared"/>
        <v>0</v>
      </c>
      <c r="G15" s="77" t="s">
        <v>20</v>
      </c>
      <c r="H15" s="28">
        <f>'Erosketa kostuak'!L25+'Erosketa kostuak'!L43+'Erosketa kostuak'!L61</f>
        <v>0</v>
      </c>
      <c r="I15" s="28">
        <f si="1" t="shared"/>
        <v>0</v>
      </c>
      <c r="J15" s="69"/>
      <c r="K15" s="32" t="s">
        <v>20</v>
      </c>
      <c r="L15" s="43">
        <f si="2" t="shared"/>
        <v>0</v>
      </c>
      <c r="M15" s="42">
        <f si="2" t="shared"/>
        <v>0</v>
      </c>
      <c r="N15" s="32" t="s">
        <v>20</v>
      </c>
      <c r="O15" s="32">
        <f si="3" t="shared"/>
        <v>0</v>
      </c>
      <c r="P15" s="42">
        <f si="3" t="shared"/>
        <v>0</v>
      </c>
      <c r="Q15" s="69"/>
      <c r="R15" s="20"/>
      <c r="S15" s="2"/>
      <c r="T15" s="2"/>
      <c r="U15" s="2"/>
    </row>
    <row r="16" spans="1:21" x14ac:dyDescent="0.3">
      <c r="A16" s="2"/>
      <c r="B16" s="19"/>
      <c r="C16" s="2" t="s">
        <v>140</v>
      </c>
      <c r="D16" s="11" t="s">
        <v>21</v>
      </c>
      <c r="E16" s="72">
        <f>'Ibilgailuan doazen langileen ko'!H11</f>
        <v>0</v>
      </c>
      <c r="F16" s="72">
        <f si="0" t="shared"/>
        <v>0</v>
      </c>
      <c r="G16" s="77" t="s">
        <v>21</v>
      </c>
      <c r="H16" s="28" t="str">
        <f>'Ibilgailuan doazen langileen ko'!J11</f>
        <v/>
      </c>
      <c r="I16" s="28">
        <f si="1" t="shared"/>
        <v>0</v>
      </c>
      <c r="J16" s="69"/>
      <c r="K16" s="32" t="s">
        <v>21</v>
      </c>
      <c r="L16" s="43">
        <f si="2" t="shared"/>
        <v>0</v>
      </c>
      <c r="M16" s="42">
        <f si="2" t="shared"/>
        <v>0</v>
      </c>
      <c r="N16" s="32" t="s">
        <v>21</v>
      </c>
      <c r="O16" s="32" t="str">
        <f si="3" t="shared"/>
        <v/>
      </c>
      <c r="P16" s="42">
        <f si="3" t="shared"/>
        <v>0</v>
      </c>
      <c r="Q16" s="69"/>
      <c r="R16" s="20"/>
      <c r="S16" s="2"/>
      <c r="T16" s="2"/>
      <c r="U16" s="2"/>
    </row>
    <row r="17" spans="1:21" x14ac:dyDescent="0.3">
      <c r="A17" s="2"/>
      <c r="B17" s="19"/>
      <c r="C17" s="2" t="s">
        <v>141</v>
      </c>
      <c r="D17" s="11" t="s">
        <v>103</v>
      </c>
      <c r="E17" s="72">
        <f>'Ibilgailuan doazen langileen ko'!H13+'Ibilgailuan doazen langileen ko'!H25+'Ibilgailuan doazen langileen ko'!H37</f>
        <v>0</v>
      </c>
      <c r="F17" s="72">
        <f si="0" t="shared"/>
        <v>0</v>
      </c>
      <c r="G17" s="77" t="s">
        <v>103</v>
      </c>
      <c r="H17" s="28" t="e">
        <f>'Ibilgailuan doazen langileen ko'!J13+'Ibilgailuan doazen langileen ko'!J25+'Ibilgailuan doazen langileen ko'!J37</f>
        <v>#VALUE!</v>
      </c>
      <c r="I17" s="28">
        <f si="1" t="shared"/>
        <v>0</v>
      </c>
      <c r="J17" s="69"/>
      <c r="K17" s="32" t="s">
        <v>103</v>
      </c>
      <c r="L17" s="43">
        <f si="2" t="shared"/>
        <v>0</v>
      </c>
      <c r="M17" s="42">
        <f si="2" t="shared"/>
        <v>0</v>
      </c>
      <c r="N17" s="32" t="s">
        <v>103</v>
      </c>
      <c r="O17" s="32" t="e">
        <f si="3" t="shared"/>
        <v>#VALUE!</v>
      </c>
      <c r="P17" s="42">
        <f si="3" t="shared"/>
        <v>0</v>
      </c>
      <c r="Q17" s="69"/>
      <c r="R17" s="20"/>
      <c r="S17" s="2"/>
      <c r="T17" s="2"/>
      <c r="U17" s="2"/>
    </row>
    <row r="18" spans="1:21" x14ac:dyDescent="0.3">
      <c r="A18" s="2"/>
      <c r="B18" s="19"/>
      <c r="C18" s="2" t="s">
        <v>142</v>
      </c>
      <c r="D18" s="11" t="s">
        <v>104</v>
      </c>
      <c r="E18" s="72">
        <f>'Aseguruak esta zerga arloko kos'!H27</f>
        <v>0</v>
      </c>
      <c r="F18" s="72">
        <f si="0" t="shared"/>
        <v>0</v>
      </c>
      <c r="G18" s="77" t="s">
        <v>104</v>
      </c>
      <c r="H18" s="28">
        <f>'Aseguruak esta zerga arloko kos'!J27</f>
        <v>0</v>
      </c>
      <c r="I18" s="28">
        <f si="1" t="shared"/>
        <v>0</v>
      </c>
      <c r="J18" s="69"/>
      <c r="K18" s="32" t="s">
        <v>104</v>
      </c>
      <c r="L18" s="43">
        <f si="2" t="shared"/>
        <v>0</v>
      </c>
      <c r="M18" s="42">
        <f si="2" t="shared"/>
        <v>0</v>
      </c>
      <c r="N18" s="32" t="s">
        <v>104</v>
      </c>
      <c r="O18" s="32">
        <f si="3" t="shared"/>
        <v>0</v>
      </c>
      <c r="P18" s="42">
        <f si="3" t="shared"/>
        <v>0</v>
      </c>
      <c r="Q18" s="69"/>
      <c r="R18" s="20"/>
      <c r="S18" s="2"/>
      <c r="T18" s="2"/>
      <c r="U18" s="2"/>
    </row>
    <row r="19" spans="1:21" x14ac:dyDescent="0.3">
      <c r="A19" s="2"/>
      <c r="B19" s="19"/>
      <c r="C19" s="2" t="s">
        <v>143</v>
      </c>
      <c r="D19" s="11" t="s">
        <v>105</v>
      </c>
      <c r="E19" s="72">
        <f>'Aseguruak esta zerga arloko kos'!H45</f>
        <v>0</v>
      </c>
      <c r="F19" s="72">
        <f si="0" t="shared"/>
        <v>0</v>
      </c>
      <c r="G19" s="77" t="s">
        <v>105</v>
      </c>
      <c r="H19" s="28">
        <f>'Aseguruak esta zerga arloko kos'!J45</f>
        <v>0</v>
      </c>
      <c r="I19" s="28">
        <f si="1" t="shared"/>
        <v>0</v>
      </c>
      <c r="J19" s="69"/>
      <c r="K19" s="32" t="s">
        <v>105</v>
      </c>
      <c r="L19" s="43">
        <f si="2" t="shared"/>
        <v>0</v>
      </c>
      <c r="M19" s="42">
        <f si="2" t="shared"/>
        <v>0</v>
      </c>
      <c r="N19" s="32" t="s">
        <v>105</v>
      </c>
      <c r="O19" s="32">
        <f si="3" t="shared"/>
        <v>0</v>
      </c>
      <c r="P19" s="42">
        <f si="3" t="shared"/>
        <v>0</v>
      </c>
      <c r="Q19" s="69"/>
      <c r="R19" s="20"/>
      <c r="S19" s="2"/>
      <c r="T19" s="2"/>
      <c r="U19" s="2"/>
    </row>
    <row r="20" spans="1:21" x14ac:dyDescent="0.3">
      <c r="A20" s="2"/>
      <c r="B20" s="19"/>
      <c r="C20" s="2" t="s">
        <v>144</v>
      </c>
      <c r="D20" s="11" t="s">
        <v>106</v>
      </c>
      <c r="E20" s="72">
        <f>'Zeharkako kostuak'!H13</f>
        <v>0</v>
      </c>
      <c r="F20" s="72">
        <f si="0" t="shared"/>
        <v>0</v>
      </c>
      <c r="G20" s="77" t="s">
        <v>106</v>
      </c>
      <c r="H20" s="28">
        <f>'Zeharkako kostuak'!J13</f>
        <v>0</v>
      </c>
      <c r="I20" s="28">
        <f si="1" t="shared"/>
        <v>0</v>
      </c>
      <c r="J20" s="69"/>
      <c r="K20" s="32" t="s">
        <v>106</v>
      </c>
      <c r="L20" s="43">
        <f si="2" t="shared"/>
        <v>0</v>
      </c>
      <c r="M20" s="42">
        <f si="2" t="shared"/>
        <v>0</v>
      </c>
      <c r="N20" s="32" t="s">
        <v>106</v>
      </c>
      <c r="O20" s="32">
        <f si="3" t="shared"/>
        <v>0</v>
      </c>
      <c r="P20" s="42">
        <f si="3" t="shared"/>
        <v>0</v>
      </c>
      <c r="Q20" s="69"/>
      <c r="R20" s="20"/>
      <c r="S20" s="2"/>
      <c r="T20" s="2"/>
      <c r="U20" s="2"/>
    </row>
    <row r="21" spans="1:21" x14ac:dyDescent="0.3">
      <c r="A21" s="2"/>
      <c r="B21" s="19"/>
      <c r="C21" s="41" t="s">
        <v>145</v>
      </c>
      <c r="D21" s="11"/>
      <c r="E21" s="71">
        <f>IFERROR(SUM(E22:E25),0)</f>
        <v>0</v>
      </c>
      <c r="F21" s="71">
        <f>IFERROR(E21*F20/E20,0)</f>
        <v>0</v>
      </c>
      <c r="G21" s="77"/>
      <c r="H21" s="73">
        <f>IFERROR(SUM(H22:H25),0)</f>
        <v>0</v>
      </c>
      <c r="I21" s="73">
        <f>IFERROR(H21*I20/H20,0)</f>
        <v>0</v>
      </c>
      <c r="J21" s="69"/>
      <c r="K21" s="32" t="s">
        <v>107</v>
      </c>
      <c r="L21" s="43">
        <f ref="L21:M24" si="4" t="shared">E22</f>
        <v>0</v>
      </c>
      <c r="M21" s="42">
        <f si="4" t="shared"/>
        <v>0</v>
      </c>
      <c r="N21" s="32" t="s">
        <v>107</v>
      </c>
      <c r="O21" s="32">
        <f ref="O21:P24" si="5" t="shared">H22</f>
        <v>0</v>
      </c>
      <c r="P21" s="42">
        <f si="5" t="shared"/>
        <v>0</v>
      </c>
      <c r="Q21" s="69"/>
      <c r="R21" s="20"/>
      <c r="S21" s="2"/>
      <c r="T21" s="2"/>
      <c r="U21" s="2"/>
    </row>
    <row r="22" spans="1:21" x14ac:dyDescent="0.3">
      <c r="A22" s="2"/>
      <c r="B22" s="19"/>
      <c r="C22" s="2" t="s">
        <v>146</v>
      </c>
      <c r="D22" s="11" t="s">
        <v>107</v>
      </c>
      <c r="E22" s="72">
        <f>'Kostu aldakorrak'!J19</f>
        <v>0</v>
      </c>
      <c r="F22" s="72">
        <f>IFERROR(E22*F$11/E$11,0)</f>
        <v>0</v>
      </c>
      <c r="G22" s="77" t="s">
        <v>107</v>
      </c>
      <c r="H22" s="28">
        <f>'Kostu aldakorrak'!L19</f>
        <v>0</v>
      </c>
      <c r="I22" s="28">
        <f>IFERROR(H22*I$11/H$11,0)</f>
        <v>0</v>
      </c>
      <c r="J22" s="69"/>
      <c r="K22" s="32" t="s">
        <v>108</v>
      </c>
      <c r="L22" s="43">
        <f si="4" t="shared"/>
        <v>0</v>
      </c>
      <c r="M22" s="42">
        <f si="4" t="shared"/>
        <v>0</v>
      </c>
      <c r="N22" s="32" t="s">
        <v>108</v>
      </c>
      <c r="O22" s="32">
        <f si="5" t="shared"/>
        <v>0</v>
      </c>
      <c r="P22" s="42">
        <f si="5" t="shared"/>
        <v>0</v>
      </c>
      <c r="Q22" s="69"/>
      <c r="R22" s="20"/>
      <c r="S22" s="2"/>
      <c r="T22" s="2"/>
      <c r="U22" s="2"/>
    </row>
    <row r="23" spans="1:21" x14ac:dyDescent="0.3">
      <c r="A23" s="2"/>
      <c r="B23" s="19"/>
      <c r="C23" s="2" t="s">
        <v>147</v>
      </c>
      <c r="D23" s="11" t="s">
        <v>108</v>
      </c>
      <c r="E23" s="72">
        <f>'Kostu aldakorrak'!J41</f>
        <v>0</v>
      </c>
      <c r="F23" s="72">
        <f>IFERROR(E23*F$11/E$11,0)</f>
        <v>0</v>
      </c>
      <c r="G23" s="77" t="s">
        <v>108</v>
      </c>
      <c r="H23" s="28">
        <f>'Kostu aldakorrak'!L41</f>
        <v>0</v>
      </c>
      <c r="I23" s="28">
        <f>IFERROR(H23*I$11/H$11,0)</f>
        <v>0</v>
      </c>
      <c r="J23" s="69"/>
      <c r="K23" s="32" t="s">
        <v>109</v>
      </c>
      <c r="L23" s="43">
        <f si="4" t="shared"/>
        <v>0</v>
      </c>
      <c r="M23" s="42">
        <f si="4" t="shared"/>
        <v>0</v>
      </c>
      <c r="N23" s="32" t="s">
        <v>109</v>
      </c>
      <c r="O23" s="32">
        <f si="5" t="shared"/>
        <v>0</v>
      </c>
      <c r="P23" s="42">
        <f si="5" t="shared"/>
        <v>0</v>
      </c>
      <c r="Q23" s="69"/>
      <c r="R23" s="20"/>
      <c r="S23" s="2"/>
      <c r="T23" s="2"/>
      <c r="U23" s="2"/>
    </row>
    <row r="24" spans="1:21" x14ac:dyDescent="0.3">
      <c r="A24" s="2"/>
      <c r="B24" s="19"/>
      <c r="C24" s="2" t="s">
        <v>148</v>
      </c>
      <c r="D24" s="11" t="s">
        <v>109</v>
      </c>
      <c r="E24" s="72">
        <f>'Kostu aldakorrak'!J47</f>
        <v>0</v>
      </c>
      <c r="F24" s="72">
        <f>IFERROR(E24*F$11/E$11,0)</f>
        <v>0</v>
      </c>
      <c r="G24" s="77" t="s">
        <v>109</v>
      </c>
      <c r="H24" s="28">
        <f>'Kostu aldakorrak'!L47</f>
        <v>0</v>
      </c>
      <c r="I24" s="28">
        <f>IFERROR(H24*I$11/H$11,0)</f>
        <v>0</v>
      </c>
      <c r="J24" s="69"/>
      <c r="K24" s="32" t="s">
        <v>110</v>
      </c>
      <c r="L24" s="43">
        <f si="4" t="shared"/>
        <v>0</v>
      </c>
      <c r="M24" s="42">
        <f si="4" t="shared"/>
        <v>0</v>
      </c>
      <c r="N24" s="32" t="s">
        <v>110</v>
      </c>
      <c r="O24" s="32" t="str">
        <f si="5" t="shared"/>
        <v/>
      </c>
      <c r="P24" s="42">
        <f si="5" t="shared"/>
        <v>0</v>
      </c>
      <c r="Q24" s="69"/>
      <c r="R24" s="20"/>
      <c r="S24" s="2"/>
      <c r="T24" s="2"/>
      <c r="U24" s="2"/>
    </row>
    <row r="25" spans="1:21" x14ac:dyDescent="0.3">
      <c r="A25" s="2"/>
      <c r="B25" s="19"/>
      <c r="C25" s="2" t="s">
        <v>149</v>
      </c>
      <c r="D25" s="11" t="s">
        <v>110</v>
      </c>
      <c r="E25" s="72">
        <f>'Kostu aldakorrak'!J51</f>
        <v>0</v>
      </c>
      <c r="F25" s="72">
        <f>IFERROR(E25*F$11/E$11,0)</f>
        <v>0</v>
      </c>
      <c r="G25" s="77" t="s">
        <v>110</v>
      </c>
      <c r="H25" s="28" t="str">
        <f>'Kostu aldakorrak'!L51</f>
        <v/>
      </c>
      <c r="I25" s="28">
        <f>IFERROR(H25*I$11/H$11,0)</f>
        <v>0</v>
      </c>
      <c r="J25" s="69"/>
      <c r="K25" s="69"/>
      <c r="L25" s="69"/>
      <c r="M25" s="69"/>
      <c r="N25" s="69"/>
      <c r="O25" s="69"/>
      <c r="P25" s="69"/>
      <c r="Q25" s="69"/>
      <c r="R25" s="20"/>
      <c r="S25" s="2"/>
      <c r="T25" s="2"/>
      <c r="U25" s="2"/>
    </row>
    <row r="26" spans="1:21" x14ac:dyDescent="0.3">
      <c r="A26" s="2"/>
      <c r="B26" s="19"/>
      <c r="C26" s="2"/>
      <c r="D26" s="11"/>
      <c r="E26" s="48"/>
      <c r="F26" s="48"/>
      <c r="G26" s="77"/>
      <c r="H26" s="48"/>
      <c r="I26" s="48"/>
      <c r="J26" s="2"/>
      <c r="K26" s="2"/>
      <c r="L26" s="2"/>
      <c r="M26" s="2"/>
      <c r="N26" s="2"/>
      <c r="O26" s="2"/>
      <c r="P26" s="2"/>
      <c r="Q26" s="2"/>
      <c r="R26" s="20"/>
      <c r="S26" s="2"/>
      <c r="T26" s="2"/>
      <c r="U26" s="2"/>
    </row>
    <row r="27" spans="1:21" x14ac:dyDescent="0.3">
      <c r="A27" s="2"/>
      <c r="B27" s="19"/>
      <c r="C27" s="2"/>
      <c r="D27" s="11"/>
      <c r="E27" s="48"/>
      <c r="F27" s="48"/>
      <c r="G27" s="77"/>
      <c r="H27" s="48"/>
      <c r="I27" s="48"/>
      <c r="J27" s="2"/>
      <c r="K27" s="2"/>
      <c r="L27" s="2"/>
      <c r="M27" s="2"/>
      <c r="N27" s="2"/>
      <c r="O27" s="2"/>
      <c r="P27" s="2"/>
      <c r="Q27" s="2"/>
      <c r="R27" s="20"/>
      <c r="S27" s="2"/>
      <c r="T27" s="2"/>
      <c r="U27" s="2"/>
    </row>
    <row r="28" spans="1:21" x14ac:dyDescent="0.3">
      <c r="A28" s="2"/>
      <c r="B28" s="19"/>
      <c r="C28" s="2"/>
      <c r="D28" s="11"/>
      <c r="E28" s="48"/>
      <c r="F28" s="48"/>
      <c r="G28" s="77"/>
      <c r="H28" s="48"/>
      <c r="I28" s="48"/>
      <c r="J28" s="2"/>
      <c r="K28" s="2"/>
      <c r="L28" s="2"/>
      <c r="M28" s="2"/>
      <c r="N28" s="2"/>
      <c r="O28" s="2"/>
      <c r="P28" s="2"/>
      <c r="Q28" s="2"/>
      <c r="R28" s="20"/>
      <c r="S28" s="2"/>
      <c r="T28" s="2"/>
      <c r="U28" s="2"/>
    </row>
    <row r="29" spans="1:21" x14ac:dyDescent="0.3">
      <c r="A29" s="2"/>
      <c r="B29" s="19"/>
      <c r="C29" s="2"/>
      <c r="D29" s="11"/>
      <c r="E29" s="48"/>
      <c r="F29" s="48"/>
      <c r="G29" s="77"/>
      <c r="H29" s="48"/>
      <c r="I29" s="48"/>
      <c r="J29" s="2"/>
      <c r="K29" s="2"/>
      <c r="L29" s="2"/>
      <c r="M29" s="2"/>
      <c r="N29" s="2"/>
      <c r="O29" s="2"/>
      <c r="P29" s="2"/>
      <c r="Q29" s="2"/>
      <c r="R29" s="20"/>
      <c r="S29" s="2"/>
      <c r="T29" s="2"/>
      <c r="U29" s="2"/>
    </row>
    <row r="30" spans="1:21" x14ac:dyDescent="0.3">
      <c r="A30" s="2"/>
      <c r="B30" s="19"/>
      <c r="C30" s="2"/>
      <c r="D30" s="11"/>
      <c r="E30" s="48"/>
      <c r="F30" s="48"/>
      <c r="G30" s="77"/>
      <c r="H30" s="48"/>
      <c r="I30" s="48"/>
      <c r="J30" s="2"/>
      <c r="K30" s="2"/>
      <c r="L30" s="2"/>
      <c r="M30" s="2"/>
      <c r="N30" s="2"/>
      <c r="O30" s="2"/>
      <c r="P30" s="2"/>
      <c r="Q30" s="2"/>
      <c r="R30" s="20"/>
      <c r="S30" s="2"/>
      <c r="T30" s="2"/>
      <c r="U30" s="2"/>
    </row>
    <row r="31" spans="1:21" x14ac:dyDescent="0.3">
      <c r="A31" s="2"/>
      <c r="B31" s="19"/>
      <c r="C31" s="2"/>
      <c r="D31" s="11"/>
      <c r="E31" s="48"/>
      <c r="F31" s="48"/>
      <c r="G31" s="77"/>
      <c r="H31" s="48"/>
      <c r="I31" s="48"/>
      <c r="J31" s="2"/>
      <c r="K31" s="2"/>
      <c r="L31" s="2"/>
      <c r="M31" s="2"/>
      <c r="N31" s="2"/>
      <c r="O31" s="2"/>
      <c r="P31" s="2"/>
      <c r="Q31" s="2"/>
      <c r="R31" s="20"/>
      <c r="S31" s="2"/>
      <c r="T31" s="2"/>
      <c r="U31" s="2"/>
    </row>
    <row r="32" spans="1:21" x14ac:dyDescent="0.3">
      <c r="A32" s="2"/>
      <c r="B32" s="19"/>
      <c r="C32" s="2"/>
      <c r="D32" s="11"/>
      <c r="E32" s="48"/>
      <c r="F32" s="48"/>
      <c r="G32" s="77"/>
      <c r="H32" s="48"/>
      <c r="I32" s="48"/>
      <c r="J32" s="2"/>
      <c r="K32" s="2"/>
      <c r="L32" s="2"/>
      <c r="M32" s="2"/>
      <c r="N32" s="2"/>
      <c r="O32" s="2"/>
      <c r="P32" s="2"/>
      <c r="Q32" s="2"/>
      <c r="R32" s="20"/>
      <c r="S32" s="2"/>
      <c r="T32" s="2"/>
      <c r="U32" s="2"/>
    </row>
    <row r="33" spans="1:21" x14ac:dyDescent="0.3">
      <c r="A33" s="2"/>
      <c r="B33" s="19"/>
      <c r="C33" s="2"/>
      <c r="D33" s="11"/>
      <c r="E33" s="48"/>
      <c r="F33" s="48"/>
      <c r="G33" s="77"/>
      <c r="H33" s="48"/>
      <c r="I33" s="48"/>
      <c r="J33" s="2"/>
      <c r="K33" s="2"/>
      <c r="L33" s="2"/>
      <c r="M33" s="2"/>
      <c r="N33" s="2"/>
      <c r="O33" s="2"/>
      <c r="P33" s="2"/>
      <c r="Q33" s="2"/>
      <c r="R33" s="20"/>
      <c r="S33" s="2"/>
      <c r="T33" s="2"/>
      <c r="U33" s="2"/>
    </row>
    <row r="34" spans="1:21" x14ac:dyDescent="0.3">
      <c r="A34" s="2"/>
      <c r="B34" s="19"/>
      <c r="C34" s="2"/>
      <c r="D34" s="11"/>
      <c r="E34" s="48"/>
      <c r="F34" s="48"/>
      <c r="G34" s="77"/>
      <c r="H34" s="48"/>
      <c r="I34" s="48"/>
      <c r="J34" s="2"/>
      <c r="K34" s="2"/>
      <c r="L34" s="2"/>
      <c r="M34" s="2"/>
      <c r="N34" s="2"/>
      <c r="O34" s="2"/>
      <c r="P34" s="2"/>
      <c r="Q34" s="2"/>
      <c r="R34" s="20"/>
      <c r="S34" s="2"/>
      <c r="T34" s="2"/>
      <c r="U34" s="2"/>
    </row>
    <row r="35" spans="1:21" x14ac:dyDescent="0.3">
      <c r="A35" s="2"/>
      <c r="B35" s="19"/>
      <c r="C35" s="2"/>
      <c r="D35" s="11"/>
      <c r="E35" s="48"/>
      <c r="F35" s="48"/>
      <c r="G35" s="77"/>
      <c r="H35" s="48"/>
      <c r="I35" s="48"/>
      <c r="J35" s="2"/>
      <c r="K35" s="2"/>
      <c r="L35" s="2"/>
      <c r="M35" s="2"/>
      <c r="N35" s="2"/>
      <c r="O35" s="2"/>
      <c r="P35" s="2"/>
      <c r="Q35" s="2"/>
      <c r="R35" s="20"/>
      <c r="S35" s="2"/>
      <c r="T35" s="2"/>
      <c r="U35" s="2"/>
    </row>
    <row r="36" spans="1:21" x14ac:dyDescent="0.3">
      <c r="A36" s="2"/>
      <c r="B36" s="19"/>
      <c r="C36" s="2"/>
      <c r="D36" s="11"/>
      <c r="E36" s="48"/>
      <c r="F36" s="48"/>
      <c r="G36" s="77"/>
      <c r="H36" s="48"/>
      <c r="I36" s="48"/>
      <c r="J36" s="2"/>
      <c r="K36" s="2"/>
      <c r="L36" s="2"/>
      <c r="M36" s="2"/>
      <c r="N36" s="2"/>
      <c r="O36" s="2"/>
      <c r="P36" s="2"/>
      <c r="Q36" s="2"/>
      <c r="R36" s="20"/>
      <c r="S36" s="2"/>
      <c r="T36" s="2"/>
      <c r="U36" s="2"/>
    </row>
    <row r="37" spans="1:21" x14ac:dyDescent="0.3">
      <c r="A37" s="2"/>
      <c r="B37" s="19"/>
      <c r="C37" s="2"/>
      <c r="D37" s="11"/>
      <c r="E37" s="48"/>
      <c r="F37" s="48"/>
      <c r="G37" s="77"/>
      <c r="H37" s="48"/>
      <c r="I37" s="48"/>
      <c r="J37" s="2"/>
      <c r="K37" s="2"/>
      <c r="L37" s="2"/>
      <c r="M37" s="2"/>
      <c r="N37" s="2"/>
      <c r="O37" s="2"/>
      <c r="P37" s="2"/>
      <c r="Q37" s="2"/>
      <c r="R37" s="20"/>
      <c r="S37" s="2"/>
      <c r="T37" s="2"/>
      <c r="U37" s="2"/>
    </row>
    <row r="38" spans="1:21" x14ac:dyDescent="0.3">
      <c r="A38" s="2"/>
      <c r="B38" s="19"/>
      <c r="C38" s="2"/>
      <c r="D38" s="11"/>
      <c r="E38" s="48"/>
      <c r="F38" s="48"/>
      <c r="G38" s="77"/>
      <c r="H38" s="48"/>
      <c r="I38" s="48"/>
      <c r="J38" s="2"/>
      <c r="K38" s="2"/>
      <c r="L38" s="2"/>
      <c r="M38" s="2"/>
      <c r="N38" s="2"/>
      <c r="O38" s="2"/>
      <c r="P38" s="2"/>
      <c r="Q38" s="2"/>
      <c r="R38" s="20"/>
      <c r="S38" s="2"/>
      <c r="T38" s="2"/>
      <c r="U38" s="2"/>
    </row>
    <row r="39" spans="1:21" x14ac:dyDescent="0.3">
      <c r="A39" s="2"/>
      <c r="B39" s="19"/>
      <c r="C39" s="2"/>
      <c r="D39" s="11"/>
      <c r="E39" s="48"/>
      <c r="F39" s="48"/>
      <c r="G39" s="77"/>
      <c r="H39" s="48"/>
      <c r="I39" s="48"/>
      <c r="J39" s="2"/>
      <c r="K39" s="2"/>
      <c r="L39" s="2"/>
      <c r="M39" s="2"/>
      <c r="N39" s="2"/>
      <c r="O39" s="2"/>
      <c r="P39" s="2"/>
      <c r="Q39" s="2"/>
      <c r="R39" s="20"/>
      <c r="S39" s="2"/>
      <c r="T39" s="2"/>
      <c r="U39" s="2"/>
    </row>
    <row r="40" spans="1:21" x14ac:dyDescent="0.3">
      <c r="A40" s="2"/>
      <c r="B40" s="19"/>
      <c r="C40" s="2"/>
      <c r="D40" s="2"/>
      <c r="E40" s="48"/>
      <c r="F40" s="48"/>
      <c r="G40" s="27"/>
      <c r="H40" s="48"/>
      <c r="I40" s="48"/>
      <c r="J40" s="2"/>
      <c r="K40" s="2"/>
      <c r="L40" s="2"/>
      <c r="M40" s="2"/>
      <c r="N40" s="2"/>
      <c r="O40" s="2"/>
      <c r="P40" s="2"/>
      <c r="Q40" s="2"/>
      <c r="R40" s="20"/>
      <c r="S40" s="2"/>
      <c r="T40" s="2"/>
      <c r="U40" s="2"/>
    </row>
    <row customHeight="1" ht="20.100000000000001" r="41" spans="1:21" x14ac:dyDescent="0.3">
      <c r="A41" s="2"/>
      <c r="B41" s="19"/>
      <c r="C41" s="8" t="s">
        <v>150</v>
      </c>
      <c r="D41" s="8"/>
      <c r="E41" s="97" t="s">
        <v>273</v>
      </c>
      <c r="F41" s="97"/>
      <c r="G41" s="76"/>
      <c r="H41" s="90" t="s">
        <v>287</v>
      </c>
      <c r="I41" s="99" t="str">
        <f>DE!$AJ$2</f>
        <v>08/01/2024</v>
      </c>
      <c r="J41" s="27"/>
      <c r="K41" s="27"/>
      <c r="L41" s="27"/>
      <c r="M41" s="27"/>
      <c r="N41" s="2"/>
      <c r="O41" s="2"/>
      <c r="P41" s="2"/>
      <c r="Q41" s="2"/>
      <c r="R41" s="20"/>
      <c r="S41" s="2"/>
      <c r="T41" s="2"/>
      <c r="U41" s="2"/>
    </row>
    <row customHeight="1" ht="18" r="42" spans="1:21" x14ac:dyDescent="0.3">
      <c r="A42" s="2"/>
      <c r="B42" s="19"/>
      <c r="C42" s="2"/>
      <c r="D42" s="2"/>
      <c r="E42" s="66" t="s">
        <v>274</v>
      </c>
      <c r="F42" s="66" t="s">
        <v>4</v>
      </c>
      <c r="G42" s="27"/>
      <c r="H42" s="66" t="s">
        <v>274</v>
      </c>
      <c r="I42" s="66" t="s">
        <v>4</v>
      </c>
      <c r="J42" s="27"/>
      <c r="K42" s="27"/>
      <c r="L42" s="27"/>
      <c r="M42" s="27"/>
      <c r="N42" s="2"/>
      <c r="O42" s="2"/>
      <c r="P42" s="2"/>
      <c r="Q42" s="2"/>
      <c r="R42" s="20"/>
      <c r="S42" s="2"/>
      <c r="T42" s="2"/>
      <c r="U42" s="2"/>
    </row>
    <row r="43" spans="1:21" x14ac:dyDescent="0.3">
      <c r="A43" s="2"/>
      <c r="B43" s="19"/>
      <c r="C43" s="2" t="s">
        <v>151</v>
      </c>
      <c r="D43" s="11" t="s">
        <v>18</v>
      </c>
      <c r="E43" s="72">
        <f>E13+E14+E15</f>
        <v>0</v>
      </c>
      <c r="F43" s="72">
        <f>IFERROR(E43*$F$48/$E$48,0)</f>
        <v>0</v>
      </c>
      <c r="G43" s="77" t="s">
        <v>18</v>
      </c>
      <c r="H43" s="28" t="e">
        <f>H13+H14+H15</f>
        <v>#VALUE!</v>
      </c>
      <c r="I43" s="28">
        <f>IFERROR(H43*$I$48/$H$48,0)</f>
        <v>0</v>
      </c>
      <c r="J43" s="22"/>
      <c r="K43" s="22"/>
      <c r="L43" s="22"/>
      <c r="M43" s="22"/>
      <c r="N43" s="2"/>
      <c r="O43" s="2"/>
      <c r="P43" s="2"/>
      <c r="Q43" s="2"/>
      <c r="R43" s="20"/>
      <c r="S43" s="2"/>
      <c r="T43" s="2"/>
      <c r="U43" s="2"/>
    </row>
    <row r="44" spans="1:21" x14ac:dyDescent="0.3">
      <c r="A44" s="2"/>
      <c r="B44" s="19"/>
      <c r="C44" s="2" t="s">
        <v>152</v>
      </c>
      <c r="D44" s="11" t="s">
        <v>19</v>
      </c>
      <c r="E44" s="72">
        <f>E16+E17</f>
        <v>0</v>
      </c>
      <c r="F44" s="72">
        <f>IFERROR(E44*$F$48/$E$48,0)</f>
        <v>0</v>
      </c>
      <c r="G44" s="77" t="s">
        <v>19</v>
      </c>
      <c r="H44" s="28" t="e">
        <f>H16+H17</f>
        <v>#VALUE!</v>
      </c>
      <c r="I44" s="28">
        <f>IFERROR(H44*$I$48/$H$48,0)</f>
        <v>0</v>
      </c>
      <c r="J44" s="22"/>
      <c r="K44" s="22"/>
      <c r="L44" s="22"/>
      <c r="M44" s="22"/>
      <c r="N44" s="2"/>
      <c r="O44" s="2"/>
      <c r="P44" s="2"/>
      <c r="Q44" s="2"/>
      <c r="R44" s="20"/>
      <c r="S44" s="2"/>
      <c r="T44" s="2"/>
      <c r="U44" s="2"/>
    </row>
    <row r="45" spans="1:21" x14ac:dyDescent="0.3">
      <c r="A45" s="2"/>
      <c r="B45" s="19"/>
      <c r="C45" s="2" t="s">
        <v>153</v>
      </c>
      <c r="D45" s="11" t="s">
        <v>20</v>
      </c>
      <c r="E45" s="72">
        <f>E18+E19+E20</f>
        <v>0</v>
      </c>
      <c r="F45" s="72">
        <f>IFERROR(E45*$F$48/$E$48,0)</f>
        <v>0</v>
      </c>
      <c r="G45" s="77" t="s">
        <v>20</v>
      </c>
      <c r="H45" s="28">
        <f>H18+H19+H20</f>
        <v>0</v>
      </c>
      <c r="I45" s="28">
        <f>IFERROR(H45*$I$48/$H$48,0)</f>
        <v>0</v>
      </c>
      <c r="J45" s="22"/>
      <c r="K45" s="22"/>
      <c r="L45" s="22"/>
      <c r="M45" s="22"/>
      <c r="N45" s="2"/>
      <c r="O45" s="2"/>
      <c r="P45" s="2"/>
      <c r="Q45" s="2"/>
      <c r="R45" s="20"/>
      <c r="S45" s="2"/>
      <c r="T45" s="2"/>
      <c r="U45" s="2"/>
    </row>
    <row r="46" spans="1:21" x14ac:dyDescent="0.3">
      <c r="A46" s="2"/>
      <c r="B46" s="19"/>
      <c r="C46" s="2" t="s">
        <v>158</v>
      </c>
      <c r="D46" s="11" t="s">
        <v>21</v>
      </c>
      <c r="E46" s="72">
        <f>E22+E23+E24+E25</f>
        <v>0</v>
      </c>
      <c r="F46" s="72">
        <f>IFERROR(E46*$F$48/$E$48,0)</f>
        <v>0</v>
      </c>
      <c r="G46" s="77" t="s">
        <v>21</v>
      </c>
      <c r="H46" s="28" t="e">
        <f>H22+H23+H24+H25</f>
        <v>#VALUE!</v>
      </c>
      <c r="I46" s="28">
        <f>IFERROR(H46*$I$48/$H$48,0)</f>
        <v>0</v>
      </c>
      <c r="J46" s="22"/>
      <c r="K46" s="22"/>
      <c r="L46" s="22"/>
      <c r="M46" s="22"/>
      <c r="N46" s="2"/>
      <c r="O46" s="2"/>
      <c r="P46" s="2"/>
      <c r="Q46" s="2"/>
      <c r="R46" s="20"/>
      <c r="S46" s="2"/>
      <c r="T46" s="2"/>
      <c r="U46" s="2"/>
    </row>
    <row customHeight="1" ht="3.75" r="47" spans="1:21" x14ac:dyDescent="0.3">
      <c r="A47" s="2"/>
      <c r="B47" s="19"/>
      <c r="C47" s="2"/>
      <c r="D47" s="2"/>
      <c r="E47" s="28"/>
      <c r="F47" s="28"/>
      <c r="G47" s="27"/>
      <c r="H47" s="28"/>
      <c r="I47" s="28"/>
      <c r="J47" s="2"/>
      <c r="K47" s="2"/>
      <c r="L47" s="2"/>
      <c r="M47" s="2"/>
      <c r="N47" s="2"/>
      <c r="O47" s="2"/>
      <c r="P47" s="2"/>
      <c r="Q47" s="2"/>
      <c r="R47" s="20"/>
      <c r="S47" s="2"/>
      <c r="T47" s="2"/>
      <c r="U47" s="2"/>
    </row>
    <row r="48" spans="1:21" x14ac:dyDescent="0.3">
      <c r="A48" s="2"/>
      <c r="B48" s="19"/>
      <c r="C48" s="39" t="s">
        <v>154</v>
      </c>
      <c r="D48" s="11"/>
      <c r="E48" s="67">
        <f>SUM(E43:E46)</f>
        <v>0</v>
      </c>
      <c r="F48" s="67">
        <v>100</v>
      </c>
      <c r="G48" s="27"/>
      <c r="H48" s="73" t="e">
        <f>SUM(H43:H46)</f>
        <v>#VALUE!</v>
      </c>
      <c r="I48" s="73">
        <v>100</v>
      </c>
      <c r="J48" s="22"/>
      <c r="K48" s="22"/>
      <c r="L48" s="22"/>
      <c r="M48" s="22"/>
      <c r="N48" s="2"/>
      <c r="O48" s="2"/>
      <c r="P48" s="2"/>
      <c r="Q48" s="2"/>
      <c r="R48" s="20"/>
      <c r="S48" s="2"/>
      <c r="T48" s="2"/>
      <c r="U48" s="2"/>
    </row>
    <row customHeight="1" ht="3.75" r="49" spans="1:21" x14ac:dyDescent="0.3">
      <c r="A49" s="2"/>
      <c r="B49" s="19"/>
      <c r="C49" s="2"/>
      <c r="D49" s="2"/>
      <c r="E49" s="48"/>
      <c r="F49" s="48"/>
      <c r="G49" s="27"/>
      <c r="H49" s="48"/>
      <c r="I49" s="48"/>
      <c r="J49" s="2"/>
      <c r="K49" s="2"/>
      <c r="L49" s="2"/>
      <c r="M49" s="2"/>
      <c r="N49" s="2"/>
      <c r="O49" s="2"/>
      <c r="P49" s="2"/>
      <c r="Q49" s="2"/>
      <c r="R49" s="20"/>
      <c r="S49" s="2"/>
      <c r="T49" s="2"/>
      <c r="U49" s="2"/>
    </row>
    <row r="50" spans="1:21" x14ac:dyDescent="0.3">
      <c r="A50" s="2"/>
      <c r="B50" s="19"/>
      <c r="C50" s="21"/>
      <c r="D50" s="11"/>
      <c r="E50" s="48"/>
      <c r="F50" s="48"/>
      <c r="G50" s="27"/>
      <c r="H50" s="48"/>
      <c r="I50" s="48"/>
      <c r="J50" s="22"/>
      <c r="K50" s="22"/>
      <c r="L50" s="22"/>
      <c r="M50" s="22"/>
      <c r="N50" s="2"/>
      <c r="O50" s="2"/>
      <c r="P50" s="2"/>
      <c r="Q50" s="2"/>
      <c r="R50" s="20"/>
      <c r="S50" s="2"/>
      <c r="T50" s="2"/>
      <c r="U50" s="2"/>
    </row>
    <row customHeight="1" ht="3.75" r="51" spans="1:21" x14ac:dyDescent="0.3">
      <c r="A51" s="2"/>
      <c r="B51" s="19"/>
      <c r="C51" s="2"/>
      <c r="D51" s="2"/>
      <c r="E51" s="48"/>
      <c r="F51" s="48"/>
      <c r="G51" s="27"/>
      <c r="H51" s="48"/>
      <c r="I51" s="48"/>
      <c r="J51" s="2"/>
      <c r="K51" s="2"/>
      <c r="L51" s="2"/>
      <c r="M51" s="2"/>
      <c r="N51" s="2"/>
      <c r="O51" s="2"/>
      <c r="P51" s="2"/>
      <c r="Q51" s="2"/>
      <c r="R51" s="20"/>
      <c r="S51" s="2"/>
      <c r="T51" s="2"/>
      <c r="U51" s="2"/>
    </row>
    <row r="52" spans="1:21" x14ac:dyDescent="0.3">
      <c r="A52" s="2"/>
      <c r="B52" s="19"/>
      <c r="C52" s="21"/>
      <c r="D52" s="11"/>
      <c r="E52" s="48"/>
      <c r="F52" s="48"/>
      <c r="G52" s="27"/>
      <c r="H52" s="48"/>
      <c r="I52" s="48"/>
      <c r="J52" s="22"/>
      <c r="K52" s="22"/>
      <c r="L52" s="22"/>
      <c r="M52" s="22"/>
      <c r="N52" s="2"/>
      <c r="O52" s="2"/>
      <c r="P52" s="2"/>
      <c r="Q52" s="2"/>
      <c r="R52" s="20"/>
      <c r="S52" s="2"/>
      <c r="T52" s="2"/>
      <c r="U52" s="2"/>
    </row>
    <row customHeight="1" ht="3.75" r="53" spans="1:21" x14ac:dyDescent="0.3">
      <c r="A53" s="2"/>
      <c r="B53" s="19"/>
      <c r="C53" s="2"/>
      <c r="D53" s="2"/>
      <c r="E53" s="48"/>
      <c r="F53" s="48"/>
      <c r="G53" s="27"/>
      <c r="H53" s="48"/>
      <c r="I53" s="48"/>
      <c r="J53" s="2"/>
      <c r="K53" s="2"/>
      <c r="L53" s="2"/>
      <c r="M53" s="2"/>
      <c r="N53" s="2"/>
      <c r="O53" s="2"/>
      <c r="P53" s="2"/>
      <c r="Q53" s="2"/>
      <c r="R53" s="20"/>
      <c r="S53" s="2"/>
      <c r="T53" s="2"/>
      <c r="U53" s="2"/>
    </row>
    <row r="54" spans="1:21" x14ac:dyDescent="0.3">
      <c r="A54" s="2"/>
      <c r="B54" s="19"/>
      <c r="C54" s="21"/>
      <c r="D54" s="11"/>
      <c r="E54" s="48"/>
      <c r="F54" s="48"/>
      <c r="G54" s="27"/>
      <c r="H54" s="48"/>
      <c r="I54" s="48"/>
      <c r="J54" s="22"/>
      <c r="K54" s="22"/>
      <c r="L54" s="22"/>
      <c r="M54" s="22"/>
      <c r="N54" s="2"/>
      <c r="O54" s="2"/>
      <c r="P54" s="2"/>
      <c r="Q54" s="2"/>
      <c r="R54" s="20"/>
      <c r="S54" s="2"/>
      <c r="T54" s="2"/>
      <c r="U54" s="2"/>
    </row>
    <row customHeight="1" ht="3.75" r="55" spans="1:21" x14ac:dyDescent="0.3">
      <c r="A55" s="2"/>
      <c r="B55" s="19"/>
      <c r="C55" s="2"/>
      <c r="D55" s="2"/>
      <c r="E55" s="48"/>
      <c r="F55" s="48"/>
      <c r="G55" s="27"/>
      <c r="H55" s="48"/>
      <c r="I55" s="48"/>
      <c r="J55" s="2"/>
      <c r="K55" s="2"/>
      <c r="L55" s="2"/>
      <c r="M55" s="2"/>
      <c r="N55" s="2"/>
      <c r="O55" s="2"/>
      <c r="P55" s="2"/>
      <c r="Q55" s="2"/>
      <c r="R55" s="20"/>
      <c r="S55" s="2"/>
      <c r="T55" s="2"/>
      <c r="U55" s="2"/>
    </row>
    <row r="56" spans="1:21" x14ac:dyDescent="0.3">
      <c r="A56" s="2"/>
      <c r="B56" s="19"/>
      <c r="C56" s="21"/>
      <c r="D56" s="11"/>
      <c r="E56" s="48"/>
      <c r="F56" s="48"/>
      <c r="G56" s="27"/>
      <c r="H56" s="48"/>
      <c r="I56" s="48"/>
      <c r="J56" s="22"/>
      <c r="K56" s="22"/>
      <c r="L56" s="22"/>
      <c r="M56" s="22"/>
      <c r="N56" s="2"/>
      <c r="O56" s="2"/>
      <c r="P56" s="2"/>
      <c r="Q56" s="2"/>
      <c r="R56" s="20"/>
      <c r="S56" s="2"/>
      <c r="T56" s="2"/>
      <c r="U56" s="2"/>
    </row>
    <row customHeight="1" ht="3.75" r="57" spans="1:21" x14ac:dyDescent="0.3">
      <c r="A57" s="2"/>
      <c r="B57" s="19"/>
      <c r="C57" s="2"/>
      <c r="D57" s="2"/>
      <c r="E57" s="48"/>
      <c r="F57" s="48"/>
      <c r="G57" s="27"/>
      <c r="H57" s="48"/>
      <c r="I57" s="48"/>
      <c r="J57" s="2"/>
      <c r="K57" s="2"/>
      <c r="L57" s="2"/>
      <c r="M57" s="2"/>
      <c r="N57" s="2"/>
      <c r="O57" s="2"/>
      <c r="P57" s="2"/>
      <c r="Q57" s="2"/>
      <c r="R57" s="20"/>
      <c r="S57" s="2"/>
      <c r="T57" s="2"/>
      <c r="U57" s="2"/>
    </row>
    <row r="58" spans="1:21" x14ac:dyDescent="0.3">
      <c r="A58" s="2"/>
      <c r="B58" s="19"/>
      <c r="C58" s="21"/>
      <c r="D58" s="11"/>
      <c r="E58" s="48"/>
      <c r="F58" s="48"/>
      <c r="G58" s="27"/>
      <c r="H58" s="48"/>
      <c r="I58" s="48"/>
      <c r="J58" s="22"/>
      <c r="K58" s="22"/>
      <c r="L58" s="22"/>
      <c r="M58" s="22"/>
      <c r="N58" s="2"/>
      <c r="O58" s="2"/>
      <c r="P58" s="2"/>
      <c r="Q58" s="2"/>
      <c r="R58" s="20"/>
      <c r="S58" s="2"/>
      <c r="T58" s="2"/>
      <c r="U58" s="2"/>
    </row>
    <row customHeight="1" ht="3.75" r="59" spans="1:21" x14ac:dyDescent="0.3">
      <c r="A59" s="2"/>
      <c r="B59" s="19"/>
      <c r="C59" s="2"/>
      <c r="D59" s="2"/>
      <c r="E59" s="48"/>
      <c r="F59" s="48"/>
      <c r="G59" s="27"/>
      <c r="H59" s="48"/>
      <c r="I59" s="48"/>
      <c r="J59" s="2"/>
      <c r="K59" s="2"/>
      <c r="L59" s="2"/>
      <c r="M59" s="2"/>
      <c r="N59" s="2"/>
      <c r="O59" s="2"/>
      <c r="P59" s="2"/>
      <c r="Q59" s="2"/>
      <c r="R59" s="20"/>
      <c r="S59" s="2"/>
      <c r="T59" s="2"/>
      <c r="U59" s="2"/>
    </row>
    <row r="60" spans="1:21" x14ac:dyDescent="0.3">
      <c r="A60" s="2"/>
      <c r="B60" s="19"/>
      <c r="C60" s="21"/>
      <c r="D60" s="11"/>
      <c r="E60" s="48"/>
      <c r="F60" s="48"/>
      <c r="G60" s="27"/>
      <c r="H60" s="48"/>
      <c r="I60" s="48"/>
      <c r="J60" s="22"/>
      <c r="K60" s="22"/>
      <c r="L60" s="22"/>
      <c r="M60" s="22"/>
      <c r="N60" s="2"/>
      <c r="O60" s="2"/>
      <c r="P60" s="2"/>
      <c r="Q60" s="2"/>
      <c r="R60" s="20"/>
      <c r="S60" s="2"/>
      <c r="T60" s="2"/>
      <c r="U60" s="2"/>
    </row>
    <row customHeight="1" ht="3.75" r="61" spans="1:21" x14ac:dyDescent="0.3">
      <c r="A61" s="2"/>
      <c r="B61" s="19"/>
      <c r="C61" s="2"/>
      <c r="D61" s="2"/>
      <c r="E61" s="48"/>
      <c r="F61" s="48"/>
      <c r="G61" s="27"/>
      <c r="H61" s="48"/>
      <c r="I61" s="48"/>
      <c r="J61" s="2"/>
      <c r="K61" s="2"/>
      <c r="L61" s="2"/>
      <c r="M61" s="2"/>
      <c r="N61" s="2"/>
      <c r="O61" s="2"/>
      <c r="P61" s="2"/>
      <c r="Q61" s="2"/>
      <c r="R61" s="20"/>
      <c r="S61" s="2"/>
      <c r="T61" s="2"/>
      <c r="U61" s="2"/>
    </row>
    <row r="62" spans="1:21" x14ac:dyDescent="0.3">
      <c r="A62" s="2"/>
      <c r="B62" s="19"/>
      <c r="C62" s="21"/>
      <c r="D62" s="11"/>
      <c r="E62" s="48"/>
      <c r="F62" s="48"/>
      <c r="G62" s="27"/>
      <c r="H62" s="48"/>
      <c r="I62" s="48"/>
      <c r="J62" s="22"/>
      <c r="K62" s="22"/>
      <c r="L62" s="22"/>
      <c r="M62" s="22"/>
      <c r="N62" s="2"/>
      <c r="O62" s="2"/>
      <c r="P62" s="2"/>
      <c r="Q62" s="2"/>
      <c r="R62" s="20"/>
      <c r="S62" s="2"/>
      <c r="T62" s="2"/>
      <c r="U62" s="2"/>
    </row>
    <row customHeight="1" ht="3.75" r="63" spans="1:21" x14ac:dyDescent="0.3">
      <c r="A63" s="2"/>
      <c r="B63" s="19"/>
      <c r="C63" s="2"/>
      <c r="D63" s="2"/>
      <c r="E63" s="48"/>
      <c r="F63" s="48"/>
      <c r="G63" s="27"/>
      <c r="H63" s="48"/>
      <c r="I63" s="48"/>
      <c r="J63" s="2"/>
      <c r="K63" s="2"/>
      <c r="L63" s="2"/>
      <c r="M63" s="2"/>
      <c r="N63" s="2"/>
      <c r="O63" s="2"/>
      <c r="P63" s="2"/>
      <c r="Q63" s="2"/>
      <c r="R63" s="20"/>
      <c r="S63" s="2"/>
      <c r="T63" s="2"/>
      <c r="U63" s="2"/>
    </row>
    <row r="64" spans="1:21" x14ac:dyDescent="0.3">
      <c r="A64" s="2"/>
      <c r="B64" s="19"/>
      <c r="C64" s="21"/>
      <c r="D64" s="11"/>
      <c r="E64" s="48"/>
      <c r="F64" s="48"/>
      <c r="G64" s="27"/>
      <c r="H64" s="48"/>
      <c r="I64" s="48"/>
      <c r="J64" s="22"/>
      <c r="K64" s="22"/>
      <c r="L64" s="22"/>
      <c r="M64" s="22"/>
      <c r="N64" s="2"/>
      <c r="O64" s="2"/>
      <c r="P64" s="2"/>
      <c r="Q64" s="2"/>
      <c r="R64" s="20"/>
      <c r="S64" s="2"/>
      <c r="T64" s="2"/>
      <c r="U64" s="2"/>
    </row>
    <row customHeight="1" ht="3.75" r="65" spans="1:21" x14ac:dyDescent="0.3">
      <c r="A65" s="2"/>
      <c r="B65" s="19"/>
      <c r="C65" s="2"/>
      <c r="D65" s="2"/>
      <c r="E65" s="48"/>
      <c r="F65" s="48"/>
      <c r="G65" s="27"/>
      <c r="H65" s="48"/>
      <c r="I65" s="48"/>
      <c r="J65" s="2"/>
      <c r="K65" s="2"/>
      <c r="L65" s="2"/>
      <c r="M65" s="2"/>
      <c r="N65" s="2"/>
      <c r="O65" s="2"/>
      <c r="P65" s="2"/>
      <c r="Q65" s="2"/>
      <c r="R65" s="20"/>
      <c r="S65" s="2"/>
      <c r="T65" s="2"/>
      <c r="U65" s="2"/>
    </row>
    <row r="66" spans="1:21" x14ac:dyDescent="0.3">
      <c r="A66" s="2"/>
      <c r="B66" s="19"/>
      <c r="C66" s="21"/>
      <c r="D66" s="11"/>
      <c r="E66" s="48"/>
      <c r="F66" s="48"/>
      <c r="G66" s="27"/>
      <c r="H66" s="48"/>
      <c r="I66" s="48"/>
      <c r="J66" s="22"/>
      <c r="K66" s="22"/>
      <c r="L66" s="22"/>
      <c r="M66" s="22"/>
      <c r="N66" s="2"/>
      <c r="O66" s="2"/>
      <c r="P66" s="2"/>
      <c r="Q66" s="2"/>
      <c r="R66" s="20"/>
      <c r="S66" s="2"/>
      <c r="T66" s="2"/>
      <c r="U66" s="2"/>
    </row>
    <row customHeight="1" ht="3.75" r="67" spans="1:21" x14ac:dyDescent="0.3">
      <c r="A67" s="2"/>
      <c r="B67" s="19"/>
      <c r="C67" s="2"/>
      <c r="D67" s="2"/>
      <c r="E67" s="48"/>
      <c r="F67" s="48"/>
      <c r="G67" s="27"/>
      <c r="H67" s="48"/>
      <c r="I67" s="48"/>
      <c r="J67" s="2"/>
      <c r="K67" s="2"/>
      <c r="L67" s="2"/>
      <c r="M67" s="2"/>
      <c r="N67" s="2"/>
      <c r="O67" s="2"/>
      <c r="P67" s="2"/>
      <c r="Q67" s="2"/>
      <c r="R67" s="20"/>
      <c r="S67" s="2"/>
      <c r="T67" s="2"/>
      <c r="U67" s="2"/>
    </row>
    <row customHeight="1" ht="20.100000000000001" r="68" spans="1:21" x14ac:dyDescent="0.3">
      <c r="A68" s="2"/>
      <c r="B68" s="19"/>
      <c r="C68" s="8" t="s">
        <v>155</v>
      </c>
      <c r="D68" s="8"/>
      <c r="E68" s="97" t="s">
        <v>273</v>
      </c>
      <c r="F68" s="97"/>
      <c r="G68" s="76"/>
      <c r="H68" s="90" t="s">
        <v>287</v>
      </c>
      <c r="I68" s="99" t="str">
        <f>DE!$AJ$2</f>
        <v>08/01/2024</v>
      </c>
      <c r="J68" s="27"/>
      <c r="K68" s="27"/>
      <c r="L68" s="27"/>
      <c r="M68" s="27"/>
      <c r="N68" s="2"/>
      <c r="O68" s="2"/>
      <c r="P68" s="2"/>
      <c r="Q68" s="2"/>
      <c r="R68" s="20"/>
      <c r="S68" s="2"/>
      <c r="T68" s="2"/>
      <c r="U68" s="2"/>
    </row>
    <row customHeight="1" ht="3.75" r="69" spans="1:21" x14ac:dyDescent="0.3">
      <c r="A69" s="2"/>
      <c r="B69" s="19"/>
      <c r="C69" s="2"/>
      <c r="D69" s="2"/>
      <c r="E69" s="48"/>
      <c r="F69" s="48"/>
      <c r="G69" s="27"/>
      <c r="H69" s="48"/>
      <c r="I69" s="48"/>
      <c r="J69" s="2"/>
      <c r="K69" s="2"/>
      <c r="L69" s="2"/>
      <c r="M69" s="2"/>
      <c r="N69" s="2"/>
      <c r="O69" s="2"/>
      <c r="P69" s="2"/>
      <c r="Q69" s="2"/>
      <c r="R69" s="20"/>
      <c r="S69" s="2"/>
      <c r="T69" s="2"/>
      <c r="U69" s="2"/>
    </row>
    <row r="70" spans="1:21" x14ac:dyDescent="0.3">
      <c r="A70" s="2"/>
      <c r="B70" s="19"/>
      <c r="C70" s="21"/>
      <c r="D70" s="11"/>
      <c r="E70" s="66" t="s">
        <v>274</v>
      </c>
      <c r="F70" s="66" t="s">
        <v>4</v>
      </c>
      <c r="G70" s="27"/>
      <c r="H70" s="66" t="s">
        <v>274</v>
      </c>
      <c r="I70" s="66" t="s">
        <v>4</v>
      </c>
      <c r="J70" s="22"/>
      <c r="K70" s="22"/>
      <c r="L70" s="22"/>
      <c r="M70" s="22"/>
      <c r="N70" s="2"/>
      <c r="O70" s="2"/>
      <c r="P70" s="2"/>
      <c r="Q70" s="2"/>
      <c r="R70" s="20"/>
      <c r="S70" s="2"/>
      <c r="T70" s="2"/>
      <c r="U70" s="2"/>
    </row>
    <row customHeight="1" ht="3.75" r="71" spans="1:21" x14ac:dyDescent="0.3">
      <c r="A71" s="2"/>
      <c r="B71" s="19"/>
      <c r="C71" s="2"/>
      <c r="D71" s="2"/>
      <c r="E71" s="48"/>
      <c r="F71" s="48"/>
      <c r="G71" s="27"/>
      <c r="H71" s="48"/>
      <c r="I71" s="48"/>
      <c r="J71" s="2"/>
      <c r="K71" s="2"/>
      <c r="L71" s="2"/>
      <c r="M71" s="2"/>
      <c r="N71" s="2"/>
      <c r="O71" s="2"/>
      <c r="P71" s="2"/>
      <c r="Q71" s="2"/>
      <c r="R71" s="20"/>
      <c r="S71" s="2"/>
      <c r="T71" s="2"/>
      <c r="U71" s="2"/>
    </row>
    <row r="72" spans="1:21" x14ac:dyDescent="0.3">
      <c r="A72" s="2"/>
      <c r="B72" s="19"/>
      <c r="C72" s="2" t="s">
        <v>156</v>
      </c>
      <c r="D72" s="11" t="s">
        <v>18</v>
      </c>
      <c r="E72" s="72">
        <f>E12</f>
        <v>0</v>
      </c>
      <c r="F72" s="72">
        <f>IFERROR(E72*$F$48/$E$48,0)</f>
        <v>0</v>
      </c>
      <c r="G72" s="77" t="s">
        <v>18</v>
      </c>
      <c r="H72" s="28">
        <f>H12</f>
        <v>0</v>
      </c>
      <c r="I72" s="28">
        <f>IFERROR(H72*$I$48/$H$48,0)</f>
        <v>0</v>
      </c>
      <c r="J72" s="22"/>
      <c r="K72" s="22"/>
      <c r="L72" s="22"/>
      <c r="M72" s="22"/>
      <c r="N72" s="2"/>
      <c r="O72" s="2"/>
      <c r="P72" s="2"/>
      <c r="Q72" s="2"/>
      <c r="R72" s="20"/>
      <c r="S72" s="2"/>
      <c r="T72" s="2"/>
      <c r="U72" s="2"/>
    </row>
    <row r="73" spans="1:21" x14ac:dyDescent="0.3">
      <c r="A73" s="2"/>
      <c r="B73" s="19"/>
      <c r="C73" s="2" t="s">
        <v>157</v>
      </c>
      <c r="D73" s="11" t="s">
        <v>19</v>
      </c>
      <c r="E73" s="72">
        <f>E21</f>
        <v>0</v>
      </c>
      <c r="F73" s="72">
        <f>IFERROR(E73*$F$48/$E$48,0)</f>
        <v>0</v>
      </c>
      <c r="G73" s="77" t="s">
        <v>19</v>
      </c>
      <c r="H73" s="28">
        <f>H21</f>
        <v>0</v>
      </c>
      <c r="I73" s="28">
        <f>IFERROR(H73*$I$48/$H$48,0)</f>
        <v>0</v>
      </c>
      <c r="J73" s="22"/>
      <c r="K73" s="22"/>
      <c r="L73" s="22"/>
      <c r="M73" s="22"/>
      <c r="N73" s="2"/>
      <c r="O73" s="2"/>
      <c r="P73" s="2"/>
      <c r="Q73" s="2"/>
      <c r="R73" s="20"/>
      <c r="S73" s="2"/>
      <c r="T73" s="2"/>
      <c r="U73" s="2"/>
    </row>
    <row customHeight="1" ht="3.75" r="74" spans="1:21" x14ac:dyDescent="0.3">
      <c r="A74" s="2"/>
      <c r="B74" s="19"/>
      <c r="C74" s="2"/>
      <c r="D74" s="2"/>
      <c r="E74" s="48"/>
      <c r="F74" s="48"/>
      <c r="G74" s="27"/>
      <c r="H74" s="48"/>
      <c r="I74" s="48"/>
      <c r="J74" s="2"/>
      <c r="K74" s="2"/>
      <c r="L74" s="2"/>
      <c r="M74" s="2"/>
      <c r="N74" s="2"/>
      <c r="O74" s="2"/>
      <c r="P74" s="2"/>
      <c r="Q74" s="2"/>
      <c r="R74" s="20"/>
      <c r="S74" s="2"/>
      <c r="T74" s="2"/>
      <c r="U74" s="2"/>
    </row>
    <row r="75" spans="1:21" x14ac:dyDescent="0.3">
      <c r="A75" s="2"/>
      <c r="B75" s="19"/>
      <c r="C75" s="39" t="s">
        <v>154</v>
      </c>
      <c r="D75" s="11"/>
      <c r="E75" s="67">
        <f>SUM(E72:E73)</f>
        <v>0</v>
      </c>
      <c r="F75" s="67">
        <v>100</v>
      </c>
      <c r="G75" s="27"/>
      <c r="H75" s="73">
        <f>SUM(H72:H73)</f>
        <v>0</v>
      </c>
      <c r="I75" s="73">
        <v>100</v>
      </c>
      <c r="J75" s="22"/>
      <c r="K75" s="22"/>
      <c r="L75" s="22"/>
      <c r="M75" s="22"/>
      <c r="N75" s="2"/>
      <c r="O75" s="2"/>
      <c r="P75" s="2"/>
      <c r="Q75" s="2"/>
      <c r="R75" s="20"/>
      <c r="S75" s="2"/>
      <c r="T75" s="2"/>
      <c r="U75" s="2"/>
    </row>
    <row customHeight="1" ht="3.75" r="76" spans="1:21" x14ac:dyDescent="0.3">
      <c r="A76" s="2"/>
      <c r="B76" s="19"/>
      <c r="C76" s="2"/>
      <c r="D76" s="2"/>
      <c r="E76" s="48"/>
      <c r="F76" s="48"/>
      <c r="G76" s="27"/>
      <c r="H76" s="48"/>
      <c r="I76" s="48"/>
      <c r="J76" s="2"/>
      <c r="K76" s="2"/>
      <c r="L76" s="2"/>
      <c r="M76" s="2"/>
      <c r="N76" s="2"/>
      <c r="O76" s="2"/>
      <c r="P76" s="2"/>
      <c r="Q76" s="2"/>
      <c r="R76" s="20"/>
      <c r="S76" s="2"/>
      <c r="T76" s="2"/>
      <c r="U76" s="2"/>
    </row>
    <row r="77" spans="1:21" x14ac:dyDescent="0.3">
      <c r="A77" s="2"/>
      <c r="B77" s="19"/>
      <c r="C77" s="21"/>
      <c r="D77" s="11"/>
      <c r="E77" s="48"/>
      <c r="F77" s="48"/>
      <c r="G77" s="27"/>
      <c r="H77" s="48"/>
      <c r="I77" s="48"/>
      <c r="J77" s="22"/>
      <c r="K77" s="22"/>
      <c r="L77" s="22"/>
      <c r="M77" s="22"/>
      <c r="N77" s="2"/>
      <c r="O77" s="2"/>
      <c r="P77" s="2"/>
      <c r="Q77" s="2"/>
      <c r="R77" s="20"/>
      <c r="S77" s="2"/>
      <c r="T77" s="2"/>
      <c r="U77" s="2"/>
    </row>
    <row customHeight="1" ht="3.75" r="78" spans="1:21" x14ac:dyDescent="0.3">
      <c r="A78" s="2"/>
      <c r="B78" s="19"/>
      <c r="C78" s="2"/>
      <c r="D78" s="2"/>
      <c r="E78" s="48"/>
      <c r="F78" s="48"/>
      <c r="G78" s="27"/>
      <c r="H78" s="48"/>
      <c r="I78" s="48"/>
      <c r="J78" s="2"/>
      <c r="K78" s="2"/>
      <c r="L78" s="2"/>
      <c r="M78" s="2"/>
      <c r="N78" s="2"/>
      <c r="O78" s="2"/>
      <c r="P78" s="2"/>
      <c r="Q78" s="2"/>
      <c r="R78" s="20"/>
      <c r="S78" s="2"/>
      <c r="T78" s="2"/>
      <c r="U78" s="2"/>
    </row>
    <row r="79" spans="1:21" x14ac:dyDescent="0.3">
      <c r="A79" s="2"/>
      <c r="B79" s="19"/>
      <c r="C79" s="21"/>
      <c r="D79" s="11"/>
      <c r="E79" s="48"/>
      <c r="F79" s="48"/>
      <c r="G79" s="27"/>
      <c r="H79" s="48"/>
      <c r="I79" s="48"/>
      <c r="J79" s="22"/>
      <c r="K79" s="22"/>
      <c r="L79" s="22"/>
      <c r="M79" s="22"/>
      <c r="N79" s="2"/>
      <c r="O79" s="2"/>
      <c r="P79" s="2"/>
      <c r="Q79" s="2"/>
      <c r="R79" s="20"/>
      <c r="S79" s="2"/>
      <c r="T79" s="2"/>
      <c r="U79" s="2"/>
    </row>
    <row customHeight="1" ht="3.75" r="80" spans="1:21" x14ac:dyDescent="0.3">
      <c r="A80" s="2"/>
      <c r="B80" s="19"/>
      <c r="C80" s="2"/>
      <c r="D80" s="2"/>
      <c r="E80" s="48"/>
      <c r="F80" s="48"/>
      <c r="G80" s="27"/>
      <c r="H80" s="48"/>
      <c r="I80" s="48"/>
      <c r="J80" s="2"/>
      <c r="K80" s="2"/>
      <c r="L80" s="2"/>
      <c r="M80" s="2"/>
      <c r="N80" s="2"/>
      <c r="O80" s="2"/>
      <c r="P80" s="2"/>
      <c r="Q80" s="2"/>
      <c r="R80" s="20"/>
      <c r="S80" s="2"/>
      <c r="T80" s="2"/>
      <c r="U80" s="2"/>
    </row>
    <row r="81" spans="1:21" x14ac:dyDescent="0.3">
      <c r="A81" s="2"/>
      <c r="B81" s="19"/>
      <c r="C81" s="21"/>
      <c r="D81" s="11"/>
      <c r="E81" s="48"/>
      <c r="F81" s="48"/>
      <c r="G81" s="27"/>
      <c r="H81" s="48"/>
      <c r="I81" s="48"/>
      <c r="J81" s="22"/>
      <c r="K81" s="22"/>
      <c r="L81" s="22"/>
      <c r="M81" s="22"/>
      <c r="N81" s="2"/>
      <c r="O81" s="2"/>
      <c r="P81" s="2"/>
      <c r="Q81" s="2"/>
      <c r="R81" s="20"/>
      <c r="S81" s="2"/>
      <c r="T81" s="2"/>
      <c r="U81" s="2"/>
    </row>
    <row customHeight="1" ht="3.75" r="82" spans="1:21" x14ac:dyDescent="0.3">
      <c r="A82" s="2"/>
      <c r="B82" s="19"/>
      <c r="C82" s="2"/>
      <c r="D82" s="2"/>
      <c r="E82" s="48"/>
      <c r="F82" s="48"/>
      <c r="G82" s="27"/>
      <c r="H82" s="48"/>
      <c r="I82" s="48"/>
      <c r="J82" s="2"/>
      <c r="K82" s="2"/>
      <c r="L82" s="2"/>
      <c r="M82" s="2"/>
      <c r="N82" s="2"/>
      <c r="O82" s="2"/>
      <c r="P82" s="2"/>
      <c r="Q82" s="2"/>
      <c r="R82" s="20"/>
      <c r="S82" s="2"/>
      <c r="T82" s="2"/>
      <c r="U82" s="2"/>
    </row>
    <row r="83" spans="1:21" x14ac:dyDescent="0.3">
      <c r="A83" s="2"/>
      <c r="B83" s="19"/>
      <c r="C83" s="21"/>
      <c r="D83" s="11"/>
      <c r="E83" s="48"/>
      <c r="F83" s="48"/>
      <c r="G83" s="27"/>
      <c r="H83" s="48"/>
      <c r="I83" s="48"/>
      <c r="J83" s="22"/>
      <c r="K83" s="22"/>
      <c r="L83" s="22"/>
      <c r="M83" s="22"/>
      <c r="N83" s="2"/>
      <c r="O83" s="2"/>
      <c r="P83" s="2"/>
      <c r="Q83" s="2"/>
      <c r="R83" s="20"/>
      <c r="S83" s="2"/>
      <c r="T83" s="2"/>
      <c r="U83" s="2"/>
    </row>
    <row customHeight="1" ht="3.75" r="84" spans="1:21" x14ac:dyDescent="0.3">
      <c r="A84" s="2"/>
      <c r="B84" s="19"/>
      <c r="C84" s="2"/>
      <c r="D84" s="2"/>
      <c r="E84" s="48"/>
      <c r="F84" s="48"/>
      <c r="G84" s="27"/>
      <c r="H84" s="48"/>
      <c r="I84" s="48"/>
      <c r="J84" s="2"/>
      <c r="K84" s="2"/>
      <c r="L84" s="2"/>
      <c r="M84" s="2"/>
      <c r="N84" s="2"/>
      <c r="O84" s="2"/>
      <c r="P84" s="2"/>
      <c r="Q84" s="2"/>
      <c r="R84" s="20"/>
      <c r="S84" s="2"/>
      <c r="T84" s="2"/>
      <c r="U84" s="2"/>
    </row>
    <row r="85" spans="1:21" x14ac:dyDescent="0.3">
      <c r="A85" s="2"/>
      <c r="B85" s="19"/>
      <c r="C85" s="21"/>
      <c r="D85" s="11"/>
      <c r="E85" s="48"/>
      <c r="F85" s="48"/>
      <c r="G85" s="27"/>
      <c r="H85" s="48"/>
      <c r="I85" s="48"/>
      <c r="J85" s="22"/>
      <c r="K85" s="22"/>
      <c r="L85" s="22"/>
      <c r="M85" s="22"/>
      <c r="N85" s="2"/>
      <c r="O85" s="2"/>
      <c r="P85" s="2"/>
      <c r="Q85" s="2"/>
      <c r="R85" s="20"/>
      <c r="S85" s="2"/>
      <c r="T85" s="2"/>
      <c r="U85" s="2"/>
    </row>
    <row customHeight="1" ht="3.75" r="86" spans="1:21" x14ac:dyDescent="0.3">
      <c r="A86" s="2"/>
      <c r="B86" s="19"/>
      <c r="C86" s="2"/>
      <c r="D86" s="2"/>
      <c r="E86" s="48"/>
      <c r="F86" s="48"/>
      <c r="G86" s="27"/>
      <c r="H86" s="48"/>
      <c r="I86" s="48"/>
      <c r="J86" s="2"/>
      <c r="K86" s="2"/>
      <c r="L86" s="2"/>
      <c r="M86" s="2"/>
      <c r="N86" s="2"/>
      <c r="O86" s="2"/>
      <c r="P86" s="2"/>
      <c r="Q86" s="2"/>
      <c r="R86" s="20"/>
      <c r="S86" s="2"/>
      <c r="T86" s="2"/>
      <c r="U86" s="2"/>
    </row>
    <row r="87" spans="1:21" x14ac:dyDescent="0.3">
      <c r="A87" s="2"/>
      <c r="B87" s="19"/>
      <c r="C87" s="21"/>
      <c r="D87" s="11"/>
      <c r="E87" s="48"/>
      <c r="F87" s="48"/>
      <c r="G87" s="27"/>
      <c r="H87" s="48"/>
      <c r="I87" s="48"/>
      <c r="J87" s="22"/>
      <c r="K87" s="22"/>
      <c r="L87" s="22"/>
      <c r="M87" s="22"/>
      <c r="N87" s="2"/>
      <c r="O87" s="2"/>
      <c r="P87" s="2"/>
      <c r="Q87" s="2"/>
      <c r="R87" s="20"/>
      <c r="S87" s="2"/>
      <c r="T87" s="2"/>
      <c r="U87" s="2"/>
    </row>
    <row r="88" spans="1:21" x14ac:dyDescent="0.3">
      <c r="A88" s="2"/>
      <c r="B88" s="19"/>
      <c r="C88" s="2"/>
      <c r="D88" s="2"/>
      <c r="E88" s="48"/>
      <c r="F88" s="48"/>
      <c r="G88" s="27"/>
      <c r="H88" s="48"/>
      <c r="I88" s="48"/>
      <c r="J88" s="2"/>
      <c r="K88" s="2"/>
      <c r="L88" s="2"/>
      <c r="M88" s="2"/>
      <c r="N88" s="2"/>
      <c r="O88" s="2"/>
      <c r="P88" s="2"/>
      <c r="Q88" s="2"/>
      <c r="R88" s="20"/>
      <c r="S88" s="2"/>
      <c r="T88" s="2"/>
      <c r="U88" s="2"/>
    </row>
    <row r="89" spans="1:21" x14ac:dyDescent="0.3">
      <c r="A89" s="2"/>
      <c r="B89" s="19"/>
      <c r="D89" s="2"/>
      <c r="E89" s="48"/>
      <c r="F89" s="48"/>
      <c r="G89" s="27"/>
      <c r="H89" s="48"/>
      <c r="I89" s="48"/>
      <c r="J89" s="2"/>
      <c r="K89" s="2"/>
      <c r="L89" s="2"/>
      <c r="M89" s="2"/>
      <c r="N89" s="2"/>
      <c r="O89" s="2"/>
      <c r="P89" s="2"/>
      <c r="Q89" s="2"/>
      <c r="R89" s="20"/>
      <c r="S89" s="2"/>
      <c r="T89" s="2"/>
      <c r="U89" s="2"/>
    </row>
    <row r="90" spans="1:21" x14ac:dyDescent="0.3">
      <c r="A90" s="2"/>
      <c r="B90" s="19"/>
      <c r="C90" s="2"/>
      <c r="D90" s="2"/>
      <c r="E90" s="48"/>
      <c r="F90" s="48"/>
      <c r="G90" s="27"/>
      <c r="H90" s="48"/>
      <c r="I90" s="48"/>
      <c r="J90" s="2"/>
      <c r="K90" s="2"/>
      <c r="L90" s="2"/>
      <c r="M90" s="2"/>
      <c r="N90" s="2"/>
      <c r="O90" s="2"/>
      <c r="P90" s="2"/>
      <c r="Q90" s="2"/>
      <c r="R90" s="20"/>
      <c r="S90" s="2"/>
      <c r="T90" s="2"/>
      <c r="U90" s="2"/>
    </row>
    <row customHeight="1" ht="20.100000000000001" r="91" spans="1:21" x14ac:dyDescent="0.3">
      <c r="A91" s="2"/>
      <c r="B91" s="19"/>
      <c r="C91" s="8" t="s">
        <v>275</v>
      </c>
      <c r="D91" s="8"/>
      <c r="E91" s="97" t="s">
        <v>273</v>
      </c>
      <c r="F91" s="97"/>
      <c r="G91" s="76"/>
      <c r="H91" s="90" t="s">
        <v>287</v>
      </c>
      <c r="I91" s="99" t="str">
        <f>DE!$AJ$2</f>
        <v>08/01/2024</v>
      </c>
      <c r="J91" s="27"/>
      <c r="K91" s="27"/>
      <c r="L91" s="27"/>
      <c r="M91" s="27"/>
      <c r="N91" s="2"/>
      <c r="O91" s="2"/>
      <c r="P91" s="2"/>
      <c r="Q91" s="2"/>
      <c r="R91" s="20"/>
      <c r="S91" s="2"/>
      <c r="T91" s="2"/>
      <c r="U91" s="2"/>
    </row>
    <row r="92" spans="1:21" x14ac:dyDescent="0.3">
      <c r="A92" s="2"/>
      <c r="B92" s="19"/>
      <c r="C92" s="2"/>
      <c r="D92" s="2"/>
      <c r="E92" s="55"/>
      <c r="F92" s="55"/>
      <c r="G92" s="27"/>
      <c r="H92" s="55"/>
      <c r="I92" s="55"/>
      <c r="J92" s="2"/>
      <c r="K92" s="2"/>
      <c r="L92" s="2"/>
      <c r="M92" s="2"/>
      <c r="N92" s="2"/>
      <c r="O92" s="2"/>
      <c r="P92" s="2"/>
      <c r="Q92" s="2"/>
      <c r="R92" s="20"/>
      <c r="S92" s="2"/>
      <c r="T92" s="2"/>
      <c r="U92" s="2"/>
    </row>
    <row r="93" spans="1:21" x14ac:dyDescent="0.3">
      <c r="A93" s="2"/>
      <c r="B93" s="19"/>
      <c r="C93" s="2" t="s">
        <v>166</v>
      </c>
      <c r="D93" s="2"/>
      <c r="E93" s="72">
        <f>IFERROR('Zeharkako kostuak'!H15/'Ibilgailuaren Ezaugarriak'!J23,0)</f>
        <v>0</v>
      </c>
      <c r="G93" s="27"/>
      <c r="H93" s="28">
        <f>IFERROR('Zeharkako kostuak'!J15/'Ibilgailuaren Ezaugarriak'!L23,0)</f>
        <v>0</v>
      </c>
      <c r="J93" s="2"/>
      <c r="K93" s="2"/>
      <c r="L93" s="2"/>
      <c r="M93" s="2"/>
      <c r="N93" s="2"/>
      <c r="O93" s="2"/>
      <c r="P93" s="2"/>
      <c r="Q93" s="2"/>
      <c r="R93" s="20"/>
      <c r="S93" s="2"/>
      <c r="T93" s="2"/>
      <c r="U93" s="2"/>
    </row>
    <row r="94" spans="1:21" x14ac:dyDescent="0.3">
      <c r="A94" s="2"/>
      <c r="B94" s="19"/>
      <c r="C94" s="2" t="s">
        <v>167</v>
      </c>
      <c r="D94" s="2"/>
      <c r="E94" s="72">
        <f>IFERROR('Zeharkako kostuak'!H15/'Ibilgailuaren Ezaugarriak'!J29,0)</f>
        <v>0</v>
      </c>
      <c r="F94" s="28"/>
      <c r="G94" s="27"/>
      <c r="H94" s="28">
        <f>IFERROR('Zeharkako kostuak'!J15/'Ibilgailuaren Ezaugarriak'!L29,0)</f>
        <v>0</v>
      </c>
      <c r="I94" s="28"/>
      <c r="J94" s="2"/>
      <c r="K94" s="2"/>
      <c r="L94" s="2"/>
      <c r="M94" s="2"/>
      <c r="N94" s="2"/>
      <c r="O94" s="2"/>
      <c r="P94" s="2"/>
      <c r="Q94" s="2"/>
      <c r="R94" s="20"/>
      <c r="S94" s="2"/>
      <c r="T94" s="2"/>
      <c r="U94" s="2"/>
    </row>
    <row r="95" spans="1:21" x14ac:dyDescent="0.3">
      <c r="A95" s="2"/>
      <c r="B95" s="19"/>
      <c r="C95" s="2" t="s">
        <v>159</v>
      </c>
      <c r="D95" s="2"/>
      <c r="E95" s="72">
        <f>IFERROR('Zeharkako kostuak'!H15/'Ibilgailuaren Ezaugarriak'!J25,0)</f>
        <v>0</v>
      </c>
      <c r="F95" s="28"/>
      <c r="G95" s="27"/>
      <c r="H95" s="28">
        <f>IFERROR('Zeharkako kostuak'!J15/'Ibilgailuaren Ezaugarriak'!L25,0)</f>
        <v>0</v>
      </c>
      <c r="I95" s="28"/>
      <c r="J95" s="2"/>
      <c r="K95" s="2"/>
      <c r="L95" s="2"/>
      <c r="M95" s="2"/>
      <c r="N95" s="2"/>
      <c r="O95" s="2"/>
      <c r="P95" s="2"/>
      <c r="Q95" s="2"/>
      <c r="R95" s="20"/>
      <c r="S95" s="2"/>
      <c r="T95" s="2"/>
      <c r="U95" s="2"/>
    </row>
    <row r="96" spans="1:21" x14ac:dyDescent="0.3">
      <c r="A96" s="2"/>
      <c r="B96" s="19"/>
      <c r="C96" s="2" t="s">
        <v>160</v>
      </c>
      <c r="D96" s="2"/>
      <c r="E96" s="72">
        <f>IFERROR('Zeharkako kostuak'!H15/'Ibilgailuaren Ezaugarriak'!J31,0)</f>
        <v>0</v>
      </c>
      <c r="G96" s="27"/>
      <c r="H96" s="28">
        <f>IFERROR('Zeharkako kostuak'!J15/'Ibilgailuaren Ezaugarriak'!L31,0)</f>
        <v>0</v>
      </c>
      <c r="J96" s="2"/>
      <c r="K96" s="2"/>
      <c r="L96" s="2"/>
      <c r="M96" s="2"/>
      <c r="N96" s="2"/>
      <c r="O96" s="2"/>
      <c r="P96" s="2"/>
      <c r="Q96" s="2"/>
      <c r="R96" s="20"/>
      <c r="S96" s="2"/>
      <c r="T96" s="2"/>
      <c r="U96" s="2"/>
    </row>
    <row r="97" spans="1:21" x14ac:dyDescent="0.3">
      <c r="A97" s="2"/>
      <c r="B97" s="19"/>
      <c r="C97" s="2" t="s">
        <v>161</v>
      </c>
      <c r="D97" s="2"/>
      <c r="E97" s="72">
        <f>IFERROR(E73/'Ibilgailuaren Ezaugarriak'!J23,0)</f>
        <v>0</v>
      </c>
      <c r="F97" s="28"/>
      <c r="G97" s="27"/>
      <c r="H97" s="28">
        <f>IFERROR(H73/'Ibilgailuaren Ezaugarriak'!L23,0)</f>
        <v>0</v>
      </c>
      <c r="I97" s="28"/>
      <c r="J97" s="2"/>
      <c r="K97" s="2"/>
      <c r="L97" s="2"/>
      <c r="M97" s="2"/>
      <c r="N97" s="2"/>
      <c r="O97" s="2"/>
      <c r="P97" s="2"/>
      <c r="Q97" s="2"/>
      <c r="R97" s="20"/>
      <c r="S97" s="2"/>
      <c r="T97" s="2"/>
      <c r="U97" s="2"/>
    </row>
    <row r="98" spans="1:21" x14ac:dyDescent="0.3">
      <c r="A98" s="2"/>
      <c r="B98" s="19"/>
      <c r="C98" s="2" t="s">
        <v>162</v>
      </c>
      <c r="D98" s="2"/>
      <c r="E98" s="72">
        <f>IFERROR(E73/'Ibilgailuaren Ezaugarriak'!J25,0)</f>
        <v>0</v>
      </c>
      <c r="F98" s="28"/>
      <c r="G98" s="27"/>
      <c r="H98" s="28">
        <f>IFERROR(H73/'Ibilgailuaren Ezaugarriak'!L25,0)</f>
        <v>0</v>
      </c>
      <c r="I98" s="28"/>
      <c r="J98" s="2"/>
      <c r="K98" s="2"/>
      <c r="L98" s="2"/>
      <c r="M98" s="2"/>
      <c r="N98" s="2"/>
      <c r="O98" s="2"/>
      <c r="P98" s="2"/>
      <c r="Q98" s="2"/>
      <c r="R98" s="20"/>
      <c r="S98" s="2"/>
      <c r="T98" s="2"/>
      <c r="U98" s="2"/>
    </row>
    <row r="99" spans="1:21" x14ac:dyDescent="0.3">
      <c r="A99" s="2"/>
      <c r="B99" s="19"/>
      <c r="C99" s="2" t="s">
        <v>163</v>
      </c>
      <c r="D99" s="2"/>
      <c r="E99" s="72">
        <f>IFERROR(E72/'Ibilgailuaren Ezaugarriak'!J29,0)</f>
        <v>0</v>
      </c>
      <c r="F99" s="28"/>
      <c r="G99" s="27"/>
      <c r="H99" s="28">
        <f>IFERROR(H72/'Ibilgailuaren Ezaugarriak'!L29,0)</f>
        <v>0</v>
      </c>
      <c r="I99" s="28"/>
      <c r="J99" s="2"/>
      <c r="K99" s="2"/>
      <c r="L99" s="2"/>
      <c r="M99" s="2"/>
      <c r="N99" s="2"/>
      <c r="O99" s="2"/>
      <c r="P99" s="2"/>
      <c r="Q99" s="2"/>
      <c r="R99" s="20"/>
      <c r="S99" s="2"/>
      <c r="T99" s="2"/>
      <c r="U99" s="2"/>
    </row>
    <row r="100" spans="1:21" x14ac:dyDescent="0.3">
      <c r="A100" s="2"/>
      <c r="B100" s="19"/>
      <c r="C100" s="2" t="s">
        <v>164</v>
      </c>
      <c r="D100" s="2"/>
      <c r="E100" s="72">
        <f>IFERROR(E72/'Ibilgailuaren Ezaugarriak'!J31,0)</f>
        <v>0</v>
      </c>
      <c r="F100" s="28"/>
      <c r="G100" s="27"/>
      <c r="H100" s="28">
        <f>IFERROR(H72/'Ibilgailuaren Ezaugarriak'!L31,0)</f>
        <v>0</v>
      </c>
      <c r="I100" s="28"/>
      <c r="J100" s="2"/>
      <c r="K100" s="2"/>
      <c r="L100" s="2"/>
      <c r="M100" s="2"/>
      <c r="N100" s="2"/>
      <c r="O100" s="2"/>
      <c r="P100" s="2"/>
      <c r="Q100" s="2"/>
      <c r="R100" s="20"/>
      <c r="S100" s="2"/>
      <c r="T100" s="2"/>
      <c r="U100" s="2"/>
    </row>
    <row r="101" spans="1:21" x14ac:dyDescent="0.3">
      <c r="A101" s="2"/>
      <c r="B101" s="19"/>
      <c r="C101" s="2" t="s">
        <v>165</v>
      </c>
      <c r="D101" s="2"/>
      <c r="E101" s="72">
        <f>IFERROR('Zeharkako kostuak'!H15/'Ibilgailuaren Ezaugarriak'!J35/'Ibilgailuaren Ezaugarriak'!J37,0)</f>
        <v>0</v>
      </c>
      <c r="F101" s="28"/>
      <c r="G101" s="27"/>
      <c r="H101" s="28">
        <f>IFERROR('Zeharkako kostuak'!J15/'Ibilgailuaren Ezaugarriak'!L35/'Ibilgailuaren Ezaugarriak'!L37,0)</f>
        <v>0</v>
      </c>
      <c r="I101" s="28"/>
      <c r="J101" s="2"/>
      <c r="K101" s="2"/>
      <c r="L101" s="2"/>
      <c r="M101" s="2"/>
      <c r="N101" s="2"/>
      <c r="O101" s="2"/>
      <c r="P101" s="2"/>
      <c r="Q101" s="2"/>
      <c r="R101" s="20"/>
      <c r="S101" s="2"/>
      <c r="T101" s="2"/>
      <c r="U101" s="2"/>
    </row>
    <row r="102" spans="1:21" x14ac:dyDescent="0.3">
      <c r="A102" s="2"/>
      <c r="B102" s="19"/>
      <c r="C102" s="2"/>
      <c r="D102" s="2"/>
      <c r="E102" s="48"/>
      <c r="F102" s="48"/>
      <c r="G102" s="27"/>
      <c r="H102" s="48"/>
      <c r="I102" s="48"/>
      <c r="J102" s="2"/>
      <c r="K102" s="2"/>
      <c r="L102" s="2"/>
      <c r="M102" s="2"/>
      <c r="N102" s="2"/>
      <c r="O102" s="2"/>
      <c r="P102" s="2"/>
      <c r="Q102" s="2"/>
      <c r="R102" s="20"/>
      <c r="S102" s="2"/>
      <c r="T102" s="2"/>
      <c r="U102" s="2"/>
    </row>
    <row r="103" spans="1:21" x14ac:dyDescent="0.3">
      <c r="A103" s="2"/>
      <c r="B103" s="23"/>
      <c r="C103" s="24"/>
      <c r="D103" s="24"/>
      <c r="E103" s="65"/>
      <c r="F103" s="65"/>
      <c r="G103" s="78"/>
      <c r="H103" s="65"/>
      <c r="I103" s="65"/>
      <c r="J103" s="24"/>
      <c r="K103" s="24"/>
      <c r="L103" s="24"/>
      <c r="M103" s="24"/>
      <c r="N103" s="24"/>
      <c r="O103" s="24"/>
      <c r="P103" s="24"/>
      <c r="Q103" s="24"/>
      <c r="R103" s="25"/>
      <c r="S103" s="2"/>
      <c r="T103" s="2"/>
      <c r="U103" s="2"/>
    </row>
    <row r="104" spans="1:21" x14ac:dyDescent="0.3">
      <c r="A104" s="2"/>
      <c r="B104" s="2"/>
      <c r="C104" s="2"/>
      <c r="D104" s="2"/>
      <c r="E104" s="48"/>
      <c r="F104" s="48"/>
      <c r="G104" s="27"/>
      <c r="H104" s="48"/>
      <c r="I104" s="48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x14ac:dyDescent="0.3">
      <c r="A105" s="2"/>
      <c r="B105" s="2"/>
      <c r="C105" s="2"/>
      <c r="D105" s="2"/>
      <c r="E105" s="48"/>
      <c r="F105" s="48"/>
      <c r="G105" s="27"/>
      <c r="H105" s="48"/>
      <c r="I105" s="48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x14ac:dyDescent="0.3">
      <c r="A106" s="2"/>
      <c r="B106" s="2"/>
      <c r="C106" s="2"/>
      <c r="D106" s="2"/>
      <c r="E106" s="48"/>
      <c r="F106" s="48"/>
      <c r="G106" s="27"/>
      <c r="H106" s="48"/>
      <c r="I106" s="48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x14ac:dyDescent="0.3">
      <c r="A107" s="2"/>
      <c r="B107" s="2"/>
      <c r="C107" s="2"/>
      <c r="D107" s="2"/>
      <c r="E107" s="48"/>
      <c r="F107" s="48"/>
      <c r="G107" s="27"/>
      <c r="H107" s="48"/>
      <c r="I107" s="48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x14ac:dyDescent="0.3">
      <c r="A108" s="2"/>
      <c r="B108" s="2"/>
      <c r="C108" s="2"/>
      <c r="D108" s="2"/>
      <c r="E108" s="48"/>
      <c r="F108" s="48"/>
      <c r="G108" s="27"/>
      <c r="H108" s="48"/>
      <c r="I108" s="48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x14ac:dyDescent="0.3">
      <c r="A109" s="2"/>
      <c r="B109" s="2"/>
      <c r="C109" s="2"/>
      <c r="D109" s="2"/>
      <c r="E109" s="48"/>
      <c r="F109" s="48"/>
      <c r="G109" s="27"/>
      <c r="H109" s="48"/>
      <c r="I109" s="48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x14ac:dyDescent="0.3">
      <c r="A110" s="2"/>
      <c r="B110" s="2"/>
      <c r="C110" s="2"/>
      <c r="D110" s="2"/>
      <c r="E110" s="48"/>
      <c r="F110" s="48"/>
      <c r="G110" s="27"/>
      <c r="H110" s="48"/>
      <c r="I110" s="48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x14ac:dyDescent="0.3">
      <c r="A111" s="2"/>
      <c r="B111" s="2"/>
      <c r="C111" s="2"/>
      <c r="D111" s="2"/>
      <c r="E111" s="48"/>
      <c r="F111" s="48"/>
      <c r="G111" s="27"/>
      <c r="H111" s="48"/>
      <c r="I111" s="48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x14ac:dyDescent="0.3">
      <c r="A112" s="2"/>
      <c r="B112" s="2"/>
      <c r="C112" s="2"/>
      <c r="D112" s="2"/>
      <c r="E112" s="48"/>
      <c r="F112" s="48"/>
      <c r="G112" s="27"/>
      <c r="H112" s="48"/>
      <c r="I112" s="48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x14ac:dyDescent="0.3">
      <c r="A113" s="2"/>
      <c r="B113" s="2"/>
      <c r="C113" s="2"/>
      <c r="D113" s="2"/>
      <c r="E113" s="48"/>
      <c r="F113" s="48"/>
      <c r="G113" s="27"/>
      <c r="H113" s="48"/>
      <c r="I113" s="48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x14ac:dyDescent="0.3">
      <c r="A114" s="2"/>
      <c r="B114" s="2"/>
      <c r="C114" s="2"/>
      <c r="D114" s="2"/>
      <c r="E114" s="48"/>
      <c r="F114" s="48"/>
      <c r="G114" s="27"/>
      <c r="H114" s="48"/>
      <c r="I114" s="48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x14ac:dyDescent="0.3">
      <c r="A115" s="2"/>
      <c r="B115" s="2"/>
      <c r="C115" s="2"/>
      <c r="D115" s="2"/>
      <c r="E115" s="48"/>
      <c r="F115" s="48"/>
      <c r="G115" s="27"/>
      <c r="H115" s="48"/>
      <c r="I115" s="48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x14ac:dyDescent="0.3">
      <c r="A116" s="2"/>
      <c r="B116" s="2"/>
      <c r="C116" s="2"/>
      <c r="D116" s="2"/>
      <c r="E116" s="48"/>
      <c r="F116" s="48"/>
      <c r="G116" s="27"/>
      <c r="H116" s="48"/>
      <c r="I116" s="48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x14ac:dyDescent="0.3">
      <c r="A117" s="2"/>
      <c r="B117" s="2"/>
      <c r="C117" s="2"/>
      <c r="D117" s="2"/>
      <c r="E117" s="48"/>
      <c r="F117" s="48"/>
      <c r="G117" s="27"/>
      <c r="H117" s="48"/>
      <c r="I117" s="48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x14ac:dyDescent="0.3">
      <c r="A118" s="2"/>
      <c r="B118" s="2"/>
      <c r="C118" s="2"/>
      <c r="D118" s="2"/>
      <c r="E118" s="48"/>
      <c r="F118" s="48"/>
      <c r="G118" s="27"/>
      <c r="H118" s="48"/>
      <c r="I118" s="48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x14ac:dyDescent="0.3">
      <c r="A119" s="2"/>
      <c r="B119" s="2"/>
      <c r="C119" s="2"/>
      <c r="D119" s="2"/>
      <c r="E119" s="48"/>
      <c r="F119" s="48"/>
      <c r="G119" s="27"/>
      <c r="H119" s="48"/>
      <c r="I119" s="48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x14ac:dyDescent="0.3">
      <c r="A120" s="2"/>
      <c r="B120" s="2"/>
      <c r="C120" s="2"/>
      <c r="D120" s="2"/>
      <c r="E120" s="48"/>
      <c r="F120" s="48"/>
      <c r="G120" s="27"/>
      <c r="H120" s="48"/>
      <c r="I120" s="48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x14ac:dyDescent="0.3">
      <c r="A121" s="2"/>
      <c r="B121" s="2"/>
      <c r="C121" s="2"/>
      <c r="D121" s="2"/>
      <c r="E121" s="48"/>
      <c r="F121" s="48"/>
      <c r="G121" s="27"/>
      <c r="H121" s="48"/>
      <c r="I121" s="48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x14ac:dyDescent="0.3">
      <c r="A122" s="2"/>
      <c r="B122" s="2"/>
      <c r="C122" s="2"/>
      <c r="D122" s="2"/>
      <c r="E122" s="48"/>
      <c r="F122" s="48"/>
      <c r="G122" s="27"/>
      <c r="H122" s="48"/>
      <c r="I122" s="48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x14ac:dyDescent="0.3">
      <c r="A123" s="2"/>
      <c r="B123" s="2"/>
      <c r="C123" s="2"/>
      <c r="D123" s="2"/>
      <c r="E123" s="48"/>
      <c r="F123" s="48"/>
      <c r="G123" s="27"/>
      <c r="H123" s="48"/>
      <c r="I123" s="48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x14ac:dyDescent="0.3">
      <c r="A124" s="2"/>
      <c r="B124" s="2"/>
      <c r="C124" s="2"/>
      <c r="D124" s="2"/>
      <c r="E124" s="48"/>
      <c r="F124" s="48"/>
      <c r="G124" s="27"/>
      <c r="H124" s="48"/>
      <c r="I124" s="48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x14ac:dyDescent="0.3">
      <c r="A125" s="2"/>
      <c r="B125" s="2"/>
      <c r="C125" s="2"/>
      <c r="D125" s="2"/>
      <c r="E125" s="48"/>
      <c r="F125" s="48"/>
      <c r="G125" s="27"/>
      <c r="H125" s="48"/>
      <c r="I125" s="48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x14ac:dyDescent="0.3">
      <c r="A126" s="2"/>
      <c r="B126" s="2"/>
      <c r="C126" s="2"/>
      <c r="D126" s="2"/>
      <c r="E126" s="48"/>
      <c r="F126" s="48"/>
      <c r="G126" s="27"/>
      <c r="H126" s="48"/>
      <c r="I126" s="48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x14ac:dyDescent="0.3">
      <c r="A127" s="2"/>
      <c r="B127" s="2"/>
      <c r="C127" s="2"/>
      <c r="D127" s="2"/>
      <c r="E127" s="48"/>
      <c r="F127" s="48"/>
      <c r="G127" s="27"/>
      <c r="H127" s="48"/>
      <c r="I127" s="48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x14ac:dyDescent="0.3">
      <c r="A128" s="2"/>
      <c r="B128" s="2"/>
      <c r="C128" s="2"/>
      <c r="D128" s="2"/>
      <c r="E128" s="48"/>
      <c r="F128" s="48"/>
      <c r="G128" s="27"/>
      <c r="H128" s="48"/>
      <c r="I128" s="48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</sheetData>
  <sheetProtection selectLockedCells="1" selectUnlockedCells="1"/>
  <mergeCells count="4">
    <mergeCell ref="E9:F9"/>
    <mergeCell ref="E91:F91"/>
    <mergeCell ref="E41:F41"/>
    <mergeCell ref="E68:F68"/>
  </mergeCells>
  <pageMargins bottom="0.75" footer="0.3" header="0.3" left="0.7" right="0.7" top="0.75"/>
  <pageSetup orientation="portrait" paperSize="9" r:id="rId1"/>
  <drawing r:id="rId2"/>
</worksheet>
</file>

<file path=xl/worksheets/sheet1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S56"/>
  <sheetViews>
    <sheetView workbookViewId="0">
      <selection activeCell="H11" sqref="H11:K11"/>
    </sheetView>
  </sheetViews>
  <sheetFormatPr baseColWidth="10" defaultColWidth="11.44140625" defaultRowHeight="14.4" x14ac:dyDescent="0.3"/>
  <cols>
    <col min="1" max="2" customWidth="true" width="5.6640625" collapsed="true"/>
    <col min="3" max="3" customWidth="true" width="40.6640625" collapsed="true"/>
    <col min="4" max="5" customWidth="true" width="5.6640625" collapsed="true"/>
    <col min="6" max="6" customWidth="true" style="47" width="5.6640625" collapsed="true"/>
    <col min="7" max="7" customWidth="true" style="47" width="10.0" collapsed="true"/>
    <col min="8" max="8" customWidth="true" style="47" width="15.6640625" collapsed="true"/>
    <col min="9" max="9" customWidth="true" width="5.6640625" collapsed="true"/>
    <col min="10" max="11" customWidth="true" width="10.6640625" collapsed="true"/>
    <col min="12" max="14" customWidth="true" width="5.6640625" collapsed="true"/>
  </cols>
  <sheetData>
    <row r="1" spans="1:19" x14ac:dyDescent="0.3">
      <c r="A1" s="2"/>
      <c r="B1" s="2"/>
      <c r="C1" s="2"/>
      <c r="D1" s="2"/>
      <c r="E1" s="2"/>
      <c r="F1" s="48"/>
      <c r="G1" s="48"/>
      <c r="H1" s="48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3">
      <c r="A2" s="2"/>
      <c r="B2" s="2"/>
      <c r="C2" s="2"/>
      <c r="D2" s="2"/>
      <c r="E2" s="2"/>
      <c r="F2" s="48"/>
      <c r="G2" s="48"/>
      <c r="H2" s="48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3">
      <c r="A3" s="2"/>
      <c r="B3" s="2"/>
      <c r="C3" s="2"/>
      <c r="D3" s="2"/>
      <c r="E3" s="2"/>
      <c r="F3" s="48"/>
      <c r="G3" s="48"/>
      <c r="H3" s="48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3">
      <c r="A4" s="2"/>
      <c r="B4" s="2"/>
      <c r="C4" s="2"/>
      <c r="D4" s="2"/>
      <c r="E4" s="2"/>
      <c r="F4" s="48"/>
      <c r="G4" s="48"/>
      <c r="H4" s="48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x14ac:dyDescent="0.3">
      <c r="A5" s="2"/>
      <c r="B5" s="2"/>
      <c r="C5" s="38"/>
      <c r="D5" s="2"/>
      <c r="E5" s="2"/>
      <c r="F5" s="48"/>
      <c r="G5" s="48"/>
      <c r="H5" s="48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ht="23.4" r="6" spans="1:19" x14ac:dyDescent="0.45">
      <c r="A6" s="2"/>
      <c r="B6" s="2"/>
      <c r="C6" s="3" t="s">
        <v>132</v>
      </c>
      <c r="D6" s="2"/>
      <c r="E6" s="2"/>
      <c r="F6" s="48"/>
      <c r="G6" s="48"/>
      <c r="H6" s="48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customHeight="1" ht="9" r="7" spans="1:19" x14ac:dyDescent="0.3">
      <c r="A7" s="2"/>
      <c r="B7" s="2"/>
      <c r="C7" s="2"/>
      <c r="D7" s="2"/>
      <c r="E7" s="2"/>
      <c r="F7" s="48"/>
      <c r="G7" s="48"/>
      <c r="H7" s="48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x14ac:dyDescent="0.3">
      <c r="A8" s="2"/>
      <c r="B8" s="17"/>
      <c r="C8" s="5"/>
      <c r="D8" s="5"/>
      <c r="E8" s="5"/>
      <c r="F8" s="49"/>
      <c r="G8" s="49"/>
      <c r="H8" s="49"/>
      <c r="I8" s="5"/>
      <c r="J8" s="5"/>
      <c r="K8" s="5"/>
      <c r="L8" s="5"/>
      <c r="M8" s="18"/>
      <c r="N8" s="2"/>
      <c r="O8" s="2"/>
      <c r="P8" s="2"/>
      <c r="Q8" s="2"/>
      <c r="R8" s="2"/>
      <c r="S8" s="2"/>
    </row>
    <row customHeight="1" ht="21.75" r="9" spans="1:19" x14ac:dyDescent="0.3">
      <c r="A9" s="2"/>
      <c r="B9" s="19"/>
      <c r="C9" s="8" t="s">
        <v>119</v>
      </c>
      <c r="D9" s="9"/>
      <c r="E9" s="9"/>
      <c r="F9" s="50"/>
      <c r="G9" s="50"/>
      <c r="H9" s="51"/>
      <c r="I9" s="9"/>
      <c r="J9" s="8"/>
      <c r="K9" s="9"/>
      <c r="L9" s="9"/>
      <c r="M9" s="20"/>
      <c r="N9" s="2"/>
      <c r="O9" s="2"/>
      <c r="P9" s="2"/>
      <c r="Q9" s="2"/>
      <c r="R9" s="2"/>
      <c r="S9" s="2"/>
    </row>
    <row customHeight="1" ht="18" r="10" spans="1:19" x14ac:dyDescent="0.3">
      <c r="A10" s="2"/>
      <c r="B10" s="19"/>
      <c r="C10" s="2"/>
      <c r="D10" s="2"/>
      <c r="E10" s="2"/>
      <c r="F10" s="48"/>
      <c r="G10" s="48"/>
      <c r="H10" s="48"/>
      <c r="I10" s="2"/>
      <c r="J10" s="2"/>
      <c r="K10" s="2"/>
      <c r="L10" s="2"/>
      <c r="M10" s="20"/>
      <c r="N10" s="2"/>
      <c r="O10" s="2"/>
      <c r="P10" s="2"/>
      <c r="Q10" s="2"/>
      <c r="R10" s="2"/>
      <c r="S10" s="2"/>
    </row>
    <row r="11" spans="1:19" x14ac:dyDescent="0.3">
      <c r="A11" s="2"/>
      <c r="B11" s="19"/>
      <c r="C11" s="21" t="s">
        <v>120</v>
      </c>
      <c r="D11" s="2"/>
      <c r="E11" s="2"/>
      <c r="F11" s="48"/>
      <c r="G11" s="48"/>
      <c r="H11" s="98"/>
      <c r="I11" s="98"/>
      <c r="J11" s="98"/>
      <c r="K11" s="98"/>
      <c r="L11" s="2"/>
      <c r="M11" s="20"/>
      <c r="N11" s="2"/>
      <c r="O11" s="2"/>
      <c r="P11" s="2"/>
      <c r="Q11" s="2"/>
      <c r="R11" s="2"/>
      <c r="S11" s="2"/>
    </row>
    <row customHeight="1" ht="3.75" r="12" spans="1:19" x14ac:dyDescent="0.3">
      <c r="A12" s="2"/>
      <c r="B12" s="19"/>
      <c r="C12" s="11"/>
      <c r="D12" s="2"/>
      <c r="E12" s="2"/>
      <c r="F12" s="48"/>
      <c r="G12" s="48"/>
      <c r="H12" s="48"/>
      <c r="I12" s="2"/>
      <c r="J12" s="22"/>
      <c r="K12" s="2"/>
      <c r="L12" s="2"/>
      <c r="M12" s="20"/>
      <c r="N12" s="2"/>
      <c r="O12" s="2"/>
      <c r="P12" s="2"/>
      <c r="Q12" s="2"/>
      <c r="R12" s="2"/>
      <c r="S12" s="2"/>
    </row>
    <row r="13" spans="1:19" x14ac:dyDescent="0.3">
      <c r="A13" s="2"/>
      <c r="B13" s="19"/>
      <c r="C13" s="21" t="s">
        <v>121</v>
      </c>
      <c r="D13" s="2"/>
      <c r="E13" s="2"/>
      <c r="F13" s="48"/>
      <c r="G13" s="48"/>
      <c r="H13" s="53"/>
      <c r="I13" s="2"/>
      <c r="J13" s="22"/>
      <c r="K13" s="2"/>
      <c r="L13" s="2"/>
      <c r="M13" s="20"/>
      <c r="N13" s="2"/>
      <c r="O13" s="2"/>
      <c r="P13" s="2"/>
      <c r="Q13" s="2"/>
      <c r="R13" s="2"/>
      <c r="S13" s="2"/>
    </row>
    <row customHeight="1" ht="3.75" r="14" spans="1:19" x14ac:dyDescent="0.3">
      <c r="A14" s="2"/>
      <c r="B14" s="19"/>
      <c r="C14" s="11"/>
      <c r="D14" s="2"/>
      <c r="E14" s="2"/>
      <c r="F14" s="48"/>
      <c r="G14" s="48"/>
      <c r="H14" s="48"/>
      <c r="I14" s="2"/>
      <c r="J14" s="22"/>
      <c r="K14" s="2"/>
      <c r="L14" s="2"/>
      <c r="M14" s="20"/>
      <c r="N14" s="2"/>
      <c r="O14" s="2"/>
      <c r="P14" s="2"/>
      <c r="Q14" s="2"/>
      <c r="R14" s="2"/>
      <c r="S14" s="2"/>
    </row>
    <row r="15" spans="1:19" x14ac:dyDescent="0.3">
      <c r="A15" s="2"/>
      <c r="B15" s="19"/>
      <c r="C15" s="21" t="s">
        <v>122</v>
      </c>
      <c r="D15" s="2"/>
      <c r="E15" s="2"/>
      <c r="F15" s="48"/>
      <c r="G15" s="48"/>
      <c r="H15" s="53"/>
      <c r="I15" s="2"/>
      <c r="J15" s="22"/>
      <c r="K15" s="2"/>
      <c r="L15" s="2"/>
      <c r="M15" s="20"/>
      <c r="N15" s="2"/>
      <c r="O15" s="2"/>
      <c r="P15" s="2"/>
      <c r="Q15" s="2"/>
      <c r="R15" s="2"/>
      <c r="S15" s="2"/>
    </row>
    <row customHeight="1" ht="3.75" r="16" spans="1:19" x14ac:dyDescent="0.3">
      <c r="A16" s="2"/>
      <c r="B16" s="19"/>
      <c r="C16" s="11"/>
      <c r="D16" s="2"/>
      <c r="E16" s="2"/>
      <c r="F16" s="48"/>
      <c r="G16" s="48"/>
      <c r="H16" s="48"/>
      <c r="I16" s="2"/>
      <c r="J16" s="2"/>
      <c r="K16" s="2"/>
      <c r="L16" s="2"/>
      <c r="M16" s="20"/>
      <c r="N16" s="2"/>
      <c r="O16" s="2"/>
      <c r="P16" s="2"/>
      <c r="Q16" s="2"/>
      <c r="R16" s="2"/>
      <c r="S16" s="2"/>
    </row>
    <row r="17" spans="1:19" x14ac:dyDescent="0.3">
      <c r="A17" s="2"/>
      <c r="B17" s="19"/>
      <c r="C17" s="21" t="s">
        <v>123</v>
      </c>
      <c r="D17" s="2"/>
      <c r="E17" s="2"/>
      <c r="F17" s="48"/>
      <c r="G17" s="48"/>
      <c r="H17" s="53"/>
      <c r="I17" s="2"/>
      <c r="J17" s="22"/>
      <c r="K17" s="2"/>
      <c r="L17" s="2"/>
      <c r="M17" s="20"/>
      <c r="N17" s="2"/>
      <c r="O17" s="2"/>
      <c r="P17" s="2"/>
      <c r="Q17" s="2"/>
      <c r="R17" s="2"/>
      <c r="S17" s="2"/>
    </row>
    <row customHeight="1" ht="3.75" r="18" spans="1:19" x14ac:dyDescent="0.3">
      <c r="A18" s="2"/>
      <c r="B18" s="19"/>
      <c r="C18" s="11"/>
      <c r="D18" s="2"/>
      <c r="E18" s="2"/>
      <c r="F18" s="48"/>
      <c r="G18" s="48"/>
      <c r="H18" s="48"/>
      <c r="I18" s="2"/>
      <c r="J18" s="2"/>
      <c r="K18" s="2"/>
      <c r="L18" s="2"/>
      <c r="M18" s="20"/>
      <c r="N18" s="2"/>
      <c r="O18" s="2"/>
      <c r="P18" s="2"/>
      <c r="Q18" s="2"/>
      <c r="R18" s="2"/>
      <c r="S18" s="2"/>
    </row>
    <row r="19" spans="1:19" x14ac:dyDescent="0.3">
      <c r="A19" s="2"/>
      <c r="B19" s="19"/>
      <c r="C19" s="21" t="s">
        <v>124</v>
      </c>
      <c r="D19" s="2"/>
      <c r="E19" s="2"/>
      <c r="F19" s="48"/>
      <c r="G19" s="48"/>
      <c r="H19" s="53"/>
      <c r="I19" s="2"/>
      <c r="J19" s="22"/>
      <c r="K19" s="2"/>
      <c r="L19" s="2"/>
      <c r="M19" s="20"/>
      <c r="N19" s="2"/>
      <c r="O19" s="2"/>
      <c r="P19" s="2"/>
      <c r="Q19" s="2"/>
      <c r="R19" s="2"/>
      <c r="S19" s="2"/>
    </row>
    <row customHeight="1" ht="3.75" r="20" spans="1:19" x14ac:dyDescent="0.3">
      <c r="A20" s="2"/>
      <c r="B20" s="19"/>
      <c r="C20" s="2"/>
      <c r="D20" s="2"/>
      <c r="E20" s="2"/>
      <c r="F20" s="48"/>
      <c r="G20" s="48"/>
      <c r="H20" s="48"/>
      <c r="I20" s="2"/>
      <c r="J20" s="2"/>
      <c r="K20" s="2"/>
      <c r="L20" s="2"/>
      <c r="M20" s="20"/>
      <c r="N20" s="2"/>
      <c r="O20" s="2"/>
      <c r="P20" s="2"/>
      <c r="Q20" s="2"/>
      <c r="R20" s="2"/>
      <c r="S20" s="2"/>
    </row>
    <row r="21" spans="1:19" x14ac:dyDescent="0.3">
      <c r="A21" s="2"/>
      <c r="B21" s="19"/>
      <c r="C21" s="21" t="s">
        <v>125</v>
      </c>
      <c r="D21" s="2"/>
      <c r="E21" s="2"/>
      <c r="F21" s="48"/>
      <c r="G21" s="48"/>
      <c r="H21" s="53"/>
      <c r="I21" s="2"/>
      <c r="J21" s="22"/>
      <c r="K21" s="2"/>
      <c r="L21" s="2"/>
      <c r="M21" s="20"/>
      <c r="N21" s="2"/>
      <c r="O21" s="2"/>
      <c r="P21" s="2"/>
      <c r="Q21" s="2"/>
      <c r="R21" s="2"/>
      <c r="S21" s="2"/>
    </row>
    <row customHeight="1" ht="3.75" r="22" spans="1:19" x14ac:dyDescent="0.3">
      <c r="A22" s="2"/>
      <c r="B22" s="19"/>
      <c r="C22" s="2"/>
      <c r="D22" s="2"/>
      <c r="E22" s="2"/>
      <c r="F22" s="48"/>
      <c r="G22" s="48"/>
      <c r="H22" s="48"/>
      <c r="I22" s="2"/>
      <c r="J22" s="2"/>
      <c r="K22" s="2"/>
      <c r="L22" s="2"/>
      <c r="M22" s="20"/>
      <c r="N22" s="2"/>
      <c r="O22" s="2"/>
      <c r="P22" s="2"/>
      <c r="Q22" s="2"/>
      <c r="R22" s="2"/>
      <c r="S22" s="2"/>
    </row>
    <row r="23" spans="1:19" x14ac:dyDescent="0.3">
      <c r="A23" s="2"/>
      <c r="B23" s="19"/>
      <c r="C23" s="21" t="s">
        <v>126</v>
      </c>
      <c r="D23" s="2"/>
      <c r="E23" s="2"/>
      <c r="F23" s="48"/>
      <c r="G23" s="48"/>
      <c r="H23" s="53"/>
      <c r="I23" s="2"/>
      <c r="J23" s="22"/>
      <c r="K23" s="2"/>
      <c r="L23" s="2"/>
      <c r="M23" s="20"/>
      <c r="N23" s="2"/>
      <c r="O23" s="2"/>
      <c r="P23" s="2"/>
      <c r="Q23" s="2"/>
      <c r="R23" s="2"/>
      <c r="S23" s="2"/>
    </row>
    <row customHeight="1" ht="3.75" r="24" spans="1:19" x14ac:dyDescent="0.3">
      <c r="A24" s="2"/>
      <c r="B24" s="19"/>
      <c r="C24" s="2"/>
      <c r="D24" s="2"/>
      <c r="E24" s="2"/>
      <c r="F24" s="48"/>
      <c r="G24" s="48"/>
      <c r="H24" s="48"/>
      <c r="I24" s="2"/>
      <c r="J24" s="2"/>
      <c r="K24" s="2"/>
      <c r="L24" s="2"/>
      <c r="M24" s="20"/>
      <c r="N24" s="2"/>
      <c r="O24" s="2"/>
      <c r="P24" s="2"/>
      <c r="Q24" s="2"/>
      <c r="R24" s="2"/>
      <c r="S24" s="2"/>
    </row>
    <row r="25" spans="1:19" x14ac:dyDescent="0.3">
      <c r="A25" s="2"/>
      <c r="B25" s="19"/>
      <c r="C25" s="21" t="s">
        <v>127</v>
      </c>
      <c r="D25" s="2"/>
      <c r="E25" s="2"/>
      <c r="F25" s="48"/>
      <c r="G25" s="48"/>
      <c r="H25" s="60">
        <f>IFERROR(ROUND((H13*H17/100*'Kostu aldakorrak'!J17)+(H13*('Kostu aldakorrak'!J41+'Kostu aldakorrak'!J47)/'Ibilgailuaren Ezaugarriak'!J23)+H23,2),0)</f>
        <v>0</v>
      </c>
      <c r="I25" s="2"/>
      <c r="J25" s="22"/>
      <c r="K25" s="2"/>
      <c r="L25" s="2"/>
      <c r="M25" s="20"/>
      <c r="N25" s="2"/>
      <c r="O25" s="2"/>
      <c r="P25" s="2"/>
      <c r="Q25" s="2"/>
      <c r="R25" s="2"/>
      <c r="S25" s="2"/>
    </row>
    <row customHeight="1" ht="3.75" r="26" spans="1:19" x14ac:dyDescent="0.3">
      <c r="A26" s="2"/>
      <c r="B26" s="19"/>
      <c r="C26" s="2"/>
      <c r="D26" s="2"/>
      <c r="E26" s="2"/>
      <c r="F26" s="48"/>
      <c r="G26" s="48"/>
      <c r="H26" s="48"/>
      <c r="I26" s="2"/>
      <c r="J26" s="2"/>
      <c r="K26" s="2"/>
      <c r="L26" s="2"/>
      <c r="M26" s="20"/>
      <c r="N26" s="2"/>
      <c r="O26" s="2"/>
      <c r="P26" s="2"/>
      <c r="Q26" s="2"/>
      <c r="R26" s="2"/>
      <c r="S26" s="2"/>
    </row>
    <row r="27" spans="1:19" x14ac:dyDescent="0.3">
      <c r="A27" s="2"/>
      <c r="B27" s="19"/>
      <c r="C27" s="21" t="s">
        <v>128</v>
      </c>
      <c r="D27" s="2"/>
      <c r="E27" s="2"/>
      <c r="F27" s="48"/>
      <c r="G27" s="48"/>
      <c r="H27" s="60">
        <f>IFERROR(ROUND(H21*('Erosketa kostuak'!J63+'Ibilgailuan doazen langileen ko'!H39+'Aseguruak esta zerga arloko kos'!H47+'Zeharkako kostuak'!H13)/'Ibilgailuaren Ezaugarriak'!J29,2),0)</f>
        <v>0</v>
      </c>
      <c r="I27" s="2"/>
      <c r="J27" s="38"/>
      <c r="K27" s="2"/>
      <c r="L27" s="2"/>
      <c r="M27" s="20"/>
      <c r="N27" s="2"/>
      <c r="O27" s="2"/>
      <c r="P27" s="2"/>
      <c r="Q27" s="2"/>
      <c r="R27" s="2"/>
      <c r="S27" s="2"/>
    </row>
    <row customHeight="1" ht="3.75" r="28" spans="1:19" x14ac:dyDescent="0.3">
      <c r="A28" s="2"/>
      <c r="B28" s="19"/>
      <c r="C28" s="2"/>
      <c r="D28" s="2"/>
      <c r="E28" s="2"/>
      <c r="F28" s="48"/>
      <c r="G28" s="48"/>
      <c r="H28" s="48"/>
      <c r="I28" s="2"/>
      <c r="J28" s="2"/>
      <c r="K28" s="2"/>
      <c r="L28" s="2"/>
      <c r="M28" s="20"/>
      <c r="N28" s="2"/>
      <c r="O28" s="2"/>
      <c r="P28" s="2"/>
      <c r="Q28" s="2"/>
      <c r="R28" s="2"/>
      <c r="S28" s="2"/>
    </row>
    <row r="29" spans="1:19" x14ac:dyDescent="0.3">
      <c r="A29" s="2"/>
      <c r="B29" s="19"/>
      <c r="C29" s="21" t="s">
        <v>129</v>
      </c>
      <c r="D29" s="2"/>
      <c r="E29" s="2"/>
      <c r="F29" s="48"/>
      <c r="G29" s="48"/>
      <c r="H29" s="53"/>
      <c r="I29" s="2"/>
      <c r="J29" s="22"/>
      <c r="K29" s="2"/>
      <c r="L29" s="2"/>
      <c r="M29" s="20"/>
      <c r="N29" s="2"/>
      <c r="O29" s="35"/>
      <c r="P29" s="2"/>
      <c r="Q29" s="2"/>
      <c r="R29" s="2"/>
      <c r="S29" s="2"/>
    </row>
    <row customHeight="1" ht="3.75" r="30" spans="1:19" x14ac:dyDescent="0.3">
      <c r="A30" s="2"/>
      <c r="B30" s="19"/>
      <c r="C30" s="2"/>
      <c r="D30" s="2"/>
      <c r="E30" s="2"/>
      <c r="F30" s="48"/>
      <c r="G30" s="48"/>
      <c r="H30" s="48"/>
      <c r="I30" s="2"/>
      <c r="J30" s="2"/>
      <c r="K30" s="2"/>
      <c r="L30" s="2"/>
      <c r="M30" s="20"/>
      <c r="N30" s="2"/>
      <c r="O30" s="2"/>
      <c r="P30" s="2"/>
      <c r="Q30" s="2"/>
      <c r="R30" s="2"/>
      <c r="S30" s="2"/>
    </row>
    <row r="31" spans="1:19" x14ac:dyDescent="0.3">
      <c r="A31" s="2"/>
      <c r="B31" s="19"/>
      <c r="C31" s="21" t="s">
        <v>130</v>
      </c>
      <c r="D31" s="2"/>
      <c r="E31" s="2"/>
      <c r="F31" s="48"/>
      <c r="G31" s="48"/>
      <c r="H31" s="60">
        <f>IFERROR(ROUND(H25+H27+H29,2),0)</f>
        <v>0</v>
      </c>
      <c r="I31" s="2"/>
      <c r="J31" s="22"/>
      <c r="K31" s="2"/>
      <c r="L31" s="2"/>
      <c r="M31" s="20"/>
      <c r="N31" s="2"/>
      <c r="O31" s="35"/>
      <c r="P31" s="2"/>
      <c r="Q31" s="35"/>
      <c r="R31" s="2"/>
      <c r="S31" s="2"/>
    </row>
    <row customHeight="1" ht="3.75" r="32" spans="1:19" x14ac:dyDescent="0.3">
      <c r="A32" s="2"/>
      <c r="B32" s="19"/>
      <c r="C32" s="2"/>
      <c r="D32" s="2"/>
      <c r="E32" s="2"/>
      <c r="F32" s="48"/>
      <c r="G32" s="48"/>
      <c r="H32" s="48"/>
      <c r="I32" s="2"/>
      <c r="J32" s="2"/>
      <c r="K32" s="2"/>
      <c r="L32" s="2"/>
      <c r="M32" s="20"/>
      <c r="N32" s="2"/>
      <c r="O32" s="2"/>
      <c r="P32" s="2"/>
      <c r="Q32" s="35"/>
      <c r="R32" s="2"/>
      <c r="S32" s="2"/>
    </row>
    <row r="33" spans="1:19" x14ac:dyDescent="0.3">
      <c r="A33" s="2"/>
      <c r="B33" s="19"/>
      <c r="C33" s="21" t="s">
        <v>131</v>
      </c>
      <c r="D33" s="2"/>
      <c r="E33" s="2"/>
      <c r="F33" s="48"/>
      <c r="G33" s="48"/>
      <c r="H33" s="60">
        <f>IFERROR(ROUND(H31/H13/H19,3),0)</f>
        <v>0</v>
      </c>
      <c r="I33" s="2"/>
      <c r="J33" s="22"/>
      <c r="K33" s="2"/>
      <c r="L33" s="2"/>
      <c r="M33" s="20"/>
      <c r="N33" s="2"/>
      <c r="O33" s="2"/>
      <c r="P33" s="2"/>
      <c r="Q33" s="2"/>
      <c r="R33" s="2"/>
      <c r="S33" s="2"/>
    </row>
    <row customHeight="1" ht="3.75" r="34" spans="1:19" x14ac:dyDescent="0.3">
      <c r="A34" s="2"/>
      <c r="B34" s="19"/>
      <c r="C34" s="2"/>
      <c r="D34" s="2"/>
      <c r="E34" s="2"/>
      <c r="F34" s="48"/>
      <c r="G34" s="48"/>
      <c r="H34" s="48"/>
      <c r="I34" s="2"/>
      <c r="J34" s="2"/>
      <c r="K34" s="2"/>
      <c r="L34" s="2"/>
      <c r="M34" s="20"/>
      <c r="N34" s="2"/>
      <c r="O34" s="2"/>
      <c r="P34" s="2"/>
      <c r="Q34" s="2"/>
      <c r="R34" s="2"/>
      <c r="S34" s="2"/>
    </row>
    <row r="35" spans="1:19" x14ac:dyDescent="0.3">
      <c r="A35" s="2"/>
      <c r="B35" s="23"/>
      <c r="C35" s="24"/>
      <c r="D35" s="24"/>
      <c r="E35" s="24"/>
      <c r="F35" s="65"/>
      <c r="G35" s="65"/>
      <c r="H35" s="65"/>
      <c r="I35" s="24"/>
      <c r="J35" s="24"/>
      <c r="K35" s="24"/>
      <c r="L35" s="24"/>
      <c r="M35" s="25"/>
      <c r="N35" s="2"/>
      <c r="O35" s="2"/>
      <c r="P35" s="2"/>
      <c r="Q35" s="2"/>
      <c r="R35" s="2"/>
      <c r="S35" s="2"/>
    </row>
    <row r="36" spans="1:19" x14ac:dyDescent="0.3">
      <c r="A36" s="2"/>
      <c r="B36" s="2"/>
      <c r="C36" s="2"/>
      <c r="D36" s="2"/>
      <c r="E36" s="2"/>
      <c r="F36" s="48"/>
      <c r="G36" s="48"/>
      <c r="H36" s="48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x14ac:dyDescent="0.3">
      <c r="A37" s="2"/>
      <c r="B37" s="2"/>
      <c r="C37" s="2"/>
      <c r="D37" s="2"/>
      <c r="E37" s="2"/>
      <c r="F37" s="48"/>
      <c r="G37" s="48"/>
      <c r="H37" s="4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x14ac:dyDescent="0.3">
      <c r="A38" s="2"/>
      <c r="B38" s="2"/>
      <c r="C38" s="2"/>
      <c r="D38" s="2"/>
      <c r="E38" s="2"/>
      <c r="F38" s="48"/>
      <c r="G38" s="48"/>
      <c r="H38" s="4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x14ac:dyDescent="0.3">
      <c r="A39" s="2"/>
      <c r="B39" s="2"/>
      <c r="C39" s="2"/>
      <c r="D39" s="2"/>
      <c r="E39" s="2"/>
      <c r="F39" s="48"/>
      <c r="G39" s="48"/>
      <c r="H39" s="48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x14ac:dyDescent="0.3">
      <c r="A40" s="2"/>
      <c r="B40" s="2"/>
      <c r="C40" s="2"/>
      <c r="D40" s="2"/>
      <c r="E40" s="2"/>
      <c r="F40" s="48"/>
      <c r="G40" s="48"/>
      <c r="H40" s="48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x14ac:dyDescent="0.3">
      <c r="A41" s="2"/>
      <c r="B41" s="2"/>
      <c r="C41" s="2"/>
      <c r="D41" s="2"/>
      <c r="E41" s="2"/>
      <c r="F41" s="48"/>
      <c r="G41" s="48"/>
      <c r="H41" s="4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x14ac:dyDescent="0.3">
      <c r="A42" s="2"/>
      <c r="B42" s="2"/>
      <c r="C42" s="2"/>
      <c r="D42" s="2"/>
      <c r="E42" s="2"/>
      <c r="F42" s="48"/>
      <c r="G42" s="48"/>
      <c r="H42" s="48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x14ac:dyDescent="0.3">
      <c r="A43" s="2"/>
      <c r="B43" s="2"/>
      <c r="C43" s="2"/>
      <c r="D43" s="2"/>
      <c r="E43" s="2"/>
      <c r="F43" s="48"/>
      <c r="G43" s="48"/>
      <c r="H43" s="48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x14ac:dyDescent="0.3">
      <c r="A44" s="2"/>
      <c r="B44" s="2"/>
      <c r="C44" s="2"/>
      <c r="D44" s="2"/>
      <c r="E44" s="2"/>
      <c r="F44" s="48"/>
      <c r="G44" s="48"/>
      <c r="H44" s="48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x14ac:dyDescent="0.3">
      <c r="A45" s="2"/>
      <c r="B45" s="2"/>
      <c r="C45" s="2"/>
      <c r="D45" s="2"/>
      <c r="E45" s="2"/>
      <c r="F45" s="48"/>
      <c r="G45" s="48"/>
      <c r="H45" s="48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x14ac:dyDescent="0.3">
      <c r="A46" s="2"/>
      <c r="B46" s="2"/>
      <c r="C46" s="2"/>
      <c r="D46" s="2"/>
      <c r="E46" s="2"/>
      <c r="F46" s="48"/>
      <c r="G46" s="48"/>
      <c r="H46" s="48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x14ac:dyDescent="0.3">
      <c r="A47" s="2"/>
      <c r="B47" s="2"/>
      <c r="C47" s="2"/>
      <c r="D47" s="2"/>
      <c r="E47" s="2"/>
      <c r="F47" s="48"/>
      <c r="G47" s="48"/>
      <c r="H47" s="48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x14ac:dyDescent="0.3">
      <c r="A48" s="2"/>
      <c r="B48" s="2"/>
      <c r="C48" s="2"/>
      <c r="D48" s="2"/>
      <c r="E48" s="2"/>
      <c r="F48" s="48"/>
      <c r="G48" s="48"/>
      <c r="H48" s="48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x14ac:dyDescent="0.3">
      <c r="A49" s="2"/>
      <c r="B49" s="2"/>
      <c r="C49" s="2"/>
      <c r="D49" s="2"/>
      <c r="E49" s="2"/>
      <c r="F49" s="48"/>
      <c r="G49" s="48"/>
      <c r="H49" s="48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x14ac:dyDescent="0.3">
      <c r="A50" s="2"/>
      <c r="B50" s="2"/>
      <c r="C50" s="2"/>
      <c r="D50" s="2"/>
      <c r="E50" s="2"/>
      <c r="F50" s="48"/>
      <c r="G50" s="48"/>
      <c r="H50" s="48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x14ac:dyDescent="0.3">
      <c r="A51" s="2"/>
      <c r="B51" s="2"/>
      <c r="C51" s="2"/>
      <c r="D51" s="2"/>
      <c r="E51" s="2"/>
      <c r="F51" s="48"/>
      <c r="G51" s="48"/>
      <c r="H51" s="48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x14ac:dyDescent="0.3">
      <c r="A52" s="2"/>
      <c r="B52" s="2"/>
      <c r="C52" s="2"/>
      <c r="D52" s="2"/>
      <c r="E52" s="2"/>
      <c r="F52" s="48"/>
      <c r="G52" s="48"/>
      <c r="H52" s="48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x14ac:dyDescent="0.3">
      <c r="A53" s="2"/>
      <c r="B53" s="2"/>
      <c r="C53" s="2"/>
      <c r="D53" s="2"/>
      <c r="E53" s="2"/>
      <c r="F53" s="48"/>
      <c r="G53" s="48"/>
      <c r="H53" s="48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x14ac:dyDescent="0.3">
      <c r="A54" s="2"/>
      <c r="B54" s="2"/>
      <c r="C54" s="2"/>
      <c r="D54" s="2"/>
      <c r="E54" s="2"/>
      <c r="F54" s="48"/>
      <c r="G54" s="48"/>
      <c r="H54" s="48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x14ac:dyDescent="0.3">
      <c r="A55" s="2"/>
      <c r="B55" s="2"/>
      <c r="C55" s="2"/>
      <c r="D55" s="2"/>
      <c r="E55" s="2"/>
      <c r="F55" s="48"/>
      <c r="G55" s="48"/>
      <c r="H55" s="48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x14ac:dyDescent="0.3">
      <c r="A56" s="2"/>
      <c r="B56" s="2"/>
      <c r="C56" s="2"/>
      <c r="D56" s="2"/>
      <c r="E56" s="2"/>
      <c r="F56" s="48"/>
      <c r="G56" s="48"/>
      <c r="H56" s="48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</sheetData>
  <sheetProtection objects="1" scenarios="1" selectLockedCells="1" sheet="1"/>
  <mergeCells count="1">
    <mergeCell ref="H11:K11"/>
  </mergeCell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B1:AJ88"/>
  <sheetViews>
    <sheetView workbookViewId="0" zoomScale="82" zoomScaleNormal="82">
      <selection activeCell="M5" sqref="M5"/>
    </sheetView>
  </sheetViews>
  <sheetFormatPr baseColWidth="10" defaultColWidth="11.44140625" defaultRowHeight="14.4" x14ac:dyDescent="0.3"/>
  <cols>
    <col min="1" max="1" bestFit="true" customWidth="true" width="19.88671875" collapsed="true"/>
    <col min="2" max="2" customWidth="true" width="57.109375" collapsed="true"/>
    <col min="3" max="3" bestFit="true" customWidth="true" width="5.33203125" collapsed="true"/>
    <col min="4" max="4" customWidth="true" width="10.88671875" collapsed="true"/>
    <col min="5" max="5" customWidth="true" width="8.33203125" collapsed="true"/>
    <col min="6" max="6" customWidth="true" width="10.6640625" collapsed="true"/>
    <col min="7" max="7" width="11.44140625" collapsed="true"/>
    <col min="8" max="8" customWidth="true" width="10.6640625" collapsed="true"/>
    <col min="9" max="9" width="11.44140625" collapsed="true"/>
    <col min="10" max="10" customWidth="true" width="10.109375" collapsed="true"/>
    <col min="11" max="11" width="11.44140625" collapsed="true"/>
    <col min="12" max="12" customWidth="true" width="10.44140625" collapsed="true"/>
    <col min="13" max="16384" width="11.44140625" collapsed="true"/>
  </cols>
  <sheetData>
    <row r="1" spans="2:36" x14ac:dyDescent="0.3">
      <c r="C1" s="1" t="s">
        <v>95</v>
      </c>
      <c r="D1" s="1" t="s">
        <v>10</v>
      </c>
      <c r="E1" s="1" t="s">
        <v>96</v>
      </c>
      <c r="F1" s="1" t="s">
        <v>11</v>
      </c>
      <c r="G1" s="1" t="s">
        <v>97</v>
      </c>
      <c r="H1" s="1" t="s">
        <v>12</v>
      </c>
      <c r="I1" s="1" t="s">
        <v>98</v>
      </c>
      <c r="J1" s="1" t="s">
        <v>13</v>
      </c>
      <c r="K1" s="1" t="s">
        <v>99</v>
      </c>
      <c r="L1" s="1" t="s">
        <v>14</v>
      </c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2:36" x14ac:dyDescent="0.3">
      <c r="B2" s="26" t="s">
        <v>93</v>
      </c>
      <c r="C2" t="s">
        <v>100</v>
      </c>
      <c r="D2" t="s">
        <v>281</v>
      </c>
      <c r="E2" t="s">
        <v>100</v>
      </c>
      <c r="F2" t="s">
        <v>282</v>
      </c>
      <c r="G2" t="s">
        <v>100</v>
      </c>
      <c r="H2" t="s">
        <v>283</v>
      </c>
      <c r="I2" t="s">
        <v>100</v>
      </c>
      <c r="J2" t="s">
        <v>284</v>
      </c>
      <c r="K2" t="s">
        <v>100</v>
      </c>
      <c r="L2" t="s">
        <v>285</v>
      </c>
      <c r="M2" s="68"/>
      <c r="AA2" t="s">
        <v>100</v>
      </c>
      <c r="AJ2" s="68" t="s">
        <v>290</v>
      </c>
    </row>
    <row r="3" spans="2:36" x14ac:dyDescent="0.3">
      <c r="B3" t="s">
        <v>102</v>
      </c>
      <c r="C3"/>
      <c r="D3" s="81" t="n">
        <v>0.0534</v>
      </c>
      <c r="E3"/>
      <c r="F3" s="81" t="n">
        <v>0.0534</v>
      </c>
      <c r="G3"/>
      <c r="H3" s="81" t="n">
        <v>0.0534</v>
      </c>
      <c r="I3"/>
      <c r="J3" s="81" t="n">
        <v>0.0534</v>
      </c>
      <c r="K3"/>
      <c r="L3" s="81" t="n">
        <v>0.0534</v>
      </c>
      <c r="M3"/>
    </row>
    <row r="4" spans="2:36" x14ac:dyDescent="0.3">
      <c r="B4" s="26" t="s">
        <v>22</v>
      </c>
      <c r="C4" s="26"/>
      <c r="D4" s="82" t="n">
        <v>65.0</v>
      </c>
      <c r="E4" s="26"/>
      <c r="F4" s="82" t="n">
        <v>55.0</v>
      </c>
      <c r="G4" s="26"/>
      <c r="H4" s="82" t="n">
        <v>35.0</v>
      </c>
      <c r="I4" s="26"/>
      <c r="J4" s="82" t="n">
        <v>25.0</v>
      </c>
      <c r="K4" s="26"/>
      <c r="L4" s="82" t="n">
        <v>55.0</v>
      </c>
      <c r="M4"/>
      <c r="S4" s="26"/>
      <c r="T4" s="26"/>
      <c r="U4" s="26"/>
      <c r="V4" s="26"/>
      <c r="W4" s="26"/>
    </row>
    <row r="5" spans="2:36" x14ac:dyDescent="0.3">
      <c r="B5" s="26" t="s">
        <v>23</v>
      </c>
      <c r="C5" s="26"/>
      <c r="D5" s="82" t="n">
        <v>420.0</v>
      </c>
      <c r="E5" s="26"/>
      <c r="F5" s="82" t="n">
        <v>380.0</v>
      </c>
      <c r="G5" s="26"/>
      <c r="H5" s="82" t="n">
        <v>280.0</v>
      </c>
      <c r="I5" s="26"/>
      <c r="J5" s="82" t="n">
        <v>160.0</v>
      </c>
      <c r="K5" s="26"/>
      <c r="L5" s="82" t="n">
        <v>380.0</v>
      </c>
      <c r="M5"/>
      <c r="S5" s="26"/>
      <c r="T5" s="26"/>
      <c r="U5" s="26"/>
      <c r="V5" s="26"/>
      <c r="W5" s="26"/>
    </row>
    <row r="6" spans="2:36" x14ac:dyDescent="0.3">
      <c r="B6" s="26" t="s">
        <v>24</v>
      </c>
      <c r="C6" s="26"/>
      <c r="D6" s="82" t="n">
        <v>0.0</v>
      </c>
      <c r="E6" s="26"/>
      <c r="F6" s="82" t="n">
        <v>0.0</v>
      </c>
      <c r="G6" s="26"/>
      <c r="H6" s="82" t="n">
        <v>0.0</v>
      </c>
      <c r="I6" s="26"/>
      <c r="J6" s="82" t="n">
        <v>0.0</v>
      </c>
      <c r="K6" s="26"/>
      <c r="L6" s="82" t="n">
        <v>0.0</v>
      </c>
      <c r="M6"/>
      <c r="S6" s="26"/>
      <c r="T6" s="26"/>
      <c r="U6" s="26"/>
      <c r="V6" s="26"/>
      <c r="W6" s="26"/>
    </row>
    <row r="7" spans="2:36" x14ac:dyDescent="0.3">
      <c r="B7" s="26" t="s">
        <v>25</v>
      </c>
      <c r="C7" s="26">
        <v>95</v>
      </c>
      <c r="D7" s="82" t="n">
        <v>3.0</v>
      </c>
      <c r="E7" s="26">
        <v>95</v>
      </c>
      <c r="F7" s="82" t="n">
        <v>2.0</v>
      </c>
      <c r="G7" s="26">
        <v>95</v>
      </c>
      <c r="H7" s="82" t="n">
        <v>2.0</v>
      </c>
      <c r="I7" s="26">
        <v>95</v>
      </c>
      <c r="J7" s="82" t="n">
        <v>2.0</v>
      </c>
      <c r="K7" s="26">
        <v>95</v>
      </c>
      <c r="L7" s="82" t="n">
        <v>2.0</v>
      </c>
      <c r="M7"/>
      <c r="S7" s="26"/>
      <c r="T7" s="26"/>
      <c r="U7" s="26"/>
      <c r="V7" s="26"/>
      <c r="W7" s="26"/>
    </row>
    <row r="8" spans="2:36" x14ac:dyDescent="0.3">
      <c r="B8" s="26" t="s">
        <v>1</v>
      </c>
      <c r="C8" s="26"/>
      <c r="D8" s="82" t="n">
        <v>75000.0</v>
      </c>
      <c r="E8" s="26"/>
      <c r="F8" s="82" t="n">
        <v>65000.0</v>
      </c>
      <c r="G8" s="26"/>
      <c r="H8" s="82" t="n">
        <v>50000.0</v>
      </c>
      <c r="I8" s="26"/>
      <c r="J8" s="82" t="n">
        <v>40000.0</v>
      </c>
      <c r="K8" s="26"/>
      <c r="L8" s="82" t="n">
        <v>65000.0</v>
      </c>
      <c r="M8"/>
      <c r="S8" s="26"/>
      <c r="T8" s="26"/>
      <c r="U8" s="26"/>
      <c r="V8" s="26"/>
      <c r="W8" s="26"/>
    </row>
    <row r="9" spans="2:36" x14ac:dyDescent="0.3">
      <c r="B9" s="26" t="s">
        <v>26</v>
      </c>
      <c r="C9" s="82" t="n">
        <v>95.0</v>
      </c>
      <c r="D9" s="26" t="n">
        <f>ROUND(D8*C9/100,2)</f>
        <v>71250.0</v>
      </c>
      <c r="E9" s="82" t="n">
        <v>95.0</v>
      </c>
      <c r="F9" s="26" t="n">
        <f ref="F9" si="0" t="shared">F8*E9/100</f>
        <v>61750.0</v>
      </c>
      <c r="G9" s="82" t="n">
        <v>95.0</v>
      </c>
      <c r="H9" s="26" t="n">
        <f ref="H9" si="1" t="shared">H8*G9/100</f>
        <v>47500.0</v>
      </c>
      <c r="I9" s="82" t="n">
        <v>95.0</v>
      </c>
      <c r="J9" s="26" t="n">
        <f ref="J9" si="2" t="shared">J8*I9/100</f>
        <v>38000.0</v>
      </c>
      <c r="K9" s="82" t="n">
        <v>95.0</v>
      </c>
      <c r="L9" s="26" t="n">
        <f ref="L9" si="3" t="shared">L8*K9/100</f>
        <v>61750.0</v>
      </c>
      <c r="M9"/>
      <c r="S9" s="26"/>
      <c r="T9" s="26"/>
      <c r="U9" s="26"/>
      <c r="V9" s="26"/>
      <c r="W9" s="26"/>
    </row>
    <row r="10" spans="2:36" x14ac:dyDescent="0.3">
      <c r="B10" s="26" t="s">
        <v>2</v>
      </c>
      <c r="C10" s="26">
        <v>91</v>
      </c>
      <c r="D10" s="82" t="n">
        <v>30.0</v>
      </c>
      <c r="E10" s="26">
        <v>91</v>
      </c>
      <c r="F10" s="82" t="n">
        <v>26.0</v>
      </c>
      <c r="G10" s="26">
        <v>91</v>
      </c>
      <c r="H10" s="82" t="n">
        <v>21.0</v>
      </c>
      <c r="I10" s="26">
        <v>91</v>
      </c>
      <c r="J10" s="82" t="n">
        <v>15.5</v>
      </c>
      <c r="K10" s="26">
        <v>91</v>
      </c>
      <c r="L10" s="82" t="n">
        <v>26.0</v>
      </c>
      <c r="M10"/>
      <c r="S10" s="26"/>
      <c r="T10" s="26"/>
      <c r="U10" s="26"/>
      <c r="V10" s="26"/>
      <c r="W10" s="26"/>
    </row>
    <row r="11" spans="2:36" x14ac:dyDescent="0.3">
      <c r="B11" s="26" t="s">
        <v>3</v>
      </c>
      <c r="C11" s="26">
        <v>90</v>
      </c>
      <c r="D11" s="82" t="n">
        <v>1800.0</v>
      </c>
      <c r="E11" s="26">
        <v>90</v>
      </c>
      <c r="F11" s="82" t="n">
        <v>1800.0</v>
      </c>
      <c r="G11" s="26">
        <v>90</v>
      </c>
      <c r="H11" s="82" t="n">
        <v>1800.0</v>
      </c>
      <c r="I11" s="26">
        <v>90</v>
      </c>
      <c r="J11" s="82" t="n">
        <v>1800.0</v>
      </c>
      <c r="K11" s="26">
        <v>90</v>
      </c>
      <c r="L11" s="82" t="n">
        <v>1800.0</v>
      </c>
      <c r="M11"/>
      <c r="S11" s="26"/>
      <c r="T11" s="26"/>
      <c r="U11" s="26"/>
      <c r="V11" s="26"/>
      <c r="W11" s="26"/>
    </row>
    <row r="12" spans="2:36" x14ac:dyDescent="0.3">
      <c r="B12" s="26" t="s">
        <v>27</v>
      </c>
      <c r="C12" s="82" t="n">
        <v>91.0</v>
      </c>
      <c r="D12" s="26" t="n">
        <f>ROUND(D11*C12/100,0)</f>
        <v>1638.0</v>
      </c>
      <c r="E12" s="82" t="n">
        <v>91.0</v>
      </c>
      <c r="F12" s="26" t="n">
        <f ref="F12" si="4" t="shared">F11*E12/100</f>
        <v>1638.0</v>
      </c>
      <c r="G12" s="82" t="n">
        <v>91.0</v>
      </c>
      <c r="H12" s="26" t="n">
        <f ref="H12" si="5" t="shared">H11*G12/100</f>
        <v>1638.0</v>
      </c>
      <c r="I12" s="82" t="n">
        <v>91.0</v>
      </c>
      <c r="J12" s="26" t="n">
        <f ref="J12" si="6" t="shared">J11*I12/100</f>
        <v>1638.0</v>
      </c>
      <c r="K12" s="82" t="n">
        <v>91.0</v>
      </c>
      <c r="L12" s="26" t="n">
        <f ref="L12" si="7" t="shared">L11*K12/100</f>
        <v>1638.0</v>
      </c>
      <c r="M12"/>
      <c r="S12" s="26"/>
      <c r="T12" s="26"/>
      <c r="U12" s="26"/>
      <c r="V12" s="26"/>
      <c r="W12" s="26"/>
    </row>
    <row r="13" spans="2:36" x14ac:dyDescent="0.3">
      <c r="B13" s="26" t="s">
        <v>28</v>
      </c>
      <c r="C13" s="82" t="n">
        <v>90.0</v>
      </c>
      <c r="D13" s="26" t="n">
        <f>ROUND(D8*C13/100,2)</f>
        <v>67500.0</v>
      </c>
      <c r="E13" s="82" t="n">
        <v>90.0</v>
      </c>
      <c r="F13" s="26" t="n">
        <f ref="F13" si="8" t="shared">F8*E13/100</f>
        <v>58500.0</v>
      </c>
      <c r="G13" s="82" t="n">
        <v>90.0</v>
      </c>
      <c r="H13" s="26" t="n">
        <f ref="H13" si="9" t="shared">H8*G13/100</f>
        <v>45000.0</v>
      </c>
      <c r="I13" s="82" t="n">
        <v>90.0</v>
      </c>
      <c r="J13" s="26" t="n">
        <f ref="J13" si="10" t="shared">J8*I13/100</f>
        <v>36000.0</v>
      </c>
      <c r="K13" s="82" t="n">
        <v>90.0</v>
      </c>
      <c r="L13" s="26" t="n">
        <f ref="L13" si="11" t="shared">L8*K13/100</f>
        <v>58500.0</v>
      </c>
      <c r="M13"/>
      <c r="S13" s="26"/>
      <c r="T13" s="26"/>
      <c r="U13" s="26"/>
      <c r="V13" s="26"/>
      <c r="W13" s="26"/>
    </row>
    <row ht="28.8" r="14" spans="2:36" x14ac:dyDescent="0.3">
      <c r="B14" s="26" t="s">
        <v>29</v>
      </c>
      <c r="C14" s="82" t="n">
        <v>80.0</v>
      </c>
      <c r="D14" s="83" t="n">
        <f>ROUND((D4-1)*C14/100,0)</f>
        <v>51.0</v>
      </c>
      <c r="E14" s="82" t="n">
        <v>80.0</v>
      </c>
      <c r="F14" s="83" t="n">
        <f ref="F14" si="12" t="shared">ROUND((F4-1)*E14/100,0)</f>
        <v>43.0</v>
      </c>
      <c r="G14" s="82" t="n">
        <v>80.0</v>
      </c>
      <c r="H14" s="83" t="n">
        <f ref="H14" si="13" t="shared">ROUND((H4-1)*G14/100,0)</f>
        <v>27.0</v>
      </c>
      <c r="I14" s="82" t="n">
        <v>80.0</v>
      </c>
      <c r="J14" s="83" t="n">
        <f ref="J14" si="14" t="shared">ROUND((J4-1)*I14/100,0)</f>
        <v>19.0</v>
      </c>
      <c r="K14" s="82" t="n">
        <v>80.0</v>
      </c>
      <c r="L14" s="83" t="n">
        <f ref="L14" si="15" t="shared">ROUND((L4-1)*K14/100,0)</f>
        <v>43.0</v>
      </c>
      <c r="M14"/>
      <c r="S14" s="26"/>
      <c r="T14" s="26"/>
      <c r="U14" s="26"/>
      <c r="V14" s="26"/>
      <c r="W14" s="26"/>
    </row>
    <row r="15" spans="2:36" x14ac:dyDescent="0.3">
      <c r="B15" s="45" t="s">
        <v>15</v>
      </c>
      <c r="C15" s="45"/>
      <c r="D15" s="45" t="n">
        <f>D13*D14</f>
        <v>3442500.0</v>
      </c>
      <c r="E15" s="45"/>
      <c r="F15" s="45" t="n">
        <f>F13*F14</f>
        <v>2515500.0</v>
      </c>
      <c r="G15" s="45"/>
      <c r="H15" s="45" t="n">
        <f>H13*H14</f>
        <v>1215000.0</v>
      </c>
      <c r="I15" s="45"/>
      <c r="J15" s="45" t="n">
        <f>J13*J14</f>
        <v>684000.0</v>
      </c>
      <c r="K15" s="45"/>
      <c r="L15" s="45" t="n">
        <f>L13*L14</f>
        <v>2515500.0</v>
      </c>
      <c r="M15"/>
      <c r="S15" s="26"/>
      <c r="T15" s="26"/>
      <c r="U15" s="26"/>
      <c r="V15" s="26"/>
      <c r="W15" s="26"/>
    </row>
    <row r="16" spans="2:36" x14ac:dyDescent="0.3">
      <c r="B16" t="s">
        <v>30</v>
      </c>
      <c r="C16"/>
      <c r="D16" s="81" t="n">
        <v>0.0</v>
      </c>
      <c r="E16"/>
      <c r="F16" s="81" t="n">
        <v>0.0</v>
      </c>
      <c r="G16"/>
      <c r="H16" s="81" t="n">
        <v>0.0</v>
      </c>
      <c r="I16"/>
      <c r="J16" s="81" t="n">
        <v>0.0</v>
      </c>
      <c r="K16"/>
      <c r="L16" s="81" t="n">
        <v>0.0</v>
      </c>
      <c r="M16" t="s">
        <v>278</v>
      </c>
      <c r="S16" s="26"/>
      <c r="T16" s="26"/>
      <c r="U16" s="26"/>
      <c r="V16" s="26"/>
      <c r="W16" s="26"/>
    </row>
    <row r="17" spans="2:23" x14ac:dyDescent="0.3">
      <c r="B17" t="s">
        <v>31</v>
      </c>
      <c r="C17" s="26">
        <v>20</v>
      </c>
      <c r="D17" s="81" t="n">
        <v>125573.76</v>
      </c>
      <c r="E17" s="26">
        <v>20</v>
      </c>
      <c r="F17" s="81" t="n">
        <v>110877.76</v>
      </c>
      <c r="G17" s="26">
        <v>20</v>
      </c>
      <c r="H17" s="81" t="n">
        <v>75360.14</v>
      </c>
      <c r="I17" s="26">
        <v>20</v>
      </c>
      <c r="J17" s="81" t="n">
        <v>38485.76</v>
      </c>
      <c r="K17" s="26">
        <v>20</v>
      </c>
      <c r="L17" s="81" t="n">
        <v>110877.76</v>
      </c>
      <c r="M17"/>
      <c r="S17" s="26"/>
      <c r="T17" s="26"/>
      <c r="U17" s="26"/>
      <c r="V17" s="26"/>
      <c r="W17" s="26"/>
    </row>
    <row r="18" spans="2:23" x14ac:dyDescent="0.3">
      <c r="B18" t="s">
        <v>32</v>
      </c>
      <c r="C18"/>
      <c r="D18" s="81" t="n">
        <v>12.0</v>
      </c>
      <c r="E18"/>
      <c r="F18" s="81" t="n">
        <v>12.0</v>
      </c>
      <c r="G18"/>
      <c r="H18" s="81" t="n">
        <v>12.0</v>
      </c>
      <c r="I18"/>
      <c r="J18" s="81" t="n">
        <v>12.0</v>
      </c>
      <c r="K18"/>
      <c r="L18" s="81" t="n">
        <v>12.0</v>
      </c>
      <c r="M18"/>
      <c r="S18" s="26"/>
      <c r="T18" s="26"/>
      <c r="U18" s="26"/>
      <c r="V18" s="26"/>
      <c r="W18" s="26"/>
    </row>
    <row r="19" spans="2:23" x14ac:dyDescent="0.3">
      <c r="B19" t="s">
        <v>33</v>
      </c>
      <c r="C19" s="81" t="n">
        <v>20.0</v>
      </c>
      <c r="D19" s="84" t="n">
        <f>ROUND(D17*C19/100,0)</f>
        <v>25115.0</v>
      </c>
      <c r="E19" s="81" t="n">
        <v>20.0</v>
      </c>
      <c r="F19" s="84" t="n">
        <f>ROUND(F17*E19/100,0)</f>
        <v>22176.0</v>
      </c>
      <c r="G19" s="81" t="n">
        <v>20.0</v>
      </c>
      <c r="H19" s="84" t="n">
        <f>ROUND(H17*G19/100,0)</f>
        <v>15072.0</v>
      </c>
      <c r="I19" s="81" t="n">
        <v>20.0</v>
      </c>
      <c r="J19" s="84" t="n">
        <f>ROUND(J17*I19/100,0)</f>
        <v>7697.0</v>
      </c>
      <c r="K19" s="81" t="n">
        <v>20.0</v>
      </c>
      <c r="L19" s="84" t="n">
        <f>ROUND(L17*K19/100,0)</f>
        <v>22176.0</v>
      </c>
      <c r="M19"/>
      <c r="S19" s="26"/>
      <c r="T19" s="26"/>
      <c r="U19" s="26"/>
      <c r="V19" s="26"/>
      <c r="W19" s="26"/>
    </row>
    <row r="20" spans="2:23" x14ac:dyDescent="0.3">
      <c r="B20" t="s">
        <v>34</v>
      </c>
      <c r="C20"/>
      <c r="D20" t="n">
        <f>IFERROR(ROUND((D17-D19-D71*D74-D72*D75-D73*D76)/D18,0),0)</f>
        <v>7924.0</v>
      </c>
      <c r="E20"/>
      <c r="F20" t="n">
        <f>IFERROR(ROUND((F17-F19-F71*F74-F72*F75-F73*F76)/F18,0),0)</f>
        <v>7113.0</v>
      </c>
      <c r="G20"/>
      <c r="H20" t="n">
        <f>IFERROR(ROUND((H17-H19-H71*H74-H72*H75-H73*H76)/H18,0),0)</f>
        <v>4778.0</v>
      </c>
      <c r="I20"/>
      <c r="J20" t="n">
        <f>IFERROR(ROUND((J17-J19-J71*J74-J72*J75-J73*J76)/J18,0),0)</f>
        <v>2365.0</v>
      </c>
      <c r="K20"/>
      <c r="L20" t="n">
        <f>IFERROR(ROUND((L17-L19-L71*L74-L72*L75-L73*L76)/L18,0),0)</f>
        <v>7113.0</v>
      </c>
      <c r="M20"/>
      <c r="S20" s="26"/>
      <c r="T20" s="26"/>
      <c r="U20" s="26"/>
      <c r="V20" s="26"/>
      <c r="W20" s="26"/>
    </row>
    <row r="21" spans="2:23" x14ac:dyDescent="0.3">
      <c r="B21" t="s">
        <v>35</v>
      </c>
      <c r="C21"/>
      <c r="D21" t="n">
        <f>IFERROR(ROUND(IF(D17=0,0,(D17-D19-D71*D74-D72*D75-D73*D76)*(D$3/(1-POWER(1+D$3,-D18))-1/D18)),0),0)</f>
        <v>3010.95</v>
      </c>
      <c r="E21"/>
      <c r="F21" t="n">
        <f>IFERROR(ROUND(IF(F17=0,0,(F17-F19-F71*F74-F72*F75-F73*F76)*(F$3/(1-POWER(1+F$3,-F18))-1/F18)),0),0)</f>
        <v>2702.87</v>
      </c>
      <c r="G21"/>
      <c r="H21" t="n">
        <f>IFERROR(ROUND(IF(H17=0,0,(H17-H19-H71*H74-H72*H75-H73*H76)*(H$3/(1-POWER(1+H$3,-H18))-1/H18)),0),0)</f>
        <v>1815.55</v>
      </c>
      <c r="I21"/>
      <c r="J21" t="n">
        <f>IFERROR(ROUND(IF(J17=0,0,(J17-J19-J71*J74-J72*J75-J73*J76)*(J$3/(1-POWER(1+J$3,-J18))-1/J18)),0),0)</f>
        <v>898.52</v>
      </c>
      <c r="K21"/>
      <c r="L21" t="n">
        <f>IFERROR(ROUND(IF(L17=0,0,(L17-L19-L71*L74-L72*L75-L73*L76)*(L$3/(1-POWER(1+L$3,-L18))-1/L18)),0),0)</f>
        <v>2702.87</v>
      </c>
      <c r="M21"/>
      <c r="S21" s="26"/>
      <c r="T21" s="26"/>
      <c r="U21" s="26"/>
      <c r="V21" s="26"/>
      <c r="W21" s="26"/>
    </row>
    <row r="22" spans="2:23" x14ac:dyDescent="0.3">
      <c r="B22" t="s">
        <v>30</v>
      </c>
      <c r="C22"/>
      <c r="D22" s="81" t="n">
        <v>0.0</v>
      </c>
      <c r="E22"/>
      <c r="F22" s="81" t="n">
        <v>0.0</v>
      </c>
      <c r="G22"/>
      <c r="H22" s="81" t="n">
        <v>0.0</v>
      </c>
      <c r="I22"/>
      <c r="J22" s="81" t="n">
        <v>0.0</v>
      </c>
      <c r="K22"/>
      <c r="L22" s="81" t="n">
        <v>0.0</v>
      </c>
      <c r="M22" t="s">
        <v>279</v>
      </c>
    </row>
    <row r="23" spans="2:23" x14ac:dyDescent="0.3">
      <c r="B23" t="s">
        <v>31</v>
      </c>
      <c r="C23" s="26">
        <v>20</v>
      </c>
      <c r="D23" s="81" t="n">
        <v>125573.76</v>
      </c>
      <c r="E23" s="26">
        <v>20</v>
      </c>
      <c r="F23" s="81" t="n">
        <v>110877.76</v>
      </c>
      <c r="G23" s="26">
        <v>20</v>
      </c>
      <c r="H23" s="81" t="n">
        <v>75360.14</v>
      </c>
      <c r="I23" s="26">
        <v>20</v>
      </c>
      <c r="J23" s="81" t="n">
        <v>38485.76</v>
      </c>
      <c r="K23" s="26">
        <v>20</v>
      </c>
      <c r="L23" s="81" t="n">
        <v>110877.76</v>
      </c>
      <c r="M23"/>
    </row>
    <row r="24" spans="2:23" x14ac:dyDescent="0.3">
      <c r="B24" t="s">
        <v>32</v>
      </c>
      <c r="C24"/>
      <c r="D24" s="81" t="n">
        <v>12.0</v>
      </c>
      <c r="E24"/>
      <c r="F24" s="81" t="n">
        <v>12.0</v>
      </c>
      <c r="G24"/>
      <c r="H24" s="81" t="n">
        <v>12.0</v>
      </c>
      <c r="I24"/>
      <c r="J24" s="81" t="n">
        <v>12.0</v>
      </c>
      <c r="K24"/>
      <c r="L24" s="81" t="n">
        <v>12.0</v>
      </c>
      <c r="M24"/>
    </row>
    <row r="25" spans="2:23" x14ac:dyDescent="0.3">
      <c r="B25" t="s">
        <v>33</v>
      </c>
      <c r="C25" s="81" t="n">
        <v>20.0</v>
      </c>
      <c r="D25" s="84" t="n">
        <f>ROUND(D23*C25/100,0)</f>
        <v>25115.0</v>
      </c>
      <c r="E25" s="81" t="n">
        <v>20.0</v>
      </c>
      <c r="F25" s="84" t="n">
        <f>ROUND(F23*E25/100,0)</f>
        <v>22176.0</v>
      </c>
      <c r="G25" s="81" t="n">
        <v>20.0</v>
      </c>
      <c r="H25" s="84" t="n">
        <f>ROUND(H23*G25/100,0)</f>
        <v>15072.0</v>
      </c>
      <c r="I25" s="81" t="n">
        <v>20.0</v>
      </c>
      <c r="J25" s="84" t="n">
        <f>ROUND(J23*I25/100,0)</f>
        <v>7697.0</v>
      </c>
      <c r="K25" s="81" t="n">
        <v>20.0</v>
      </c>
      <c r="L25" s="84" t="n">
        <f>ROUND(L23*K25/100,0)</f>
        <v>22176.0</v>
      </c>
      <c r="M25"/>
    </row>
    <row r="26" spans="2:23" x14ac:dyDescent="0.3">
      <c r="B26" t="s">
        <v>36</v>
      </c>
      <c r="C26"/>
      <c r="D26" t="n">
        <f>IFERROR(ROUND((D23-D25)/D24,0),0)</f>
        <v>8372.0</v>
      </c>
      <c r="E26"/>
      <c r="F26" t="n">
        <f>IFERROR(ROUND((F23-F25)/F24,0),0)</f>
        <v>7392.0</v>
      </c>
      <c r="G26"/>
      <c r="H26" t="n">
        <f>IFERROR(ROUND((H23-H25)/H24,0),0)</f>
        <v>5024.0</v>
      </c>
      <c r="I26"/>
      <c r="J26" t="n">
        <f>IFERROR(ROUND((J23-J25)/J24,0),0)</f>
        <v>2566.0</v>
      </c>
      <c r="K26"/>
      <c r="L26" t="n">
        <f>IFERROR(ROUND((L23-L25)/L24,0),0)</f>
        <v>7392.0</v>
      </c>
      <c r="M26"/>
    </row>
    <row r="27" spans="2:23" x14ac:dyDescent="0.3">
      <c r="B27" t="s">
        <v>37</v>
      </c>
      <c r="C27"/>
      <c r="D27" t="n">
        <f>IFERROR(ROUND(IF(D17=0,0,(D23-D25)*(D$3/(1-POWER(1+D$3,-D24))-1/D24)),0),0)</f>
        <v>3181.11</v>
      </c>
      <c r="E27"/>
      <c r="F27" t="n">
        <f>IFERROR(ROUND(IF(F17=0,0,(F23-F25)*(F$3/(1-POWER(1+F$3,-F24))-1/F24)),0),0)</f>
        <v>2808.82</v>
      </c>
      <c r="G27"/>
      <c r="H27" t="n">
        <f>IFERROR(ROUND(IF(H17=0,0,(H23-H25)*(H$3/(1-POWER(1+H$3,-H24))-1/H24)),0),0)</f>
        <v>1909.08</v>
      </c>
      <c r="I27"/>
      <c r="J27" t="n">
        <f>IFERROR(ROUND(IF(J17=0,0,(J23-J25)*(J$3/(1-POWER(1+J$3,-J24))-1/J24)),0),0)</f>
        <v>974.95</v>
      </c>
      <c r="K27"/>
      <c r="L27" t="n">
        <f>IFERROR(ROUND(IF(L17=0,0,(L23-L25)*(L$3/(1-POWER(1+L$3,-L24))-1/L24)),0),0)</f>
        <v>2808.82</v>
      </c>
      <c r="M27"/>
    </row>
    <row r="28" spans="2:23" x14ac:dyDescent="0.3">
      <c r="B28" t="s">
        <v>30</v>
      </c>
      <c r="C28"/>
      <c r="D28" s="81" t="n">
        <v>0.0</v>
      </c>
      <c r="E28"/>
      <c r="F28" s="81" t="n">
        <v>0.0</v>
      </c>
      <c r="G28"/>
      <c r="H28" s="81" t="n">
        <v>0.0</v>
      </c>
      <c r="I28"/>
      <c r="J28" s="81" t="n">
        <v>0.0</v>
      </c>
      <c r="K28"/>
      <c r="L28" s="81" t="n">
        <v>0.0</v>
      </c>
      <c r="M28" t="s">
        <v>280</v>
      </c>
    </row>
    <row r="29" spans="2:23" x14ac:dyDescent="0.3">
      <c r="B29" t="s">
        <v>31</v>
      </c>
      <c r="C29" s="26">
        <v>0</v>
      </c>
      <c r="D29" s="81" t="n">
        <v>0.0</v>
      </c>
      <c r="E29" s="26">
        <v>0</v>
      </c>
      <c r="F29" s="81" t="n">
        <v>0.0</v>
      </c>
      <c r="G29" s="26">
        <v>0</v>
      </c>
      <c r="H29" s="81" t="n">
        <v>0.0</v>
      </c>
      <c r="I29" s="26">
        <v>0</v>
      </c>
      <c r="J29" s="81" t="n">
        <v>0.0</v>
      </c>
      <c r="K29" s="26">
        <v>0</v>
      </c>
      <c r="L29" s="81" t="n">
        <v>0.0</v>
      </c>
      <c r="M29"/>
    </row>
    <row r="30" spans="2:23" x14ac:dyDescent="0.3">
      <c r="B30" t="s">
        <v>32</v>
      </c>
      <c r="C30"/>
      <c r="D30" s="81" t="n">
        <v>0.0</v>
      </c>
      <c r="E30"/>
      <c r="F30" s="81" t="n">
        <v>0.0</v>
      </c>
      <c r="G30"/>
      <c r="H30" s="81" t="n">
        <v>0.0</v>
      </c>
      <c r="I30"/>
      <c r="J30" s="81" t="n">
        <v>0.0</v>
      </c>
      <c r="K30"/>
      <c r="L30" s="81" t="n">
        <v>0.0</v>
      </c>
      <c r="M30"/>
    </row>
    <row r="31" spans="2:23" x14ac:dyDescent="0.3">
      <c r="B31" t="s">
        <v>33</v>
      </c>
      <c r="C31" s="81" t="n">
        <v>0.0</v>
      </c>
      <c r="D31" s="84" t="n">
        <f>ROUND(D29*C31/100,0)</f>
        <v>0.0</v>
      </c>
      <c r="E31" s="81" t="n">
        <v>0.0</v>
      </c>
      <c r="F31" s="84" t="n">
        <f>ROUND(F29*E31/100,0)</f>
        <v>0.0</v>
      </c>
      <c r="G31" s="81" t="n">
        <v>0.0</v>
      </c>
      <c r="H31" s="84" t="n">
        <f>ROUND(H29*G31/100,0)</f>
        <v>0.0</v>
      </c>
      <c r="I31" s="81" t="n">
        <v>0.0</v>
      </c>
      <c r="J31" s="84" t="n">
        <f>ROUND(J29*I31/100,0)</f>
        <v>0.0</v>
      </c>
      <c r="K31" s="81" t="n">
        <v>0.0</v>
      </c>
      <c r="L31" s="84" t="n">
        <f>ROUND(L29*K31/100,0)</f>
        <v>0.0</v>
      </c>
      <c r="M31"/>
    </row>
    <row r="32" spans="2:23" x14ac:dyDescent="0.3">
      <c r="B32" t="s">
        <v>38</v>
      </c>
      <c r="C32"/>
      <c r="D32" t="n">
        <f>IFERROR(ROUND((D29-D31)/D30,0),0)</f>
        <v>0.0</v>
      </c>
      <c r="E32"/>
      <c r="F32" t="n">
        <f>IFERROR(ROUND((F29-F31)/F30,0),0)</f>
        <v>0.0</v>
      </c>
      <c r="G32"/>
      <c r="H32" t="n">
        <f>IFERROR(ROUND((H29-H31)/H30,0),0)</f>
        <v>0.0</v>
      </c>
      <c r="I32"/>
      <c r="J32" t="n">
        <f>IFERROR(ROUND((J29-J31)/J30,0),0)</f>
        <v>0.0</v>
      </c>
      <c r="K32"/>
      <c r="L32" t="n">
        <f>IFERROR(ROUND((L29-L31)/L30,0),0)</f>
        <v>0.0</v>
      </c>
      <c r="M32"/>
    </row>
    <row r="33" spans="2:18" x14ac:dyDescent="0.3">
      <c r="B33" t="s">
        <v>39</v>
      </c>
      <c r="C33"/>
      <c r="D33" t="n">
        <f>IFERROR(ROUND(IF(D17=0,0,(D29-D31)*(D$3/(1-POWER(1+D$3,-D30))-1/D30)),0),0)</f>
        <v>0.0</v>
      </c>
      <c r="E33"/>
      <c r="F33" t="n">
        <f>IFERROR(ROUND(IF(F17=0,0,(F29-F31)*(F$3/(1-POWER(1+F$3,-F30))-1/F30)),0),0)</f>
        <v>0.0</v>
      </c>
      <c r="G33"/>
      <c r="H33" t="n">
        <f>IFERROR(ROUND(IF(H17=0,0,(H29-H31)*(H$3/(1-POWER(1+H$3,-H30))-1/H30)),0),0)</f>
        <v>0.0</v>
      </c>
      <c r="I33"/>
      <c r="J33" t="n">
        <f>IFERROR(ROUND(IF(J17=0,0,(J29-J31)*(J$3/(1-POWER(1+J$3,-J30))-1/J30)),0),0)</f>
        <v>0.0</v>
      </c>
      <c r="K33"/>
      <c r="L33" t="n">
        <f>IFERROR(ROUND(IF(L17=0,0,(L29-L31)*(L$3/(1-POWER(1+L$3,-L30))-1/L30)),0),0)</f>
        <v>0.0</v>
      </c>
      <c r="M33"/>
    </row>
    <row r="34" spans="2:18" x14ac:dyDescent="0.3">
      <c r="B34" s="1" t="s">
        <v>40</v>
      </c>
      <c r="C34" s="1"/>
      <c r="D34" s="46" t="n">
        <f>D16+D20+D21+D22+D26+D27+D28+D32+D33</f>
        <v>22488.06</v>
      </c>
      <c r="E34" s="46"/>
      <c r="F34" s="46" t="n">
        <f>F16+F20+F21+F22+F26+F27+F28+F32+F33</f>
        <v>20016.69</v>
      </c>
      <c r="G34" s="46"/>
      <c r="H34" s="46" t="n">
        <f>H16+H20+H21+H22+H26+H27+H28+H32+H33</f>
        <v>13526.63</v>
      </c>
      <c r="I34" s="46"/>
      <c r="J34" s="46" t="n">
        <f>J16+J20+J21+J22+J26+J27+J28+J32+J33</f>
        <v>6804.47</v>
      </c>
      <c r="K34" s="46"/>
      <c r="L34" s="46" t="n">
        <f>L16+L20+L21+L22+L26+L27+L28+L32+L33</f>
        <v>20016.69</v>
      </c>
      <c r="M34"/>
    </row>
    <row r="35" spans="2:18" x14ac:dyDescent="0.3">
      <c r="B35" t="s">
        <v>16</v>
      </c>
      <c r="C35"/>
      <c r="D35" s="81" t="n">
        <v>33173.74</v>
      </c>
      <c r="E35"/>
      <c r="F35" s="81" t="n">
        <v>33173.74</v>
      </c>
      <c r="G35"/>
      <c r="H35" s="81" t="n">
        <v>33173.74</v>
      </c>
      <c r="I35"/>
      <c r="J35" s="81" t="n">
        <v>33173.74</v>
      </c>
      <c r="K35"/>
      <c r="L35" s="81" t="n">
        <v>33173.74</v>
      </c>
      <c r="M35"/>
    </row>
    <row r="36" spans="2:18" x14ac:dyDescent="0.3">
      <c r="B36" t="s">
        <v>41</v>
      </c>
      <c r="C36"/>
      <c r="D36" s="81" t="n">
        <v>0.0</v>
      </c>
      <c r="E36"/>
      <c r="F36" s="81" t="n">
        <v>0.0</v>
      </c>
      <c r="G36"/>
      <c r="H36" s="81" t="n">
        <v>0.0</v>
      </c>
      <c r="I36"/>
      <c r="J36" s="81" t="n">
        <v>0.0</v>
      </c>
      <c r="K36"/>
      <c r="L36" s="81" t="n">
        <v>0.0</v>
      </c>
      <c r="M36"/>
    </row>
    <row r="37" spans="2:18" x14ac:dyDescent="0.3">
      <c r="B37" t="s">
        <v>42</v>
      </c>
      <c r="C37"/>
      <c r="D37" s="81" t="n">
        <v>30.22</v>
      </c>
      <c r="E37"/>
      <c r="F37" s="81" t="n">
        <v>30.22</v>
      </c>
      <c r="G37"/>
      <c r="H37" s="81" t="n">
        <v>24.18</v>
      </c>
      <c r="I37"/>
      <c r="J37" s="81" t="n">
        <v>24.18</v>
      </c>
      <c r="K37"/>
      <c r="L37" s="81" t="n">
        <v>30.22</v>
      </c>
      <c r="M37"/>
      <c r="N37" s="94"/>
      <c r="O37" s="94"/>
    </row>
    <row r="38" spans="2:18" x14ac:dyDescent="0.3">
      <c r="B38" t="s">
        <v>43</v>
      </c>
      <c r="C38"/>
      <c r="D38" s="81" t="n">
        <v>100.0</v>
      </c>
      <c r="E38"/>
      <c r="F38" s="81" t="n">
        <v>100.0</v>
      </c>
      <c r="G38"/>
      <c r="H38" s="81" t="n">
        <v>50.0</v>
      </c>
      <c r="I38"/>
      <c r="J38" s="81" t="n">
        <v>25.0</v>
      </c>
      <c r="K38"/>
      <c r="L38" s="81" t="n">
        <v>100.0</v>
      </c>
      <c r="M38"/>
      <c r="R38" s="88"/>
    </row>
    <row r="39" spans="2:18" x14ac:dyDescent="0.3">
      <c r="B39" t="s">
        <v>44</v>
      </c>
      <c r="C39"/>
      <c r="D39" s="81" t="n">
        <v>0.0</v>
      </c>
      <c r="E39"/>
      <c r="F39" s="81" t="n">
        <v>0.0</v>
      </c>
      <c r="G39"/>
      <c r="H39" s="81" t="n">
        <v>0.0</v>
      </c>
      <c r="I39"/>
      <c r="J39" s="81" t="n">
        <v>0.0</v>
      </c>
      <c r="K39"/>
      <c r="L39" s="81" t="n">
        <v>0.0</v>
      </c>
      <c r="M39"/>
      <c r="R39" s="88"/>
    </row>
    <row r="40" spans="2:18" x14ac:dyDescent="0.3">
      <c r="B40" t="s">
        <v>45</v>
      </c>
      <c r="C40"/>
      <c r="D40" s="81" t="n">
        <v>0.0</v>
      </c>
      <c r="E40"/>
      <c r="F40" s="81" t="n">
        <v>0.0</v>
      </c>
      <c r="G40"/>
      <c r="H40" s="81" t="n">
        <v>0.0</v>
      </c>
      <c r="I40"/>
      <c r="J40" s="81" t="n">
        <v>0.0</v>
      </c>
      <c r="K40"/>
      <c r="L40" s="81" t="n">
        <v>0.0</v>
      </c>
      <c r="M40"/>
    </row>
    <row r="41" spans="2:18" x14ac:dyDescent="0.3">
      <c r="B41" t="s">
        <v>46</v>
      </c>
      <c r="C41"/>
      <c r="D41" t="n">
        <f>D37*D38+D39*D40</f>
        <v>3022.0</v>
      </c>
      <c r="E41"/>
      <c r="F41" t="n">
        <f>F37*F38+F39*F40</f>
        <v>3022.0</v>
      </c>
      <c r="G41"/>
      <c r="H41" t="n">
        <f>H37*H38+H39*H40</f>
        <v>1209.0</v>
      </c>
      <c r="I41"/>
      <c r="J41" t="n">
        <f>J37*J38+J39*J40</f>
        <v>604.5</v>
      </c>
      <c r="K41"/>
      <c r="L41" t="n">
        <f>L37*L38+L39*L40</f>
        <v>3022.0</v>
      </c>
      <c r="M41"/>
    </row>
    <row r="42" spans="2:18" x14ac:dyDescent="0.3">
      <c r="B42" t="s">
        <v>47</v>
      </c>
      <c r="C42"/>
      <c r="D42" s="81" t="n">
        <v>30.22</v>
      </c>
      <c r="E42"/>
      <c r="F42" s="81" t="n">
        <v>30.22</v>
      </c>
      <c r="G42"/>
      <c r="H42" s="81" t="n">
        <v>24.18</v>
      </c>
      <c r="I42"/>
      <c r="J42" s="81" t="n">
        <v>24.18</v>
      </c>
      <c r="K42"/>
      <c r="L42" s="81" t="n">
        <v>30.22</v>
      </c>
      <c r="M42"/>
    </row>
    <row r="43" spans="2:18" x14ac:dyDescent="0.3">
      <c r="B43" t="s">
        <v>48</v>
      </c>
      <c r="C43"/>
      <c r="D43" s="81" t="n">
        <v>100.0</v>
      </c>
      <c r="E43"/>
      <c r="F43" s="81" t="n">
        <v>100.0</v>
      </c>
      <c r="G43"/>
      <c r="H43" s="81" t="n">
        <v>50.0</v>
      </c>
      <c r="I43"/>
      <c r="J43" s="81" t="n">
        <v>25.0</v>
      </c>
      <c r="K43"/>
      <c r="L43" s="81" t="n">
        <v>100.0</v>
      </c>
      <c r="M43"/>
    </row>
    <row r="44" spans="2:18" x14ac:dyDescent="0.3">
      <c r="B44" t="s">
        <v>49</v>
      </c>
      <c r="C44"/>
      <c r="D44" s="81" t="n">
        <v>0.0</v>
      </c>
      <c r="E44"/>
      <c r="F44" s="81" t="n">
        <v>0.0</v>
      </c>
      <c r="G44"/>
      <c r="H44" s="81" t="n">
        <v>0.0</v>
      </c>
      <c r="I44"/>
      <c r="J44" s="81" t="n">
        <v>0.0</v>
      </c>
      <c r="K44"/>
      <c r="L44" s="81" t="n">
        <v>0.0</v>
      </c>
      <c r="M44"/>
    </row>
    <row r="45" spans="2:18" x14ac:dyDescent="0.3">
      <c r="B45" t="s">
        <v>50</v>
      </c>
      <c r="C45"/>
      <c r="D45" s="81" t="n">
        <v>0.0</v>
      </c>
      <c r="E45"/>
      <c r="F45" s="81" t="n">
        <v>0.0</v>
      </c>
      <c r="G45"/>
      <c r="H45" s="81" t="n">
        <v>0.0</v>
      </c>
      <c r="I45"/>
      <c r="J45" s="81" t="n">
        <v>0.0</v>
      </c>
      <c r="K45"/>
      <c r="L45" s="81" t="n">
        <v>0.0</v>
      </c>
      <c r="M45"/>
    </row>
    <row r="46" spans="2:18" x14ac:dyDescent="0.3">
      <c r="B46" t="s">
        <v>51</v>
      </c>
      <c r="C46"/>
      <c r="D46" t="n">
        <f>D42*D43+D44*D45</f>
        <v>3022.0</v>
      </c>
      <c r="E46"/>
      <c r="F46" t="n">
        <f>F42*F43+F44*F45</f>
        <v>3022.0</v>
      </c>
      <c r="G46"/>
      <c r="H46" t="n">
        <f>H42*H43+H44*H45</f>
        <v>1209.0</v>
      </c>
      <c r="I46"/>
      <c r="J46" t="n">
        <f>J42*J43+J44*J45</f>
        <v>604.5</v>
      </c>
      <c r="K46"/>
      <c r="L46" t="n">
        <f>L42*L43+L44*L45</f>
        <v>3022.0</v>
      </c>
      <c r="M46"/>
    </row>
    <row r="47" spans="2:18" x14ac:dyDescent="0.3">
      <c r="B47" s="46" t="s">
        <v>52</v>
      </c>
      <c r="C47" s="46"/>
      <c r="D47" s="46" t="n">
        <f>D35+D41+D46</f>
        <v>39217.74</v>
      </c>
      <c r="E47" s="46"/>
      <c r="F47" s="46" t="n">
        <f>F35+F41+F46</f>
        <v>39217.74</v>
      </c>
      <c r="G47" s="46"/>
      <c r="H47" s="46" t="n">
        <f>H35+H41+H46</f>
        <v>35591.74</v>
      </c>
      <c r="I47" s="46"/>
      <c r="J47" s="46" t="n">
        <f>J35+J41+J46</f>
        <v>34382.74</v>
      </c>
      <c r="K47" s="46"/>
      <c r="L47" s="46" t="n">
        <f>L35+L41+L46</f>
        <v>39217.74</v>
      </c>
      <c r="M47"/>
    </row>
    <row r="48" spans="2:18" x14ac:dyDescent="0.3">
      <c r="B48" t="s">
        <v>53</v>
      </c>
      <c r="C48"/>
      <c r="D48" s="81" t="n">
        <v>0.0</v>
      </c>
      <c r="E48"/>
      <c r="F48" s="81" t="n">
        <v>0.0</v>
      </c>
      <c r="G48"/>
      <c r="H48" s="81" t="n">
        <v>0.0</v>
      </c>
      <c r="I48"/>
      <c r="J48" s="81" t="n">
        <v>0.0</v>
      </c>
      <c r="K48"/>
      <c r="L48" s="81" t="n">
        <v>0.0</v>
      </c>
      <c r="M48"/>
    </row>
    <row r="49" spans="2:12" x14ac:dyDescent="0.3">
      <c r="B49" t="s">
        <v>54</v>
      </c>
      <c r="C49"/>
      <c r="D49" s="81" t="n">
        <v>0.0</v>
      </c>
      <c r="E49"/>
      <c r="F49" s="81" t="n">
        <v>0.0</v>
      </c>
      <c r="G49"/>
      <c r="H49" s="81" t="n">
        <v>0.0</v>
      </c>
      <c r="I49"/>
      <c r="J49" s="81" t="n">
        <v>0.0</v>
      </c>
      <c r="K49"/>
      <c r="L49" s="81" t="n">
        <v>0.0</v>
      </c>
      <c r="M49"/>
    </row>
    <row r="50" spans="2:12" x14ac:dyDescent="0.3">
      <c r="B50" t="s">
        <v>55</v>
      </c>
      <c r="C50"/>
      <c r="D50" s="81" t="n">
        <v>0.0</v>
      </c>
      <c r="E50"/>
      <c r="F50" s="81" t="n">
        <v>0.0</v>
      </c>
      <c r="G50"/>
      <c r="H50" s="81" t="n">
        <v>0.0</v>
      </c>
      <c r="I50"/>
      <c r="J50" s="81" t="n">
        <v>0.0</v>
      </c>
      <c r="K50"/>
      <c r="L50" s="81" t="n">
        <v>0.0</v>
      </c>
      <c r="M50"/>
    </row>
    <row r="51" spans="2:12" x14ac:dyDescent="0.3">
      <c r="B51" t="s">
        <v>56</v>
      </c>
      <c r="C51"/>
      <c r="D51" s="81" t="n">
        <v>0.0</v>
      </c>
      <c r="E51"/>
      <c r="F51" s="81" t="n">
        <v>0.0</v>
      </c>
      <c r="G51"/>
      <c r="H51" s="81" t="n">
        <v>0.0</v>
      </c>
      <c r="I51"/>
      <c r="J51" s="81" t="n">
        <v>0.0</v>
      </c>
      <c r="K51"/>
      <c r="L51" s="81" t="n">
        <v>0.0</v>
      </c>
      <c r="M51"/>
    </row>
    <row r="52" spans="2:12" x14ac:dyDescent="0.3">
      <c r="B52" t="s">
        <v>57</v>
      </c>
      <c r="C52"/>
      <c r="D52" s="81" t="n">
        <v>0.0</v>
      </c>
      <c r="E52"/>
      <c r="F52" s="81" t="n">
        <v>0.0</v>
      </c>
      <c r="G52"/>
      <c r="H52" s="81" t="n">
        <v>0.0</v>
      </c>
      <c r="I52"/>
      <c r="J52" s="81" t="n">
        <v>0.0</v>
      </c>
      <c r="K52"/>
      <c r="L52" s="81" t="n">
        <v>0.0</v>
      </c>
      <c r="M52"/>
    </row>
    <row r="53" spans="2:12" x14ac:dyDescent="0.3">
      <c r="B53" t="s">
        <v>58</v>
      </c>
      <c r="C53"/>
      <c r="D53" s="81" t="n">
        <v>0.0</v>
      </c>
      <c r="E53"/>
      <c r="F53" s="81" t="n">
        <v>0.0</v>
      </c>
      <c r="G53"/>
      <c r="H53" s="81" t="n">
        <v>0.0</v>
      </c>
      <c r="I53"/>
      <c r="J53" s="81" t="n">
        <v>0.0</v>
      </c>
      <c r="K53"/>
      <c r="L53" s="81" t="n">
        <v>0.0</v>
      </c>
      <c r="M53"/>
    </row>
    <row r="54" spans="2:12" x14ac:dyDescent="0.3">
      <c r="B54" t="s">
        <v>59</v>
      </c>
      <c r="C54"/>
      <c r="D54" s="81" t="n">
        <v>0.0</v>
      </c>
      <c r="E54"/>
      <c r="F54" s="81" t="n">
        <v>0.0</v>
      </c>
      <c r="G54"/>
      <c r="H54" s="81" t="n">
        <v>0.0</v>
      </c>
      <c r="I54"/>
      <c r="J54" s="81" t="n">
        <v>0.0</v>
      </c>
      <c r="K54"/>
      <c r="L54" s="81" t="n">
        <v>0.0</v>
      </c>
      <c r="M54"/>
    </row>
    <row r="55" spans="2:12" x14ac:dyDescent="0.3">
      <c r="B55" t="s">
        <v>60</v>
      </c>
      <c r="C55"/>
      <c r="D55" s="81" t="n">
        <v>2872.33</v>
      </c>
      <c r="E55"/>
      <c r="F55" s="81" t="n">
        <v>2443.47</v>
      </c>
      <c r="G55"/>
      <c r="H55" s="81" t="n">
        <v>2014.12</v>
      </c>
      <c r="I55"/>
      <c r="J55" s="81" t="n">
        <v>1725.83</v>
      </c>
      <c r="K55"/>
      <c r="L55" s="81" t="n">
        <v>2443.47</v>
      </c>
      <c r="M55"/>
    </row>
    <row r="56" spans="2:12" x14ac:dyDescent="0.3">
      <c r="B56" t="s">
        <v>61</v>
      </c>
      <c r="C56"/>
      <c r="D56" t="n">
        <f>D55</f>
        <v>2872.33</v>
      </c>
      <c r="E56"/>
      <c r="F56" t="n">
        <f ref="F56" si="16" t="shared">F55</f>
        <v>2443.47</v>
      </c>
      <c r="G56"/>
      <c r="H56" t="n">
        <f ref="H56" si="17" t="shared">H55</f>
        <v>2014.12</v>
      </c>
      <c r="I56"/>
      <c r="J56" t="n">
        <f ref="J56" si="18" t="shared">J55</f>
        <v>1725.83</v>
      </c>
      <c r="K56"/>
      <c r="L56" t="n">
        <f ref="L56" si="19" t="shared">L55</f>
        <v>2443.47</v>
      </c>
      <c r="M56"/>
    </row>
    <row r="57" spans="2:12" x14ac:dyDescent="0.3">
      <c r="B57" t="s">
        <v>62</v>
      </c>
      <c r="C57"/>
      <c r="D57" s="81" t="n">
        <v>0.0</v>
      </c>
      <c r="E57"/>
      <c r="F57" s="81" t="n">
        <v>0.0</v>
      </c>
      <c r="G57"/>
      <c r="H57" s="81" t="n">
        <v>0.0</v>
      </c>
      <c r="I57"/>
      <c r="J57" s="81" t="n">
        <v>0.0</v>
      </c>
      <c r="K57"/>
      <c r="L57" s="81" t="n">
        <v>0.0</v>
      </c>
      <c r="M57"/>
    </row>
    <row r="58" spans="2:12" x14ac:dyDescent="0.3">
      <c r="B58" t="s">
        <v>63</v>
      </c>
      <c r="C58"/>
      <c r="D58" s="81" t="n">
        <v>0.0</v>
      </c>
      <c r="E58"/>
      <c r="F58" s="81" t="n">
        <v>0.0</v>
      </c>
      <c r="G58"/>
      <c r="H58" s="81" t="n">
        <v>0.0</v>
      </c>
      <c r="I58"/>
      <c r="J58" s="81" t="n">
        <v>0.0</v>
      </c>
      <c r="K58"/>
      <c r="L58" s="81" t="n">
        <v>0.0</v>
      </c>
      <c r="M58"/>
    </row>
    <row r="59" spans="2:12" x14ac:dyDescent="0.3">
      <c r="B59" t="s">
        <v>64</v>
      </c>
      <c r="C59"/>
      <c r="D59" s="81" t="n">
        <v>0.0</v>
      </c>
      <c r="E59"/>
      <c r="F59" s="81" t="n">
        <v>0.0</v>
      </c>
      <c r="G59"/>
      <c r="H59" s="81" t="n">
        <v>0.0</v>
      </c>
      <c r="I59"/>
      <c r="J59" s="81" t="n">
        <v>0.0</v>
      </c>
      <c r="K59"/>
      <c r="L59" s="81" t="n">
        <v>0.0</v>
      </c>
      <c r="M59"/>
    </row>
    <row r="60" spans="2:12" x14ac:dyDescent="0.3">
      <c r="B60" t="s">
        <v>65</v>
      </c>
      <c r="C60"/>
      <c r="D60" s="81" t="n">
        <v>0.0</v>
      </c>
      <c r="E60"/>
      <c r="F60" s="81" t="n">
        <v>0.0</v>
      </c>
      <c r="G60"/>
      <c r="H60" s="81" t="n">
        <v>0.0</v>
      </c>
      <c r="I60"/>
      <c r="J60" s="81" t="n">
        <v>0.0</v>
      </c>
      <c r="K60"/>
      <c r="L60" s="81" t="n">
        <v>0.0</v>
      </c>
      <c r="M60"/>
    </row>
    <row r="61" spans="2:12" x14ac:dyDescent="0.3">
      <c r="B61" t="s">
        <v>66</v>
      </c>
      <c r="C61"/>
      <c r="D61" s="81" t="n">
        <v>0.0</v>
      </c>
      <c r="E61"/>
      <c r="F61" s="81" t="n">
        <v>0.0</v>
      </c>
      <c r="G61"/>
      <c r="H61" s="81" t="n">
        <v>0.0</v>
      </c>
      <c r="I61"/>
      <c r="J61" s="81" t="n">
        <v>0.0</v>
      </c>
      <c r="K61"/>
      <c r="L61" s="81" t="n">
        <v>0.0</v>
      </c>
      <c r="M61"/>
    </row>
    <row r="62" spans="2:12" x14ac:dyDescent="0.3">
      <c r="B62" t="s">
        <v>67</v>
      </c>
      <c r="C62"/>
      <c r="D62" s="81" t="n">
        <v>0.0</v>
      </c>
      <c r="E62"/>
      <c r="F62" s="81" t="n">
        <v>0.0</v>
      </c>
      <c r="G62"/>
      <c r="H62" s="81" t="n">
        <v>0.0</v>
      </c>
      <c r="I62"/>
      <c r="J62" s="81" t="n">
        <v>0.0</v>
      </c>
      <c r="K62"/>
      <c r="L62" s="81" t="n">
        <v>0.0</v>
      </c>
      <c r="M62"/>
    </row>
    <row r="63" spans="2:12" x14ac:dyDescent="0.3">
      <c r="B63" t="s">
        <v>68</v>
      </c>
      <c r="C63"/>
      <c r="D63" s="81" t="n">
        <v>1158.39</v>
      </c>
      <c r="E63"/>
      <c r="F63" s="81" t="n">
        <v>1098.55</v>
      </c>
      <c r="G63"/>
      <c r="H63" s="81" t="n">
        <v>924.68</v>
      </c>
      <c r="I63"/>
      <c r="J63" s="81" t="n">
        <v>702.26</v>
      </c>
      <c r="K63"/>
      <c r="L63" s="81" t="n">
        <v>1098.55</v>
      </c>
      <c r="M63"/>
    </row>
    <row r="64" spans="2:12" x14ac:dyDescent="0.3">
      <c r="B64" t="s">
        <v>69</v>
      </c>
      <c r="C64"/>
      <c r="D64" t="n">
        <f>D63</f>
        <v>1158.39</v>
      </c>
      <c r="E64"/>
      <c r="F64" t="n">
        <f ref="F64" si="20" t="shared">F63</f>
        <v>1098.55</v>
      </c>
      <c r="G64"/>
      <c r="H64" t="n">
        <f ref="H64" si="21" t="shared">H63</f>
        <v>924.68</v>
      </c>
      <c r="I64"/>
      <c r="J64" t="n">
        <f ref="J64" si="22" t="shared">J63</f>
        <v>702.26</v>
      </c>
      <c r="K64"/>
      <c r="L64" t="n">
        <f ref="L64" si="23" t="shared">L63</f>
        <v>1098.55</v>
      </c>
      <c r="M64"/>
    </row>
    <row r="65" spans="2:12" x14ac:dyDescent="0.3">
      <c r="B65" s="46" t="s">
        <v>70</v>
      </c>
      <c r="C65" s="46">
        <v>6.8</v>
      </c>
      <c r="D65" s="46" t="n">
        <f>D56+D64</f>
        <v>4030.72</v>
      </c>
      <c r="E65" s="46">
        <v>6.8</v>
      </c>
      <c r="F65" s="46" t="n">
        <f ref="F65" si="24" t="shared">F56+F64</f>
        <v>3542.02</v>
      </c>
      <c r="G65" s="46">
        <v>6.8</v>
      </c>
      <c r="H65" s="46" t="n">
        <f ref="H65" si="25" t="shared">H56+H64</f>
        <v>2938.8</v>
      </c>
      <c r="I65" s="46">
        <v>6.8</v>
      </c>
      <c r="J65" s="46" t="n">
        <f ref="J65" si="26" t="shared">J56+J64</f>
        <v>2428.09</v>
      </c>
      <c r="K65" s="46">
        <v>6.8</v>
      </c>
      <c r="L65" s="46" t="n">
        <f ref="L65" si="27" t="shared">L56+L64</f>
        <v>3542.02</v>
      </c>
      <c r="M65"/>
    </row>
    <row r="66" spans="2:12" x14ac:dyDescent="0.3">
      <c r="B66" t="s">
        <v>71</v>
      </c>
      <c r="C66">
        <v>21</v>
      </c>
      <c r="D66" s="81" t="n">
        <v>1.6831</v>
      </c>
      <c r="E66">
        <v>21</v>
      </c>
      <c r="F66" s="81" t="n">
        <v>1.6831</v>
      </c>
      <c r="G66">
        <v>21</v>
      </c>
      <c r="H66" s="81" t="n">
        <v>1.6831</v>
      </c>
      <c r="I66">
        <v>21</v>
      </c>
      <c r="J66" s="81" t="n">
        <v>1.6831</v>
      </c>
      <c r="K66">
        <v>21</v>
      </c>
      <c r="L66" s="81" t="n">
        <v>1.6831</v>
      </c>
      <c r="M66"/>
    </row>
    <row r="67" spans="2:12" x14ac:dyDescent="0.3">
      <c r="B67" t="s">
        <v>72</v>
      </c>
      <c r="C67" s="86" t="n">
        <v>6.8</v>
      </c>
      <c r="D67" s="87" t="n">
        <f>ROUND(D66*C67/100,3)</f>
        <v>0.11</v>
      </c>
      <c r="E67" s="86" t="n">
        <v>6.8</v>
      </c>
      <c r="F67" s="87" t="n">
        <f>ROUND(F66*E67/100,3)</f>
        <v>0.11</v>
      </c>
      <c r="G67" s="86" t="n">
        <v>6.8</v>
      </c>
      <c r="H67" s="87" t="n">
        <f>ROUND(H66*G67/100,3)</f>
        <v>0.11</v>
      </c>
      <c r="I67" s="86" t="n">
        <v>6.8</v>
      </c>
      <c r="J67" s="87" t="n">
        <f>ROUND(J66*I67/100,3)</f>
        <v>0.11</v>
      </c>
      <c r="K67" s="86" t="n">
        <v>6.8</v>
      </c>
      <c r="L67" s="87" t="n">
        <f>ROUND(L66*K67/100,3)</f>
        <v>0.11</v>
      </c>
      <c r="M67"/>
    </row>
    <row r="68" spans="2:12" x14ac:dyDescent="0.3">
      <c r="B68" t="s">
        <v>73</v>
      </c>
      <c r="C68" s="81" t="n">
        <v>21.0</v>
      </c>
      <c r="D68" t="n">
        <f>ROUND((C68/100)*(D66-D67)/(1+C68/100),2)</f>
        <v>0.27</v>
      </c>
      <c r="E68" s="81" t="n">
        <v>21.0</v>
      </c>
      <c r="F68" t="n">
        <f>ROUND((E68/100)*(F66-F67)/(1+E68/100),2)</f>
        <v>0.27</v>
      </c>
      <c r="G68" s="81" t="n">
        <v>21.0</v>
      </c>
      <c r="H68" t="n">
        <f>ROUND((G68/100)*(H66-H67)/(1+G68/100),2)</f>
        <v>0.27</v>
      </c>
      <c r="I68" s="81" t="n">
        <v>21.0</v>
      </c>
      <c r="J68" t="n">
        <f>ROUND((I68/100)*(J66-J67)/(1+I68/100),2)</f>
        <v>0.27</v>
      </c>
      <c r="K68" s="81" t="n">
        <v>21.0</v>
      </c>
      <c r="L68" t="n">
        <f>ROUND((K68/100)*(L66-L67)/(1+K68/100),2)</f>
        <v>0.27</v>
      </c>
      <c r="M68"/>
    </row>
    <row r="69" spans="2:12" x14ac:dyDescent="0.3">
      <c r="B69" t="s">
        <v>74</v>
      </c>
      <c r="C69"/>
      <c r="D69" t="n">
        <f>ROUND((D66-D67)/(1+C68/100),2)</f>
        <v>1.3</v>
      </c>
      <c r="E69"/>
      <c r="F69" t="n">
        <f>ROUND((F66-F67)/(1+E68/100),2)</f>
        <v>1.3</v>
      </c>
      <c r="G69"/>
      <c r="H69" t="n">
        <f>ROUND((H66-H67)/(1+G68/100),2)</f>
        <v>1.3</v>
      </c>
      <c r="I69"/>
      <c r="J69" t="n">
        <f>ROUND((J66-J67)/(1+I68/100),2)</f>
        <v>1.3</v>
      </c>
      <c r="K69"/>
      <c r="L69" t="n">
        <f>ROUND((L66-L67)/(1+K68/100),2)</f>
        <v>1.3</v>
      </c>
      <c r="M69"/>
    </row>
    <row r="70" spans="2:12" x14ac:dyDescent="0.3">
      <c r="B70" t="s">
        <v>75</v>
      </c>
      <c r="C70"/>
      <c r="D70" t="n">
        <f>ROUND(D8/100*D10*D69,0)</f>
        <v>29250.0</v>
      </c>
      <c r="E70"/>
      <c r="F70" t="n">
        <f>ROUND(F8/100*F10*F69,0)</f>
        <v>21970.0</v>
      </c>
      <c r="G70"/>
      <c r="H70" t="n">
        <f>ROUND(H8/100*H10*H69,0)</f>
        <v>13650.0</v>
      </c>
      <c r="I70"/>
      <c r="J70" t="n">
        <f>ROUND(J8/100*J10*J69,0)</f>
        <v>8060.0</v>
      </c>
      <c r="K70"/>
      <c r="L70" t="n">
        <f>ROUND(L8/100*L10*L69,0)</f>
        <v>21970.0</v>
      </c>
      <c r="M70"/>
    </row>
    <row r="71" spans="2:12" x14ac:dyDescent="0.3">
      <c r="B71" t="s">
        <v>76</v>
      </c>
      <c r="C71"/>
      <c r="D71" s="81" t="n">
        <v>4.0</v>
      </c>
      <c r="E71"/>
      <c r="F71" s="81" t="n">
        <v>2.0</v>
      </c>
      <c r="G71"/>
      <c r="H71" s="81" t="n">
        <v>2.0</v>
      </c>
      <c r="I71"/>
      <c r="J71" s="81" t="n">
        <v>2.0</v>
      </c>
      <c r="K71"/>
      <c r="L71" s="81" t="n">
        <v>2.0</v>
      </c>
      <c r="M71"/>
    </row>
    <row r="72" spans="2:12" x14ac:dyDescent="0.3">
      <c r="B72" t="s">
        <v>77</v>
      </c>
      <c r="C72"/>
      <c r="D72" s="81" t="n">
        <v>4.0</v>
      </c>
      <c r="E72"/>
      <c r="F72" s="81" t="n">
        <v>4.0</v>
      </c>
      <c r="G72"/>
      <c r="H72" s="81" t="n">
        <v>4.0</v>
      </c>
      <c r="I72"/>
      <c r="J72" s="81" t="n">
        <v>4.0</v>
      </c>
      <c r="K72"/>
      <c r="L72" s="81" t="n">
        <v>4.0</v>
      </c>
      <c r="M72"/>
    </row>
    <row r="73" spans="2:12" x14ac:dyDescent="0.3">
      <c r="B73" t="s">
        <v>78</v>
      </c>
      <c r="C73"/>
      <c r="D73" s="81" t="n">
        <v>0.0</v>
      </c>
      <c r="E73"/>
      <c r="F73" s="81" t="n">
        <v>0.0</v>
      </c>
      <c r="G73"/>
      <c r="H73" s="81" t="n">
        <v>0.0</v>
      </c>
      <c r="I73"/>
      <c r="J73" s="81" t="n">
        <v>0.0</v>
      </c>
      <c r="K73"/>
      <c r="L73" s="81" t="n">
        <v>0.0</v>
      </c>
      <c r="M73"/>
    </row>
    <row r="74" spans="2:12" x14ac:dyDescent="0.3">
      <c r="B74" t="s">
        <v>79</v>
      </c>
      <c r="C74"/>
      <c r="D74" s="81" t="n">
        <v>671.71</v>
      </c>
      <c r="E74"/>
      <c r="F74" s="81" t="n">
        <v>557.64</v>
      </c>
      <c r="G74"/>
      <c r="H74" s="81" t="n">
        <v>492.26</v>
      </c>
      <c r="I74"/>
      <c r="J74" s="81" t="n">
        <v>402.28</v>
      </c>
      <c r="K74"/>
      <c r="L74" s="81" t="n">
        <v>557.64</v>
      </c>
      <c r="M74"/>
    </row>
    <row r="75" spans="2:12" x14ac:dyDescent="0.3">
      <c r="B75" t="s">
        <v>80</v>
      </c>
      <c r="C75"/>
      <c r="D75" s="81" t="n">
        <v>671.71</v>
      </c>
      <c r="E75"/>
      <c r="F75" s="81" t="n">
        <v>557.64</v>
      </c>
      <c r="G75"/>
      <c r="H75" s="81" t="n">
        <v>492.26</v>
      </c>
      <c r="I75"/>
      <c r="J75" s="81" t="n">
        <v>402.28</v>
      </c>
      <c r="K75"/>
      <c r="L75" s="81" t="n">
        <v>557.64</v>
      </c>
      <c r="M75"/>
    </row>
    <row r="76" spans="2:12" x14ac:dyDescent="0.3">
      <c r="B76" t="s">
        <v>81</v>
      </c>
      <c r="C76"/>
      <c r="D76" s="81" t="n">
        <v>671.71</v>
      </c>
      <c r="E76"/>
      <c r="F76" s="81" t="n">
        <v>557.64</v>
      </c>
      <c r="G76"/>
      <c r="H76" s="81" t="n">
        <v>492.26</v>
      </c>
      <c r="I76"/>
      <c r="J76" s="81" t="n">
        <v>402.28</v>
      </c>
      <c r="K76"/>
      <c r="L76" s="81" t="n">
        <v>557.64</v>
      </c>
      <c r="M76"/>
    </row>
    <row r="77" spans="2:12" x14ac:dyDescent="0.3">
      <c r="B77" t="s">
        <v>82</v>
      </c>
      <c r="C77"/>
      <c r="D77" s="81" t="n">
        <v>70000.0</v>
      </c>
      <c r="E77"/>
      <c r="F77" s="81" t="n">
        <v>70000.0</v>
      </c>
      <c r="G77"/>
      <c r="H77" s="81" t="n">
        <v>70000.0</v>
      </c>
      <c r="I77"/>
      <c r="J77" s="81" t="n">
        <v>70000.0</v>
      </c>
      <c r="K77"/>
      <c r="L77" s="81" t="n">
        <v>70000.0</v>
      </c>
      <c r="M77"/>
    </row>
    <row r="78" spans="2:12" x14ac:dyDescent="0.3">
      <c r="B78" t="s">
        <v>83</v>
      </c>
      <c r="C78"/>
      <c r="D78" s="81" t="n">
        <v>70000.0</v>
      </c>
      <c r="E78"/>
      <c r="F78" s="81" t="n">
        <v>70000.0</v>
      </c>
      <c r="G78"/>
      <c r="H78" s="81" t="n">
        <v>70000.0</v>
      </c>
      <c r="I78"/>
      <c r="J78" s="81" t="n">
        <v>70000.0</v>
      </c>
      <c r="K78"/>
      <c r="L78" s="81" t="n">
        <v>70000.0</v>
      </c>
      <c r="M78"/>
    </row>
    <row r="79" spans="2:12" x14ac:dyDescent="0.3">
      <c r="B79" t="s">
        <v>84</v>
      </c>
      <c r="C79"/>
      <c r="D79" s="81" t="n">
        <v>70000.0</v>
      </c>
      <c r="E79"/>
      <c r="F79" s="81" t="n">
        <v>70000.0</v>
      </c>
      <c r="G79"/>
      <c r="H79" s="81" t="n">
        <v>70000.0</v>
      </c>
      <c r="I79"/>
      <c r="J79" s="81" t="n">
        <v>70000.0</v>
      </c>
      <c r="K79"/>
      <c r="L79" s="81" t="n">
        <v>70000.0</v>
      </c>
      <c r="M79"/>
    </row>
    <row r="80" spans="2:12" x14ac:dyDescent="0.3">
      <c r="B80" t="s">
        <v>85</v>
      </c>
      <c r="C80"/>
      <c r="D80" t="n">
        <f>ROUND(IFERROR(D71*D74*D$8/D77,0)+IFERROR(D72*D75*D$8/D78,0)+IFERROR(D73*D76*D$8/D79,0),0)</f>
        <v>5757.51</v>
      </c>
      <c r="E80"/>
      <c r="F80" t="n">
        <f>ROUND(IFERROR(F71*F74*F$8/F77,0)+IFERROR(F72*F75*F$8/F78,0)+IFERROR(F73*F76*F$8/F79,0),0)</f>
        <v>3106.85</v>
      </c>
      <c r="G80"/>
      <c r="H80" t="n">
        <f>ROUND(IFERROR(H71*H74*H$8/H77,0)+IFERROR(H72*H75*H$8/H78,0)+IFERROR(H73*H76*H$8/H79,0),0)</f>
        <v>2109.69</v>
      </c>
      <c r="I80"/>
      <c r="J80" t="n">
        <f>ROUND(IFERROR(J71*J74*J$8/J77,0)+IFERROR(J72*J75*J$8/J78,0)+IFERROR(J73*J76*J$8/J79,0),0)</f>
        <v>1379.25</v>
      </c>
      <c r="K80"/>
      <c r="L80" t="n">
        <f>ROUND(IFERROR(L71*L74*L$8/L77,0)+IFERROR(L72*L75*L$8/L78,0)+IFERROR(L73*L76*L$8/L79,0),0)</f>
        <v>3106.85</v>
      </c>
      <c r="M80"/>
    </row>
    <row r="81" spans="2:12" x14ac:dyDescent="0.3">
      <c r="B81" t="s">
        <v>86</v>
      </c>
      <c r="C81"/>
      <c r="D81" s="81" t="n">
        <v>0.1578</v>
      </c>
      <c r="E81"/>
      <c r="F81" s="81" t="n">
        <v>0.15</v>
      </c>
      <c r="G81"/>
      <c r="H81" s="81" t="n">
        <v>0.1096</v>
      </c>
      <c r="I81"/>
      <c r="J81" s="81" t="n">
        <v>0.0672</v>
      </c>
      <c r="K81"/>
      <c r="L81" s="81" t="n">
        <v>0.15</v>
      </c>
      <c r="M81"/>
    </row>
    <row r="82" spans="2:12" x14ac:dyDescent="0.3">
      <c r="B82" t="s">
        <v>87</v>
      </c>
      <c r="C82"/>
      <c r="D82" t="n">
        <f>ROUND(D81*D8,2)</f>
        <v>11835.0</v>
      </c>
      <c r="E82"/>
      <c r="F82" t="n">
        <f>ROUND(F81*F8,2)</f>
        <v>9750.0</v>
      </c>
      <c r="G82"/>
      <c r="H82" t="n">
        <f>ROUND(H81*H8,2)</f>
        <v>5480.0</v>
      </c>
      <c r="I82"/>
      <c r="J82" t="n">
        <f>ROUND(J81*J8,2)</f>
        <v>2688.0</v>
      </c>
      <c r="K82"/>
      <c r="L82" t="n">
        <f>ROUND(L81*L8,2)</f>
        <v>9750.0</v>
      </c>
      <c r="M82"/>
    </row>
    <row r="83" spans="2:12" x14ac:dyDescent="0.3">
      <c r="B83" t="s">
        <v>88</v>
      </c>
      <c r="C83"/>
      <c r="D83" s="81" t="n">
        <v>0.0</v>
      </c>
      <c r="E83"/>
      <c r="F83" s="81" t="n">
        <v>0.0</v>
      </c>
      <c r="G83"/>
      <c r="H83" s="81" t="n">
        <v>0.0</v>
      </c>
      <c r="I83"/>
      <c r="J83" s="81" t="n">
        <v>0.0</v>
      </c>
      <c r="K83"/>
      <c r="L83" s="81" t="n">
        <v>0.0</v>
      </c>
      <c r="M83"/>
    </row>
    <row r="84" spans="2:12" x14ac:dyDescent="0.3">
      <c r="B84" t="s">
        <v>89</v>
      </c>
      <c r="C84"/>
      <c r="D84" t="n">
        <f>ROUND(D70+D80+D82+D83,2)</f>
        <v>46842.51</v>
      </c>
      <c r="E84"/>
      <c r="F84" t="n">
        <f>ROUND(F70+F80+F82+F83,2)</f>
        <v>34826.85</v>
      </c>
      <c r="G84"/>
      <c r="H84" t="n">
        <f>ROUND(H70+H80+H82+H83,2)</f>
        <v>21239.69</v>
      </c>
      <c r="I84"/>
      <c r="J84" t="n">
        <f>ROUND(J70+J80+J82+J83,2)</f>
        <v>12127.25</v>
      </c>
      <c r="K84"/>
      <c r="L84" t="n">
        <f>ROUND(L70+L80+L82+L83,2)</f>
        <v>34826.85</v>
      </c>
      <c r="M84"/>
    </row>
    <row r="85" spans="2:12" x14ac:dyDescent="0.3">
      <c r="B85" s="46" t="s">
        <v>90</v>
      </c>
      <c r="C85" s="46"/>
      <c r="D85" s="46" t="n">
        <f>ROUND(D34+D47+D65+D84,2)</f>
        <v>112579.03</v>
      </c>
      <c r="E85" s="46"/>
      <c r="F85" s="46" t="n">
        <f>ROUND(F34+F47+F65+F84,2)</f>
        <v>97603.3</v>
      </c>
      <c r="G85" s="46"/>
      <c r="H85" s="46" t="n">
        <f>ROUND(H34+H47+H65+H84,2)</f>
        <v>73296.86</v>
      </c>
      <c r="I85" s="46"/>
      <c r="J85" s="46" t="n">
        <f>ROUND(J34+J47+J65+J84,2)</f>
        <v>55742.55</v>
      </c>
      <c r="K85" s="46"/>
      <c r="L85" s="46" t="n">
        <f>ROUND(L34+L47+L65+L84,2)</f>
        <v>97603.3</v>
      </c>
      <c r="M85"/>
    </row>
    <row r="86" spans="2:12" x14ac:dyDescent="0.3">
      <c r="B86" t="s">
        <v>91</v>
      </c>
      <c r="C86"/>
      <c r="D86" s="85" t="n">
        <f>ROUND(12.5/100*D85,0)</f>
        <v>14072.38</v>
      </c>
      <c r="E86"/>
      <c r="F86" s="85" t="n">
        <f>ROUND(12.5/100*F85,0)</f>
        <v>12200.41</v>
      </c>
      <c r="G86"/>
      <c r="H86" s="85" t="n">
        <f>ROUND(12.5/100*H85,0)</f>
        <v>9162.11</v>
      </c>
      <c r="I86"/>
      <c r="J86" s="85" t="n">
        <f>ROUND(12.5/100*J85,0)</f>
        <v>6967.82</v>
      </c>
      <c r="K86"/>
      <c r="L86" s="85" t="n">
        <f>ROUND(12.5/100*L85,0)</f>
        <v>12200.41</v>
      </c>
      <c r="M86"/>
    </row>
    <row r="87" spans="2:12" x14ac:dyDescent="0.3">
      <c r="B87" t="s">
        <v>92</v>
      </c>
      <c r="C87"/>
      <c r="D87" t="n">
        <f>ROUND(D86,0)</f>
        <v>14072.38</v>
      </c>
      <c r="E87"/>
      <c r="F87" t="n">
        <f>ROUND(F86,0)</f>
        <v>12200.41</v>
      </c>
      <c r="G87"/>
      <c r="H87" t="n">
        <f>ROUND(H86,0)</f>
        <v>9162.11</v>
      </c>
      <c r="I87"/>
      <c r="J87" t="n">
        <f>ROUND(J86,0)</f>
        <v>6967.82</v>
      </c>
      <c r="K87"/>
      <c r="L87" t="n">
        <f>ROUND(L86,0)</f>
        <v>12200.41</v>
      </c>
      <c r="M87"/>
    </row>
    <row r="88" spans="2:12" x14ac:dyDescent="0.3">
      <c r="B88" s="46" t="s">
        <v>17</v>
      </c>
      <c r="C88" s="46"/>
      <c r="D88" s="46" t="n">
        <f>ROUND(D85+D87,0)</f>
        <v>126651.41</v>
      </c>
      <c r="E88" s="46"/>
      <c r="F88" s="46" t="n">
        <f>ROUND(F85+F87,0)</f>
        <v>109803.71</v>
      </c>
      <c r="G88" s="46"/>
      <c r="H88" s="46" t="n">
        <f>ROUND(H85+H87,0)</f>
        <v>82458.97</v>
      </c>
      <c r="I88" s="46"/>
      <c r="J88" s="46" t="n">
        <f>ROUND(J85+J87,0)</f>
        <v>62710.37</v>
      </c>
      <c r="K88" s="46"/>
      <c r="L88" s="46" t="n">
        <f>ROUND(L85+L87,0)</f>
        <v>109803.71</v>
      </c>
      <c r="M88"/>
    </row>
  </sheetData>
  <sheetProtection selectLockedCells="1" selectUnlockedCells="1"/>
  <mergeCells count="1">
    <mergeCell ref="N37:O37"/>
  </mergeCells>
  <pageMargins bottom="0.75" footer="0.3" header="0.3" left="0.7" right="0.7" top="0.75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V39"/>
  <sheetViews>
    <sheetView workbookViewId="0" zoomScaleNormal="100">
      <selection activeCell="G10" sqref="G10"/>
    </sheetView>
  </sheetViews>
  <sheetFormatPr baseColWidth="10" defaultColWidth="9.109375" defaultRowHeight="14.4" x14ac:dyDescent="0.3"/>
  <cols>
    <col min="1" max="2" customWidth="true" width="5.6640625" collapsed="true"/>
    <col min="5" max="5" customWidth="true" width="8.33203125" collapsed="true"/>
    <col min="6" max="6" customWidth="true" hidden="true" width="0.6640625" collapsed="true"/>
    <col min="7" max="7" customWidth="true" width="33.0" collapsed="true"/>
    <col min="8" max="8" customWidth="true" width="48.6640625" collapsed="true"/>
    <col min="9" max="10" customWidth="true" width="5.6640625" collapsed="true"/>
  </cols>
  <sheetData>
    <row r="1" spans="1:22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customHeight="1" ht="20.25" r="5" spans="1:22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ht="23.4" r="6" spans="1:22" x14ac:dyDescent="0.45">
      <c r="A6" s="2"/>
      <c r="B6" s="2"/>
      <c r="C6" s="3" t="s">
        <v>168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ht="23.4" r="7" spans="1:22" x14ac:dyDescent="0.45">
      <c r="A7" s="2"/>
      <c r="B7" s="2"/>
      <c r="C7" s="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x14ac:dyDescent="0.3">
      <c r="A8" s="2"/>
      <c r="B8" s="4"/>
      <c r="C8" s="5"/>
      <c r="D8" s="5"/>
      <c r="E8" s="5"/>
      <c r="F8" s="5"/>
      <c r="G8" s="5"/>
      <c r="H8" s="5"/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x14ac:dyDescent="0.3">
      <c r="A9" s="2"/>
      <c r="B9" s="7"/>
      <c r="C9" s="2"/>
      <c r="D9" s="2"/>
      <c r="E9" s="2"/>
      <c r="F9" s="2"/>
      <c r="G9" s="2"/>
      <c r="H9" s="2"/>
      <c r="I9" s="1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x14ac:dyDescent="0.3">
      <c r="A10" s="2"/>
      <c r="B10" s="7"/>
      <c r="C10" s="11" t="s">
        <v>169</v>
      </c>
      <c r="D10" s="2"/>
      <c r="E10" s="14" t="str">
        <f>VLOOKUP(F10,T!A2:B17,2,0)</f>
        <v>T18</v>
      </c>
      <c r="F10" s="89" t="s">
        <v>115</v>
      </c>
      <c r="G10" s="89"/>
      <c r="H10" s="89"/>
      <c r="I10" s="1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x14ac:dyDescent="0.3">
      <c r="A11" s="10"/>
      <c r="B11" s="2"/>
      <c r="C11" s="2"/>
      <c r="D11" s="2"/>
      <c r="E11" s="2"/>
      <c r="F11" s="2"/>
      <c r="G11" s="2"/>
      <c r="H11" s="2"/>
      <c r="I11" s="10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hidden="1" r="12" spans="1:22" x14ac:dyDescent="0.3">
      <c r="A12" s="10"/>
      <c r="B12" s="2"/>
      <c r="C12" s="2"/>
      <c r="D12" s="2"/>
      <c r="E12" s="2"/>
      <c r="F12" s="2"/>
      <c r="G12" s="2"/>
      <c r="H12" s="2"/>
      <c r="I12" s="10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hidden="1" r="13" spans="1:22" x14ac:dyDescent="0.3">
      <c r="A13" s="10"/>
      <c r="B13" s="2"/>
      <c r="C13" s="11" t="s">
        <v>5</v>
      </c>
      <c r="D13" s="2"/>
      <c r="E13" s="2"/>
      <c r="F13" s="15"/>
      <c r="G13" s="16" t="s">
        <v>7</v>
      </c>
      <c r="H13" s="2"/>
      <c r="I13" s="10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hidden="1" r="14" spans="1:22" x14ac:dyDescent="0.3">
      <c r="A14" s="10"/>
      <c r="B14" s="2"/>
      <c r="C14" s="2"/>
      <c r="D14" s="2"/>
      <c r="E14" s="2"/>
      <c r="F14" s="2"/>
      <c r="G14" s="2"/>
      <c r="H14" s="2"/>
      <c r="I14" s="10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hidden="1" r="15" spans="1:22" x14ac:dyDescent="0.3">
      <c r="A15" s="10"/>
      <c r="B15" s="2"/>
      <c r="C15" s="2"/>
      <c r="D15" s="2"/>
      <c r="E15" s="2"/>
      <c r="F15" s="2"/>
      <c r="G15" s="2"/>
      <c r="H15" s="2"/>
      <c r="I15" s="10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x14ac:dyDescent="0.3">
      <c r="A16" s="10"/>
      <c r="B16" s="2"/>
      <c r="C16" s="11" t="s">
        <v>170</v>
      </c>
      <c r="D16" s="2"/>
      <c r="E16" s="2"/>
      <c r="F16" s="2"/>
      <c r="G16" s="2"/>
      <c r="H16" s="2"/>
      <c r="I16" s="10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x14ac:dyDescent="0.3">
      <c r="A17" s="10"/>
      <c r="B17" s="12"/>
      <c r="C17" s="12"/>
      <c r="D17" s="12"/>
      <c r="E17" s="12"/>
      <c r="F17" s="12"/>
      <c r="G17" s="12"/>
      <c r="H17" s="12"/>
      <c r="I17" s="13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x14ac:dyDescent="0.3">
      <c r="A18" s="2"/>
      <c r="B18" s="2"/>
      <c r="C18" s="2"/>
      <c r="D18" s="2"/>
      <c r="E18" s="2"/>
      <c r="F18" s="2"/>
      <c r="G18" s="2"/>
      <c r="H18" s="2"/>
      <c r="I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</sheetData>
  <sheetProtection objects="1" scenarios="1" selectLockedCells="1" sheet="1"/>
  <dataConsolidate/>
  <dataValidations count="2">
    <dataValidation allowBlank="1" showErrorMessage="1" showInputMessage="1" sqref="F10" type="list" xr:uid="{00000000-0002-0000-0200-000000000000}">
      <formula1>TipoV</formula1>
    </dataValidation>
    <dataValidation allowBlank="1" showErrorMessage="1" sqref="G13" type="list" xr:uid="{00000000-0002-0000-0200-000001000000}">
      <formula1>Precarga</formula1>
    </dataValidation>
  </dataValidations>
  <pageMargins bottom="0.75" footer="0.3" header="0.3" left="0.7" right="0.7" top="0.75"/>
  <pageSetup orientation="portrait" paperSize="9" r:id="rId1"/>
  <drawing r:id="rId2"/>
  <legacyDrawing r:id="rId3"/>
  <controls>
    <mc:AlternateContent>
      <mc:Choice Requires="x14">
        <control name="B_Carga" r:id="rId4" shapeId="12290">
          <controlPr autoLine="0" defaultSize="0" r:id="rId5">
            <anchor moveWithCells="1">
              <from>
                <xdr:col>7</xdr:col>
                <xdr:colOff>1409700</xdr:colOff>
                <xdr:row>10</xdr:row>
                <xdr:rowOff>175260</xdr:rowOff>
              </from>
              <to>
                <xdr:col>7</xdr:col>
                <xdr:colOff>1927860</xdr:colOff>
                <xdr:row>16</xdr:row>
                <xdr:rowOff>60960</xdr:rowOff>
              </to>
            </anchor>
          </controlPr>
        </control>
      </mc:Choice>
      <mc:Fallback>
        <control name="B_Carga" r:id="rId4" shapeId="12290"/>
      </mc:Fallback>
    </mc:AlternateContent>
    <mc:AlternateContent>
      <mc:Choice Requires="x14">
        <control name="B_Vaciar" r:id="rId6" shapeId="12291">
          <controlPr autoLine="0" defaultSize="0" r:id="rId7">
            <anchor moveWithCells="1">
              <from>
                <xdr:col>7</xdr:col>
                <xdr:colOff>2049780</xdr:colOff>
                <xdr:row>10</xdr:row>
                <xdr:rowOff>175260</xdr:rowOff>
              </from>
              <to>
                <xdr:col>7</xdr:col>
                <xdr:colOff>2552700</xdr:colOff>
                <xdr:row>16</xdr:row>
                <xdr:rowOff>60960</xdr:rowOff>
              </to>
            </anchor>
          </controlPr>
        </control>
      </mc:Choice>
      <mc:Fallback>
        <control name="B_Vaciar" r:id="rId6" shapeId="12291"/>
      </mc:Fallback>
    </mc:AlternateContent>
    <mc:AlternateContent>
      <mc:Choice Requires="x14">
        <control name="CB_Vehiculo" r:id="rId8" shapeId="12293">
          <controlPr autoLine="0" defaultSize="0" locked="0" r:id="rId9">
            <anchor>
              <from>
                <xdr:col>4</xdr:col>
                <xdr:colOff>541020</xdr:colOff>
                <xdr:row>8</xdr:row>
                <xdr:rowOff>167640</xdr:rowOff>
              </from>
              <to>
                <xdr:col>8</xdr:col>
                <xdr:colOff>22860</xdr:colOff>
                <xdr:row>10</xdr:row>
                <xdr:rowOff>60960</xdr:rowOff>
              </to>
            </anchor>
          </controlPr>
        </control>
      </mc:Choice>
      <mc:Fallback>
        <control name="CB_Vehiculo" r:id="rId8" shapeId="12293"/>
      </mc:Fallback>
    </mc:AlternateContent>
  </controls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V53"/>
  <sheetViews>
    <sheetView workbookViewId="0">
      <selection activeCell="J11" sqref="J11:N11"/>
    </sheetView>
  </sheetViews>
  <sheetFormatPr baseColWidth="10" defaultColWidth="11.44140625" defaultRowHeight="14.4" x14ac:dyDescent="0.3"/>
  <cols>
    <col min="1" max="2" customWidth="true" width="5.6640625" collapsed="true"/>
    <col min="3" max="3" customWidth="true" width="41.33203125" collapsed="true"/>
    <col min="7" max="7" customWidth="true" style="47" width="7.6640625" collapsed="true"/>
    <col min="8" max="8" customWidth="true" style="47" width="8.6640625" collapsed="true"/>
    <col min="9" max="9" customWidth="true" style="47" width="3.33203125" collapsed="true"/>
    <col min="10" max="10" customWidth="true" style="47" width="15.6640625" collapsed="true"/>
    <col min="11" max="11" customWidth="true" style="47" width="8.6640625" collapsed="true"/>
    <col min="12" max="12" customWidth="true" style="47" width="16.77734375" collapsed="true"/>
    <col min="13" max="13" customWidth="true" style="47" width="12.0" collapsed="true"/>
    <col min="14" max="14" customWidth="true" width="17.6640625" collapsed="true"/>
    <col min="15" max="16" customWidth="true" width="5.6640625" collapsed="true"/>
    <col min="22" max="22" customWidth="true" width="20.77734375" collapsed="true"/>
  </cols>
  <sheetData>
    <row r="1" spans="1:22" x14ac:dyDescent="0.3">
      <c r="A1" s="2"/>
      <c r="B1" s="2"/>
      <c r="C1" s="2"/>
      <c r="D1" s="2"/>
      <c r="E1" s="2"/>
      <c r="F1" s="2"/>
      <c r="G1" s="48"/>
      <c r="H1" s="48"/>
      <c r="I1" s="48"/>
      <c r="J1" s="48"/>
      <c r="K1" s="48"/>
      <c r="L1" s="48"/>
      <c r="M1" s="48"/>
      <c r="N1" s="2"/>
      <c r="O1" s="2"/>
      <c r="P1" s="2"/>
      <c r="Q1" s="2"/>
      <c r="R1" s="2"/>
      <c r="S1" s="2"/>
      <c r="T1" s="2"/>
      <c r="U1" s="2"/>
    </row>
    <row r="2" spans="1:22" x14ac:dyDescent="0.3">
      <c r="A2" s="2"/>
      <c r="B2" s="2"/>
      <c r="C2" s="2"/>
      <c r="D2" s="2"/>
      <c r="E2" s="2"/>
      <c r="F2" s="2"/>
      <c r="G2" s="48"/>
      <c r="H2" s="48"/>
      <c r="I2" s="48"/>
      <c r="J2" s="48"/>
      <c r="K2" s="48"/>
      <c r="L2" s="48"/>
      <c r="M2" s="48"/>
      <c r="N2" s="2"/>
      <c r="O2" s="2"/>
      <c r="P2" s="2"/>
      <c r="Q2" s="2"/>
      <c r="R2" s="2"/>
      <c r="S2" s="2"/>
      <c r="T2" s="2"/>
      <c r="U2" s="2"/>
    </row>
    <row r="3" spans="1:22" x14ac:dyDescent="0.3">
      <c r="A3" s="2"/>
      <c r="B3" s="2"/>
      <c r="C3" s="2"/>
      <c r="D3" s="2"/>
      <c r="E3" s="2"/>
      <c r="F3" s="2"/>
      <c r="G3" s="48"/>
      <c r="H3" s="48"/>
      <c r="I3" s="48"/>
      <c r="J3" s="48"/>
      <c r="K3" s="48"/>
      <c r="L3" s="48"/>
      <c r="M3" s="48"/>
      <c r="N3" s="2"/>
      <c r="O3" s="2"/>
      <c r="P3" s="2"/>
      <c r="Q3" s="2"/>
      <c r="R3" s="2"/>
      <c r="S3" s="2"/>
      <c r="T3" s="2"/>
      <c r="U3" s="2"/>
    </row>
    <row r="4" spans="1:22" x14ac:dyDescent="0.3">
      <c r="A4" s="2"/>
      <c r="B4" s="2"/>
      <c r="C4" s="2"/>
      <c r="D4" s="2"/>
      <c r="E4" s="2"/>
      <c r="F4" s="2"/>
      <c r="G4" s="48"/>
      <c r="H4" s="48"/>
      <c r="I4" s="48"/>
      <c r="J4" s="48"/>
      <c r="K4" s="48"/>
      <c r="L4" s="48"/>
      <c r="M4" s="48"/>
      <c r="N4" s="2"/>
      <c r="O4" s="2"/>
      <c r="P4" s="2"/>
      <c r="Q4" s="2"/>
      <c r="R4" s="2"/>
      <c r="S4" s="2"/>
      <c r="T4" s="2"/>
      <c r="U4" s="2"/>
    </row>
    <row r="5" spans="1:22" x14ac:dyDescent="0.3">
      <c r="A5" s="2"/>
      <c r="B5" s="2"/>
      <c r="C5" s="2"/>
      <c r="D5" s="2"/>
      <c r="E5" s="2"/>
      <c r="F5" s="2"/>
      <c r="G5" s="48"/>
      <c r="H5" s="48"/>
      <c r="I5" s="48"/>
      <c r="J5" s="48"/>
      <c r="K5" s="48"/>
      <c r="L5" s="48"/>
      <c r="M5" s="48"/>
      <c r="N5" s="2"/>
      <c r="O5" s="2"/>
      <c r="P5" s="2"/>
      <c r="Q5" s="2"/>
      <c r="R5" s="2"/>
      <c r="S5" s="2"/>
      <c r="T5" s="2"/>
      <c r="U5" s="2"/>
    </row>
    <row ht="23.4" r="6" spans="1:22" x14ac:dyDescent="0.45">
      <c r="A6" s="2"/>
      <c r="B6" s="2"/>
      <c r="C6" s="3" t="s">
        <v>171</v>
      </c>
      <c r="D6" s="2"/>
      <c r="E6" s="2"/>
      <c r="F6" s="2"/>
      <c r="G6" s="48"/>
      <c r="H6" s="48"/>
      <c r="I6" s="48"/>
      <c r="J6" s="48"/>
      <c r="K6" s="48"/>
      <c r="L6" s="48"/>
      <c r="M6" s="48"/>
      <c r="N6" s="2"/>
      <c r="O6" s="2"/>
      <c r="P6" s="2"/>
      <c r="Q6" s="2"/>
      <c r="R6" s="2"/>
      <c r="S6" s="2"/>
      <c r="T6" s="2"/>
      <c r="U6" s="2"/>
    </row>
    <row customHeight="1" ht="9" r="7" spans="1:22" x14ac:dyDescent="0.3">
      <c r="A7" s="2"/>
      <c r="B7" s="2"/>
      <c r="C7" s="2"/>
      <c r="D7" s="2"/>
      <c r="E7" s="2"/>
      <c r="F7" s="2"/>
      <c r="G7" s="48"/>
      <c r="H7" s="48"/>
      <c r="I7" s="48"/>
      <c r="J7" s="48"/>
      <c r="K7" s="48"/>
      <c r="L7" s="48"/>
      <c r="M7" s="48"/>
      <c r="N7" s="2"/>
      <c r="O7" s="2"/>
      <c r="P7" s="2"/>
      <c r="Q7" s="2"/>
      <c r="R7" s="2"/>
      <c r="S7" s="2"/>
      <c r="T7" s="2"/>
      <c r="U7" s="2"/>
    </row>
    <row r="8" spans="1:22" x14ac:dyDescent="0.3">
      <c r="A8" s="2"/>
      <c r="B8" s="4"/>
      <c r="C8" s="5"/>
      <c r="D8" s="5"/>
      <c r="E8" s="5"/>
      <c r="F8" s="5"/>
      <c r="G8" s="49"/>
      <c r="H8" s="49"/>
      <c r="I8" s="49"/>
      <c r="J8" s="49"/>
      <c r="K8" s="49"/>
      <c r="L8" s="49"/>
      <c r="M8" s="49"/>
      <c r="N8" s="5"/>
      <c r="O8" s="6"/>
      <c r="P8" s="2"/>
      <c r="Q8" s="2"/>
      <c r="R8" s="2"/>
      <c r="S8" s="2"/>
      <c r="T8" s="2"/>
      <c r="U8" s="2"/>
    </row>
    <row customHeight="1" ht="21.75" r="9" spans="1:22" x14ac:dyDescent="0.3">
      <c r="A9" s="2"/>
      <c r="B9" s="7"/>
      <c r="C9" s="8" t="s">
        <v>172</v>
      </c>
      <c r="D9" s="9"/>
      <c r="E9" s="9"/>
      <c r="F9" s="9"/>
      <c r="G9" s="50"/>
      <c r="H9" s="50"/>
      <c r="I9" s="50"/>
      <c r="J9" s="51"/>
      <c r="K9" s="50"/>
      <c r="L9" s="80" t="s">
        <v>287</v>
      </c>
      <c r="M9" s="92" t="str">
        <f>DE!$AJ$2</f>
        <v>08/01/2024</v>
      </c>
      <c r="N9" s="9"/>
      <c r="O9" s="10"/>
      <c r="P9" s="2"/>
      <c r="Q9" s="2"/>
      <c r="R9" s="2"/>
      <c r="S9" s="2"/>
      <c r="T9" s="2"/>
      <c r="U9" s="2"/>
    </row>
    <row customHeight="1" ht="18" r="10" spans="1:22" x14ac:dyDescent="0.3">
      <c r="A10" s="2"/>
      <c r="B10" s="7"/>
      <c r="C10" s="2"/>
      <c r="D10" s="2"/>
      <c r="E10" s="2"/>
      <c r="F10" s="2"/>
      <c r="G10" s="48"/>
      <c r="H10" s="48"/>
      <c r="I10" s="48"/>
      <c r="J10" s="48"/>
      <c r="K10" s="48"/>
      <c r="L10" s="48"/>
      <c r="M10" s="48"/>
      <c r="N10" s="2"/>
      <c r="O10" s="10"/>
      <c r="P10" s="2"/>
      <c r="Q10" s="2"/>
      <c r="R10" s="2"/>
      <c r="S10" s="2"/>
      <c r="T10" s="2"/>
      <c r="U10" s="2"/>
      <c r="V10" s="91"/>
    </row>
    <row customHeight="1" ht="15" r="11" spans="1:22" x14ac:dyDescent="0.3">
      <c r="A11" s="2"/>
      <c r="B11" s="7"/>
      <c r="C11" s="11" t="s">
        <v>173</v>
      </c>
      <c r="D11" s="2"/>
      <c r="E11" s="2"/>
      <c r="F11" s="2"/>
      <c r="G11" s="48"/>
      <c r="H11" s="48"/>
      <c r="I11" s="48"/>
      <c r="J11" s="95" t="str">
        <f>IF(HLOOKUP('Ibilgailu-mota'!$E$10,DE!$D$1:$AX$15,2,0)="","",HLOOKUP('Ibilgailu-mota'!$E$10,DE!$D$1:$AX$15,2,0))</f>
        <v>Autocar de 12 metros</v>
      </c>
      <c r="K11" s="95"/>
      <c r="L11" s="95"/>
      <c r="M11" s="95"/>
      <c r="N11" s="95"/>
      <c r="O11" s="10"/>
      <c r="P11" s="2"/>
      <c r="Q11" s="2"/>
      <c r="R11" s="2"/>
      <c r="S11" s="2"/>
      <c r="T11" s="2"/>
      <c r="U11" s="2"/>
    </row>
    <row customHeight="1" ht="5.25" r="12" spans="1:22" x14ac:dyDescent="0.3">
      <c r="A12" s="2"/>
      <c r="B12" s="7"/>
      <c r="C12" s="11"/>
      <c r="D12" s="2"/>
      <c r="E12" s="2"/>
      <c r="F12" s="2"/>
      <c r="G12" s="48"/>
      <c r="H12" s="48"/>
      <c r="I12" s="48"/>
      <c r="J12" s="52"/>
      <c r="K12" s="48"/>
      <c r="L12" s="48"/>
      <c r="M12" s="48"/>
      <c r="N12" s="2"/>
      <c r="O12" s="10"/>
      <c r="P12" s="2"/>
      <c r="Q12" s="2"/>
      <c r="R12" s="2"/>
      <c r="S12" s="2"/>
      <c r="T12" s="2"/>
      <c r="U12" s="2"/>
    </row>
    <row r="13" spans="1:22" x14ac:dyDescent="0.3">
      <c r="A13" s="2"/>
      <c r="B13" s="7"/>
      <c r="C13" s="11" t="s">
        <v>174</v>
      </c>
      <c r="D13" s="2"/>
      <c r="E13" s="2"/>
      <c r="F13" s="2"/>
      <c r="G13" s="48"/>
      <c r="H13" s="48"/>
      <c r="I13" s="48"/>
      <c r="J13" s="53"/>
      <c r="K13" s="54"/>
      <c r="L13" s="54" t="str">
        <f>IF(HLOOKUP('Ibilgailu-mota'!$E$10,DE!$D$1:$AK$15,4,0)="","",HLOOKUP('Ibilgailu-mota'!$E$10,DE!$D$1:$AK$15,4,0))</f>
        <v/>
      </c>
      <c r="M13" s="48"/>
      <c r="N13" s="2"/>
      <c r="O13" s="10"/>
      <c r="P13" s="2"/>
      <c r="Q13" s="2"/>
      <c r="R13" s="2"/>
      <c r="S13" s="2"/>
      <c r="T13" s="2"/>
      <c r="U13" s="2"/>
    </row>
    <row customHeight="1" ht="4.5" r="14" spans="1:22" x14ac:dyDescent="0.3">
      <c r="A14" s="2"/>
      <c r="B14" s="7"/>
      <c r="C14" s="11"/>
      <c r="D14" s="2"/>
      <c r="E14" s="2"/>
      <c r="F14" s="2"/>
      <c r="G14" s="48"/>
      <c r="H14" s="48"/>
      <c r="I14" s="48"/>
      <c r="J14" s="48"/>
      <c r="K14" s="55"/>
      <c r="L14" s="54"/>
      <c r="M14" s="48"/>
      <c r="N14" s="2"/>
      <c r="O14" s="10"/>
      <c r="P14" s="2"/>
      <c r="Q14" s="2"/>
      <c r="R14" s="2"/>
      <c r="S14" s="2"/>
      <c r="T14" s="2"/>
      <c r="U14" s="2"/>
    </row>
    <row r="15" spans="1:22" x14ac:dyDescent="0.3">
      <c r="A15" s="2"/>
      <c r="B15" s="7"/>
      <c r="C15" s="11" t="s">
        <v>175</v>
      </c>
      <c r="D15" s="2"/>
      <c r="E15" s="2"/>
      <c r="F15" s="2"/>
      <c r="G15" s="48"/>
      <c r="H15" s="48"/>
      <c r="I15" s="48"/>
      <c r="J15" s="53"/>
      <c r="K15" s="54"/>
      <c r="L15" s="54" t="str">
        <f>IF(HLOOKUP('Ibilgailu-mota'!$E$10,DE!$D$1:$AK$15,5,0)="","",HLOOKUP('Ibilgailu-mota'!$E$10,DE!$D$1:$AK$15,5,0))</f>
        <v/>
      </c>
      <c r="M15" s="48"/>
      <c r="N15" s="2"/>
      <c r="O15" s="10"/>
      <c r="P15" s="2"/>
      <c r="Q15" s="2"/>
      <c r="R15" s="2"/>
      <c r="S15" s="2"/>
      <c r="T15" s="2"/>
      <c r="U15" s="2"/>
    </row>
    <row customHeight="1" ht="3.75" r="16" spans="1:22" x14ac:dyDescent="0.3">
      <c r="A16" s="2"/>
      <c r="B16" s="7"/>
      <c r="C16" s="11"/>
      <c r="D16" s="2"/>
      <c r="E16" s="2"/>
      <c r="F16" s="2"/>
      <c r="G16" s="48"/>
      <c r="H16" s="48"/>
      <c r="I16" s="48"/>
      <c r="J16" s="48"/>
      <c r="K16" s="55"/>
      <c r="L16" s="54"/>
      <c r="M16" s="48"/>
      <c r="N16" s="2"/>
      <c r="O16" s="10"/>
      <c r="P16" s="2"/>
      <c r="Q16" s="2"/>
      <c r="R16" s="2"/>
      <c r="S16" s="2"/>
      <c r="T16" s="2"/>
      <c r="U16" s="2"/>
    </row>
    <row r="17" spans="1:21" x14ac:dyDescent="0.3">
      <c r="A17" s="2"/>
      <c r="B17" s="7"/>
      <c r="C17" s="11" t="s">
        <v>94</v>
      </c>
      <c r="D17" s="2"/>
      <c r="E17" s="2"/>
      <c r="F17" s="2"/>
      <c r="G17" s="48"/>
      <c r="H17" s="48"/>
      <c r="I17" s="48"/>
      <c r="J17" s="53"/>
      <c r="K17" s="54"/>
      <c r="L17" s="54" t="str">
        <f>IF(HLOOKUP('Ibilgailu-mota'!$E$10,DE!$D$1:$AK$15,6,0)="","",HLOOKUP('Ibilgailu-mota'!$E$10,DE!$D$1:$AK$15,6,0))</f>
        <v/>
      </c>
      <c r="M17" s="48"/>
      <c r="N17" s="2"/>
      <c r="O17" s="10"/>
      <c r="P17" s="2"/>
      <c r="Q17" s="2"/>
      <c r="R17" s="2"/>
      <c r="S17" s="2"/>
      <c r="T17" s="2"/>
      <c r="U17" s="2"/>
    </row>
    <row customHeight="1" ht="4.5" r="18" spans="1:21" x14ac:dyDescent="0.3">
      <c r="A18" s="2"/>
      <c r="B18" s="7"/>
      <c r="C18" s="11"/>
      <c r="D18" s="2"/>
      <c r="E18" s="2"/>
      <c r="F18" s="2"/>
      <c r="G18" s="48"/>
      <c r="H18" s="48"/>
      <c r="I18" s="48"/>
      <c r="J18" s="48"/>
      <c r="K18" s="55"/>
      <c r="M18" s="48"/>
      <c r="N18" s="2"/>
      <c r="O18" s="10"/>
      <c r="P18" s="2"/>
      <c r="Q18" s="2"/>
      <c r="R18" s="2"/>
      <c r="S18" s="2"/>
      <c r="T18" s="2"/>
      <c r="U18" s="2"/>
    </row>
    <row r="19" spans="1:21" x14ac:dyDescent="0.3">
      <c r="A19" s="2"/>
      <c r="B19" s="7"/>
      <c r="C19" s="11" t="s">
        <v>176</v>
      </c>
      <c r="D19" s="2"/>
      <c r="E19" s="2"/>
      <c r="F19" s="2"/>
      <c r="G19" s="48"/>
      <c r="H19" s="48"/>
      <c r="I19" s="48"/>
      <c r="J19" s="53"/>
      <c r="K19" s="54"/>
      <c r="L19" s="54" t="str">
        <f>IF(HLOOKUP('Ibilgailu-mota'!$E$10,DE!$D$1:$AK$15,7,0)="","",HLOOKUP('Ibilgailu-mota'!$E$10,DE!$D$1:$AK$15,7,0))</f>
        <v/>
      </c>
      <c r="M19" s="48"/>
      <c r="N19" s="2"/>
      <c r="O19" s="10"/>
      <c r="P19" s="2"/>
      <c r="Q19" s="2"/>
      <c r="R19" s="2"/>
      <c r="S19" s="2"/>
      <c r="T19" s="2"/>
      <c r="U19" s="2"/>
    </row>
    <row r="20" spans="1:21" x14ac:dyDescent="0.3">
      <c r="A20" s="2"/>
      <c r="B20" s="7"/>
      <c r="C20" s="2"/>
      <c r="D20" s="2"/>
      <c r="E20" s="2"/>
      <c r="F20" s="2"/>
      <c r="G20" s="48"/>
      <c r="H20" s="48"/>
      <c r="I20" s="48"/>
      <c r="J20" s="48"/>
      <c r="K20" s="48"/>
      <c r="L20" s="48"/>
      <c r="M20" s="48"/>
      <c r="N20" s="2"/>
      <c r="O20" s="10"/>
      <c r="P20" s="2"/>
      <c r="Q20" s="2"/>
      <c r="R20" s="2"/>
      <c r="S20" s="2"/>
      <c r="T20" s="2"/>
      <c r="U20" s="2"/>
    </row>
    <row customHeight="1" ht="21.75" r="21" spans="1:21" x14ac:dyDescent="0.3">
      <c r="A21" s="2"/>
      <c r="B21" s="7"/>
      <c r="C21" s="8" t="s">
        <v>177</v>
      </c>
      <c r="D21" s="30"/>
      <c r="E21" s="30"/>
      <c r="F21" s="30"/>
      <c r="G21" s="56"/>
      <c r="H21" s="56"/>
      <c r="I21" s="56"/>
      <c r="J21" s="56"/>
      <c r="K21" s="56"/>
      <c r="L21" s="80" t="s">
        <v>287</v>
      </c>
      <c r="M21" s="92" t="str">
        <f>DE!$AJ$2</f>
        <v>08/01/2024</v>
      </c>
      <c r="N21" s="9"/>
      <c r="O21" s="10"/>
      <c r="P21" s="2"/>
      <c r="Q21" s="2"/>
      <c r="R21" s="2"/>
      <c r="S21" s="2"/>
      <c r="T21" s="2"/>
      <c r="U21" s="2"/>
    </row>
    <row customHeight="1" ht="18" r="22" spans="1:21" x14ac:dyDescent="0.3">
      <c r="A22" s="2"/>
      <c r="B22" s="7"/>
      <c r="C22" s="31"/>
      <c r="D22" s="32"/>
      <c r="E22" s="32"/>
      <c r="F22" s="32"/>
      <c r="G22" s="57"/>
      <c r="H22" s="57"/>
      <c r="I22" s="57"/>
      <c r="J22" s="57"/>
      <c r="K22" s="57"/>
      <c r="L22" s="57"/>
      <c r="M22" s="48"/>
      <c r="N22" s="2"/>
      <c r="O22" s="10"/>
      <c r="P22" s="2"/>
      <c r="Q22" s="2"/>
      <c r="R22" s="2"/>
      <c r="S22" s="2"/>
      <c r="T22" s="2"/>
      <c r="U22" s="2"/>
    </row>
    <row r="23" spans="1:21" x14ac:dyDescent="0.3">
      <c r="A23" s="2"/>
      <c r="B23" s="7"/>
      <c r="C23" s="11" t="s">
        <v>178</v>
      </c>
      <c r="D23" s="2"/>
      <c r="E23" s="2"/>
      <c r="F23" s="2"/>
      <c r="G23" s="48"/>
      <c r="H23" s="48"/>
      <c r="I23" s="48"/>
      <c r="J23" s="53"/>
      <c r="K23" s="58"/>
      <c r="L23" s="54" t="str">
        <f>IF(HLOOKUP('Ibilgailu-mota'!$E$10,DE!$D$1:$AK$15,8,0)="","",HLOOKUP('Ibilgailu-mota'!$E$10,DE!$D$1:$AK$15,8,0))</f>
        <v/>
      </c>
      <c r="M23" s="48"/>
      <c r="N23" s="2"/>
      <c r="O23" s="10"/>
      <c r="P23" s="2"/>
      <c r="Q23" s="2"/>
      <c r="R23" s="2"/>
      <c r="S23" s="2"/>
      <c r="T23" s="2"/>
      <c r="U23" s="2"/>
    </row>
    <row customHeight="1" ht="3.75" r="24" spans="1:21" x14ac:dyDescent="0.3">
      <c r="A24" s="2"/>
      <c r="B24" s="7"/>
      <c r="C24" s="11"/>
      <c r="D24" s="2"/>
      <c r="E24" s="2"/>
      <c r="F24" s="2"/>
      <c r="G24" s="48"/>
      <c r="H24" s="48"/>
      <c r="I24" s="48"/>
      <c r="J24" s="48"/>
      <c r="K24" s="55"/>
      <c r="L24" s="54"/>
      <c r="M24" s="48"/>
      <c r="N24" s="2"/>
      <c r="O24" s="10"/>
      <c r="P24" s="2"/>
      <c r="Q24" s="2"/>
      <c r="R24" s="2"/>
      <c r="S24" s="2"/>
      <c r="T24" s="2"/>
      <c r="U24" s="2"/>
    </row>
    <row r="25" spans="1:21" x14ac:dyDescent="0.3">
      <c r="A25" s="2"/>
      <c r="B25" s="7"/>
      <c r="C25" s="11" t="s">
        <v>179</v>
      </c>
      <c r="D25" s="2"/>
      <c r="E25" s="2"/>
      <c r="F25" s="2"/>
      <c r="G25" s="48"/>
      <c r="H25" s="53"/>
      <c r="I25" s="59" t="s">
        <v>4</v>
      </c>
      <c r="J25" s="60">
        <f>ROUND(J23*H25/100,2)</f>
        <v>0</v>
      </c>
      <c r="K25" s="54" t="str">
        <f>IF(HLOOKUP(CONCATENATE('Ibilgailu-mota'!$E$10,"A"),DE!$C$1:$AK$15,9,0)="","",HLOOKUP(CONCATENATE('Ibilgailu-mota'!$E$10,"A"),DE!$C$1:$AK$15,9,0))</f>
        <v/>
      </c>
      <c r="L25" s="54">
        <f>IF(HLOOKUP('Ibilgailu-mota'!$E$10,DE!$D$1:$AK$15,9,0)="","",HLOOKUP('Ibilgailu-mota'!$E$10,DE!$D$1:$AK$15,9,0))</f>
        <v>0</v>
      </c>
      <c r="M25" s="48"/>
      <c r="N25" s="2"/>
      <c r="O25" s="10"/>
      <c r="P25" s="2"/>
      <c r="Q25" s="2"/>
      <c r="R25" s="2"/>
      <c r="S25" s="2"/>
      <c r="T25" s="2"/>
      <c r="U25" s="2"/>
    </row>
    <row customHeight="1" ht="3.75" r="26" spans="1:21" x14ac:dyDescent="0.3">
      <c r="A26" s="2"/>
      <c r="B26" s="7"/>
      <c r="C26" s="11"/>
      <c r="D26" s="2"/>
      <c r="E26" s="2"/>
      <c r="F26" s="2"/>
      <c r="G26" s="48"/>
      <c r="H26" s="48"/>
      <c r="I26" s="48"/>
      <c r="J26" s="48"/>
      <c r="K26" s="55"/>
      <c r="L26" s="54"/>
      <c r="M26" s="48"/>
      <c r="N26" s="2"/>
      <c r="O26" s="10"/>
      <c r="P26" s="2"/>
      <c r="Q26" s="2"/>
      <c r="R26" s="2"/>
      <c r="S26" s="2"/>
      <c r="T26" s="2"/>
      <c r="U26" s="2"/>
    </row>
    <row customHeight="1" ht="15" r="27" spans="1:21" x14ac:dyDescent="0.3">
      <c r="A27" s="2"/>
      <c r="B27" s="7"/>
      <c r="C27" s="11" t="s">
        <v>180</v>
      </c>
      <c r="D27" s="2"/>
      <c r="E27" s="2"/>
      <c r="F27" s="2"/>
      <c r="G27" s="48"/>
      <c r="I27" s="59"/>
      <c r="J27" s="53"/>
      <c r="K27" s="54"/>
      <c r="L27" s="54" t="str">
        <f>IF(HLOOKUP('Ibilgailu-mota'!$E$10,DE!$D$1:$AK$15,10,0)="","",HLOOKUP('Ibilgailu-mota'!$E$10,DE!$D$1:$AK$15,10,0))</f>
        <v/>
      </c>
      <c r="M27" s="61"/>
      <c r="N27" s="2"/>
      <c r="O27" s="10"/>
      <c r="P27" s="2"/>
      <c r="Q27" s="2"/>
      <c r="R27" s="2"/>
      <c r="S27" s="2"/>
      <c r="T27" s="2"/>
      <c r="U27" s="2"/>
    </row>
    <row customHeight="1" ht="3.75" r="28" spans="1:21" x14ac:dyDescent="0.3">
      <c r="A28" s="2"/>
      <c r="B28" s="7"/>
      <c r="C28" s="11"/>
      <c r="D28" s="2"/>
      <c r="E28" s="2"/>
      <c r="F28" s="2"/>
      <c r="G28" s="48"/>
      <c r="H28" s="48"/>
      <c r="I28" s="48"/>
      <c r="J28" s="48"/>
      <c r="K28" s="55"/>
      <c r="L28" s="54"/>
      <c r="M28" s="48"/>
      <c r="N28" s="2"/>
      <c r="O28" s="10"/>
      <c r="P28" s="2"/>
      <c r="Q28" s="2"/>
      <c r="R28" s="2"/>
      <c r="S28" s="2"/>
      <c r="T28" s="2"/>
      <c r="U28" s="2"/>
    </row>
    <row customHeight="1" ht="15" r="29" spans="1:21" x14ac:dyDescent="0.3">
      <c r="A29" s="2"/>
      <c r="B29" s="7"/>
      <c r="C29" s="11" t="s">
        <v>181</v>
      </c>
      <c r="D29" s="2"/>
      <c r="E29" s="2"/>
      <c r="F29" s="2"/>
      <c r="G29" s="48"/>
      <c r="H29" s="48"/>
      <c r="I29" s="48"/>
      <c r="J29" s="53"/>
      <c r="K29" s="54"/>
      <c r="L29" s="54" t="str">
        <f>IF(HLOOKUP('Ibilgailu-mota'!$E$10,DE!$D$1:$AK$15,11,0)="","",HLOOKUP('Ibilgailu-mota'!$E$10,DE!$D$1:$AK$15,11,0))</f>
        <v/>
      </c>
      <c r="M29" s="48"/>
      <c r="N29" s="2"/>
      <c r="O29" s="10"/>
      <c r="P29" s="2"/>
      <c r="Q29" s="2"/>
      <c r="R29" s="2"/>
      <c r="S29" s="2"/>
      <c r="T29" s="2"/>
      <c r="U29" s="2"/>
    </row>
    <row customHeight="1" ht="3.75" r="30" spans="1:21" x14ac:dyDescent="0.3">
      <c r="A30" s="2"/>
      <c r="B30" s="7"/>
      <c r="C30" s="11"/>
      <c r="D30" s="2"/>
      <c r="E30" s="2"/>
      <c r="F30" s="2"/>
      <c r="G30" s="48"/>
      <c r="H30" s="48"/>
      <c r="I30" s="48"/>
      <c r="J30" s="48"/>
      <c r="K30" s="55"/>
      <c r="L30" s="54"/>
      <c r="M30" s="48"/>
      <c r="N30" s="2"/>
      <c r="O30" s="10"/>
      <c r="P30" s="2"/>
      <c r="Q30" s="2"/>
      <c r="R30" s="2"/>
      <c r="S30" s="2"/>
      <c r="T30" s="2"/>
      <c r="U30" s="2"/>
    </row>
    <row r="31" spans="1:21" x14ac:dyDescent="0.3">
      <c r="A31" s="2"/>
      <c r="B31" s="7"/>
      <c r="C31" s="11" t="s">
        <v>182</v>
      </c>
      <c r="D31" s="2"/>
      <c r="E31" s="2"/>
      <c r="F31" s="2"/>
      <c r="G31" s="48"/>
      <c r="H31" s="53"/>
      <c r="I31" s="59" t="s">
        <v>4</v>
      </c>
      <c r="J31" s="60">
        <f>ROUND(J29*H31/100,0)</f>
        <v>0</v>
      </c>
      <c r="K31" s="54" t="str">
        <f>IF(HLOOKUP(CONCATENATE('Ibilgailu-mota'!$E$10,"A"),DE!$C$1:$AK$15,12,0)="","",HLOOKUP(CONCATENATE('Ibilgailu-mota'!$E$10,"A"),DE!$C$1:$AK$15,12,0))</f>
        <v/>
      </c>
      <c r="L31" s="54">
        <f>IF(HLOOKUP('Ibilgailu-mota'!$E$10,DE!$D$1:$AK$15,12,0)="","",HLOOKUP('Ibilgailu-mota'!$E$10,DE!$D$1:$AK$15,12,0))</f>
        <v>0</v>
      </c>
      <c r="M31" s="48"/>
      <c r="N31" s="2"/>
      <c r="O31" s="10"/>
      <c r="P31" s="2"/>
      <c r="Q31" s="2"/>
      <c r="R31" s="2"/>
      <c r="S31" s="2"/>
      <c r="T31" s="2"/>
      <c r="U31" s="2"/>
    </row>
    <row customHeight="1" ht="3.75" r="32" spans="1:21" x14ac:dyDescent="0.3">
      <c r="A32" s="2"/>
      <c r="B32" s="7"/>
      <c r="C32" s="11"/>
      <c r="D32" s="2"/>
      <c r="E32" s="2"/>
      <c r="F32" s="2"/>
      <c r="G32" s="48"/>
      <c r="H32" s="48"/>
      <c r="I32" s="48"/>
      <c r="J32" s="48"/>
      <c r="K32" s="55"/>
      <c r="L32" s="54"/>
      <c r="M32" s="48"/>
      <c r="N32" s="2"/>
      <c r="O32" s="10"/>
      <c r="P32" s="2"/>
      <c r="Q32" s="2"/>
      <c r="R32" s="2"/>
      <c r="S32" s="2"/>
      <c r="T32" s="2"/>
      <c r="U32" s="2"/>
    </row>
    <row r="33" spans="1:21" x14ac:dyDescent="0.3">
      <c r="A33" s="2"/>
      <c r="B33" s="7"/>
      <c r="C33" s="11" t="s">
        <v>183</v>
      </c>
      <c r="D33" s="2"/>
      <c r="E33" s="2"/>
      <c r="F33" s="2"/>
      <c r="G33" s="48"/>
      <c r="H33" s="48"/>
      <c r="I33" s="59"/>
      <c r="J33" s="48"/>
      <c r="K33" s="55"/>
      <c r="M33" s="48"/>
      <c r="N33" s="2"/>
      <c r="O33" s="10"/>
      <c r="P33" s="2"/>
      <c r="Q33" s="2"/>
      <c r="R33" s="2"/>
      <c r="S33" s="2"/>
      <c r="T33" s="2"/>
      <c r="U33" s="2"/>
    </row>
    <row customHeight="1" ht="3.75" r="34" spans="1:21" x14ac:dyDescent="0.3">
      <c r="A34" s="2"/>
      <c r="B34" s="7"/>
      <c r="C34" s="11"/>
      <c r="D34" s="2"/>
      <c r="E34" s="2"/>
      <c r="F34" s="2"/>
      <c r="G34" s="48"/>
      <c r="H34" s="48"/>
      <c r="I34" s="48"/>
      <c r="J34" s="48"/>
      <c r="K34" s="55"/>
      <c r="L34" s="54"/>
      <c r="M34" s="48"/>
      <c r="N34" s="2"/>
      <c r="O34" s="10"/>
      <c r="P34" s="2"/>
      <c r="Q34" s="2"/>
      <c r="R34" s="2"/>
      <c r="S34" s="2"/>
      <c r="T34" s="2"/>
      <c r="U34" s="2"/>
    </row>
    <row r="35" spans="1:21" x14ac:dyDescent="0.3">
      <c r="A35" s="2"/>
      <c r="B35" s="7"/>
      <c r="C35" s="11" t="s">
        <v>184</v>
      </c>
      <c r="D35" s="2"/>
      <c r="E35" s="2"/>
      <c r="F35" s="2"/>
      <c r="G35" s="48"/>
      <c r="H35" s="53"/>
      <c r="I35" s="59" t="s">
        <v>4</v>
      </c>
      <c r="J35" s="60">
        <f>ROUND(J23*H35/100,2)</f>
        <v>0</v>
      </c>
      <c r="K35" s="54" t="str">
        <f>IF(HLOOKUP(CONCATENATE('Ibilgailu-mota'!$E$10,"A"),DE!$C$1:$AK$15,13,0)="","",HLOOKUP(CONCATENATE('Ibilgailu-mota'!$E$10,"A"),DE!$C$1:$AK$15,13,0))</f>
        <v/>
      </c>
      <c r="L35" s="54">
        <f>IF(HLOOKUP('Ibilgailu-mota'!$E$10,DE!$D$1:$AK$15,13,0)="","",HLOOKUP('Ibilgailu-mota'!$E$10,DE!$D$1:$AK$15,13,0))</f>
        <v>0</v>
      </c>
      <c r="M35" s="48"/>
      <c r="N35" s="2"/>
      <c r="O35" s="10"/>
      <c r="P35" s="2"/>
      <c r="Q35" s="2"/>
      <c r="R35" s="2"/>
      <c r="S35" s="2"/>
      <c r="T35" s="2"/>
      <c r="U35" s="2"/>
    </row>
    <row customHeight="1" ht="3.75" r="36" spans="1:21" x14ac:dyDescent="0.3">
      <c r="A36" s="2"/>
      <c r="B36" s="7"/>
      <c r="C36" s="11"/>
      <c r="D36" s="2"/>
      <c r="E36" s="2"/>
      <c r="F36" s="2"/>
      <c r="G36" s="48"/>
      <c r="H36" s="48"/>
      <c r="I36" s="48"/>
      <c r="J36" s="48"/>
      <c r="K36" s="55"/>
      <c r="L36" s="54"/>
      <c r="M36" s="48"/>
      <c r="N36" s="2"/>
      <c r="O36" s="10"/>
      <c r="P36" s="2"/>
      <c r="Q36" s="2"/>
      <c r="R36" s="2"/>
      <c r="S36" s="2"/>
      <c r="T36" s="2"/>
      <c r="U36" s="2"/>
    </row>
    <row r="37" spans="1:21" x14ac:dyDescent="0.3">
      <c r="A37" s="2"/>
      <c r="B37" s="7"/>
      <c r="C37" s="11" t="s">
        <v>185</v>
      </c>
      <c r="D37" s="2"/>
      <c r="E37" s="2"/>
      <c r="F37" s="2"/>
      <c r="G37" s="48"/>
      <c r="H37" s="53"/>
      <c r="I37" s="59" t="s">
        <v>4</v>
      </c>
      <c r="J37" s="60">
        <f>ROUND((J13-1)*H37/100,0)</f>
        <v>0</v>
      </c>
      <c r="K37" s="54" t="str">
        <f>IF(HLOOKUP(CONCATENATE('Ibilgailu-mota'!$E$10,"A"),DE!$C$1:$AK$15,14,0)="","",HLOOKUP(CONCATENATE('Ibilgailu-mota'!$E$10,"A"),DE!$C$1:$AK$15,14,0))</f>
        <v/>
      </c>
      <c r="L37" s="54">
        <f>IF(HLOOKUP('Ibilgailu-mota'!$E$10,DE!$D$1:$AK$15,14,0)="","",HLOOKUP('Ibilgailu-mota'!$E$10,DE!$D$1:$AK$15,14,0))</f>
        <v>0</v>
      </c>
      <c r="M37" s="48"/>
      <c r="N37" s="2"/>
      <c r="O37" s="10"/>
      <c r="P37" s="2"/>
      <c r="Q37" s="2"/>
      <c r="R37" s="2"/>
      <c r="S37" s="2"/>
      <c r="T37" s="2"/>
      <c r="U37" s="2"/>
    </row>
    <row customHeight="1" ht="3.75" r="38" spans="1:21" x14ac:dyDescent="0.3">
      <c r="A38" s="2"/>
      <c r="B38" s="7"/>
      <c r="C38" s="11"/>
      <c r="D38" s="2"/>
      <c r="E38" s="2"/>
      <c r="F38" s="2"/>
      <c r="G38" s="48"/>
      <c r="H38" s="48"/>
      <c r="I38" s="48"/>
      <c r="J38" s="48"/>
      <c r="K38" s="55"/>
      <c r="M38" s="48"/>
      <c r="N38" s="2"/>
      <c r="O38" s="10"/>
      <c r="P38" s="2"/>
      <c r="Q38" s="2"/>
      <c r="R38" s="2"/>
      <c r="S38" s="2"/>
      <c r="T38" s="2"/>
      <c r="U38" s="2"/>
    </row>
    <row r="39" spans="1:21" x14ac:dyDescent="0.3">
      <c r="A39" s="2"/>
      <c r="B39" s="7"/>
      <c r="C39" s="11" t="s">
        <v>186</v>
      </c>
      <c r="D39" s="2"/>
      <c r="E39" s="2"/>
      <c r="F39" s="2"/>
      <c r="G39" s="48"/>
      <c r="H39" s="48"/>
      <c r="I39" s="48"/>
      <c r="J39" s="60">
        <f>J35*(J13-1)*H37/100</f>
        <v>0</v>
      </c>
      <c r="K39" s="54"/>
      <c r="L39" s="54">
        <f>IF(HLOOKUP('Ibilgailu-mota'!$E$10,DE!$D$1:$AK$15,15,0)="","",HLOOKUP('Ibilgailu-mota'!$E$10,DE!$D$1:$AK$15,15,0))</f>
        <v>0</v>
      </c>
      <c r="M39" s="48"/>
      <c r="N39" s="2"/>
      <c r="O39" s="10"/>
      <c r="P39" s="2"/>
      <c r="Q39" s="2"/>
      <c r="R39" s="2"/>
      <c r="S39" s="2"/>
      <c r="T39" s="2"/>
      <c r="U39" s="2"/>
    </row>
    <row r="40" spans="1:21" x14ac:dyDescent="0.3">
      <c r="A40" s="2"/>
      <c r="B40" s="7"/>
      <c r="C40" s="2"/>
      <c r="D40" s="2"/>
      <c r="E40" s="2"/>
      <c r="F40" s="2"/>
      <c r="G40" s="48"/>
      <c r="H40" s="48"/>
      <c r="I40" s="48"/>
      <c r="J40" s="48"/>
      <c r="K40" s="48"/>
      <c r="L40" s="48"/>
      <c r="M40" s="48"/>
      <c r="N40" s="2"/>
      <c r="O40" s="10"/>
      <c r="P40" s="2"/>
      <c r="Q40" s="2"/>
      <c r="R40" s="2"/>
      <c r="S40" s="2"/>
      <c r="T40" s="2"/>
      <c r="U40" s="2"/>
    </row>
    <row r="41" spans="1:21" x14ac:dyDescent="0.3">
      <c r="A41" s="2"/>
      <c r="B41" s="33"/>
      <c r="C41" s="12"/>
      <c r="D41" s="12"/>
      <c r="E41" s="12"/>
      <c r="F41" s="12"/>
      <c r="G41" s="62"/>
      <c r="H41" s="62"/>
      <c r="I41" s="62"/>
      <c r="J41" s="62"/>
      <c r="K41" s="62"/>
      <c r="L41" s="62"/>
      <c r="M41" s="62"/>
      <c r="N41" s="12"/>
      <c r="O41" s="13"/>
      <c r="P41" s="2"/>
      <c r="Q41" s="2"/>
      <c r="R41" s="2"/>
      <c r="S41" s="2"/>
      <c r="T41" s="2"/>
      <c r="U41" s="2"/>
    </row>
    <row r="42" spans="1:21" x14ac:dyDescent="0.3">
      <c r="A42" s="2"/>
      <c r="B42" s="2"/>
      <c r="C42" s="2"/>
      <c r="D42" s="2"/>
      <c r="E42" s="2"/>
      <c r="F42" s="2"/>
      <c r="G42" s="48"/>
      <c r="H42" s="48"/>
      <c r="I42" s="48"/>
      <c r="J42" s="48"/>
      <c r="K42" s="48"/>
      <c r="L42" s="48"/>
      <c r="M42" s="48"/>
      <c r="N42" s="2"/>
      <c r="O42" s="2"/>
      <c r="P42" s="2"/>
      <c r="Q42" s="2"/>
      <c r="R42" s="2"/>
      <c r="S42" s="2"/>
      <c r="T42" s="2"/>
      <c r="U42" s="2"/>
    </row>
    <row r="43" spans="1:21" x14ac:dyDescent="0.3">
      <c r="A43" s="2"/>
      <c r="B43" s="2"/>
      <c r="C43" s="2"/>
      <c r="D43" s="2"/>
      <c r="E43" s="2"/>
      <c r="F43" s="2"/>
      <c r="G43" s="48"/>
      <c r="H43" s="48"/>
      <c r="I43" s="48"/>
      <c r="J43" s="48"/>
      <c r="K43" s="48"/>
      <c r="L43" s="48"/>
      <c r="M43" s="48"/>
      <c r="N43" s="2"/>
      <c r="O43" s="2"/>
      <c r="P43" s="2"/>
      <c r="Q43" s="2"/>
      <c r="R43" s="2"/>
      <c r="S43" s="2"/>
      <c r="T43" s="2"/>
      <c r="U43" s="2"/>
    </row>
    <row r="44" spans="1:21" x14ac:dyDescent="0.3">
      <c r="A44" s="2"/>
      <c r="B44" s="2"/>
      <c r="C44" s="2"/>
      <c r="D44" s="2"/>
      <c r="E44" s="2"/>
      <c r="F44" s="2"/>
      <c r="G44" s="48"/>
      <c r="H44" s="48"/>
      <c r="I44" s="48"/>
      <c r="J44" s="48"/>
      <c r="K44" s="48"/>
      <c r="L44" s="48"/>
      <c r="M44" s="48"/>
      <c r="N44" s="2"/>
      <c r="O44" s="2"/>
      <c r="P44" s="2"/>
      <c r="Q44" s="2"/>
      <c r="R44" s="2"/>
      <c r="S44" s="2"/>
      <c r="T44" s="2"/>
      <c r="U44" s="2"/>
    </row>
    <row r="45" spans="1:21" x14ac:dyDescent="0.3">
      <c r="A45" s="2"/>
      <c r="B45" s="2"/>
      <c r="C45" s="2"/>
      <c r="D45" s="2"/>
      <c r="E45" s="2"/>
      <c r="F45" s="2"/>
      <c r="G45" s="48"/>
      <c r="H45" s="48"/>
      <c r="I45" s="48"/>
      <c r="J45" s="48"/>
      <c r="K45" s="48"/>
      <c r="L45" s="48"/>
      <c r="M45" s="48"/>
      <c r="N45" s="2"/>
      <c r="O45" s="2"/>
      <c r="P45" s="2"/>
      <c r="Q45" s="2"/>
      <c r="R45" s="2"/>
      <c r="S45" s="2"/>
      <c r="T45" s="2"/>
      <c r="U45" s="2"/>
    </row>
    <row r="46" spans="1:21" x14ac:dyDescent="0.3">
      <c r="A46" s="2"/>
      <c r="B46" s="2"/>
      <c r="C46" s="2"/>
      <c r="D46" s="2"/>
      <c r="E46" s="2"/>
      <c r="F46" s="2"/>
      <c r="G46" s="48"/>
      <c r="H46" s="48"/>
      <c r="I46" s="48"/>
      <c r="J46" s="48"/>
      <c r="K46" s="48"/>
      <c r="L46" s="48"/>
      <c r="M46" s="48"/>
      <c r="N46" s="2"/>
      <c r="O46" s="2"/>
      <c r="P46" s="2"/>
      <c r="Q46" s="2"/>
      <c r="R46" s="2"/>
      <c r="S46" s="2"/>
      <c r="T46" s="2"/>
      <c r="U46" s="2"/>
    </row>
    <row r="47" spans="1:21" x14ac:dyDescent="0.3">
      <c r="A47" s="2"/>
      <c r="B47" s="2"/>
      <c r="C47" s="2"/>
      <c r="D47" s="2"/>
      <c r="E47" s="2"/>
      <c r="F47" s="2"/>
      <c r="G47" s="48"/>
      <c r="H47" s="48"/>
      <c r="I47" s="48"/>
      <c r="J47" s="48"/>
      <c r="K47" s="48"/>
      <c r="L47" s="48"/>
      <c r="M47" s="48"/>
      <c r="N47" s="2"/>
      <c r="O47" s="2"/>
      <c r="P47" s="2"/>
      <c r="Q47" s="2"/>
      <c r="R47" s="2"/>
      <c r="S47" s="2"/>
      <c r="T47" s="2"/>
      <c r="U47" s="2"/>
    </row>
    <row r="48" spans="1:21" x14ac:dyDescent="0.3">
      <c r="A48" s="2"/>
      <c r="B48" s="2"/>
      <c r="C48" s="2"/>
      <c r="D48" s="2"/>
      <c r="E48" s="2"/>
      <c r="F48" s="2"/>
      <c r="G48" s="48"/>
      <c r="H48" s="48"/>
      <c r="I48" s="48"/>
      <c r="J48" s="48"/>
      <c r="K48" s="48"/>
      <c r="L48" s="48"/>
      <c r="M48" s="48"/>
      <c r="N48" s="2"/>
      <c r="O48" s="2"/>
      <c r="P48" s="2"/>
      <c r="Q48" s="2"/>
      <c r="R48" s="2"/>
      <c r="S48" s="2"/>
      <c r="T48" s="2"/>
      <c r="U48" s="2"/>
    </row>
    <row r="49" spans="1:21" x14ac:dyDescent="0.3">
      <c r="A49" s="2"/>
      <c r="B49" s="2"/>
      <c r="C49" s="2"/>
      <c r="D49" s="2"/>
      <c r="E49" s="2"/>
      <c r="F49" s="2"/>
      <c r="G49" s="48"/>
      <c r="H49" s="48"/>
      <c r="I49" s="48"/>
      <c r="J49" s="48"/>
      <c r="K49" s="48"/>
      <c r="L49" s="48"/>
      <c r="M49" s="48"/>
      <c r="N49" s="2"/>
      <c r="O49" s="2"/>
      <c r="P49" s="2"/>
      <c r="Q49" s="2"/>
      <c r="R49" s="2"/>
      <c r="S49" s="2"/>
      <c r="T49" s="2"/>
      <c r="U49" s="2"/>
    </row>
    <row r="50" spans="1:21" x14ac:dyDescent="0.3">
      <c r="A50" s="2"/>
      <c r="B50" s="2"/>
      <c r="C50" s="2"/>
      <c r="D50" s="2"/>
      <c r="E50" s="2"/>
      <c r="F50" s="2"/>
      <c r="G50" s="48"/>
      <c r="H50" s="48"/>
      <c r="I50" s="48"/>
      <c r="J50" s="48"/>
      <c r="K50" s="48"/>
      <c r="L50" s="48"/>
      <c r="M50" s="48"/>
      <c r="N50" s="2"/>
      <c r="O50" s="2"/>
      <c r="P50" s="2"/>
      <c r="Q50" s="2"/>
      <c r="R50" s="2"/>
      <c r="S50" s="2"/>
      <c r="T50" s="2"/>
      <c r="U50" s="2"/>
    </row>
    <row r="51" spans="1:21" x14ac:dyDescent="0.3">
      <c r="A51" s="2"/>
      <c r="B51" s="2"/>
      <c r="C51" s="2"/>
      <c r="D51" s="2"/>
      <c r="E51" s="2"/>
      <c r="F51" s="2"/>
      <c r="G51" s="48"/>
      <c r="H51" s="48"/>
      <c r="I51" s="48"/>
      <c r="J51" s="48"/>
      <c r="K51" s="48"/>
      <c r="L51" s="48"/>
      <c r="M51" s="48"/>
      <c r="N51" s="2"/>
      <c r="O51" s="2"/>
      <c r="P51" s="2"/>
      <c r="Q51" s="2"/>
      <c r="R51" s="2"/>
      <c r="S51" s="2"/>
      <c r="T51" s="2"/>
      <c r="U51" s="2"/>
    </row>
    <row r="52" spans="1:21" x14ac:dyDescent="0.3">
      <c r="A52" s="2"/>
      <c r="B52" s="2"/>
      <c r="C52" s="2"/>
      <c r="D52" s="2"/>
      <c r="E52" s="2"/>
      <c r="F52" s="2"/>
      <c r="G52" s="48"/>
      <c r="H52" s="48"/>
      <c r="I52" s="48"/>
      <c r="J52" s="48"/>
      <c r="K52" s="48"/>
      <c r="L52" s="48"/>
      <c r="M52" s="48"/>
      <c r="N52" s="2"/>
      <c r="O52" s="2"/>
      <c r="P52" s="2"/>
      <c r="Q52" s="2"/>
      <c r="R52" s="2"/>
      <c r="S52" s="2"/>
      <c r="T52" s="2"/>
      <c r="U52" s="2"/>
    </row>
    <row r="53" spans="1:21" x14ac:dyDescent="0.3">
      <c r="A53" s="2"/>
      <c r="B53" s="2"/>
      <c r="C53" s="2"/>
      <c r="D53" s="2"/>
      <c r="E53" s="2"/>
      <c r="F53" s="2"/>
      <c r="G53" s="48"/>
      <c r="H53" s="48"/>
      <c r="I53" s="48"/>
      <c r="J53" s="48"/>
      <c r="K53" s="48"/>
      <c r="L53" s="48"/>
      <c r="M53" s="48"/>
      <c r="N53" s="2"/>
      <c r="O53" s="2"/>
      <c r="P53" s="2"/>
      <c r="Q53" s="2"/>
      <c r="R53" s="2"/>
      <c r="S53" s="2"/>
      <c r="T53" s="2"/>
      <c r="U53" s="2"/>
    </row>
  </sheetData>
  <sheetProtection objects="1" scenarios="1" selectLockedCells="1" sheet="1"/>
  <mergeCells count="1">
    <mergeCell ref="J11:N11"/>
  </mergeCells>
  <pageMargins bottom="0.75" footer="0.3" header="0.3" left="0.7" right="0.7" top="0.75"/>
  <pageSetup orientation="portrait" paperSize="9" r:id="rId1"/>
  <drawing r:id="rId2"/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U78"/>
  <sheetViews>
    <sheetView topLeftCell="A19" workbookViewId="0">
      <selection activeCell="H21" sqref="H21"/>
    </sheetView>
  </sheetViews>
  <sheetFormatPr baseColWidth="10" defaultColWidth="11.44140625" defaultRowHeight="14.4" x14ac:dyDescent="0.3"/>
  <cols>
    <col min="1" max="2" customWidth="true" width="5.6640625" collapsed="true"/>
    <col min="3" max="3" customWidth="true" width="13.33203125" collapsed="true"/>
    <col min="8" max="8" customWidth="true" style="47" width="8.6640625" collapsed="true"/>
    <col min="9" max="9" customWidth="true" style="47" width="3.33203125" collapsed="true"/>
    <col min="10" max="10" customWidth="true" style="47" width="15.6640625" collapsed="true"/>
    <col min="11" max="11" customWidth="true" style="47" width="8.6640625" collapsed="true"/>
    <col min="12" max="12" customWidth="true" style="47" width="17.109375" collapsed="true"/>
    <col min="13" max="13" customWidth="true" width="10.5546875" collapsed="true"/>
    <col min="14" max="16" customWidth="true" width="5.6640625" collapsed="true"/>
  </cols>
  <sheetData>
    <row r="1" spans="1:21" x14ac:dyDescent="0.3">
      <c r="A1" s="2"/>
      <c r="B1" s="2"/>
      <c r="C1" s="2"/>
      <c r="D1" s="2"/>
      <c r="E1" s="2"/>
      <c r="F1" s="2"/>
      <c r="G1" s="2"/>
      <c r="H1" s="48"/>
      <c r="I1" s="48"/>
      <c r="J1" s="48"/>
      <c r="K1" s="48"/>
      <c r="L1" s="48"/>
      <c r="M1" s="2"/>
      <c r="N1" s="2"/>
      <c r="O1" s="2"/>
      <c r="P1" s="2"/>
      <c r="Q1" s="2"/>
      <c r="R1" s="2"/>
      <c r="S1" s="2"/>
      <c r="T1" s="2"/>
      <c r="U1" s="2"/>
    </row>
    <row r="2" spans="1:21" x14ac:dyDescent="0.3">
      <c r="A2" s="2"/>
      <c r="B2" s="2"/>
      <c r="C2" s="2"/>
      <c r="D2" s="2"/>
      <c r="E2" s="2"/>
      <c r="F2" s="2"/>
      <c r="G2" s="2"/>
      <c r="H2" s="48"/>
      <c r="I2" s="48"/>
      <c r="J2" s="48"/>
      <c r="K2" s="48"/>
      <c r="L2" s="48"/>
      <c r="M2" s="2"/>
      <c r="N2" s="2"/>
      <c r="O2" s="2"/>
      <c r="P2" s="2"/>
      <c r="Q2" s="2"/>
      <c r="R2" s="2"/>
      <c r="S2" s="2"/>
      <c r="T2" s="2"/>
      <c r="U2" s="2"/>
    </row>
    <row r="3" spans="1:21" x14ac:dyDescent="0.3">
      <c r="A3" s="2"/>
      <c r="B3" s="2"/>
      <c r="C3" s="2"/>
      <c r="D3" s="2"/>
      <c r="E3" s="2"/>
      <c r="F3" s="2"/>
      <c r="G3" s="2"/>
      <c r="H3" s="48"/>
      <c r="I3" s="48"/>
      <c r="J3" s="48"/>
      <c r="K3" s="48"/>
      <c r="L3" s="48"/>
      <c r="M3" s="2"/>
      <c r="N3" s="2"/>
      <c r="O3" s="2"/>
      <c r="P3" s="2"/>
      <c r="Q3" s="2"/>
      <c r="R3" s="2"/>
      <c r="S3" s="2"/>
      <c r="T3" s="2"/>
      <c r="U3" s="2"/>
    </row>
    <row r="4" spans="1:21" x14ac:dyDescent="0.3">
      <c r="A4" s="2"/>
      <c r="B4" s="2"/>
      <c r="C4" s="2"/>
      <c r="D4" s="2"/>
      <c r="E4" s="2"/>
      <c r="F4" s="2"/>
      <c r="G4" s="2"/>
      <c r="H4" s="48"/>
      <c r="I4" s="48"/>
      <c r="J4" s="48"/>
      <c r="K4" s="48"/>
      <c r="L4" s="48"/>
      <c r="M4" s="2"/>
      <c r="N4" s="2"/>
      <c r="O4" s="2"/>
      <c r="P4" s="2"/>
      <c r="Q4" s="2"/>
      <c r="R4" s="2"/>
      <c r="S4" s="2"/>
      <c r="T4" s="2"/>
      <c r="U4" s="2"/>
    </row>
    <row r="5" spans="1:21" x14ac:dyDescent="0.3">
      <c r="A5" s="2"/>
      <c r="B5" s="2"/>
      <c r="C5" s="2"/>
      <c r="D5" s="2"/>
      <c r="E5" s="2"/>
      <c r="F5" s="2"/>
      <c r="G5" s="2"/>
      <c r="H5" s="48"/>
      <c r="I5" s="48"/>
      <c r="J5" s="48"/>
      <c r="K5" s="48"/>
      <c r="L5" s="48"/>
      <c r="M5" s="2"/>
      <c r="N5" s="2"/>
      <c r="O5" s="2"/>
      <c r="P5" s="2"/>
      <c r="Q5" s="2"/>
      <c r="R5" s="2"/>
      <c r="S5" s="2"/>
      <c r="T5" s="2"/>
      <c r="U5" s="2"/>
    </row>
    <row ht="23.4" r="6" spans="1:21" x14ac:dyDescent="0.45">
      <c r="A6" s="2"/>
      <c r="B6" s="2"/>
      <c r="C6" s="3" t="s">
        <v>187</v>
      </c>
      <c r="D6" s="2"/>
      <c r="E6" s="2"/>
      <c r="F6" s="2"/>
      <c r="G6" s="2"/>
      <c r="H6" s="48"/>
      <c r="I6" s="48"/>
      <c r="J6" s="48"/>
      <c r="K6" s="48"/>
      <c r="L6" s="48"/>
      <c r="M6" s="2"/>
      <c r="N6" s="2"/>
      <c r="O6" s="2"/>
      <c r="P6" s="2"/>
      <c r="Q6" s="2"/>
      <c r="R6" s="2"/>
      <c r="S6" s="2"/>
      <c r="T6" s="2"/>
      <c r="U6" s="2"/>
    </row>
    <row customHeight="1" ht="9" r="7" spans="1:21" x14ac:dyDescent="0.3">
      <c r="A7" s="2"/>
      <c r="B7" s="2"/>
      <c r="C7" s="2"/>
      <c r="D7" s="2"/>
      <c r="E7" s="2"/>
      <c r="F7" s="2"/>
      <c r="G7" s="2"/>
      <c r="H7" s="48"/>
      <c r="I7" s="48"/>
      <c r="J7" s="48"/>
      <c r="K7" s="48"/>
      <c r="L7" s="48"/>
      <c r="M7" s="2"/>
      <c r="N7" s="2"/>
      <c r="O7" s="2"/>
      <c r="P7" s="2"/>
      <c r="Q7" s="2"/>
      <c r="R7" s="2"/>
      <c r="S7" s="2"/>
      <c r="T7" s="2"/>
      <c r="U7" s="2"/>
    </row>
    <row r="8" spans="1:21" x14ac:dyDescent="0.3">
      <c r="A8" s="2"/>
      <c r="B8" s="17"/>
      <c r="C8" s="5"/>
      <c r="D8" s="5"/>
      <c r="E8" s="5"/>
      <c r="F8" s="5"/>
      <c r="G8" s="5"/>
      <c r="H8" s="49"/>
      <c r="I8" s="49"/>
      <c r="J8" s="49"/>
      <c r="K8" s="49"/>
      <c r="L8" s="49"/>
      <c r="M8" s="5"/>
      <c r="N8" s="5"/>
      <c r="O8" s="18"/>
      <c r="P8" s="2"/>
      <c r="Q8" s="2"/>
      <c r="R8" s="2"/>
      <c r="S8" s="2"/>
      <c r="T8" s="2"/>
      <c r="U8" s="2"/>
    </row>
    <row customHeight="1" ht="21.75" r="9" spans="1:21" x14ac:dyDescent="0.3">
      <c r="A9" s="2"/>
      <c r="B9" s="19"/>
      <c r="C9" s="8" t="s">
        <v>188</v>
      </c>
      <c r="D9" s="9"/>
      <c r="E9" s="9"/>
      <c r="F9" s="9"/>
      <c r="G9" s="9"/>
      <c r="H9" s="50"/>
      <c r="I9" s="50"/>
      <c r="J9" s="51"/>
      <c r="K9" s="50"/>
      <c r="L9" s="80" t="s">
        <v>287</v>
      </c>
      <c r="M9" s="92" t="str">
        <f>DE!$AJ$2</f>
        <v>08/01/2024</v>
      </c>
      <c r="N9" s="9"/>
      <c r="O9" s="20"/>
      <c r="P9" s="2"/>
      <c r="Q9" s="2"/>
      <c r="R9" s="2"/>
      <c r="S9" s="2"/>
      <c r="T9" s="2"/>
      <c r="U9" s="2"/>
    </row>
    <row customHeight="1" ht="18" r="10" spans="1:21" x14ac:dyDescent="0.3">
      <c r="A10" s="2"/>
      <c r="B10" s="19"/>
      <c r="C10" s="2"/>
      <c r="D10" s="2"/>
      <c r="E10" s="2"/>
      <c r="F10" s="2"/>
      <c r="G10" s="2"/>
      <c r="H10" s="48"/>
      <c r="I10" s="48"/>
      <c r="J10" s="48"/>
      <c r="K10" s="48"/>
      <c r="L10" s="63" t="str">
        <f>IF(HLOOKUP('Ibilgailu-mota'!$E$10,DE!$D$1:$AX$285,3,0)="","",HLOOKUP('Ibilgailu-mota'!$E$10,DE!$D$1:$AX$285,3,0))</f>
        <v/>
      </c>
      <c r="M10" s="2"/>
      <c r="N10" s="2"/>
      <c r="O10" s="20"/>
      <c r="P10" s="2"/>
      <c r="Q10" s="2"/>
      <c r="R10" s="2"/>
      <c r="S10" s="2"/>
      <c r="T10" s="2"/>
      <c r="U10" s="2"/>
    </row>
    <row customHeight="1" ht="18.75" r="11" spans="1:21" x14ac:dyDescent="0.3">
      <c r="A11" s="2"/>
      <c r="B11" s="19"/>
      <c r="C11" s="21" t="s">
        <v>189</v>
      </c>
      <c r="D11" s="2"/>
      <c r="E11" s="2"/>
      <c r="F11" s="2"/>
      <c r="G11" s="2"/>
      <c r="H11" s="48"/>
      <c r="I11" s="48"/>
      <c r="J11" s="96" t="s">
        <v>277</v>
      </c>
      <c r="K11" s="96"/>
      <c r="L11" s="64"/>
      <c r="M11" s="34"/>
      <c r="N11" s="2"/>
      <c r="O11" s="20"/>
      <c r="P11" s="2"/>
      <c r="Q11" s="2"/>
      <c r="R11" s="2"/>
      <c r="S11" s="2"/>
      <c r="T11" s="2"/>
      <c r="U11" s="2"/>
    </row>
    <row customHeight="1" ht="3.75" r="12" spans="1:21" x14ac:dyDescent="0.3">
      <c r="A12" s="2"/>
      <c r="B12" s="19"/>
      <c r="C12" s="11"/>
      <c r="D12" s="2"/>
      <c r="E12" s="2"/>
      <c r="F12" s="2"/>
      <c r="G12" s="2"/>
      <c r="H12" s="48"/>
      <c r="I12" s="48"/>
      <c r="J12" s="52"/>
      <c r="K12" s="48"/>
      <c r="L12" s="48"/>
      <c r="M12" s="2"/>
      <c r="N12" s="2"/>
      <c r="O12" s="20"/>
      <c r="P12" s="2"/>
      <c r="Q12" s="2"/>
      <c r="R12" s="2"/>
      <c r="S12" s="2"/>
      <c r="T12" s="2"/>
      <c r="U12" s="2"/>
    </row>
    <row r="13" spans="1:21" x14ac:dyDescent="0.3">
      <c r="A13" s="2"/>
      <c r="B13" s="19"/>
      <c r="C13" s="36" t="s">
        <v>190</v>
      </c>
      <c r="D13" s="2"/>
      <c r="E13" s="2"/>
      <c r="F13" s="2"/>
      <c r="G13" s="2"/>
      <c r="H13" s="48"/>
      <c r="I13" s="48"/>
      <c r="J13" s="53"/>
      <c r="K13" s="48"/>
      <c r="L13" s="54" t="str">
        <f>IF(HLOOKUP('Ibilgailu-mota'!$E$10,DE!$D$1:$AX$285,16,0)="","",HLOOKUP('Ibilgailu-mota'!$E$10,DE!$D$1:$AX$285,16,0))</f>
        <v/>
      </c>
      <c r="M13" s="2"/>
      <c r="N13" s="2"/>
      <c r="O13" s="20"/>
      <c r="P13" s="2"/>
      <c r="Q13" s="2"/>
      <c r="R13" s="2"/>
      <c r="S13" s="2"/>
      <c r="T13" s="2"/>
      <c r="U13" s="2"/>
    </row>
    <row customHeight="1" ht="3.75" r="14" spans="1:21" x14ac:dyDescent="0.3">
      <c r="A14" s="2"/>
      <c r="B14" s="19"/>
      <c r="C14" s="11"/>
      <c r="D14" s="2"/>
      <c r="E14" s="2"/>
      <c r="F14" s="2"/>
      <c r="G14" s="2"/>
      <c r="H14" s="48"/>
      <c r="I14" s="48"/>
      <c r="J14" s="48"/>
      <c r="K14" s="48"/>
      <c r="L14" s="61"/>
      <c r="M14" s="2"/>
      <c r="N14" s="2"/>
      <c r="O14" s="20"/>
      <c r="P14" s="2"/>
      <c r="Q14" s="2"/>
      <c r="R14" s="2"/>
      <c r="S14" s="2"/>
      <c r="T14" s="2"/>
      <c r="U14" s="2"/>
    </row>
    <row r="15" spans="1:21" x14ac:dyDescent="0.3">
      <c r="A15" s="2"/>
      <c r="B15" s="19"/>
      <c r="C15" s="36" t="s">
        <v>191</v>
      </c>
      <c r="D15" s="2"/>
      <c r="E15" s="2"/>
      <c r="F15" s="2"/>
      <c r="G15" s="2"/>
      <c r="H15" s="48"/>
      <c r="I15" s="48"/>
      <c r="J15" s="48"/>
      <c r="K15" s="48"/>
      <c r="L15" s="48"/>
      <c r="M15" s="2"/>
      <c r="N15" s="2"/>
      <c r="O15" s="20"/>
      <c r="P15" s="2"/>
      <c r="Q15" s="2"/>
      <c r="R15" s="2"/>
      <c r="S15" s="2"/>
      <c r="T15" s="2"/>
      <c r="U15" s="2"/>
    </row>
    <row customHeight="1" ht="3.75" r="16" spans="1:21" x14ac:dyDescent="0.3">
      <c r="A16" s="2"/>
      <c r="B16" s="19"/>
      <c r="C16" s="11"/>
      <c r="D16" s="2"/>
      <c r="E16" s="2"/>
      <c r="F16" s="2"/>
      <c r="G16" s="2"/>
      <c r="H16" s="48"/>
      <c r="I16" s="48"/>
      <c r="J16" s="48"/>
      <c r="K16" s="48"/>
      <c r="M16" s="2"/>
      <c r="N16" s="2"/>
      <c r="O16" s="20"/>
      <c r="P16" s="2"/>
      <c r="Q16" s="2"/>
      <c r="R16" s="2"/>
      <c r="S16" s="2"/>
      <c r="T16" s="2"/>
      <c r="U16" s="2"/>
    </row>
    <row r="17" spans="1:21" x14ac:dyDescent="0.3">
      <c r="A17" s="2"/>
      <c r="B17" s="19"/>
      <c r="C17" s="11" t="s">
        <v>192</v>
      </c>
      <c r="D17" s="2"/>
      <c r="E17" s="2"/>
      <c r="F17" s="2"/>
      <c r="G17" s="2"/>
      <c r="H17" s="48"/>
      <c r="I17" s="48"/>
      <c r="J17" s="53"/>
      <c r="K17" s="48"/>
      <c r="L17" s="54" t="str">
        <f>IF(HLOOKUP('Ibilgailu-mota'!$E$10,DE!$D$1:$AX$285,17,0)="","",HLOOKUP('Ibilgailu-mota'!$E$10,DE!$D$1:$AX$285,17,0))</f>
        <v/>
      </c>
      <c r="M17" s="2"/>
      <c r="N17" s="2"/>
      <c r="O17" s="20"/>
      <c r="P17" s="2"/>
      <c r="Q17" s="2"/>
      <c r="R17" s="2"/>
      <c r="S17" s="2"/>
      <c r="T17" s="2"/>
      <c r="U17" s="2"/>
    </row>
    <row customHeight="1" ht="3.75" r="18" spans="1:21" x14ac:dyDescent="0.3">
      <c r="A18" s="2"/>
      <c r="B18" s="19"/>
      <c r="C18" s="11"/>
      <c r="D18" s="2"/>
      <c r="E18" s="2"/>
      <c r="F18" s="2"/>
      <c r="G18" s="2"/>
      <c r="H18" s="48"/>
      <c r="I18" s="48"/>
      <c r="J18" s="48"/>
      <c r="K18" s="48"/>
      <c r="L18" s="61"/>
      <c r="M18" s="2"/>
      <c r="N18" s="2"/>
      <c r="O18" s="20"/>
      <c r="P18" s="2"/>
      <c r="Q18" s="2"/>
      <c r="R18" s="2"/>
      <c r="S18" s="2"/>
      <c r="T18" s="2"/>
      <c r="U18" s="2"/>
    </row>
    <row r="19" spans="1:21" x14ac:dyDescent="0.3">
      <c r="A19" s="2"/>
      <c r="B19" s="19"/>
      <c r="C19" s="11" t="s">
        <v>193</v>
      </c>
      <c r="D19" s="2"/>
      <c r="E19" s="2"/>
      <c r="F19" s="2"/>
      <c r="G19" s="2"/>
      <c r="H19" s="48"/>
      <c r="I19" s="48"/>
      <c r="J19" s="53"/>
      <c r="K19" s="48"/>
      <c r="L19" s="54" t="str">
        <f>IF(HLOOKUP('Ibilgailu-mota'!$E$10,DE!$D$1:$AX$285,18,0)="","",HLOOKUP('Ibilgailu-mota'!$E$10,DE!$D$1:$AX$285,18,0))</f>
        <v/>
      </c>
      <c r="M19" s="2"/>
      <c r="N19" s="2"/>
      <c r="O19" s="20"/>
      <c r="P19" s="2"/>
      <c r="Q19" s="2"/>
      <c r="R19" s="2"/>
      <c r="S19" s="2"/>
      <c r="T19" s="2"/>
      <c r="U19" s="2"/>
    </row>
    <row customHeight="1" ht="3.75" r="20" spans="1:21" x14ac:dyDescent="0.3">
      <c r="A20" s="2"/>
      <c r="B20" s="19"/>
      <c r="C20" s="11"/>
      <c r="D20" s="2"/>
      <c r="E20" s="2"/>
      <c r="F20" s="2"/>
      <c r="G20" s="2"/>
      <c r="H20" s="48"/>
      <c r="I20" s="48"/>
      <c r="J20" s="48"/>
      <c r="K20" s="48"/>
      <c r="L20" s="61"/>
      <c r="M20" s="2"/>
      <c r="N20" s="2"/>
      <c r="O20" s="20"/>
      <c r="P20" s="2"/>
      <c r="Q20" s="2"/>
      <c r="R20" s="2"/>
      <c r="S20" s="2"/>
      <c r="T20" s="2"/>
      <c r="U20" s="2"/>
    </row>
    <row r="21" spans="1:21" x14ac:dyDescent="0.3">
      <c r="A21" s="2"/>
      <c r="B21" s="19"/>
      <c r="C21" s="11" t="s">
        <v>194</v>
      </c>
      <c r="D21" s="2"/>
      <c r="E21" s="2"/>
      <c r="F21" s="2"/>
      <c r="G21" s="2"/>
      <c r="H21" s="53"/>
      <c r="I21" s="48" t="s">
        <v>4</v>
      </c>
      <c r="J21" s="60">
        <f>IFERROR(ROUND(J$17*H21/100,0),0)</f>
        <v>0</v>
      </c>
      <c r="K21" s="54" t="str">
        <f>IF(HLOOKUP(CONCATENATE('Ibilgailu-mota'!$E$10,"A"),DE!$C$1:$AK$185,19,0)="","",HLOOKUP(CONCATENATE('Ibilgailu-mota'!$E$10,"A"),DE!$C$1:$AK$185,19,0))</f>
        <v/>
      </c>
      <c r="L21" s="54">
        <f>IF(HLOOKUP('Ibilgailu-mota'!$E$10,DE!$D$1:$AX$285,19,0)="","",HLOOKUP('Ibilgailu-mota'!$E$10,DE!$D$1:$AX$285,19,0))</f>
        <v>0</v>
      </c>
      <c r="M21" s="2"/>
      <c r="N21" s="2"/>
      <c r="O21" s="20"/>
      <c r="P21" s="2"/>
      <c r="Q21" s="2"/>
      <c r="R21" s="2"/>
      <c r="S21" s="2"/>
      <c r="T21" s="2"/>
      <c r="U21" s="2"/>
    </row>
    <row customHeight="1" ht="3.75" r="22" spans="1:21" x14ac:dyDescent="0.3">
      <c r="A22" s="2"/>
      <c r="B22" s="19"/>
      <c r="C22" s="11"/>
      <c r="D22" s="2"/>
      <c r="E22" s="2"/>
      <c r="F22" s="2"/>
      <c r="G22" s="2"/>
      <c r="H22" s="48"/>
      <c r="I22" s="48"/>
      <c r="J22" s="48"/>
      <c r="K22" s="48"/>
      <c r="L22" s="61"/>
      <c r="M22" s="2"/>
      <c r="N22" s="2"/>
      <c r="O22" s="20"/>
      <c r="P22" s="2"/>
      <c r="Q22" s="2"/>
      <c r="R22" s="2"/>
      <c r="S22" s="2"/>
      <c r="T22" s="2"/>
      <c r="U22" s="2"/>
    </row>
    <row r="23" spans="1:21" x14ac:dyDescent="0.3">
      <c r="A23" s="2"/>
      <c r="B23" s="19"/>
      <c r="C23" s="11" t="s">
        <v>195</v>
      </c>
      <c r="D23" s="2"/>
      <c r="E23" s="2"/>
      <c r="F23" s="2"/>
      <c r="G23" s="2"/>
      <c r="H23" s="48"/>
      <c r="I23" s="48"/>
      <c r="J23" s="60">
        <f>ROUND(IFERROR(IF(J11=T!F2,ROUND((J17-J21-('Kostu aldakorrak'!J$23*'Kostu aldakorrak'!J$29)-('Kostu aldakorrak'!J$25*'Kostu aldakorrak'!J$31)-('Kostu aldakorrak'!J$27*'Kostu aldakorrak'!J$33))*(1/J19),2),0),0),0)</f>
        <v>0</v>
      </c>
      <c r="K23" s="48"/>
      <c r="L23" s="54">
        <f>IF(HLOOKUP('Ibilgailu-mota'!$E$10,DE!$D$1:$AX$285,20,0)="","",HLOOKUP('Ibilgailu-mota'!$E$10,DE!$D$1:$AX$285,20,0))</f>
        <v>0</v>
      </c>
      <c r="M23" s="2"/>
      <c r="N23" s="2"/>
      <c r="O23" s="20"/>
      <c r="P23" s="2"/>
      <c r="Q23" s="2"/>
      <c r="R23" s="2"/>
      <c r="S23" s="2"/>
      <c r="T23" s="2"/>
      <c r="U23" s="2"/>
    </row>
    <row customHeight="1" ht="3.75" r="24" spans="1:21" x14ac:dyDescent="0.3">
      <c r="A24" s="2"/>
      <c r="B24" s="19"/>
      <c r="C24" s="11"/>
      <c r="D24" s="2"/>
      <c r="E24" s="2"/>
      <c r="F24" s="2"/>
      <c r="G24" s="2"/>
      <c r="H24" s="48"/>
      <c r="I24" s="48"/>
      <c r="J24" s="48"/>
      <c r="K24" s="48"/>
      <c r="M24" s="2"/>
      <c r="N24" s="2"/>
      <c r="O24" s="20"/>
      <c r="P24" s="2"/>
      <c r="Q24" s="2"/>
      <c r="R24" s="2"/>
      <c r="S24" s="2"/>
      <c r="T24" s="2"/>
      <c r="U24" s="2"/>
    </row>
    <row r="25" spans="1:21" x14ac:dyDescent="0.3">
      <c r="A25" s="2"/>
      <c r="B25" s="19"/>
      <c r="C25" s="11" t="s">
        <v>196</v>
      </c>
      <c r="D25" s="2"/>
      <c r="E25" s="2"/>
      <c r="F25" s="2"/>
      <c r="G25" s="2"/>
      <c r="H25" s="48"/>
      <c r="I25" s="48"/>
      <c r="J25" s="60">
        <f>ROUND(IFERROR(IF(J11=T!F2,ROUND((J17-J21-('Kostu aldakorrak'!J$23*'Kostu aldakorrak'!J$29)-('Kostu aldakorrak'!J$25*'Kostu aldakorrak'!J$31)-('Kostu aldakorrak'!J$27*'Kostu aldakorrak'!J$33))*(-(1/J19)+L$10/(1-POWER(1+L$10,-J19))),2),0),0),0)</f>
        <v>0</v>
      </c>
      <c r="K25" s="48"/>
      <c r="L25" s="54">
        <f>IF(HLOOKUP('Ibilgailu-mota'!$E$10,DE!$D$1:$AX$285,21,0)="","",HLOOKUP('Ibilgailu-mota'!$E$10,DE!$D$1:$AX$285,21,0))</f>
        <v>0</v>
      </c>
      <c r="M25" s="2"/>
      <c r="N25" s="2"/>
      <c r="O25" s="20"/>
      <c r="P25" s="2"/>
      <c r="Q25" s="2"/>
      <c r="R25" s="2"/>
      <c r="S25" s="2"/>
      <c r="T25" s="2"/>
      <c r="U25" s="2"/>
    </row>
    <row r="26" spans="1:21" x14ac:dyDescent="0.3">
      <c r="A26" s="2"/>
      <c r="B26" s="19"/>
      <c r="C26" s="11"/>
      <c r="D26" s="2"/>
      <c r="E26" s="2"/>
      <c r="F26" s="2"/>
      <c r="G26" s="2"/>
      <c r="H26" s="48"/>
      <c r="I26" s="48"/>
      <c r="J26" s="48"/>
      <c r="K26" s="48"/>
      <c r="L26" s="61"/>
      <c r="M26" s="2"/>
      <c r="N26" s="2"/>
      <c r="O26" s="20"/>
      <c r="P26" s="2"/>
      <c r="Q26" s="2"/>
      <c r="R26" s="2"/>
      <c r="S26" s="2"/>
      <c r="T26" s="2"/>
      <c r="U26" s="2"/>
    </row>
    <row customHeight="1" ht="21.75" r="27" spans="1:21" x14ac:dyDescent="0.3">
      <c r="A27" s="2"/>
      <c r="B27" s="19"/>
      <c r="C27" s="8" t="s">
        <v>197</v>
      </c>
      <c r="D27" s="30"/>
      <c r="E27" s="30"/>
      <c r="F27" s="30"/>
      <c r="G27" s="30"/>
      <c r="H27" s="56"/>
      <c r="I27" s="56"/>
      <c r="J27" s="56"/>
      <c r="K27" s="56"/>
      <c r="L27" s="80" t="s">
        <v>287</v>
      </c>
      <c r="M27" s="92" t="str">
        <f>DE!$AJ$2</f>
        <v>08/01/2024</v>
      </c>
      <c r="N27" s="9"/>
      <c r="O27" s="20"/>
      <c r="P27" s="2"/>
      <c r="Q27" s="2"/>
      <c r="R27" s="2"/>
      <c r="S27" s="2"/>
      <c r="T27" s="2"/>
      <c r="U27" s="2"/>
    </row>
    <row customHeight="1" ht="18" r="28" spans="1:21" x14ac:dyDescent="0.3">
      <c r="A28" s="2"/>
      <c r="B28" s="19"/>
      <c r="C28" s="31"/>
      <c r="D28" s="32"/>
      <c r="E28" s="32"/>
      <c r="F28" s="32"/>
      <c r="G28" s="32"/>
      <c r="H28" s="57"/>
      <c r="I28" s="57"/>
      <c r="J28" s="57"/>
      <c r="K28" s="57"/>
      <c r="L28" s="57"/>
      <c r="M28" s="2"/>
      <c r="N28" s="2"/>
      <c r="O28" s="20"/>
      <c r="P28" s="2"/>
      <c r="Q28" s="2"/>
      <c r="R28" s="2"/>
      <c r="S28" s="2"/>
      <c r="T28" s="2"/>
      <c r="U28" s="2"/>
    </row>
    <row customHeight="1" ht="18.75" r="29" spans="1:21" x14ac:dyDescent="0.3">
      <c r="A29" s="2"/>
      <c r="B29" s="19"/>
      <c r="C29" s="11" t="s">
        <v>198</v>
      </c>
      <c r="D29" s="2"/>
      <c r="E29" s="2"/>
      <c r="F29" s="2"/>
      <c r="G29" s="2"/>
      <c r="H29" s="48"/>
      <c r="I29" s="48"/>
      <c r="J29" s="96" t="s">
        <v>277</v>
      </c>
      <c r="K29" s="96"/>
      <c r="L29" s="61"/>
      <c r="M29" s="2"/>
      <c r="N29" s="2"/>
      <c r="O29" s="20"/>
      <c r="P29" s="2"/>
      <c r="Q29" s="2"/>
      <c r="R29" s="2"/>
      <c r="S29" s="2"/>
      <c r="T29" s="2"/>
      <c r="U29" s="2"/>
    </row>
    <row customHeight="1" ht="3.75" r="30" spans="1:21" x14ac:dyDescent="0.3">
      <c r="A30" s="2"/>
      <c r="B30" s="19"/>
      <c r="C30" s="11"/>
      <c r="D30" s="2"/>
      <c r="E30" s="2"/>
      <c r="F30" s="2"/>
      <c r="G30" s="2"/>
      <c r="H30" s="48"/>
      <c r="I30" s="48"/>
      <c r="J30" s="48"/>
      <c r="K30" s="48"/>
      <c r="L30" s="61"/>
      <c r="M30" s="2"/>
      <c r="N30" s="2"/>
      <c r="O30" s="20"/>
      <c r="P30" s="2"/>
      <c r="Q30" s="2"/>
      <c r="R30" s="2"/>
      <c r="S30" s="2"/>
      <c r="T30" s="2"/>
      <c r="U30" s="2"/>
    </row>
    <row r="31" spans="1:21" x14ac:dyDescent="0.3">
      <c r="A31" s="2"/>
      <c r="B31" s="19"/>
      <c r="C31" s="36" t="s">
        <v>190</v>
      </c>
      <c r="D31" s="2"/>
      <c r="F31" s="2"/>
      <c r="G31" s="2"/>
      <c r="H31" s="48"/>
      <c r="I31" s="48"/>
      <c r="J31" s="53"/>
      <c r="K31" s="48"/>
      <c r="L31" s="54" t="str">
        <f>IF(HLOOKUP('Ibilgailu-mota'!$E$10,DE!$D$1:$AX$285,22,0)="","",HLOOKUP('Ibilgailu-mota'!$E$10,DE!$D$1:$AX$285,22,0))</f>
        <v/>
      </c>
      <c r="M31" s="2"/>
      <c r="N31" s="2"/>
      <c r="O31" s="20"/>
      <c r="P31" s="2"/>
      <c r="Q31" s="2"/>
      <c r="R31" s="2"/>
      <c r="S31" s="2"/>
      <c r="T31" s="2"/>
      <c r="U31" s="2"/>
    </row>
    <row customHeight="1" ht="3.75" r="32" spans="1:21" x14ac:dyDescent="0.3">
      <c r="A32" s="2"/>
      <c r="B32" s="19"/>
      <c r="C32" s="11"/>
      <c r="D32" s="2"/>
      <c r="E32" s="2"/>
      <c r="F32" s="2"/>
      <c r="G32" s="2"/>
      <c r="H32" s="48"/>
      <c r="I32" s="48"/>
      <c r="J32" s="48"/>
      <c r="K32" s="48"/>
      <c r="L32" s="61"/>
      <c r="M32" s="2"/>
      <c r="N32" s="2"/>
      <c r="O32" s="20"/>
      <c r="P32" s="2"/>
      <c r="Q32" s="2"/>
      <c r="R32" s="2"/>
      <c r="S32" s="2"/>
      <c r="T32" s="2"/>
      <c r="U32" s="2"/>
    </row>
    <row r="33" spans="1:21" x14ac:dyDescent="0.3">
      <c r="A33" s="2"/>
      <c r="B33" s="19"/>
      <c r="C33" s="37" t="s">
        <v>199</v>
      </c>
      <c r="D33" s="2"/>
      <c r="E33" s="2"/>
      <c r="F33" s="2"/>
      <c r="G33" s="2"/>
      <c r="H33" s="48"/>
      <c r="I33" s="48"/>
      <c r="J33" s="48"/>
      <c r="K33" s="48"/>
      <c r="L33" s="61"/>
      <c r="M33" s="29"/>
      <c r="N33" s="2"/>
      <c r="O33" s="20"/>
      <c r="P33" s="2"/>
      <c r="Q33" s="2"/>
      <c r="R33" s="2"/>
      <c r="S33" s="2"/>
      <c r="T33" s="2"/>
      <c r="U33" s="2"/>
    </row>
    <row customHeight="1" ht="3.75" r="34" spans="1:21" x14ac:dyDescent="0.3">
      <c r="A34" s="2"/>
      <c r="B34" s="19"/>
      <c r="C34" s="11"/>
      <c r="D34" s="2"/>
      <c r="E34" s="2"/>
      <c r="F34" s="2"/>
      <c r="G34" s="2"/>
      <c r="H34" s="48"/>
      <c r="I34" s="48"/>
      <c r="J34" s="48"/>
      <c r="K34" s="48"/>
      <c r="M34" s="2"/>
      <c r="N34" s="2"/>
      <c r="O34" s="20"/>
      <c r="P34" s="2"/>
      <c r="Q34" s="2"/>
      <c r="R34" s="2"/>
      <c r="S34" s="2"/>
      <c r="T34" s="2"/>
      <c r="U34" s="2"/>
    </row>
    <row r="35" spans="1:21" x14ac:dyDescent="0.3">
      <c r="A35" s="2"/>
      <c r="B35" s="19"/>
      <c r="C35" s="21" t="s">
        <v>192</v>
      </c>
      <c r="D35" s="2"/>
      <c r="E35" s="2"/>
      <c r="F35" s="2"/>
      <c r="G35" s="2"/>
      <c r="H35" s="48"/>
      <c r="I35" s="48"/>
      <c r="J35" s="53"/>
      <c r="K35" s="48"/>
      <c r="L35" s="54" t="str">
        <f>IF(HLOOKUP('Ibilgailu-mota'!$E$10,DE!$D$1:$AX$285,23,0)="","",HLOOKUP('Ibilgailu-mota'!$E$10,DE!$D$1:$AX$285,23,0))</f>
        <v/>
      </c>
      <c r="M35" s="2"/>
      <c r="N35" s="2"/>
      <c r="O35" s="20"/>
      <c r="P35" s="2"/>
      <c r="Q35" s="2"/>
      <c r="R35" s="2"/>
      <c r="S35" s="2"/>
      <c r="T35" s="2"/>
      <c r="U35" s="2"/>
    </row>
    <row customHeight="1" ht="3.75" r="36" spans="1:21" x14ac:dyDescent="0.3">
      <c r="A36" s="2"/>
      <c r="B36" s="19"/>
      <c r="C36" s="11"/>
      <c r="D36" s="2"/>
      <c r="E36" s="2"/>
      <c r="F36" s="2"/>
      <c r="G36" s="2"/>
      <c r="H36" s="48"/>
      <c r="I36" s="48"/>
      <c r="J36" s="48"/>
      <c r="K36" s="48"/>
      <c r="L36" s="61"/>
      <c r="M36" s="2"/>
      <c r="N36" s="2"/>
      <c r="O36" s="20"/>
      <c r="P36" s="2"/>
      <c r="Q36" s="2"/>
      <c r="R36" s="2"/>
      <c r="S36" s="2"/>
      <c r="T36" s="2"/>
      <c r="U36" s="2"/>
    </row>
    <row r="37" spans="1:21" x14ac:dyDescent="0.3">
      <c r="A37" s="2"/>
      <c r="B37" s="19"/>
      <c r="C37" s="11" t="s">
        <v>193</v>
      </c>
      <c r="D37" s="2"/>
      <c r="E37" s="2"/>
      <c r="F37" s="2"/>
      <c r="G37" s="2"/>
      <c r="H37" s="48"/>
      <c r="I37" s="48"/>
      <c r="J37" s="53"/>
      <c r="K37" s="48"/>
      <c r="L37" s="54" t="str">
        <f>IF(HLOOKUP('Ibilgailu-mota'!$E$10,DE!$D$1:$AX$285,24,0)="","",HLOOKUP('Ibilgailu-mota'!$E$10,DE!$D$1:$AX$285,24,0))</f>
        <v/>
      </c>
      <c r="M37" s="2"/>
      <c r="N37" s="2"/>
      <c r="O37" s="20"/>
      <c r="P37" s="2"/>
      <c r="Q37" s="2"/>
      <c r="R37" s="2"/>
      <c r="S37" s="2"/>
      <c r="T37" s="2"/>
      <c r="U37" s="2"/>
    </row>
    <row customHeight="1" ht="3.75" r="38" spans="1:21" x14ac:dyDescent="0.3">
      <c r="A38" s="2"/>
      <c r="B38" s="19"/>
      <c r="C38" s="11"/>
      <c r="D38" s="2"/>
      <c r="E38" s="2"/>
      <c r="F38" s="2"/>
      <c r="G38" s="2"/>
      <c r="H38" s="48"/>
      <c r="I38" s="48"/>
      <c r="J38" s="48"/>
      <c r="K38" s="48"/>
      <c r="L38" s="61"/>
      <c r="M38" s="2"/>
      <c r="N38" s="2"/>
      <c r="O38" s="20"/>
      <c r="P38" s="2"/>
      <c r="Q38" s="2"/>
      <c r="R38" s="2"/>
      <c r="S38" s="2"/>
      <c r="T38" s="2"/>
      <c r="U38" s="2"/>
    </row>
    <row r="39" spans="1:21" x14ac:dyDescent="0.3">
      <c r="A39" s="2"/>
      <c r="B39" s="19"/>
      <c r="C39" s="11" t="s">
        <v>194</v>
      </c>
      <c r="D39" s="2"/>
      <c r="E39" s="2"/>
      <c r="F39" s="2"/>
      <c r="G39" s="2"/>
      <c r="H39" s="53"/>
      <c r="I39" s="48" t="s">
        <v>4</v>
      </c>
      <c r="J39" s="60">
        <f>IFERROR(ROUND(J35*H39/100,0),0)</f>
        <v>0</v>
      </c>
      <c r="K39" s="54" t="str">
        <f>IF(HLOOKUP(CONCATENATE('Ibilgailu-mota'!$E$10,"A"),DE!$C$1:$AK$185,25,0)="","",HLOOKUP(CONCATENATE('Ibilgailu-mota'!$E$10,"A"),DE!$C$1:$AK$185,25,0))</f>
        <v/>
      </c>
      <c r="L39" s="54">
        <f>IF(HLOOKUP('Ibilgailu-mota'!$E$10,DE!$D$1:$AX$285,25,0)="","",HLOOKUP('Ibilgailu-mota'!$E$10,DE!$D$1:$AX$285,25,0))</f>
        <v>0</v>
      </c>
      <c r="M39" s="35"/>
      <c r="N39" s="2"/>
      <c r="O39" s="20"/>
      <c r="P39" s="2"/>
      <c r="Q39" s="2"/>
      <c r="R39" s="2"/>
      <c r="S39" s="2"/>
      <c r="T39" s="2"/>
      <c r="U39" s="2"/>
    </row>
    <row customHeight="1" ht="3.75" r="40" spans="1:21" x14ac:dyDescent="0.3">
      <c r="A40" s="2"/>
      <c r="B40" s="19"/>
      <c r="C40" s="11"/>
      <c r="D40" s="2"/>
      <c r="E40" s="2"/>
      <c r="F40" s="2"/>
      <c r="G40" s="2"/>
      <c r="H40" s="48"/>
      <c r="I40" s="48"/>
      <c r="J40" s="48"/>
      <c r="K40" s="48"/>
      <c r="L40" s="61"/>
      <c r="M40" s="2"/>
      <c r="N40" s="2"/>
      <c r="O40" s="20"/>
      <c r="P40" s="2"/>
      <c r="Q40" s="2"/>
      <c r="R40" s="2"/>
      <c r="S40" s="2"/>
      <c r="T40" s="2"/>
      <c r="U40" s="2"/>
    </row>
    <row r="41" spans="1:21" x14ac:dyDescent="0.3">
      <c r="A41" s="2"/>
      <c r="B41" s="19"/>
      <c r="C41" s="11" t="s">
        <v>200</v>
      </c>
      <c r="D41" s="2"/>
      <c r="E41" s="2"/>
      <c r="F41" s="2"/>
      <c r="G41" s="2"/>
      <c r="H41" s="48"/>
      <c r="I41" s="48"/>
      <c r="J41" s="60">
        <f>IFERROR(IF(J29=T!F2,ROUND((J35-J39)*(1/J37),0),0),0)</f>
        <v>0</v>
      </c>
      <c r="K41" s="48"/>
      <c r="L41" s="54">
        <f>IF(HLOOKUP('Ibilgailu-mota'!$E$10,DE!$D$1:$AX$285,26,0)="","",HLOOKUP('Ibilgailu-mota'!$E$10,DE!$D$1:$AX$285,26,0))</f>
        <v>0</v>
      </c>
      <c r="M41" s="2"/>
      <c r="N41" s="2"/>
      <c r="O41" s="20"/>
      <c r="P41" s="2"/>
      <c r="Q41" s="2"/>
      <c r="R41" s="2"/>
      <c r="S41" s="2"/>
      <c r="T41" s="2"/>
      <c r="U41" s="2"/>
    </row>
    <row customHeight="1" ht="3.75" r="42" spans="1:21" x14ac:dyDescent="0.3">
      <c r="A42" s="2"/>
      <c r="B42" s="19"/>
      <c r="C42" s="11"/>
      <c r="D42" s="2"/>
      <c r="E42" s="2"/>
      <c r="F42" s="2"/>
      <c r="G42" s="2"/>
      <c r="H42" s="48"/>
      <c r="I42" s="48"/>
      <c r="J42" s="48"/>
      <c r="K42" s="48"/>
      <c r="M42" s="2"/>
      <c r="N42" s="2"/>
      <c r="O42" s="20"/>
      <c r="P42" s="2"/>
      <c r="Q42" s="2"/>
      <c r="R42" s="2"/>
      <c r="S42" s="2"/>
      <c r="T42" s="2"/>
      <c r="U42" s="2"/>
    </row>
    <row r="43" spans="1:21" x14ac:dyDescent="0.3">
      <c r="A43" s="2"/>
      <c r="B43" s="19"/>
      <c r="C43" s="11" t="s">
        <v>201</v>
      </c>
      <c r="D43" s="2"/>
      <c r="E43" s="2"/>
      <c r="F43" s="2"/>
      <c r="G43" s="2"/>
      <c r="H43" s="48"/>
      <c r="I43" s="48"/>
      <c r="J43" s="60">
        <f>IFERROR(IF(J29=T!F2,ROUND((J35-J39)*(-(1/J$19)+L$10/(1-POWER(1+L$10,-J37))),0),0),0)</f>
        <v>0</v>
      </c>
      <c r="K43" s="48"/>
      <c r="L43" s="54">
        <f>IF(HLOOKUP('Ibilgailu-mota'!$E$10,DE!$D$1:$AX$285,27,0)="","",HLOOKUP('Ibilgailu-mota'!$E$10,DE!$D$1:$AX$285,27,0))</f>
        <v>0</v>
      </c>
      <c r="M43" s="2"/>
      <c r="N43" s="2"/>
      <c r="O43" s="20"/>
      <c r="P43" s="2"/>
      <c r="Q43" s="2"/>
      <c r="R43" s="2"/>
      <c r="S43" s="2"/>
      <c r="T43" s="2"/>
      <c r="U43" s="2"/>
    </row>
    <row r="44" spans="1:21" x14ac:dyDescent="0.3">
      <c r="A44" s="2"/>
      <c r="B44" s="19"/>
      <c r="C44" s="2"/>
      <c r="D44" s="2"/>
      <c r="E44" s="2"/>
      <c r="F44" s="2"/>
      <c r="G44" s="2"/>
      <c r="H44" s="48"/>
      <c r="I44" s="48"/>
      <c r="J44" s="48"/>
      <c r="K44" s="48"/>
      <c r="L44" s="48"/>
      <c r="M44" s="2"/>
      <c r="N44" s="2"/>
      <c r="O44" s="20"/>
      <c r="P44" s="2"/>
      <c r="Q44" s="2"/>
      <c r="R44" s="2"/>
      <c r="S44" s="2"/>
      <c r="T44" s="2"/>
      <c r="U44" s="2"/>
    </row>
    <row customHeight="1" ht="21.75" r="45" spans="1:21" x14ac:dyDescent="0.3">
      <c r="A45" s="2"/>
      <c r="B45" s="19"/>
      <c r="C45" s="8" t="s">
        <v>202</v>
      </c>
      <c r="D45" s="30"/>
      <c r="E45" s="30"/>
      <c r="F45" s="30"/>
      <c r="G45" s="30"/>
      <c r="H45" s="56"/>
      <c r="I45" s="56"/>
      <c r="J45" s="56"/>
      <c r="K45" s="56"/>
      <c r="L45" s="80" t="s">
        <v>287</v>
      </c>
      <c r="M45" s="92" t="str">
        <f>DE!$AJ$2</f>
        <v>08/01/2024</v>
      </c>
      <c r="N45" s="9"/>
      <c r="O45" s="20"/>
      <c r="P45" s="2"/>
      <c r="Q45" s="2"/>
      <c r="R45" s="2"/>
      <c r="S45" s="2"/>
      <c r="T45" s="2"/>
      <c r="U45" s="2"/>
    </row>
    <row customHeight="1" ht="18" r="46" spans="1:21" x14ac:dyDescent="0.3">
      <c r="A46" s="2"/>
      <c r="B46" s="19"/>
      <c r="C46" s="2"/>
      <c r="D46" s="2"/>
      <c r="E46" s="2"/>
      <c r="F46" s="2"/>
      <c r="G46" s="2"/>
      <c r="H46" s="48"/>
      <c r="I46" s="48"/>
      <c r="J46" s="48"/>
      <c r="K46" s="48"/>
      <c r="L46" s="48"/>
      <c r="M46" s="2"/>
      <c r="N46" s="2"/>
      <c r="O46" s="20"/>
      <c r="P46" s="2"/>
      <c r="Q46" s="2"/>
      <c r="R46" s="2"/>
      <c r="S46" s="2"/>
      <c r="T46" s="2"/>
      <c r="U46" s="2"/>
    </row>
    <row customHeight="1" ht="18.75" r="47" spans="1:21" x14ac:dyDescent="0.3">
      <c r="A47" s="2"/>
      <c r="B47" s="19"/>
      <c r="C47" s="11" t="s">
        <v>203</v>
      </c>
      <c r="D47" s="2"/>
      <c r="E47" s="2"/>
      <c r="F47" s="2"/>
      <c r="G47" s="2"/>
      <c r="H47" s="48"/>
      <c r="I47" s="48"/>
      <c r="J47" s="96" t="s">
        <v>277</v>
      </c>
      <c r="K47" s="96"/>
      <c r="L47" s="48"/>
      <c r="M47" s="2"/>
      <c r="N47" s="2"/>
      <c r="O47" s="20"/>
      <c r="P47" s="2"/>
      <c r="Q47" s="2"/>
      <c r="R47" s="2"/>
      <c r="S47" s="2"/>
      <c r="T47" s="2"/>
      <c r="U47" s="2"/>
    </row>
    <row customHeight="1" ht="3.75" r="48" spans="1:21" x14ac:dyDescent="0.3">
      <c r="A48" s="2"/>
      <c r="B48" s="19"/>
      <c r="C48" s="11"/>
      <c r="D48" s="2"/>
      <c r="E48" s="2"/>
      <c r="F48" s="2"/>
      <c r="G48" s="2"/>
      <c r="H48" s="48"/>
      <c r="I48" s="48"/>
      <c r="J48" s="48"/>
      <c r="K48" s="48"/>
      <c r="L48" s="48"/>
      <c r="M48" s="2"/>
      <c r="N48" s="2"/>
      <c r="O48" s="20"/>
      <c r="P48" s="2"/>
      <c r="Q48" s="2"/>
      <c r="R48" s="2"/>
      <c r="S48" s="2"/>
      <c r="T48" s="2"/>
      <c r="U48" s="2"/>
    </row>
    <row r="49" spans="1:21" x14ac:dyDescent="0.3">
      <c r="A49" s="2"/>
      <c r="B49" s="19"/>
      <c r="C49" s="36" t="s">
        <v>190</v>
      </c>
      <c r="D49" s="2"/>
      <c r="E49" s="2"/>
      <c r="F49" s="2"/>
      <c r="G49" s="2"/>
      <c r="H49" s="48"/>
      <c r="I49" s="48"/>
      <c r="J49" s="53"/>
      <c r="K49" s="48"/>
      <c r="L49" s="54" t="str">
        <f>IF(HLOOKUP('Ibilgailu-mota'!$E$10,DE!$D$1:$AX$285,28,0)="","",HLOOKUP('Ibilgailu-mota'!$E$10,DE!$D$1:$AX$285,28,0))</f>
        <v/>
      </c>
      <c r="M49" s="2"/>
      <c r="N49" s="2"/>
      <c r="O49" s="20"/>
      <c r="P49" s="2"/>
      <c r="Q49" s="2"/>
      <c r="R49" s="2"/>
      <c r="S49" s="2"/>
      <c r="T49" s="2"/>
      <c r="U49" s="2"/>
    </row>
    <row customHeight="1" ht="3.75" r="50" spans="1:21" x14ac:dyDescent="0.3">
      <c r="A50" s="2"/>
      <c r="B50" s="19"/>
      <c r="C50" s="11"/>
      <c r="D50" s="2"/>
      <c r="E50" s="2"/>
      <c r="F50" s="2"/>
      <c r="G50" s="2"/>
      <c r="H50" s="48"/>
      <c r="I50" s="48"/>
      <c r="J50" s="48"/>
      <c r="K50" s="48"/>
      <c r="L50" s="61"/>
      <c r="M50" s="2"/>
      <c r="N50" s="2"/>
      <c r="O50" s="20"/>
      <c r="P50" s="2"/>
      <c r="Q50" s="2"/>
      <c r="R50" s="2"/>
      <c r="S50" s="2"/>
      <c r="T50" s="2"/>
      <c r="U50" s="2"/>
    </row>
    <row r="51" spans="1:21" x14ac:dyDescent="0.3">
      <c r="A51" s="2"/>
      <c r="B51" s="19"/>
      <c r="C51" s="36" t="s">
        <v>204</v>
      </c>
      <c r="D51" s="2"/>
      <c r="E51" s="2"/>
      <c r="F51" s="2"/>
      <c r="G51" s="2"/>
      <c r="H51" s="48"/>
      <c r="I51" s="48"/>
      <c r="J51" s="48"/>
      <c r="K51" s="48"/>
      <c r="L51" s="61"/>
      <c r="M51" s="2"/>
      <c r="N51" s="2"/>
      <c r="O51" s="20"/>
      <c r="P51" s="2"/>
      <c r="Q51" s="2"/>
      <c r="R51" s="2"/>
      <c r="S51" s="2"/>
      <c r="T51" s="2"/>
      <c r="U51" s="2"/>
    </row>
    <row customHeight="1" ht="3.75" r="52" spans="1:21" x14ac:dyDescent="0.3">
      <c r="A52" s="2"/>
      <c r="B52" s="19"/>
      <c r="C52" s="11"/>
      <c r="D52" s="2"/>
      <c r="E52" s="2"/>
      <c r="F52" s="2"/>
      <c r="G52" s="2"/>
      <c r="H52" s="48"/>
      <c r="I52" s="48"/>
      <c r="J52" s="48"/>
      <c r="K52" s="48"/>
      <c r="M52" s="2"/>
      <c r="N52" s="2"/>
      <c r="O52" s="20"/>
      <c r="P52" s="2"/>
      <c r="Q52" s="2"/>
      <c r="R52" s="2"/>
      <c r="S52" s="2"/>
      <c r="T52" s="2"/>
      <c r="U52" s="2"/>
    </row>
    <row r="53" spans="1:21" x14ac:dyDescent="0.3">
      <c r="A53" s="2"/>
      <c r="B53" s="19"/>
      <c r="C53" s="11" t="s">
        <v>205</v>
      </c>
      <c r="D53" s="2"/>
      <c r="E53" s="2"/>
      <c r="F53" s="2"/>
      <c r="G53" s="2"/>
      <c r="H53" s="48"/>
      <c r="I53" s="48"/>
      <c r="J53" s="53"/>
      <c r="K53" s="48"/>
      <c r="L53" s="54" t="str">
        <f>IF(HLOOKUP('Ibilgailu-mota'!$E$10,DE!$D$1:$AX$285,29,0)="","",HLOOKUP('Ibilgailu-mota'!$E$10,DE!$D$1:$AX$285,29,0))</f>
        <v/>
      </c>
      <c r="M53" s="2"/>
      <c r="N53" s="2"/>
      <c r="O53" s="20"/>
      <c r="P53" s="2"/>
      <c r="Q53" s="2"/>
      <c r="R53" s="2"/>
      <c r="S53" s="2"/>
      <c r="T53" s="2"/>
      <c r="U53" s="2"/>
    </row>
    <row customHeight="1" ht="3.75" r="54" spans="1:21" x14ac:dyDescent="0.3">
      <c r="A54" s="2"/>
      <c r="B54" s="19"/>
      <c r="C54" s="11"/>
      <c r="D54" s="2"/>
      <c r="E54" s="2"/>
      <c r="F54" s="2"/>
      <c r="G54" s="2"/>
      <c r="H54" s="48"/>
      <c r="I54" s="48"/>
      <c r="J54" s="48"/>
      <c r="K54" s="48"/>
      <c r="L54" s="61"/>
      <c r="M54" s="2"/>
      <c r="N54" s="2"/>
      <c r="O54" s="20"/>
      <c r="P54" s="2"/>
      <c r="Q54" s="2"/>
      <c r="R54" s="2"/>
      <c r="S54" s="2"/>
      <c r="T54" s="2"/>
      <c r="U54" s="2"/>
    </row>
    <row r="55" spans="1:21" x14ac:dyDescent="0.3">
      <c r="A55" s="2"/>
      <c r="B55" s="19"/>
      <c r="C55" s="11" t="s">
        <v>193</v>
      </c>
      <c r="D55" s="2"/>
      <c r="E55" s="2"/>
      <c r="F55" s="2"/>
      <c r="G55" s="2"/>
      <c r="H55" s="48"/>
      <c r="I55" s="48"/>
      <c r="J55" s="53"/>
      <c r="K55" s="48"/>
      <c r="L55" s="54" t="str">
        <f>IF(HLOOKUP('Ibilgailu-mota'!$E$10,DE!$D$1:$AX$285,30,0)="","",HLOOKUP('Ibilgailu-mota'!$E$10,DE!$D$1:$AX$285,30,0))</f>
        <v/>
      </c>
      <c r="M55" s="2"/>
      <c r="N55" s="2"/>
      <c r="O55" s="20"/>
      <c r="P55" s="2"/>
      <c r="Q55" s="2"/>
      <c r="R55" s="2"/>
      <c r="S55" s="2"/>
      <c r="T55" s="2"/>
      <c r="U55" s="2"/>
    </row>
    <row customHeight="1" ht="3.75" r="56" spans="1:21" x14ac:dyDescent="0.3">
      <c r="A56" s="2"/>
      <c r="B56" s="19"/>
      <c r="C56" s="11"/>
      <c r="D56" s="2"/>
      <c r="E56" s="2"/>
      <c r="F56" s="2"/>
      <c r="G56" s="2"/>
      <c r="H56" s="48"/>
      <c r="I56" s="48"/>
      <c r="J56" s="48"/>
      <c r="K56" s="48"/>
      <c r="L56" s="61"/>
      <c r="M56" s="2"/>
      <c r="N56" s="2"/>
      <c r="O56" s="20"/>
      <c r="P56" s="2"/>
      <c r="Q56" s="2"/>
      <c r="R56" s="2"/>
      <c r="S56" s="2"/>
      <c r="T56" s="2"/>
      <c r="U56" s="2"/>
    </row>
    <row r="57" spans="1:21" x14ac:dyDescent="0.3">
      <c r="A57" s="2"/>
      <c r="B57" s="19"/>
      <c r="C57" s="11" t="s">
        <v>194</v>
      </c>
      <c r="D57" s="2"/>
      <c r="E57" s="2"/>
      <c r="F57" s="2"/>
      <c r="G57" s="2"/>
      <c r="H57" s="53"/>
      <c r="I57" s="48" t="s">
        <v>4</v>
      </c>
      <c r="J57" s="60">
        <f>IFERROR(ROUND(J53*H57/100,0),0)</f>
        <v>0</v>
      </c>
      <c r="K57" s="54" t="str">
        <f>IF(HLOOKUP(CONCATENATE('Ibilgailu-mota'!$E$10,"A"),DE!$C$1:$AK$185,31,0)="","",HLOOKUP(CONCATENATE('Ibilgailu-mota'!$E$10,"A"),DE!$C$1:$AK$185,31,0))</f>
        <v/>
      </c>
      <c r="L57" s="54">
        <f>IF(HLOOKUP('Ibilgailu-mota'!$E$10,DE!$D$1:$AX$285,31,0)="","",HLOOKUP('Ibilgailu-mota'!$E$10,DE!$D$1:$AX$285,31,0))</f>
        <v>0</v>
      </c>
      <c r="M57" s="2"/>
      <c r="N57" s="2"/>
      <c r="O57" s="20"/>
      <c r="P57" s="2"/>
      <c r="Q57" s="2"/>
      <c r="R57" s="2"/>
      <c r="S57" s="2"/>
      <c r="T57" s="2"/>
      <c r="U57" s="2"/>
    </row>
    <row customHeight="1" ht="3.75" r="58" spans="1:21" x14ac:dyDescent="0.3">
      <c r="A58" s="2"/>
      <c r="B58" s="19"/>
      <c r="C58" s="11"/>
      <c r="D58" s="2"/>
      <c r="E58" s="2"/>
      <c r="F58" s="2"/>
      <c r="G58" s="2"/>
      <c r="H58" s="48"/>
      <c r="I58" s="48"/>
      <c r="J58" s="48"/>
      <c r="K58" s="48"/>
      <c r="L58" s="61"/>
      <c r="M58" s="2"/>
      <c r="N58" s="2"/>
      <c r="O58" s="20"/>
      <c r="P58" s="2"/>
      <c r="Q58" s="2"/>
      <c r="R58" s="2"/>
      <c r="S58" s="2"/>
      <c r="T58" s="2"/>
      <c r="U58" s="2"/>
    </row>
    <row r="59" spans="1:21" x14ac:dyDescent="0.3">
      <c r="A59" s="2"/>
      <c r="B59" s="19"/>
      <c r="C59" s="11" t="s">
        <v>206</v>
      </c>
      <c r="D59" s="2"/>
      <c r="E59" s="2"/>
      <c r="F59" s="2"/>
      <c r="G59" s="2"/>
      <c r="H59" s="48"/>
      <c r="I59" s="48"/>
      <c r="J59" s="60">
        <f>IFERROR(IF(J47=T!F2,ROUND((J53-J57)*(1/J55),0),0),0)</f>
        <v>0</v>
      </c>
      <c r="K59" s="48"/>
      <c r="L59" s="54">
        <f>IF(HLOOKUP('Ibilgailu-mota'!$E$10,DE!$D$1:$AX$285,32,0)="","",HLOOKUP('Ibilgailu-mota'!$E$10,DE!$D$1:$AX$285,32,0))</f>
        <v>0</v>
      </c>
      <c r="M59" s="2"/>
      <c r="N59" s="2"/>
      <c r="O59" s="20"/>
      <c r="P59" s="2"/>
      <c r="Q59" s="2"/>
      <c r="R59" s="2"/>
      <c r="S59" s="2"/>
      <c r="T59" s="2"/>
      <c r="U59" s="2"/>
    </row>
    <row customHeight="1" ht="3.75" r="60" spans="1:21" x14ac:dyDescent="0.3">
      <c r="A60" s="2"/>
      <c r="B60" s="19"/>
      <c r="C60" s="11"/>
      <c r="D60" s="2"/>
      <c r="E60" s="2"/>
      <c r="F60" s="2"/>
      <c r="G60" s="2"/>
      <c r="H60" s="48"/>
      <c r="I60" s="48"/>
      <c r="J60" s="48"/>
      <c r="K60" s="48"/>
      <c r="L60" s="61"/>
      <c r="M60" s="2"/>
      <c r="N60" s="2"/>
      <c r="O60" s="20"/>
      <c r="P60" s="2"/>
      <c r="Q60" s="2"/>
      <c r="R60" s="2"/>
      <c r="S60" s="2"/>
      <c r="T60" s="2"/>
      <c r="U60" s="2"/>
    </row>
    <row r="61" spans="1:21" x14ac:dyDescent="0.3">
      <c r="A61" s="2"/>
      <c r="B61" s="19"/>
      <c r="C61" s="11" t="s">
        <v>207</v>
      </c>
      <c r="D61" s="2"/>
      <c r="E61" s="2"/>
      <c r="F61" s="2"/>
      <c r="G61" s="2"/>
      <c r="H61" s="48"/>
      <c r="I61" s="48"/>
      <c r="J61" s="60">
        <f>IFERROR(IF(J47=T!F2,ROUND((J53-J57)*(-(1/J$19)+L$10/(1-POWER(1+L$10,-J55))),0),0),0)</f>
        <v>0</v>
      </c>
      <c r="K61" s="48"/>
      <c r="L61" s="54">
        <f>IF(HLOOKUP('Ibilgailu-mota'!$E$10,DE!$D$1:$AX$285,33,0)="","",HLOOKUP('Ibilgailu-mota'!$E$10,DE!$D$1:$AX$285,33,0))</f>
        <v>0</v>
      </c>
      <c r="M61" s="2"/>
      <c r="N61" s="2"/>
      <c r="O61" s="20"/>
      <c r="P61" s="2"/>
      <c r="Q61" s="2"/>
      <c r="R61" s="2"/>
      <c r="S61" s="2"/>
      <c r="T61" s="2"/>
      <c r="U61" s="2"/>
    </row>
    <row customHeight="1" ht="15" r="62" spans="1:21" x14ac:dyDescent="0.3">
      <c r="A62" s="2"/>
      <c r="B62" s="19"/>
      <c r="C62" s="2"/>
      <c r="D62" s="2"/>
      <c r="E62" s="2"/>
      <c r="F62" s="2"/>
      <c r="G62" s="2"/>
      <c r="H62" s="48"/>
      <c r="I62" s="48"/>
      <c r="J62" s="48"/>
      <c r="K62" s="48"/>
      <c r="L62" s="28"/>
      <c r="M62" s="2"/>
      <c r="N62" s="2"/>
      <c r="O62" s="20"/>
      <c r="P62" s="2"/>
      <c r="Q62" s="2"/>
      <c r="R62" s="2"/>
      <c r="S62" s="2"/>
      <c r="T62" s="2"/>
      <c r="U62" s="2"/>
    </row>
    <row r="63" spans="1:21" x14ac:dyDescent="0.3">
      <c r="A63" s="2"/>
      <c r="B63" s="19"/>
      <c r="C63" s="11" t="s">
        <v>208</v>
      </c>
      <c r="D63" s="2"/>
      <c r="E63" s="2"/>
      <c r="F63" s="2"/>
      <c r="G63" s="2"/>
      <c r="H63" s="48"/>
      <c r="I63" s="48"/>
      <c r="J63" s="60">
        <f>IFERROR(IF(J11=T!F2,J23+J25,J13)+IF(J29=T!F2,J41+J43,J31)+IF(J47=T!F2,J59+J61,J49),0)</f>
        <v>0</v>
      </c>
      <c r="K63" s="48"/>
      <c r="L63" s="54">
        <f>IF(HLOOKUP('Ibilgailu-mota'!$E$10,DE!$D$1:$AX$285,34,0)="","",HLOOKUP('Ibilgailu-mota'!$E$10,DE!$D$1:$AX$285,34,0))</f>
        <v>0</v>
      </c>
      <c r="M63" s="2"/>
      <c r="N63" s="2"/>
      <c r="O63" s="20"/>
      <c r="P63" s="2"/>
      <c r="Q63" s="2"/>
      <c r="R63" s="2"/>
      <c r="S63" s="2"/>
      <c r="T63" s="2"/>
      <c r="U63" s="2"/>
    </row>
    <row r="64" spans="1:21" x14ac:dyDescent="0.3">
      <c r="A64" s="2"/>
      <c r="B64" s="19"/>
      <c r="C64" s="2"/>
      <c r="D64" s="2"/>
      <c r="E64" s="2"/>
      <c r="F64" s="2"/>
      <c r="G64" s="2"/>
      <c r="H64" s="48"/>
      <c r="I64" s="48"/>
      <c r="J64" s="48"/>
      <c r="K64" s="48"/>
      <c r="L64" s="48"/>
      <c r="M64" s="2"/>
      <c r="N64" s="2"/>
      <c r="O64" s="20"/>
      <c r="P64" s="2"/>
      <c r="Q64" s="2"/>
      <c r="R64" s="2"/>
      <c r="S64" s="2"/>
      <c r="T64" s="2"/>
      <c r="U64" s="2"/>
    </row>
    <row r="65" spans="1:21" x14ac:dyDescent="0.3">
      <c r="A65" s="2"/>
      <c r="B65" s="23"/>
      <c r="C65" s="24"/>
      <c r="D65" s="24"/>
      <c r="E65" s="24"/>
      <c r="F65" s="24"/>
      <c r="G65" s="24"/>
      <c r="H65" s="65"/>
      <c r="I65" s="65"/>
      <c r="J65" s="65"/>
      <c r="K65" s="65"/>
      <c r="L65" s="65"/>
      <c r="M65" s="24"/>
      <c r="N65" s="24"/>
      <c r="O65" s="25"/>
      <c r="P65" s="2"/>
      <c r="Q65" s="2"/>
      <c r="R65" s="2"/>
      <c r="S65" s="2"/>
      <c r="T65" s="2"/>
      <c r="U65" s="2"/>
    </row>
    <row r="66" spans="1:21" x14ac:dyDescent="0.3">
      <c r="A66" s="2"/>
      <c r="B66" s="2"/>
      <c r="C66" s="2"/>
      <c r="D66" s="2"/>
      <c r="E66" s="2"/>
      <c r="F66" s="2"/>
      <c r="G66" s="2"/>
      <c r="H66" s="48"/>
      <c r="I66" s="48"/>
      <c r="J66" s="48"/>
      <c r="K66" s="48"/>
      <c r="L66" s="48"/>
      <c r="M66" s="2"/>
      <c r="N66" s="2"/>
      <c r="O66" s="2"/>
      <c r="P66" s="2"/>
      <c r="Q66" s="2"/>
      <c r="R66" s="2"/>
      <c r="S66" s="2"/>
      <c r="T66" s="2"/>
      <c r="U66" s="2"/>
    </row>
    <row r="67" spans="1:21" x14ac:dyDescent="0.3">
      <c r="A67" s="2"/>
      <c r="B67" s="2"/>
      <c r="C67" s="2"/>
      <c r="D67" s="2"/>
      <c r="E67" s="2"/>
      <c r="F67" s="2"/>
      <c r="G67" s="2"/>
      <c r="H67" s="48"/>
      <c r="I67" s="48"/>
      <c r="J67" s="48"/>
      <c r="K67" s="48"/>
      <c r="L67" s="48"/>
      <c r="M67" s="2"/>
      <c r="N67" s="2"/>
      <c r="O67" s="2"/>
      <c r="P67" s="2"/>
      <c r="Q67" s="2"/>
      <c r="R67" s="2"/>
      <c r="S67" s="2"/>
      <c r="T67" s="2"/>
      <c r="U67" s="2"/>
    </row>
    <row r="68" spans="1:21" x14ac:dyDescent="0.3">
      <c r="A68" s="2"/>
      <c r="B68" s="2"/>
      <c r="C68" s="2"/>
      <c r="D68" s="2"/>
      <c r="E68" s="2"/>
      <c r="F68" s="2"/>
      <c r="G68" s="2"/>
      <c r="H68" s="48"/>
      <c r="I68" s="48"/>
      <c r="J68" s="48"/>
      <c r="K68" s="48"/>
      <c r="L68" s="48"/>
      <c r="M68" s="2"/>
      <c r="N68" s="2"/>
      <c r="O68" s="2"/>
      <c r="P68" s="2"/>
      <c r="Q68" s="2"/>
      <c r="R68" s="2"/>
      <c r="S68" s="2"/>
      <c r="T68" s="2"/>
      <c r="U68" s="2"/>
    </row>
    <row r="69" spans="1:21" x14ac:dyDescent="0.3">
      <c r="A69" s="2"/>
      <c r="B69" s="2"/>
      <c r="C69" s="2"/>
      <c r="D69" s="2"/>
      <c r="E69" s="2"/>
      <c r="F69" s="2"/>
      <c r="G69" s="2"/>
      <c r="H69" s="48"/>
      <c r="I69" s="48"/>
      <c r="J69" s="48"/>
      <c r="K69" s="48"/>
      <c r="L69" s="48"/>
      <c r="M69" s="2"/>
      <c r="N69" s="2"/>
      <c r="O69" s="2"/>
      <c r="P69" s="2"/>
      <c r="Q69" s="2"/>
      <c r="R69" s="2"/>
      <c r="S69" s="2"/>
      <c r="T69" s="2"/>
      <c r="U69" s="2"/>
    </row>
    <row r="70" spans="1:21" x14ac:dyDescent="0.3">
      <c r="A70" s="2"/>
      <c r="B70" s="2"/>
      <c r="C70" s="2"/>
      <c r="D70" s="2"/>
      <c r="E70" s="2"/>
      <c r="F70" s="2"/>
      <c r="G70" s="2"/>
      <c r="H70" s="48"/>
      <c r="I70" s="48"/>
      <c r="J70" s="48"/>
      <c r="K70" s="48"/>
      <c r="L70" s="48"/>
      <c r="M70" s="2"/>
      <c r="N70" s="2"/>
      <c r="O70" s="2"/>
      <c r="P70" s="2"/>
      <c r="Q70" s="2"/>
      <c r="R70" s="2"/>
      <c r="S70" s="2"/>
      <c r="T70" s="2"/>
      <c r="U70" s="2"/>
    </row>
    <row r="71" spans="1:21" x14ac:dyDescent="0.3">
      <c r="A71" s="2"/>
      <c r="B71" s="2"/>
      <c r="C71" s="2"/>
      <c r="D71" s="2"/>
      <c r="E71" s="2"/>
      <c r="F71" s="2"/>
      <c r="G71" s="2"/>
      <c r="H71" s="48"/>
      <c r="I71" s="48"/>
      <c r="J71" s="48"/>
      <c r="K71" s="48"/>
      <c r="L71" s="48"/>
      <c r="M71" s="2"/>
      <c r="N71" s="2"/>
      <c r="O71" s="2"/>
      <c r="P71" s="2"/>
      <c r="Q71" s="2"/>
      <c r="R71" s="2"/>
      <c r="S71" s="2"/>
      <c r="T71" s="2"/>
      <c r="U71" s="2"/>
    </row>
    <row r="72" spans="1:21" x14ac:dyDescent="0.3">
      <c r="A72" s="2"/>
      <c r="B72" s="2"/>
      <c r="C72" s="2"/>
      <c r="D72" s="2"/>
      <c r="E72" s="2"/>
      <c r="F72" s="2"/>
      <c r="G72" s="2"/>
      <c r="H72" s="48"/>
      <c r="I72" s="48"/>
      <c r="J72" s="48"/>
      <c r="K72" s="48"/>
      <c r="L72" s="48"/>
      <c r="M72" s="2"/>
      <c r="N72" s="2"/>
      <c r="O72" s="2"/>
      <c r="P72" s="2"/>
      <c r="Q72" s="2"/>
      <c r="R72" s="2"/>
      <c r="S72" s="2"/>
      <c r="T72" s="2"/>
      <c r="U72" s="2"/>
    </row>
    <row r="73" spans="1:21" x14ac:dyDescent="0.3">
      <c r="A73" s="2"/>
      <c r="B73" s="2"/>
      <c r="C73" s="2"/>
      <c r="D73" s="2"/>
      <c r="E73" s="2"/>
      <c r="F73" s="2"/>
      <c r="G73" s="2"/>
      <c r="H73" s="48"/>
      <c r="I73" s="48"/>
      <c r="J73" s="48"/>
      <c r="K73" s="48"/>
      <c r="L73" s="48"/>
      <c r="M73" s="2"/>
      <c r="N73" s="2"/>
      <c r="O73" s="2"/>
      <c r="P73" s="2"/>
      <c r="Q73" s="2"/>
      <c r="R73" s="2"/>
      <c r="S73" s="2"/>
      <c r="T73" s="2"/>
      <c r="U73" s="2"/>
    </row>
    <row r="74" spans="1:21" x14ac:dyDescent="0.3">
      <c r="A74" s="2"/>
      <c r="B74" s="2"/>
      <c r="C74" s="2"/>
      <c r="D74" s="2"/>
      <c r="E74" s="2"/>
      <c r="F74" s="2"/>
      <c r="G74" s="2"/>
      <c r="H74" s="48"/>
      <c r="I74" s="48"/>
      <c r="J74" s="48"/>
      <c r="K74" s="48"/>
      <c r="L74" s="48"/>
      <c r="M74" s="2"/>
      <c r="N74" s="2"/>
      <c r="O74" s="2"/>
      <c r="P74" s="2"/>
      <c r="Q74" s="2"/>
      <c r="R74" s="2"/>
      <c r="S74" s="2"/>
      <c r="T74" s="2"/>
      <c r="U74" s="2"/>
    </row>
    <row r="75" spans="1:21" x14ac:dyDescent="0.3">
      <c r="A75" s="2"/>
      <c r="B75" s="2"/>
      <c r="C75" s="2"/>
      <c r="D75" s="2"/>
      <c r="E75" s="2"/>
      <c r="F75" s="2"/>
      <c r="G75" s="2"/>
      <c r="H75" s="48"/>
      <c r="I75" s="48"/>
      <c r="J75" s="48"/>
      <c r="K75" s="48"/>
      <c r="L75" s="48"/>
      <c r="M75" s="2"/>
      <c r="N75" s="2"/>
      <c r="O75" s="2"/>
      <c r="P75" s="2"/>
      <c r="Q75" s="2"/>
      <c r="R75" s="2"/>
      <c r="S75" s="2"/>
      <c r="T75" s="2"/>
      <c r="U75" s="2"/>
    </row>
    <row r="76" spans="1:21" x14ac:dyDescent="0.3">
      <c r="A76" s="2"/>
      <c r="B76" s="2"/>
      <c r="C76" s="2"/>
      <c r="D76" s="2"/>
      <c r="E76" s="2"/>
      <c r="F76" s="2"/>
      <c r="G76" s="2"/>
      <c r="H76" s="48"/>
      <c r="I76" s="48"/>
      <c r="J76" s="48"/>
      <c r="K76" s="48"/>
      <c r="L76" s="48"/>
      <c r="M76" s="2"/>
      <c r="N76" s="2"/>
      <c r="O76" s="2"/>
      <c r="P76" s="2"/>
      <c r="Q76" s="2"/>
      <c r="R76" s="2"/>
      <c r="S76" s="2"/>
      <c r="T76" s="2"/>
      <c r="U76" s="2"/>
    </row>
    <row r="77" spans="1:21" x14ac:dyDescent="0.3">
      <c r="A77" s="2"/>
      <c r="B77" s="2"/>
      <c r="C77" s="2"/>
      <c r="D77" s="2"/>
      <c r="E77" s="2"/>
      <c r="F77" s="2"/>
      <c r="G77" s="2"/>
      <c r="H77" s="48"/>
      <c r="I77" s="48"/>
      <c r="J77" s="48"/>
      <c r="K77" s="48"/>
      <c r="L77" s="48"/>
      <c r="M77" s="2"/>
      <c r="N77" s="2"/>
      <c r="O77" s="2"/>
      <c r="P77" s="2"/>
      <c r="Q77" s="2"/>
      <c r="R77" s="2"/>
      <c r="S77" s="2"/>
      <c r="T77" s="2"/>
      <c r="U77" s="2"/>
    </row>
    <row r="78" spans="1:21" x14ac:dyDescent="0.3">
      <c r="A78" s="2"/>
      <c r="B78" s="2"/>
      <c r="C78" s="2"/>
      <c r="D78" s="2"/>
      <c r="E78" s="2"/>
      <c r="F78" s="2"/>
      <c r="G78" s="2"/>
      <c r="H78" s="48"/>
      <c r="I78" s="48"/>
      <c r="J78" s="48"/>
      <c r="K78" s="48"/>
      <c r="L78" s="48"/>
      <c r="M78" s="2"/>
      <c r="N78" s="2"/>
      <c r="O78" s="2"/>
      <c r="P78" s="2"/>
      <c r="Q78" s="2"/>
      <c r="R78" s="2"/>
      <c r="S78" s="2"/>
      <c r="T78" s="2"/>
      <c r="U78" s="2"/>
    </row>
  </sheetData>
  <sheetProtection objects="1" scenarios="1" selectLockedCells="1" sheet="1"/>
  <mergeCells count="3">
    <mergeCell ref="J11:K11"/>
    <mergeCell ref="J29:K29"/>
    <mergeCell ref="J47:K47"/>
  </mergeCells>
  <dataValidations count="3">
    <dataValidation allowBlank="1" showErrorMessage="1" showInputMessage="1" sqref="E30" type="list" xr:uid="{00000000-0002-0000-0400-000000000000}">
      <formula1>$E$29:$E$30</formula1>
    </dataValidation>
    <dataValidation allowBlank="1" showErrorMessage="1" showInputMessage="1" sqref="J11 J29 J47" type="list" xr:uid="{00000000-0002-0000-0400-000001000000}">
      <formula1>Adquisicion</formula1>
    </dataValidation>
    <dataValidation allowBlank="1" error="Cambie la forma de adquisición a &quot;Alquiler, leasing...&quot;" showErrorMessage="1" showInputMessage="1" sqref="J13 J31 J49" type="custom" xr:uid="{00000000-0002-0000-0400-000002000000}">
      <formula1>J11="Alquiler, leasing…"</formula1>
    </dataValidation>
  </dataValidations>
  <pageMargins bottom="0.75" footer="0.3" header="0.3" left="0.7" right="0.7" top="0.75"/>
  <drawing r:id="rId1"/>
</worksheet>
</file>

<file path=xl/worksheets/sheet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Q55"/>
  <sheetViews>
    <sheetView topLeftCell="C1" workbookViewId="0">
      <selection activeCell="H11" sqref="H11"/>
    </sheetView>
  </sheetViews>
  <sheetFormatPr baseColWidth="10" defaultColWidth="11.44140625" defaultRowHeight="14.4" x14ac:dyDescent="0.3"/>
  <cols>
    <col min="1" max="2" customWidth="true" width="5.6640625" collapsed="true"/>
    <col min="3" max="3" customWidth="true" width="49.6640625" collapsed="true"/>
    <col min="7" max="7" customWidth="true" width="13.88671875" collapsed="true"/>
    <col min="8" max="8" customWidth="true" style="47" width="15.6640625" collapsed="true"/>
    <col min="9" max="9" customWidth="true" width="2.0" collapsed="true"/>
    <col min="10" max="10" customWidth="true" style="47" width="17.109375" collapsed="true"/>
    <col min="11" max="11" customWidth="true" width="10.33203125" collapsed="true"/>
    <col min="12" max="14" customWidth="true" width="5.6640625" collapsed="true"/>
  </cols>
  <sheetData>
    <row r="1" spans="1:17" x14ac:dyDescent="0.3">
      <c r="A1" s="2"/>
      <c r="B1" s="2"/>
      <c r="C1" s="2"/>
      <c r="D1" s="2"/>
      <c r="E1" s="2"/>
      <c r="F1" s="2"/>
      <c r="G1" s="2"/>
      <c r="H1" s="48"/>
      <c r="I1" s="2"/>
      <c r="J1" s="48"/>
      <c r="K1" s="2"/>
      <c r="L1" s="2"/>
      <c r="M1" s="2"/>
      <c r="N1" s="2"/>
      <c r="O1" s="2"/>
      <c r="P1" s="2"/>
      <c r="Q1" s="2"/>
    </row>
    <row r="2" spans="1:17" x14ac:dyDescent="0.3">
      <c r="A2" s="2"/>
      <c r="B2" s="2"/>
      <c r="C2" s="2"/>
      <c r="D2" s="2"/>
      <c r="E2" s="2"/>
      <c r="F2" s="2"/>
      <c r="G2" s="2"/>
      <c r="H2" s="48"/>
      <c r="I2" s="2"/>
      <c r="J2" s="48"/>
      <c r="K2" s="2"/>
      <c r="L2" s="2"/>
      <c r="M2" s="2"/>
      <c r="N2" s="2"/>
      <c r="O2" s="2"/>
      <c r="P2" s="2"/>
      <c r="Q2" s="2"/>
    </row>
    <row r="3" spans="1:17" x14ac:dyDescent="0.3">
      <c r="A3" s="2"/>
      <c r="B3" s="2"/>
      <c r="C3" s="2"/>
      <c r="D3" s="2"/>
      <c r="E3" s="2"/>
      <c r="F3" s="2"/>
      <c r="G3" s="2"/>
      <c r="H3" s="48"/>
      <c r="I3" s="2"/>
      <c r="J3" s="48"/>
      <c r="K3" s="2"/>
      <c r="L3" s="2"/>
      <c r="M3" s="2"/>
      <c r="N3" s="2"/>
      <c r="O3" s="2"/>
      <c r="P3" s="2"/>
      <c r="Q3" s="2"/>
    </row>
    <row r="4" spans="1:17" x14ac:dyDescent="0.3">
      <c r="A4" s="2"/>
      <c r="B4" s="2"/>
      <c r="C4" s="2"/>
      <c r="D4" s="2"/>
      <c r="E4" s="2"/>
      <c r="F4" s="2"/>
      <c r="G4" s="2"/>
      <c r="H4" s="48"/>
      <c r="I4" s="2"/>
      <c r="J4" s="48"/>
      <c r="K4" s="2"/>
      <c r="L4" s="2"/>
      <c r="M4" s="2"/>
      <c r="N4" s="2"/>
      <c r="O4" s="2"/>
      <c r="P4" s="2"/>
      <c r="Q4" s="2"/>
    </row>
    <row r="5" spans="1:17" x14ac:dyDescent="0.3">
      <c r="A5" s="2"/>
      <c r="B5" s="2"/>
      <c r="C5" s="2"/>
      <c r="D5" s="2"/>
      <c r="E5" s="2"/>
      <c r="F5" s="2"/>
      <c r="G5" s="2"/>
      <c r="H5" s="48"/>
      <c r="I5" s="2"/>
      <c r="J5" s="48"/>
      <c r="K5" s="2"/>
      <c r="L5" s="2"/>
      <c r="M5" s="2"/>
      <c r="N5" s="2"/>
      <c r="O5" s="2"/>
      <c r="P5" s="2"/>
      <c r="Q5" s="2"/>
    </row>
    <row ht="23.4" r="6" spans="1:17" x14ac:dyDescent="0.45">
      <c r="A6" s="2"/>
      <c r="B6" s="2"/>
      <c r="C6" s="3" t="s">
        <v>224</v>
      </c>
      <c r="D6" s="2"/>
      <c r="E6" s="2"/>
      <c r="F6" s="2"/>
      <c r="G6" s="2"/>
      <c r="H6" s="48"/>
      <c r="I6" s="2"/>
      <c r="J6" s="48"/>
      <c r="K6" s="2"/>
      <c r="L6" s="2"/>
      <c r="M6" s="2"/>
      <c r="N6" s="2"/>
      <c r="O6" s="2"/>
      <c r="P6" s="2"/>
      <c r="Q6" s="2"/>
    </row>
    <row customHeight="1" ht="9" r="7" spans="1:17" x14ac:dyDescent="0.3">
      <c r="A7" s="2"/>
      <c r="B7" s="2"/>
      <c r="C7" s="2"/>
      <c r="D7" s="2"/>
      <c r="E7" s="2"/>
      <c r="F7" s="2"/>
      <c r="G7" s="2"/>
      <c r="H7" s="48"/>
      <c r="I7" s="2"/>
      <c r="J7" s="48"/>
      <c r="K7" s="2"/>
      <c r="L7" s="2"/>
      <c r="M7" s="2"/>
      <c r="N7" s="2"/>
      <c r="O7" s="2"/>
      <c r="P7" s="2"/>
      <c r="Q7" s="2"/>
    </row>
    <row r="8" spans="1:17" x14ac:dyDescent="0.3">
      <c r="A8" s="2"/>
      <c r="B8" s="17"/>
      <c r="C8" s="5"/>
      <c r="D8" s="5"/>
      <c r="E8" s="5"/>
      <c r="F8" s="5"/>
      <c r="G8" s="5"/>
      <c r="H8" s="49"/>
      <c r="I8" s="5"/>
      <c r="J8" s="49"/>
      <c r="K8" s="5"/>
      <c r="L8" s="5"/>
      <c r="M8" s="18"/>
      <c r="N8" s="2"/>
      <c r="O8" s="2"/>
      <c r="P8" s="2"/>
      <c r="Q8" s="2"/>
    </row>
    <row customHeight="1" ht="21.75" r="9" spans="1:17" x14ac:dyDescent="0.3">
      <c r="A9" s="2"/>
      <c r="B9" s="19"/>
      <c r="C9" s="8" t="s">
        <v>209</v>
      </c>
      <c r="D9" s="9"/>
      <c r="E9" s="9"/>
      <c r="F9" s="9"/>
      <c r="G9" s="9"/>
      <c r="H9" s="51"/>
      <c r="I9" s="9"/>
      <c r="J9" s="80" t="s">
        <v>287</v>
      </c>
      <c r="K9" s="92" t="str">
        <f>DE!$AJ$2</f>
        <v>08/01/2024</v>
      </c>
      <c r="L9" s="9"/>
      <c r="M9" s="20"/>
      <c r="N9" s="2"/>
      <c r="O9" s="2"/>
      <c r="P9" s="2"/>
      <c r="Q9" s="2"/>
    </row>
    <row customHeight="1" ht="18" r="10" spans="1:17" x14ac:dyDescent="0.3">
      <c r="A10" s="2"/>
      <c r="B10" s="19"/>
      <c r="C10" s="2"/>
      <c r="D10" s="2"/>
      <c r="E10" s="2"/>
      <c r="F10" s="2"/>
      <c r="G10" s="2"/>
      <c r="H10" s="48"/>
      <c r="I10" s="2"/>
      <c r="J10" s="48"/>
      <c r="K10" s="2"/>
      <c r="L10" s="2"/>
      <c r="M10" s="20"/>
      <c r="N10" s="2"/>
      <c r="O10" s="2"/>
      <c r="P10" s="2"/>
      <c r="Q10" s="2"/>
    </row>
    <row r="11" spans="1:17" x14ac:dyDescent="0.3">
      <c r="A11" s="2"/>
      <c r="B11" s="19"/>
      <c r="C11" s="11" t="s">
        <v>210</v>
      </c>
      <c r="D11" s="2"/>
      <c r="E11" s="2"/>
      <c r="F11" s="2"/>
      <c r="G11" s="2"/>
      <c r="H11" s="53"/>
      <c r="I11" s="2"/>
      <c r="J11" s="54" t="str">
        <f>IF(HLOOKUP('Ibilgailu-mota'!$E$10,DE!$D$1:$AK$284,35,0)="","",HLOOKUP('Ibilgailu-mota'!$E$10,DE!$D$1:$AK$284,35,0))</f>
        <v/>
      </c>
      <c r="K11" s="2"/>
      <c r="L11" s="2"/>
      <c r="M11" s="20"/>
      <c r="N11" s="2"/>
      <c r="O11" s="2"/>
      <c r="P11" s="2"/>
      <c r="Q11" s="2"/>
    </row>
    <row customHeight="1" ht="3.75" r="12" spans="1:17" x14ac:dyDescent="0.3">
      <c r="A12" s="2"/>
      <c r="B12" s="19"/>
      <c r="C12" s="11"/>
      <c r="D12" s="2"/>
      <c r="E12" s="2"/>
      <c r="F12" s="2"/>
      <c r="G12" s="2"/>
      <c r="H12" s="48"/>
      <c r="I12" s="2"/>
      <c r="J12" s="48"/>
      <c r="K12" s="2"/>
      <c r="L12" s="2"/>
      <c r="M12" s="20"/>
      <c r="N12" s="2"/>
      <c r="O12" s="2"/>
      <c r="P12" s="2"/>
      <c r="Q12" s="2"/>
    </row>
    <row r="13" spans="1:17" x14ac:dyDescent="0.3">
      <c r="A13" s="2"/>
      <c r="B13" s="19"/>
      <c r="C13" s="11" t="s">
        <v>211</v>
      </c>
      <c r="D13" s="2"/>
      <c r="E13" s="2"/>
      <c r="F13" s="2"/>
      <c r="G13" s="2"/>
      <c r="H13" s="53"/>
      <c r="I13" s="2"/>
      <c r="J13" s="54" t="str">
        <f>IF(HLOOKUP('Ibilgailu-mota'!$E$10,DE!$D$1:$AK$284,36,0)="","",HLOOKUP('Ibilgailu-mota'!$E$10,DE!$D$1:$AK$284,36,0))</f>
        <v/>
      </c>
      <c r="K13" s="2"/>
      <c r="L13" s="2"/>
      <c r="M13" s="20"/>
      <c r="N13" s="2"/>
      <c r="O13" s="2"/>
      <c r="P13" s="2"/>
      <c r="Q13" s="2"/>
    </row>
    <row customHeight="1" ht="3.75" r="14" spans="1:17" x14ac:dyDescent="0.3">
      <c r="A14" s="2"/>
      <c r="B14" s="19"/>
      <c r="C14" s="11"/>
      <c r="D14" s="2"/>
      <c r="E14" s="2"/>
      <c r="F14" s="2"/>
      <c r="G14" s="2"/>
      <c r="H14" s="48"/>
      <c r="I14" s="2"/>
      <c r="J14" s="48"/>
      <c r="K14" s="2"/>
      <c r="L14" s="2"/>
      <c r="M14" s="20"/>
      <c r="N14" s="2"/>
      <c r="O14" s="2"/>
      <c r="P14" s="2"/>
      <c r="Q14" s="2"/>
    </row>
    <row r="15" spans="1:17" x14ac:dyDescent="0.3">
      <c r="A15" s="2"/>
      <c r="B15" s="19"/>
      <c r="C15" s="11" t="s">
        <v>212</v>
      </c>
      <c r="D15" s="2"/>
      <c r="E15" s="2"/>
      <c r="F15" s="2"/>
      <c r="G15" s="2"/>
      <c r="H15" s="48"/>
      <c r="I15" s="2"/>
      <c r="J15" s="48"/>
      <c r="K15" s="2"/>
      <c r="L15" s="2"/>
      <c r="M15" s="20"/>
      <c r="N15" s="2"/>
      <c r="O15" s="2"/>
      <c r="P15" s="2"/>
      <c r="Q15" s="2"/>
    </row>
    <row customHeight="1" ht="3.75" r="16" spans="1:17" x14ac:dyDescent="0.3">
      <c r="A16" s="2"/>
      <c r="B16" s="19"/>
      <c r="C16" s="11"/>
      <c r="D16" s="2"/>
      <c r="E16" s="2"/>
      <c r="F16" s="2"/>
      <c r="G16" s="2"/>
      <c r="H16" s="48"/>
      <c r="I16" s="2"/>
      <c r="J16" s="48"/>
      <c r="K16" s="2"/>
      <c r="L16" s="2"/>
      <c r="M16" s="20"/>
      <c r="N16" s="2"/>
      <c r="O16" s="2"/>
      <c r="P16" s="2"/>
      <c r="Q16" s="2"/>
    </row>
    <row r="17" spans="1:17" x14ac:dyDescent="0.3">
      <c r="A17" s="2"/>
      <c r="B17" s="19"/>
      <c r="C17" s="21" t="s">
        <v>213</v>
      </c>
      <c r="D17" s="2"/>
      <c r="E17" s="2"/>
      <c r="F17" s="2"/>
      <c r="G17" s="2"/>
      <c r="H17" s="53"/>
      <c r="I17" s="2"/>
      <c r="J17" s="54" t="str">
        <f>IF(HLOOKUP('Ibilgailu-mota'!$E$10,DE!$D$1:$AK$284,37,0)="","",HLOOKUP('Ibilgailu-mota'!$E$10,DE!$D$1:$AK$284,37,0))</f>
        <v/>
      </c>
      <c r="K17" s="2"/>
      <c r="L17" s="2"/>
      <c r="M17" s="20"/>
      <c r="N17" s="2"/>
      <c r="O17" s="2"/>
      <c r="P17" s="2"/>
      <c r="Q17" s="2"/>
    </row>
    <row customHeight="1" ht="3.75" r="18" spans="1:17" x14ac:dyDescent="0.3">
      <c r="A18" s="2"/>
      <c r="B18" s="19"/>
      <c r="C18" s="11"/>
      <c r="D18" s="2"/>
      <c r="E18" s="2"/>
      <c r="F18" s="2"/>
      <c r="G18" s="2"/>
      <c r="H18" s="48"/>
      <c r="I18" s="2"/>
      <c r="J18" s="48"/>
      <c r="K18" s="2"/>
      <c r="L18" s="2"/>
      <c r="M18" s="20"/>
      <c r="N18" s="2"/>
      <c r="O18" s="2"/>
      <c r="P18" s="2"/>
      <c r="Q18" s="2"/>
    </row>
    <row r="19" spans="1:17" x14ac:dyDescent="0.3">
      <c r="A19" s="2"/>
      <c r="B19" s="19"/>
      <c r="C19" s="21" t="s">
        <v>214</v>
      </c>
      <c r="D19" s="2"/>
      <c r="E19" s="2"/>
      <c r="F19" s="2"/>
      <c r="G19" s="2"/>
      <c r="H19" s="53"/>
      <c r="I19" s="2"/>
      <c r="J19" s="54" t="str">
        <f>IF(HLOOKUP('Ibilgailu-mota'!$E$10,DE!$D$1:$AK$284,38,0)="","",HLOOKUP('Ibilgailu-mota'!$E$10,DE!$D$1:$AK$284,38,0))</f>
        <v/>
      </c>
      <c r="K19" s="2"/>
      <c r="L19" s="2"/>
      <c r="M19" s="20"/>
      <c r="N19" s="2"/>
      <c r="O19" s="2"/>
      <c r="P19" s="2"/>
      <c r="Q19" s="2"/>
    </row>
    <row customHeight="1" ht="3.75" r="20" spans="1:17" x14ac:dyDescent="0.3">
      <c r="A20" s="2"/>
      <c r="B20" s="19"/>
      <c r="C20" s="11"/>
      <c r="D20" s="2"/>
      <c r="E20" s="2"/>
      <c r="F20" s="2"/>
      <c r="G20" s="2"/>
      <c r="H20" s="48"/>
      <c r="I20" s="2"/>
      <c r="J20" s="48"/>
      <c r="K20" s="2"/>
      <c r="L20" s="2"/>
      <c r="M20" s="20"/>
      <c r="N20" s="2"/>
      <c r="O20" s="2"/>
      <c r="P20" s="2"/>
      <c r="Q20" s="2"/>
    </row>
    <row r="21" spans="1:17" x14ac:dyDescent="0.3">
      <c r="A21" s="2"/>
      <c r="B21" s="19"/>
      <c r="C21" s="21" t="s">
        <v>215</v>
      </c>
      <c r="D21" s="2"/>
      <c r="E21" s="2"/>
      <c r="F21" s="2"/>
      <c r="G21" s="2"/>
      <c r="H21" s="53"/>
      <c r="I21" s="2"/>
      <c r="J21" s="54" t="str">
        <f>IF(HLOOKUP('Ibilgailu-mota'!$E$10,DE!$D$1:$AK$284,39,0)="","",HLOOKUP('Ibilgailu-mota'!$E$10,DE!$D$1:$AK$284,39,0))</f>
        <v/>
      </c>
      <c r="K21" s="2"/>
      <c r="L21" s="2"/>
      <c r="M21" s="20"/>
      <c r="N21" s="2"/>
      <c r="O21" s="2"/>
      <c r="P21" s="2"/>
      <c r="Q21" s="2"/>
    </row>
    <row customHeight="1" ht="3.75" r="22" spans="1:17" x14ac:dyDescent="0.3">
      <c r="A22" s="2"/>
      <c r="B22" s="19"/>
      <c r="C22" s="11"/>
      <c r="D22" s="2"/>
      <c r="E22" s="2"/>
      <c r="F22" s="2"/>
      <c r="G22" s="2"/>
      <c r="H22" s="48"/>
      <c r="I22" s="2"/>
      <c r="J22" s="48"/>
      <c r="K22" s="2"/>
      <c r="L22" s="2"/>
      <c r="M22" s="20"/>
      <c r="N22" s="2"/>
      <c r="O22" s="2"/>
      <c r="P22" s="2"/>
      <c r="Q22" s="2"/>
    </row>
    <row r="23" spans="1:17" x14ac:dyDescent="0.3">
      <c r="A23" s="2"/>
      <c r="B23" s="19"/>
      <c r="C23" s="21" t="s">
        <v>216</v>
      </c>
      <c r="D23" s="2"/>
      <c r="E23" s="2"/>
      <c r="F23" s="2"/>
      <c r="G23" s="2"/>
      <c r="H23" s="53"/>
      <c r="I23" s="2"/>
      <c r="J23" s="54" t="str">
        <f>IF(HLOOKUP('Ibilgailu-mota'!$E$10,DE!$D$1:$AK$284,40,0)="","",HLOOKUP('Ibilgailu-mota'!$E$10,DE!$D$1:$AK$284,40,0))</f>
        <v/>
      </c>
      <c r="K23" s="2"/>
      <c r="L23" s="2"/>
      <c r="M23" s="20"/>
      <c r="N23" s="2"/>
      <c r="O23" s="2"/>
      <c r="P23" s="2"/>
      <c r="Q23" s="2"/>
    </row>
    <row customHeight="1" ht="3.75" r="24" spans="1:17" x14ac:dyDescent="0.3">
      <c r="A24" s="2"/>
      <c r="B24" s="19"/>
      <c r="C24" s="11"/>
      <c r="D24" s="2"/>
      <c r="E24" s="2"/>
      <c r="F24" s="2"/>
      <c r="G24" s="2"/>
      <c r="H24" s="48"/>
      <c r="I24" s="2"/>
      <c r="J24" s="48"/>
      <c r="K24" s="2"/>
      <c r="L24" s="2"/>
      <c r="M24" s="20"/>
      <c r="N24" s="2"/>
      <c r="O24" s="2"/>
      <c r="P24" s="2"/>
      <c r="Q24" s="2"/>
    </row>
    <row r="25" spans="1:17" x14ac:dyDescent="0.3">
      <c r="A25" s="2"/>
      <c r="B25" s="19"/>
      <c r="C25" s="21" t="s">
        <v>217</v>
      </c>
      <c r="D25" s="2"/>
      <c r="E25" s="2"/>
      <c r="F25" s="2"/>
      <c r="G25" s="2"/>
      <c r="H25" s="60">
        <f>IFERROR((H17*H19)+(H21*H23),0)</f>
        <v>0</v>
      </c>
      <c r="I25" s="2"/>
      <c r="J25" s="54">
        <f>IF(HLOOKUP('Ibilgailu-mota'!$E$10,DE!$D$1:$AK$284,41,0)="","",HLOOKUP('Ibilgailu-mota'!$E$10,DE!$D$1:$AK$284,41,0))</f>
        <v>0</v>
      </c>
      <c r="K25" s="2"/>
      <c r="L25" s="2"/>
      <c r="M25" s="20"/>
      <c r="N25" s="2"/>
      <c r="O25" s="2"/>
      <c r="P25" s="2"/>
      <c r="Q25" s="2"/>
    </row>
    <row customHeight="1" ht="3.75" r="26" spans="1:17" x14ac:dyDescent="0.3">
      <c r="A26" s="2"/>
      <c r="B26" s="19"/>
      <c r="C26" s="11"/>
      <c r="D26" s="2"/>
      <c r="E26" s="2"/>
      <c r="F26" s="2"/>
      <c r="G26" s="2"/>
      <c r="H26" s="48"/>
      <c r="I26" s="2"/>
      <c r="J26" s="48"/>
      <c r="K26" s="2"/>
      <c r="L26" s="2"/>
      <c r="M26" s="20"/>
      <c r="N26" s="2"/>
      <c r="O26" s="2"/>
      <c r="P26" s="2"/>
      <c r="Q26" s="2"/>
    </row>
    <row r="27" spans="1:17" x14ac:dyDescent="0.3">
      <c r="A27" s="2"/>
      <c r="B27" s="19"/>
      <c r="C27" s="21" t="s">
        <v>218</v>
      </c>
      <c r="D27" s="2"/>
      <c r="E27" s="2"/>
      <c r="F27" s="2"/>
      <c r="G27" s="2"/>
      <c r="H27" s="48"/>
      <c r="I27" s="2"/>
      <c r="J27" s="48"/>
      <c r="K27" s="2"/>
      <c r="L27" s="2"/>
      <c r="M27" s="20"/>
      <c r="N27" s="2"/>
      <c r="O27" s="2"/>
      <c r="P27" s="2"/>
      <c r="Q27" s="2"/>
    </row>
    <row customHeight="1" ht="3.75" r="28" spans="1:17" x14ac:dyDescent="0.3">
      <c r="A28" s="2"/>
      <c r="B28" s="19"/>
      <c r="C28" s="11"/>
      <c r="D28" s="2"/>
      <c r="E28" s="2"/>
      <c r="F28" s="2"/>
      <c r="G28" s="2"/>
      <c r="H28" s="48"/>
      <c r="I28" s="2"/>
      <c r="J28" s="48"/>
      <c r="K28" s="2"/>
      <c r="L28" s="2"/>
      <c r="M28" s="20"/>
      <c r="N28" s="2"/>
      <c r="O28" s="2"/>
      <c r="P28" s="2"/>
      <c r="Q28" s="2"/>
    </row>
    <row r="29" spans="1:17" x14ac:dyDescent="0.3">
      <c r="A29" s="2"/>
      <c r="B29" s="19"/>
      <c r="C29" s="21" t="s">
        <v>219</v>
      </c>
      <c r="D29" s="2"/>
      <c r="E29" s="2"/>
      <c r="F29" s="2"/>
      <c r="G29" s="2"/>
      <c r="H29" s="53"/>
      <c r="I29" s="2"/>
      <c r="J29" s="54" t="str">
        <f>IF(HLOOKUP('Ibilgailu-mota'!$E$10,DE!$D$1:$AK$284,42,0)="","",HLOOKUP('Ibilgailu-mota'!$E$10,DE!$D$1:$AK$284,42,0))</f>
        <v/>
      </c>
      <c r="K29" s="2"/>
      <c r="L29" s="2"/>
      <c r="M29" s="20"/>
      <c r="N29" s="2"/>
      <c r="O29" s="2"/>
      <c r="P29" s="2"/>
      <c r="Q29" s="2"/>
    </row>
    <row customHeight="1" ht="3.75" r="30" spans="1:17" x14ac:dyDescent="0.3">
      <c r="A30" s="2"/>
      <c r="B30" s="19"/>
      <c r="C30" s="11"/>
      <c r="D30" s="2"/>
      <c r="E30" s="2"/>
      <c r="F30" s="2"/>
      <c r="G30" s="2"/>
      <c r="H30" s="48"/>
      <c r="I30" s="2"/>
      <c r="J30" s="48"/>
      <c r="K30" s="2"/>
      <c r="L30" s="2"/>
      <c r="M30" s="20"/>
      <c r="N30" s="2"/>
      <c r="O30" s="2"/>
      <c r="P30" s="2"/>
      <c r="Q30" s="2"/>
    </row>
    <row r="31" spans="1:17" x14ac:dyDescent="0.3">
      <c r="A31" s="2"/>
      <c r="B31" s="19"/>
      <c r="C31" s="21" t="s">
        <v>220</v>
      </c>
      <c r="D31" s="2"/>
      <c r="E31" s="2"/>
      <c r="F31" s="2"/>
      <c r="G31" s="2"/>
      <c r="H31" s="53"/>
      <c r="I31" s="2"/>
      <c r="J31" s="54" t="str">
        <f>IF(HLOOKUP('Ibilgailu-mota'!$E$10,DE!$D$1:$AK$284,43,0)="","",HLOOKUP('Ibilgailu-mota'!$E$10,DE!$D$1:$AK$284,43,0))</f>
        <v/>
      </c>
      <c r="K31" s="2"/>
      <c r="L31" s="2"/>
      <c r="M31" s="20"/>
      <c r="N31" s="2"/>
      <c r="O31" s="2"/>
      <c r="P31" s="2"/>
      <c r="Q31" s="2"/>
    </row>
    <row customHeight="1" ht="3.75" r="32" spans="1:17" x14ac:dyDescent="0.3">
      <c r="A32" s="2"/>
      <c r="B32" s="19"/>
      <c r="C32" s="11"/>
      <c r="D32" s="2"/>
      <c r="E32" s="2"/>
      <c r="F32" s="2"/>
      <c r="G32" s="2"/>
      <c r="H32" s="48"/>
      <c r="I32" s="2"/>
      <c r="J32" s="48"/>
      <c r="K32" s="2"/>
      <c r="L32" s="2"/>
      <c r="M32" s="20"/>
      <c r="N32" s="2"/>
      <c r="O32" s="2"/>
      <c r="P32" s="2"/>
      <c r="Q32" s="2"/>
    </row>
    <row r="33" spans="1:17" x14ac:dyDescent="0.3">
      <c r="A33" s="2"/>
      <c r="B33" s="19"/>
      <c r="C33" s="21" t="s">
        <v>221</v>
      </c>
      <c r="D33" s="2"/>
      <c r="E33" s="2"/>
      <c r="F33" s="2"/>
      <c r="G33" s="2"/>
      <c r="H33" s="53"/>
      <c r="I33" s="2"/>
      <c r="J33" s="54" t="str">
        <f>IF(HLOOKUP('Ibilgailu-mota'!$E$10,DE!$D$1:$AK$284,44,0)="","",HLOOKUP('Ibilgailu-mota'!$E$10,DE!$D$1:$AK$284,44,0))</f>
        <v/>
      </c>
      <c r="K33" s="2"/>
      <c r="L33" s="2"/>
      <c r="M33" s="20"/>
      <c r="N33" s="2"/>
      <c r="O33" s="2"/>
      <c r="P33" s="2"/>
      <c r="Q33" s="2"/>
    </row>
    <row customHeight="1" ht="3.75" r="34" spans="1:17" x14ac:dyDescent="0.3">
      <c r="A34" s="2"/>
      <c r="B34" s="19"/>
      <c r="C34" s="11"/>
      <c r="D34" s="2"/>
      <c r="E34" s="2"/>
      <c r="F34" s="2"/>
      <c r="G34" s="2"/>
      <c r="H34" s="48"/>
      <c r="I34" s="2"/>
      <c r="J34" s="48"/>
      <c r="K34" s="2"/>
      <c r="L34" s="2"/>
      <c r="M34" s="20"/>
      <c r="N34" s="2"/>
      <c r="O34" s="2"/>
      <c r="P34" s="2"/>
      <c r="Q34" s="2"/>
    </row>
    <row r="35" spans="1:17" x14ac:dyDescent="0.3">
      <c r="A35" s="2"/>
      <c r="B35" s="19"/>
      <c r="C35" s="21" t="s">
        <v>222</v>
      </c>
      <c r="D35" s="2"/>
      <c r="E35" s="2"/>
      <c r="F35" s="2"/>
      <c r="G35" s="2"/>
      <c r="H35" s="53"/>
      <c r="I35" s="2"/>
      <c r="J35" s="54" t="str">
        <f>IF(HLOOKUP('Ibilgailu-mota'!$E$10,DE!$D$1:$AK$284,45,0)="","",HLOOKUP('Ibilgailu-mota'!$E$10,DE!$D$1:$AK$284,45,0))</f>
        <v/>
      </c>
      <c r="K35" s="2"/>
      <c r="L35" s="2"/>
      <c r="M35" s="20"/>
      <c r="N35" s="2"/>
      <c r="O35" s="2"/>
      <c r="P35" s="2"/>
      <c r="Q35" s="2"/>
    </row>
    <row customHeight="1" ht="3.75" r="36" spans="1:17" x14ac:dyDescent="0.3">
      <c r="A36" s="2"/>
      <c r="B36" s="19"/>
      <c r="C36" s="11"/>
      <c r="D36" s="2"/>
      <c r="E36" s="2"/>
      <c r="F36" s="2"/>
      <c r="G36" s="2"/>
      <c r="H36" s="48"/>
      <c r="I36" s="2"/>
      <c r="J36" s="48"/>
      <c r="K36" s="2"/>
      <c r="L36" s="2"/>
      <c r="M36" s="20"/>
      <c r="N36" s="2"/>
      <c r="O36" s="2"/>
      <c r="P36" s="2"/>
      <c r="Q36" s="2"/>
    </row>
    <row r="37" spans="1:17" x14ac:dyDescent="0.3">
      <c r="A37" s="2"/>
      <c r="B37" s="19"/>
      <c r="C37" s="21" t="s">
        <v>217</v>
      </c>
      <c r="D37" s="2"/>
      <c r="E37" s="2"/>
      <c r="F37" s="2"/>
      <c r="G37" s="2"/>
      <c r="H37" s="60">
        <f>IFERROR((H29*H31)+(H33*H35),0)</f>
        <v>0</v>
      </c>
      <c r="I37" s="2"/>
      <c r="J37" s="54">
        <f>IF(HLOOKUP('Ibilgailu-mota'!$E$10,DE!$D$1:$AK$284,46,0)="","",HLOOKUP('Ibilgailu-mota'!$E$10,DE!$D$1:$AK$284,46,0))</f>
        <v>0</v>
      </c>
      <c r="K37" s="2"/>
      <c r="L37" s="2"/>
      <c r="M37" s="20"/>
      <c r="N37" s="2"/>
      <c r="O37" s="2"/>
      <c r="P37" s="2"/>
      <c r="Q37" s="2"/>
    </row>
    <row r="38" spans="1:17" x14ac:dyDescent="0.3">
      <c r="A38" s="2"/>
      <c r="B38" s="19"/>
      <c r="C38" s="2"/>
      <c r="D38" s="2"/>
      <c r="E38" s="2"/>
      <c r="F38" s="2"/>
      <c r="G38" s="2"/>
      <c r="H38" s="48"/>
      <c r="I38" s="2"/>
      <c r="J38" s="48"/>
      <c r="K38" s="2"/>
      <c r="L38" s="2"/>
      <c r="M38" s="20"/>
      <c r="N38" s="2"/>
      <c r="O38" s="2"/>
      <c r="P38" s="2"/>
      <c r="Q38" s="2"/>
    </row>
    <row r="39" spans="1:17" x14ac:dyDescent="0.3">
      <c r="A39" s="2"/>
      <c r="B39" s="19"/>
      <c r="C39" s="21" t="s">
        <v>223</v>
      </c>
      <c r="D39" s="2"/>
      <c r="E39" s="2"/>
      <c r="F39" s="2"/>
      <c r="G39" s="2"/>
      <c r="H39" s="60">
        <f>IFERROR(H11+H13+H25+H37,0)</f>
        <v>0</v>
      </c>
      <c r="I39" s="2"/>
      <c r="J39" s="54">
        <f>IF(HLOOKUP('Ibilgailu-mota'!$E$10,DE!$D$1:$AK$284,47,0)="","",HLOOKUP('Ibilgailu-mota'!$E$10,DE!$D$1:$AK$284,47,0))</f>
        <v>0</v>
      </c>
      <c r="K39" s="2"/>
      <c r="L39" s="2"/>
      <c r="M39" s="20"/>
      <c r="N39" s="2"/>
      <c r="O39" s="2"/>
      <c r="P39" s="2"/>
      <c r="Q39" s="2"/>
    </row>
    <row r="40" spans="1:17" x14ac:dyDescent="0.3">
      <c r="A40" s="2"/>
      <c r="B40" s="23"/>
      <c r="C40" s="24"/>
      <c r="D40" s="24"/>
      <c r="E40" s="24"/>
      <c r="F40" s="24"/>
      <c r="G40" s="24"/>
      <c r="H40" s="65"/>
      <c r="I40" s="24"/>
      <c r="J40" s="65"/>
      <c r="K40" s="24"/>
      <c r="L40" s="24"/>
      <c r="M40" s="25"/>
      <c r="N40" s="2"/>
      <c r="O40" s="2"/>
      <c r="P40" s="2"/>
      <c r="Q40" s="2"/>
    </row>
    <row r="41" spans="1:17" x14ac:dyDescent="0.3">
      <c r="A41" s="2"/>
      <c r="B41" s="2"/>
      <c r="C41" s="2"/>
      <c r="D41" s="2"/>
      <c r="E41" s="2"/>
      <c r="F41" s="2"/>
      <c r="G41" s="2"/>
      <c r="H41" s="48"/>
      <c r="I41" s="2"/>
      <c r="J41" s="48"/>
      <c r="K41" s="2"/>
      <c r="L41" s="2"/>
      <c r="M41" s="2"/>
      <c r="N41" s="2"/>
      <c r="O41" s="2"/>
      <c r="P41" s="2"/>
      <c r="Q41" s="2"/>
    </row>
    <row r="42" spans="1:17" x14ac:dyDescent="0.3">
      <c r="A42" s="2"/>
      <c r="B42" s="2"/>
      <c r="C42" s="2"/>
      <c r="D42" s="2"/>
      <c r="E42" s="2"/>
      <c r="F42" s="2"/>
      <c r="G42" s="2"/>
      <c r="H42" s="48"/>
      <c r="I42" s="2"/>
      <c r="J42" s="48"/>
      <c r="K42" s="2"/>
      <c r="L42" s="2"/>
      <c r="M42" s="2"/>
      <c r="N42" s="2"/>
      <c r="O42" s="2"/>
      <c r="P42" s="2"/>
      <c r="Q42" s="2"/>
    </row>
    <row r="43" spans="1:17" x14ac:dyDescent="0.3">
      <c r="A43" s="2"/>
      <c r="B43" s="2"/>
      <c r="C43" s="2"/>
      <c r="D43" s="2"/>
      <c r="E43" s="2"/>
      <c r="F43" s="2"/>
      <c r="G43" s="2"/>
      <c r="H43" s="48"/>
      <c r="I43" s="2"/>
      <c r="J43" s="48"/>
      <c r="K43" s="2"/>
      <c r="L43" s="2"/>
      <c r="M43" s="2"/>
      <c r="N43" s="2"/>
      <c r="O43" s="2"/>
      <c r="P43" s="2"/>
      <c r="Q43" s="2"/>
    </row>
    <row r="44" spans="1:17" x14ac:dyDescent="0.3">
      <c r="A44" s="2"/>
      <c r="B44" s="2"/>
      <c r="C44" s="2"/>
      <c r="D44" s="2"/>
      <c r="E44" s="2"/>
      <c r="F44" s="2"/>
      <c r="G44" s="2"/>
      <c r="H44" s="48"/>
      <c r="I44" s="2"/>
      <c r="J44" s="48"/>
      <c r="K44" s="2"/>
      <c r="L44" s="2"/>
      <c r="M44" s="2"/>
      <c r="N44" s="2"/>
      <c r="O44" s="2"/>
      <c r="P44" s="2"/>
      <c r="Q44" s="2"/>
    </row>
    <row r="45" spans="1:17" x14ac:dyDescent="0.3">
      <c r="A45" s="2"/>
      <c r="B45" s="2"/>
      <c r="C45" s="2"/>
      <c r="D45" s="2"/>
      <c r="E45" s="2"/>
      <c r="F45" s="2"/>
      <c r="G45" s="2"/>
      <c r="H45" s="48"/>
      <c r="I45" s="2"/>
      <c r="J45" s="48"/>
      <c r="K45" s="2"/>
      <c r="L45" s="2"/>
      <c r="M45" s="2"/>
      <c r="N45" s="2"/>
      <c r="O45" s="2"/>
      <c r="P45" s="2"/>
      <c r="Q45" s="2"/>
    </row>
    <row r="46" spans="1:17" x14ac:dyDescent="0.3">
      <c r="A46" s="2"/>
      <c r="B46" s="2"/>
      <c r="C46" s="2"/>
      <c r="D46" s="2"/>
      <c r="E46" s="2"/>
      <c r="F46" s="2"/>
      <c r="G46" s="2"/>
      <c r="H46" s="48"/>
      <c r="I46" s="2"/>
      <c r="J46" s="48"/>
      <c r="K46" s="2"/>
      <c r="L46" s="2"/>
      <c r="M46" s="2"/>
      <c r="N46" s="2"/>
      <c r="O46" s="2"/>
      <c r="P46" s="2"/>
      <c r="Q46" s="2"/>
    </row>
    <row r="47" spans="1:17" x14ac:dyDescent="0.3">
      <c r="A47" s="2"/>
      <c r="B47" s="2"/>
      <c r="C47" s="2"/>
      <c r="D47" s="2"/>
      <c r="E47" s="2"/>
      <c r="F47" s="2"/>
      <c r="G47" s="2"/>
      <c r="H47" s="48"/>
      <c r="I47" s="2"/>
      <c r="J47" s="48"/>
      <c r="K47" s="2"/>
      <c r="L47" s="2"/>
      <c r="M47" s="2"/>
      <c r="N47" s="2"/>
      <c r="O47" s="2"/>
      <c r="P47" s="2"/>
      <c r="Q47" s="2"/>
    </row>
    <row r="48" spans="1:17" x14ac:dyDescent="0.3">
      <c r="A48" s="2"/>
      <c r="B48" s="2"/>
      <c r="C48" s="2"/>
      <c r="D48" s="2"/>
      <c r="E48" s="2"/>
      <c r="F48" s="2"/>
      <c r="G48" s="2"/>
      <c r="H48" s="48"/>
      <c r="I48" s="2"/>
      <c r="J48" s="48"/>
      <c r="K48" s="2"/>
      <c r="L48" s="2"/>
      <c r="M48" s="2"/>
      <c r="N48" s="2"/>
      <c r="O48" s="2"/>
      <c r="P48" s="2"/>
      <c r="Q48" s="2"/>
    </row>
    <row r="49" spans="1:17" x14ac:dyDescent="0.3">
      <c r="A49" s="2"/>
      <c r="B49" s="2"/>
      <c r="C49" s="2"/>
      <c r="D49" s="2"/>
      <c r="E49" s="2"/>
      <c r="F49" s="2"/>
      <c r="G49" s="2"/>
      <c r="H49" s="48"/>
      <c r="I49" s="2"/>
      <c r="J49" s="48"/>
      <c r="K49" s="2"/>
      <c r="L49" s="2"/>
      <c r="M49" s="2"/>
      <c r="N49" s="2"/>
      <c r="O49" s="2"/>
      <c r="P49" s="2"/>
      <c r="Q49" s="2"/>
    </row>
    <row r="50" spans="1:17" x14ac:dyDescent="0.3">
      <c r="A50" s="2"/>
      <c r="B50" s="2"/>
      <c r="C50" s="2"/>
      <c r="D50" s="2"/>
      <c r="E50" s="2"/>
      <c r="F50" s="2"/>
      <c r="G50" s="2"/>
      <c r="H50" s="48"/>
      <c r="I50" s="2"/>
      <c r="J50" s="48"/>
      <c r="K50" s="2"/>
      <c r="L50" s="2"/>
      <c r="M50" s="2"/>
      <c r="N50" s="2"/>
      <c r="O50" s="2"/>
      <c r="P50" s="2"/>
      <c r="Q50" s="2"/>
    </row>
    <row r="51" spans="1:17" x14ac:dyDescent="0.3">
      <c r="A51" s="2"/>
      <c r="B51" s="2"/>
      <c r="C51" s="2"/>
      <c r="D51" s="2"/>
      <c r="E51" s="2"/>
      <c r="F51" s="2"/>
      <c r="G51" s="2"/>
      <c r="H51" s="48"/>
      <c r="I51" s="2"/>
      <c r="J51" s="48"/>
      <c r="K51" s="2"/>
      <c r="L51" s="2"/>
      <c r="M51" s="2"/>
      <c r="N51" s="2"/>
      <c r="O51" s="2"/>
      <c r="P51" s="2"/>
      <c r="Q51" s="2"/>
    </row>
    <row r="52" spans="1:17" x14ac:dyDescent="0.3">
      <c r="A52" s="2"/>
      <c r="B52" s="2"/>
      <c r="C52" s="2"/>
      <c r="D52" s="2"/>
      <c r="E52" s="2"/>
      <c r="F52" s="2"/>
      <c r="G52" s="2"/>
      <c r="H52" s="48"/>
      <c r="I52" s="2"/>
      <c r="J52" s="48"/>
      <c r="K52" s="2"/>
      <c r="L52" s="2"/>
      <c r="M52" s="2"/>
      <c r="N52" s="2"/>
      <c r="O52" s="2"/>
      <c r="P52" s="2"/>
      <c r="Q52" s="2"/>
    </row>
    <row r="53" spans="1:17" x14ac:dyDescent="0.3">
      <c r="A53" s="2"/>
      <c r="B53" s="2"/>
      <c r="C53" s="2"/>
      <c r="D53" s="2"/>
      <c r="E53" s="2"/>
      <c r="F53" s="2"/>
      <c r="G53" s="2"/>
      <c r="H53" s="48"/>
      <c r="I53" s="2"/>
      <c r="J53" s="48"/>
      <c r="K53" s="2"/>
      <c r="L53" s="2"/>
      <c r="M53" s="2"/>
      <c r="N53" s="2"/>
      <c r="O53" s="2"/>
      <c r="P53" s="2"/>
      <c r="Q53" s="2"/>
    </row>
    <row r="54" spans="1:17" x14ac:dyDescent="0.3">
      <c r="A54" s="2"/>
      <c r="B54" s="2"/>
      <c r="C54" s="2"/>
      <c r="D54" s="2"/>
      <c r="E54" s="2"/>
      <c r="F54" s="2"/>
      <c r="G54" s="2"/>
      <c r="H54" s="48"/>
      <c r="I54" s="2"/>
      <c r="J54" s="48"/>
      <c r="K54" s="2"/>
      <c r="L54" s="2"/>
      <c r="M54" s="2"/>
      <c r="N54" s="2"/>
      <c r="O54" s="2"/>
      <c r="P54" s="2"/>
      <c r="Q54" s="2"/>
    </row>
    <row r="55" spans="1:17" x14ac:dyDescent="0.3">
      <c r="A55" s="2"/>
      <c r="B55" s="2"/>
      <c r="C55" s="2"/>
      <c r="D55" s="2"/>
      <c r="E55" s="2"/>
      <c r="F55" s="2"/>
      <c r="G55" s="2"/>
      <c r="H55" s="48"/>
      <c r="I55" s="2"/>
      <c r="J55" s="48"/>
      <c r="K55" s="2"/>
      <c r="L55" s="2"/>
      <c r="M55" s="2"/>
      <c r="N55" s="2"/>
      <c r="O55" s="2"/>
      <c r="P55" s="2"/>
      <c r="Q55" s="2"/>
    </row>
  </sheetData>
  <sheetProtection objects="1" scenarios="1" selectLockedCells="1" sheet="1"/>
  <dataValidations count="1">
    <dataValidation allowBlank="1" showErrorMessage="1" showInputMessage="1" sqref="E30" type="list" xr:uid="{00000000-0002-0000-0500-000000000000}">
      <formula1>$E$29:$E$30</formula1>
    </dataValidation>
  </dataValidations>
  <pageMargins bottom="0.75" footer="0.3" header="0.3" left="0.7" right="0.7" top="0.75"/>
  <drawing r:id="rId1"/>
</worksheet>
</file>

<file path=xl/worksheets/sheet7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S59"/>
  <sheetViews>
    <sheetView topLeftCell="A4" workbookViewId="0">
      <selection activeCell="H11" sqref="H11"/>
    </sheetView>
  </sheetViews>
  <sheetFormatPr baseColWidth="10" defaultColWidth="11.44140625" defaultRowHeight="14.4" x14ac:dyDescent="0.3"/>
  <cols>
    <col min="1" max="2" customWidth="true" width="5.6640625" collapsed="true"/>
    <col min="7" max="7" customWidth="true" width="27.44140625" collapsed="true"/>
    <col min="8" max="8" customWidth="true" style="47" width="15.6640625" collapsed="true"/>
    <col min="9" max="9" customWidth="true" width="2.5546875" collapsed="true"/>
    <col min="10" max="10" customWidth="true" style="47" width="17.21875" collapsed="true"/>
    <col min="11" max="11" customWidth="true" width="10.5546875" collapsed="true"/>
    <col min="13" max="14" customWidth="true" width="5.6640625" collapsed="true"/>
  </cols>
  <sheetData>
    <row r="1" spans="1:19" x14ac:dyDescent="0.3">
      <c r="A1" s="2"/>
      <c r="B1" s="2"/>
      <c r="C1" s="2"/>
      <c r="D1" s="2"/>
      <c r="E1" s="2"/>
      <c r="F1" s="2"/>
      <c r="G1" s="2"/>
      <c r="H1" s="48"/>
      <c r="I1" s="2"/>
      <c r="J1" s="48"/>
      <c r="K1" s="2"/>
      <c r="L1" s="2"/>
      <c r="M1" s="2"/>
      <c r="N1" s="2"/>
      <c r="O1" s="2"/>
      <c r="P1" s="2"/>
      <c r="Q1" s="2"/>
      <c r="R1" s="2"/>
      <c r="S1" s="2"/>
    </row>
    <row r="2" spans="1:19" x14ac:dyDescent="0.3">
      <c r="A2" s="2"/>
      <c r="B2" s="2"/>
      <c r="C2" s="2"/>
      <c r="D2" s="2"/>
      <c r="E2" s="2"/>
      <c r="F2" s="2"/>
      <c r="G2" s="2"/>
      <c r="H2" s="48"/>
      <c r="I2" s="2"/>
      <c r="J2" s="48"/>
      <c r="K2" s="2"/>
      <c r="L2" s="2"/>
      <c r="M2" s="2"/>
      <c r="N2" s="2"/>
      <c r="O2" s="2"/>
      <c r="P2" s="2"/>
      <c r="Q2" s="2"/>
      <c r="R2" s="2"/>
      <c r="S2" s="2"/>
    </row>
    <row r="3" spans="1:19" x14ac:dyDescent="0.3">
      <c r="A3" s="2"/>
      <c r="B3" s="2"/>
      <c r="C3" s="2"/>
      <c r="D3" s="2"/>
      <c r="E3" s="2"/>
      <c r="F3" s="2"/>
      <c r="G3" s="2"/>
      <c r="H3" s="48"/>
      <c r="I3" s="2"/>
      <c r="J3" s="48"/>
      <c r="K3" s="2"/>
      <c r="L3" s="2"/>
      <c r="M3" s="2"/>
      <c r="N3" s="2"/>
      <c r="O3" s="2"/>
      <c r="P3" s="2"/>
      <c r="Q3" s="2"/>
      <c r="R3" s="2"/>
      <c r="S3" s="2"/>
    </row>
    <row r="4" spans="1:19" x14ac:dyDescent="0.3">
      <c r="A4" s="2"/>
      <c r="B4" s="2"/>
      <c r="C4" s="2"/>
      <c r="D4" s="2"/>
      <c r="E4" s="2"/>
      <c r="F4" s="2"/>
      <c r="G4" s="2"/>
      <c r="H4" s="48"/>
      <c r="I4" s="2"/>
      <c r="J4" s="48"/>
      <c r="K4" s="2"/>
      <c r="L4" s="2"/>
      <c r="M4" s="2"/>
      <c r="N4" s="2"/>
      <c r="O4" s="2"/>
      <c r="P4" s="2"/>
      <c r="Q4" s="2"/>
      <c r="R4" s="2"/>
      <c r="S4" s="2"/>
    </row>
    <row r="5" spans="1:19" x14ac:dyDescent="0.3">
      <c r="A5" s="2"/>
      <c r="B5" s="2"/>
      <c r="C5" s="2"/>
      <c r="D5" s="2"/>
      <c r="E5" s="2"/>
      <c r="F5" s="2"/>
      <c r="G5" s="2"/>
      <c r="H5" s="48"/>
      <c r="I5" s="2"/>
      <c r="J5" s="48"/>
      <c r="K5" s="2"/>
      <c r="L5" s="2"/>
      <c r="M5" s="2"/>
      <c r="N5" s="2"/>
      <c r="O5" s="2"/>
      <c r="P5" s="2"/>
      <c r="Q5" s="2"/>
      <c r="R5" s="2"/>
      <c r="S5" s="2"/>
    </row>
    <row ht="23.4" r="6" spans="1:19" x14ac:dyDescent="0.45">
      <c r="A6" s="2"/>
      <c r="B6" s="2"/>
      <c r="C6" s="3" t="s">
        <v>225</v>
      </c>
      <c r="D6" s="2"/>
      <c r="E6" s="2"/>
      <c r="F6" s="2"/>
      <c r="G6" s="2"/>
      <c r="H6" s="48"/>
      <c r="I6" s="2"/>
      <c r="J6" s="48"/>
      <c r="K6" s="2"/>
      <c r="L6" s="2"/>
      <c r="M6" s="2"/>
      <c r="N6" s="2"/>
      <c r="O6" s="2"/>
      <c r="P6" s="2"/>
      <c r="Q6" s="2"/>
      <c r="R6" s="2"/>
      <c r="S6" s="2"/>
    </row>
    <row customHeight="1" ht="9" r="7" spans="1:19" x14ac:dyDescent="0.3">
      <c r="A7" s="2"/>
      <c r="B7" s="2"/>
      <c r="C7" s="2"/>
      <c r="D7" s="2"/>
      <c r="E7" s="2"/>
      <c r="F7" s="2"/>
      <c r="G7" s="2"/>
      <c r="H7" s="48"/>
      <c r="I7" s="2"/>
      <c r="J7" s="48"/>
      <c r="K7" s="2"/>
      <c r="L7" s="2"/>
      <c r="M7" s="2"/>
      <c r="N7" s="2"/>
      <c r="O7" s="2"/>
      <c r="P7" s="2"/>
      <c r="Q7" s="2"/>
      <c r="R7" s="2"/>
      <c r="S7" s="2"/>
    </row>
    <row r="8" spans="1:19" x14ac:dyDescent="0.3">
      <c r="A8" s="2"/>
      <c r="B8" s="17"/>
      <c r="C8" s="5"/>
      <c r="D8" s="5"/>
      <c r="E8" s="5"/>
      <c r="F8" s="5"/>
      <c r="G8" s="5"/>
      <c r="H8" s="49"/>
      <c r="I8" s="5"/>
      <c r="J8" s="49"/>
      <c r="K8" s="5"/>
      <c r="L8" s="5"/>
      <c r="M8" s="18"/>
      <c r="N8" s="2"/>
      <c r="O8" s="2"/>
      <c r="P8" s="2"/>
      <c r="Q8" s="2"/>
      <c r="R8" s="2"/>
      <c r="S8" s="2"/>
    </row>
    <row customHeight="1" ht="21.75" r="9" spans="1:19" x14ac:dyDescent="0.3">
      <c r="A9" s="2"/>
      <c r="B9" s="19"/>
      <c r="C9" s="8" t="s">
        <v>142</v>
      </c>
      <c r="D9" s="9"/>
      <c r="E9" s="9"/>
      <c r="F9" s="9"/>
      <c r="G9" s="9"/>
      <c r="H9" s="51"/>
      <c r="I9" s="9"/>
      <c r="J9" s="80" t="s">
        <v>287</v>
      </c>
      <c r="K9" s="92" t="str">
        <f>DE!$AJ$2</f>
        <v>08/01/2024</v>
      </c>
      <c r="L9" s="9"/>
      <c r="M9" s="20"/>
      <c r="N9" s="2"/>
      <c r="O9" s="2"/>
      <c r="P9" s="2"/>
      <c r="Q9" s="2"/>
      <c r="R9" s="2"/>
      <c r="S9" s="2"/>
    </row>
    <row customHeight="1" ht="18" r="10" spans="1:19" x14ac:dyDescent="0.3">
      <c r="A10" s="2"/>
      <c r="B10" s="19"/>
      <c r="C10" s="2"/>
      <c r="D10" s="2"/>
      <c r="E10" s="2"/>
      <c r="F10" s="2"/>
      <c r="G10" s="2"/>
      <c r="H10" s="48"/>
      <c r="I10" s="2"/>
      <c r="J10" s="48"/>
      <c r="K10" s="2"/>
      <c r="L10" s="2"/>
      <c r="M10" s="20"/>
      <c r="N10" s="2"/>
      <c r="O10" s="2"/>
      <c r="P10" s="2"/>
      <c r="Q10" s="2"/>
      <c r="R10" s="2"/>
      <c r="S10" s="2"/>
    </row>
    <row r="11" spans="1:19" x14ac:dyDescent="0.3">
      <c r="A11" s="2"/>
      <c r="B11" s="19"/>
      <c r="C11" s="21" t="s">
        <v>226</v>
      </c>
      <c r="D11" s="2"/>
      <c r="E11" s="2"/>
      <c r="F11" s="2"/>
      <c r="G11" s="2"/>
      <c r="H11" s="53"/>
      <c r="I11" s="2"/>
      <c r="J11" s="54" t="str">
        <f>IF(HLOOKUP('Ibilgailu-mota'!$E$10,DE!$D$1:$AK$284,48,0)="","",HLOOKUP('Ibilgailu-mota'!$E$10,DE!$D$1:$AK$284,48,0))</f>
        <v/>
      </c>
      <c r="K11" s="2"/>
      <c r="L11" s="2"/>
      <c r="M11" s="20"/>
      <c r="N11" s="2"/>
      <c r="O11" s="2"/>
      <c r="P11" s="2"/>
      <c r="Q11" s="2"/>
      <c r="R11" s="2"/>
      <c r="S11" s="2"/>
    </row>
    <row customHeight="1" ht="3.75" r="12" spans="1:19" x14ac:dyDescent="0.3">
      <c r="A12" s="2"/>
      <c r="B12" s="19"/>
      <c r="C12" s="11"/>
      <c r="D12" s="2"/>
      <c r="E12" s="2"/>
      <c r="F12" s="2"/>
      <c r="G12" s="2"/>
      <c r="H12" s="48"/>
      <c r="I12" s="2"/>
      <c r="J12" s="48"/>
      <c r="K12" s="2"/>
      <c r="L12" s="2"/>
      <c r="M12" s="20"/>
      <c r="N12" s="2"/>
      <c r="O12" s="2"/>
      <c r="P12" s="2"/>
      <c r="Q12" s="2"/>
      <c r="R12" s="2"/>
      <c r="S12" s="2"/>
    </row>
    <row r="13" spans="1:19" x14ac:dyDescent="0.3">
      <c r="A13" s="2"/>
      <c r="B13" s="19"/>
      <c r="C13" s="11" t="s">
        <v>227</v>
      </c>
      <c r="D13" s="2"/>
      <c r="E13" s="2"/>
      <c r="F13" s="2"/>
      <c r="G13" s="2"/>
      <c r="H13" s="53"/>
      <c r="I13" s="2"/>
      <c r="J13" s="54" t="str">
        <f>IF(HLOOKUP('Ibilgailu-mota'!$E$10,DE!$D$1:$AK$284,49,0)="","",HLOOKUP('Ibilgailu-mota'!$E$10,DE!$D$1:$AK$284,49,0))</f>
        <v/>
      </c>
      <c r="K13" s="2"/>
      <c r="L13" s="2"/>
      <c r="M13" s="20"/>
      <c r="N13" s="2"/>
      <c r="O13" s="2"/>
      <c r="P13" s="2"/>
      <c r="Q13" s="2"/>
      <c r="R13" s="2"/>
      <c r="S13" s="2"/>
    </row>
    <row customHeight="1" ht="3.75" r="14" spans="1:19" x14ac:dyDescent="0.3">
      <c r="A14" s="2"/>
      <c r="B14" s="19"/>
      <c r="C14" s="11"/>
      <c r="D14" s="2"/>
      <c r="E14" s="2"/>
      <c r="F14" s="2"/>
      <c r="G14" s="2"/>
      <c r="H14" s="48"/>
      <c r="I14" s="2"/>
      <c r="J14" s="48"/>
      <c r="K14" s="2"/>
      <c r="L14" s="2"/>
      <c r="M14" s="20"/>
      <c r="N14" s="2"/>
      <c r="O14" s="2"/>
      <c r="P14" s="2"/>
      <c r="Q14" s="2"/>
      <c r="R14" s="2"/>
      <c r="S14" s="2"/>
    </row>
    <row r="15" spans="1:19" x14ac:dyDescent="0.3">
      <c r="A15" s="2"/>
      <c r="B15" s="19"/>
      <c r="C15" s="11" t="s">
        <v>228</v>
      </c>
      <c r="D15" s="2"/>
      <c r="E15" s="2"/>
      <c r="F15" s="2"/>
      <c r="G15" s="2"/>
      <c r="H15" s="53"/>
      <c r="I15" s="2"/>
      <c r="J15" s="54" t="str">
        <f>IF(HLOOKUP('Ibilgailu-mota'!$E$10,DE!$D$1:$AK$284,50,0)="","",HLOOKUP('Ibilgailu-mota'!$E$10,DE!$D$1:$AK$284,50,0))</f>
        <v/>
      </c>
      <c r="K15" s="2"/>
      <c r="L15" s="2"/>
      <c r="M15" s="20"/>
      <c r="N15" s="2"/>
      <c r="O15" s="2"/>
      <c r="P15" s="2"/>
      <c r="Q15" s="2"/>
      <c r="R15" s="2"/>
      <c r="S15" s="2"/>
    </row>
    <row customHeight="1" ht="3.75" r="16" spans="1:19" x14ac:dyDescent="0.3">
      <c r="A16" s="2"/>
      <c r="B16" s="19"/>
      <c r="C16" s="11"/>
      <c r="D16" s="2"/>
      <c r="E16" s="2"/>
      <c r="F16" s="2"/>
      <c r="G16" s="2"/>
      <c r="H16" s="48"/>
      <c r="I16" s="2"/>
      <c r="J16" s="48"/>
      <c r="K16" s="2"/>
      <c r="L16" s="2"/>
      <c r="M16" s="20"/>
      <c r="N16" s="2"/>
      <c r="O16" s="2"/>
      <c r="P16" s="2"/>
      <c r="Q16" s="2"/>
      <c r="R16" s="2"/>
      <c r="S16" s="2"/>
    </row>
    <row r="17" spans="1:19" x14ac:dyDescent="0.3">
      <c r="A17" s="2"/>
      <c r="B17" s="19"/>
      <c r="C17" s="11" t="s">
        <v>229</v>
      </c>
      <c r="D17" s="2"/>
      <c r="E17" s="2"/>
      <c r="F17" s="2"/>
      <c r="G17" s="2"/>
      <c r="H17" s="53"/>
      <c r="I17" s="2"/>
      <c r="J17" s="54" t="str">
        <f>IF(HLOOKUP('Ibilgailu-mota'!$E$10,DE!$D$1:$AK$284,51,0)="","",HLOOKUP('Ibilgailu-mota'!$E$10,DE!$D$1:$AK$284,51,0))</f>
        <v/>
      </c>
      <c r="K17" s="2"/>
      <c r="L17" s="2"/>
      <c r="M17" s="20"/>
      <c r="N17" s="2"/>
      <c r="O17" s="2"/>
      <c r="P17" s="2"/>
      <c r="Q17" s="2"/>
      <c r="R17" s="2"/>
      <c r="S17" s="2"/>
    </row>
    <row customHeight="1" ht="3.75" r="18" spans="1:19" x14ac:dyDescent="0.3">
      <c r="A18" s="2"/>
      <c r="B18" s="19"/>
      <c r="C18" s="11"/>
      <c r="D18" s="2"/>
      <c r="E18" s="2"/>
      <c r="F18" s="2"/>
      <c r="G18" s="2"/>
      <c r="H18" s="48"/>
      <c r="I18" s="2"/>
      <c r="J18" s="48"/>
      <c r="K18" s="2"/>
      <c r="L18" s="2"/>
      <c r="M18" s="20"/>
      <c r="N18" s="2"/>
      <c r="O18" s="2"/>
      <c r="P18" s="2"/>
      <c r="Q18" s="2"/>
      <c r="R18" s="2"/>
      <c r="S18" s="2"/>
    </row>
    <row r="19" spans="1:19" x14ac:dyDescent="0.3">
      <c r="A19" s="2"/>
      <c r="B19" s="19"/>
      <c r="C19" s="11" t="s">
        <v>230</v>
      </c>
      <c r="D19" s="2"/>
      <c r="E19" s="2"/>
      <c r="F19" s="2"/>
      <c r="G19" s="2"/>
      <c r="H19" s="53"/>
      <c r="I19" s="2"/>
      <c r="J19" s="54" t="str">
        <f>IF(HLOOKUP('Ibilgailu-mota'!$E$10,DE!$D$1:$AK$284,52,0)="","",HLOOKUP('Ibilgailu-mota'!$E$10,DE!$D$1:$AK$284,52,0))</f>
        <v/>
      </c>
      <c r="K19" s="2"/>
      <c r="L19" s="2"/>
      <c r="M19" s="20"/>
      <c r="N19" s="2"/>
      <c r="O19" s="2"/>
      <c r="P19" s="2"/>
      <c r="Q19" s="2"/>
      <c r="R19" s="2"/>
      <c r="S19" s="2"/>
    </row>
    <row customHeight="1" ht="3.75" r="20" spans="1:19" x14ac:dyDescent="0.3">
      <c r="A20" s="2"/>
      <c r="B20" s="19"/>
      <c r="C20" s="11"/>
      <c r="D20" s="2"/>
      <c r="E20" s="2"/>
      <c r="F20" s="2"/>
      <c r="G20" s="2"/>
      <c r="H20" s="48"/>
      <c r="I20" s="2"/>
      <c r="J20" s="48"/>
      <c r="K20" s="2"/>
      <c r="L20" s="2"/>
      <c r="M20" s="20"/>
      <c r="N20" s="2"/>
      <c r="O20" s="2"/>
      <c r="P20" s="2"/>
      <c r="Q20" s="2"/>
      <c r="R20" s="2"/>
      <c r="S20" s="2"/>
    </row>
    <row r="21" spans="1:19" x14ac:dyDescent="0.3">
      <c r="A21" s="2"/>
      <c r="B21" s="19"/>
      <c r="C21" s="11" t="s">
        <v>231</v>
      </c>
      <c r="D21" s="2"/>
      <c r="E21" s="2"/>
      <c r="F21" s="2"/>
      <c r="G21" s="2"/>
      <c r="H21" s="53"/>
      <c r="I21" s="2"/>
      <c r="J21" s="54" t="str">
        <f>IF(HLOOKUP('Ibilgailu-mota'!$E$10,DE!$D$1:$AK$284,53,0)="","",HLOOKUP('Ibilgailu-mota'!$E$10,DE!$D$1:$AK$284,53,0))</f>
        <v/>
      </c>
      <c r="K21" s="2"/>
      <c r="L21" s="2"/>
      <c r="M21" s="20"/>
      <c r="N21" s="2"/>
      <c r="O21" s="2"/>
      <c r="P21" s="2"/>
      <c r="Q21" s="2"/>
      <c r="R21" s="2"/>
      <c r="S21" s="2"/>
    </row>
    <row customHeight="1" ht="3.75" r="22" spans="1:19" x14ac:dyDescent="0.3">
      <c r="A22" s="2"/>
      <c r="B22" s="19"/>
      <c r="C22" s="11"/>
      <c r="D22" s="2"/>
      <c r="E22" s="2"/>
      <c r="F22" s="2"/>
      <c r="G22" s="2"/>
      <c r="H22" s="48"/>
      <c r="I22" s="2"/>
      <c r="J22" s="48"/>
      <c r="K22" s="2"/>
      <c r="L22" s="2"/>
      <c r="M22" s="20"/>
      <c r="N22" s="2"/>
      <c r="O22" s="2"/>
      <c r="P22" s="2"/>
      <c r="Q22" s="2"/>
      <c r="R22" s="2"/>
      <c r="S22" s="2"/>
    </row>
    <row r="23" spans="1:19" x14ac:dyDescent="0.3">
      <c r="A23" s="2"/>
      <c r="B23" s="19"/>
      <c r="C23" s="11" t="s">
        <v>232</v>
      </c>
      <c r="D23" s="2"/>
      <c r="E23" s="2"/>
      <c r="F23" s="2"/>
      <c r="G23" s="2"/>
      <c r="H23" s="53"/>
      <c r="I23" s="2"/>
      <c r="J23" s="54" t="str">
        <f>IF(HLOOKUP('Ibilgailu-mota'!$E$10,DE!$D$1:$AK$284,54,0)="","",HLOOKUP('Ibilgailu-mota'!$E$10,DE!$D$1:$AK$284,54,0))</f>
        <v/>
      </c>
      <c r="K23" s="2"/>
      <c r="L23" s="2"/>
      <c r="M23" s="20"/>
      <c r="N23" s="2"/>
      <c r="O23" s="2"/>
      <c r="P23" s="2"/>
      <c r="Q23" s="2"/>
      <c r="R23" s="2"/>
      <c r="S23" s="2"/>
    </row>
    <row customHeight="1" ht="3.75" r="24" spans="1:19" x14ac:dyDescent="0.3">
      <c r="A24" s="2"/>
      <c r="B24" s="19"/>
      <c r="C24" s="11"/>
      <c r="D24" s="2"/>
      <c r="E24" s="2"/>
      <c r="F24" s="2"/>
      <c r="G24" s="2"/>
      <c r="H24" s="48"/>
      <c r="I24" s="2"/>
      <c r="J24" s="48"/>
      <c r="K24" s="2"/>
      <c r="L24" s="2"/>
      <c r="M24" s="20"/>
      <c r="N24" s="2"/>
      <c r="O24" s="2"/>
      <c r="P24" s="2"/>
      <c r="Q24" s="2"/>
      <c r="R24" s="2"/>
      <c r="S24" s="2"/>
    </row>
    <row r="25" spans="1:19" x14ac:dyDescent="0.3">
      <c r="A25" s="2"/>
      <c r="B25" s="19"/>
      <c r="C25" s="11" t="s">
        <v>233</v>
      </c>
      <c r="D25" s="2"/>
      <c r="E25" s="2"/>
      <c r="F25" s="2"/>
      <c r="G25" s="2"/>
      <c r="H25" s="53"/>
      <c r="I25" s="2"/>
      <c r="J25" s="54" t="str">
        <f>IF(HLOOKUP('Ibilgailu-mota'!$E$10,DE!$D$1:$AK$284,55,0)="","",HLOOKUP('Ibilgailu-mota'!$E$10,DE!$D$1:$AK$284,55,0))</f>
        <v/>
      </c>
      <c r="K25" s="2"/>
      <c r="L25" s="2"/>
      <c r="M25" s="20"/>
      <c r="N25" s="2"/>
      <c r="O25" s="2"/>
      <c r="P25" s="2"/>
      <c r="Q25" s="2"/>
      <c r="R25" s="2"/>
      <c r="S25" s="2"/>
    </row>
    <row customHeight="1" ht="3.75" r="26" spans="1:19" x14ac:dyDescent="0.3">
      <c r="A26" s="2"/>
      <c r="B26" s="19"/>
      <c r="C26" s="11"/>
      <c r="D26" s="2"/>
      <c r="E26" s="2"/>
      <c r="F26" s="2"/>
      <c r="G26" s="2"/>
      <c r="H26" s="48"/>
      <c r="I26" s="2"/>
      <c r="J26" s="48"/>
      <c r="K26" s="2"/>
      <c r="L26" s="2"/>
      <c r="M26" s="20"/>
      <c r="N26" s="2"/>
      <c r="O26" s="2"/>
      <c r="P26" s="2"/>
      <c r="Q26" s="2"/>
      <c r="R26" s="2"/>
      <c r="S26" s="2"/>
    </row>
    <row r="27" spans="1:19" x14ac:dyDescent="0.3">
      <c r="A27" s="2"/>
      <c r="B27" s="19"/>
      <c r="C27" s="11" t="s">
        <v>234</v>
      </c>
      <c r="D27" s="2"/>
      <c r="E27" s="2"/>
      <c r="F27" s="2"/>
      <c r="G27" s="2"/>
      <c r="H27" s="60">
        <f>IFERROR(H11+H13+H15+H17+H19+H21+H23+H25,0)</f>
        <v>0</v>
      </c>
      <c r="I27" s="2"/>
      <c r="J27" s="54">
        <f>IF(HLOOKUP('Ibilgailu-mota'!$E$10,DE!$D$1:$AK$284,56,0)="","",HLOOKUP('Ibilgailu-mota'!$E$10,DE!$D$1:$AK$284,56,0))</f>
        <v>0</v>
      </c>
      <c r="K27" s="2"/>
      <c r="L27" s="2"/>
      <c r="M27" s="20"/>
      <c r="N27" s="2"/>
      <c r="O27" s="2"/>
      <c r="P27" s="2"/>
      <c r="Q27" s="2"/>
      <c r="R27" s="2"/>
      <c r="S27" s="2"/>
    </row>
    <row r="28" spans="1:19" x14ac:dyDescent="0.3">
      <c r="A28" s="2"/>
      <c r="B28" s="19"/>
      <c r="C28" s="2"/>
      <c r="D28" s="2"/>
      <c r="E28" s="2"/>
      <c r="F28" s="2"/>
      <c r="G28" s="2"/>
      <c r="H28" s="48"/>
      <c r="I28" s="2"/>
      <c r="J28" s="48"/>
      <c r="K28" s="2"/>
      <c r="L28" s="2"/>
      <c r="M28" s="20"/>
      <c r="N28" s="2"/>
      <c r="O28" s="2"/>
      <c r="P28" s="2"/>
      <c r="Q28" s="2"/>
      <c r="R28" s="2"/>
      <c r="S28" s="2"/>
    </row>
    <row customHeight="1" ht="21.75" r="29" spans="1:19" x14ac:dyDescent="0.3">
      <c r="A29" s="2"/>
      <c r="B29" s="19"/>
      <c r="C29" s="8" t="s">
        <v>143</v>
      </c>
      <c r="D29" s="9"/>
      <c r="E29" s="9"/>
      <c r="F29" s="9"/>
      <c r="G29" s="9"/>
      <c r="H29" s="51"/>
      <c r="I29" s="9"/>
      <c r="J29" s="80" t="s">
        <v>287</v>
      </c>
      <c r="K29" s="92" t="str">
        <f>DE!$AJ$2</f>
        <v>08/01/2024</v>
      </c>
      <c r="L29" s="9"/>
      <c r="M29" s="20"/>
      <c r="N29" s="2"/>
      <c r="O29" s="2"/>
      <c r="P29" s="2"/>
      <c r="Q29" s="2"/>
      <c r="R29" s="2"/>
      <c r="S29" s="2"/>
    </row>
    <row customHeight="1" ht="18" r="30" spans="1:19" x14ac:dyDescent="0.3">
      <c r="A30" s="2"/>
      <c r="B30" s="19"/>
      <c r="C30" s="2"/>
      <c r="D30" s="2"/>
      <c r="E30" s="2"/>
      <c r="F30" s="2"/>
      <c r="G30" s="2"/>
      <c r="H30" s="48"/>
      <c r="I30" s="2"/>
      <c r="J30" s="48"/>
      <c r="K30" s="2"/>
      <c r="L30" s="2"/>
      <c r="M30" s="20"/>
      <c r="N30" s="2"/>
      <c r="O30" s="2"/>
      <c r="P30" s="2"/>
      <c r="Q30" s="2"/>
      <c r="R30" s="2"/>
      <c r="S30" s="2"/>
    </row>
    <row r="31" spans="1:19" x14ac:dyDescent="0.3">
      <c r="A31" s="2"/>
      <c r="B31" s="19"/>
      <c r="C31" s="11" t="s">
        <v>235</v>
      </c>
      <c r="D31" s="2"/>
      <c r="E31" s="2"/>
      <c r="F31" s="2"/>
      <c r="G31" s="2"/>
      <c r="H31" s="53"/>
      <c r="I31" s="2"/>
      <c r="J31" s="54" t="str">
        <f>IF(HLOOKUP('Ibilgailu-mota'!$E$10,DE!$D$1:$AK$284,57,0)="","",HLOOKUP('Ibilgailu-mota'!$E$10,DE!$D$1:$AK$284,57,0))</f>
        <v/>
      </c>
      <c r="K31" s="2"/>
      <c r="L31" s="2"/>
      <c r="M31" s="20"/>
      <c r="N31" s="2"/>
      <c r="O31" s="2"/>
      <c r="P31" s="2"/>
      <c r="Q31" s="2"/>
      <c r="R31" s="2"/>
      <c r="S31" s="2"/>
    </row>
    <row customHeight="1" ht="3.75" r="32" spans="1:19" x14ac:dyDescent="0.3">
      <c r="A32" s="2"/>
      <c r="B32" s="19"/>
      <c r="C32" s="11"/>
      <c r="D32" s="2"/>
      <c r="E32" s="2"/>
      <c r="F32" s="2"/>
      <c r="G32" s="2"/>
      <c r="H32" s="48"/>
      <c r="I32" s="2"/>
      <c r="J32" s="48"/>
      <c r="K32" s="2"/>
      <c r="L32" s="2"/>
      <c r="M32" s="20"/>
      <c r="N32" s="2"/>
      <c r="O32" s="2"/>
      <c r="P32" s="2"/>
      <c r="Q32" s="2"/>
      <c r="R32" s="2"/>
      <c r="S32" s="2"/>
    </row>
    <row r="33" spans="1:19" x14ac:dyDescent="0.3">
      <c r="A33" s="2"/>
      <c r="B33" s="19"/>
      <c r="C33" s="11" t="s">
        <v>236</v>
      </c>
      <c r="D33" s="2"/>
      <c r="E33" s="2"/>
      <c r="F33" s="2"/>
      <c r="G33" s="2"/>
      <c r="H33" s="53"/>
      <c r="I33" s="2"/>
      <c r="J33" s="54" t="str">
        <f>IF(HLOOKUP('Ibilgailu-mota'!$E$10,DE!$D$1:$AK$284,58,0)="","",HLOOKUP('Ibilgailu-mota'!$E$10,DE!$D$1:$AK$284,58,0))</f>
        <v/>
      </c>
      <c r="K33" s="2"/>
      <c r="L33" s="2"/>
      <c r="M33" s="20"/>
      <c r="N33" s="2"/>
      <c r="O33" s="2"/>
      <c r="P33" s="2"/>
      <c r="Q33" s="2"/>
      <c r="R33" s="2"/>
      <c r="S33" s="2"/>
    </row>
    <row customHeight="1" ht="3.75" r="34" spans="1:19" x14ac:dyDescent="0.3">
      <c r="A34" s="2"/>
      <c r="B34" s="19"/>
      <c r="C34" s="11"/>
      <c r="D34" s="2"/>
      <c r="E34" s="2"/>
      <c r="F34" s="2"/>
      <c r="G34" s="2"/>
      <c r="H34" s="48"/>
      <c r="I34" s="2"/>
      <c r="J34" s="48"/>
      <c r="K34" s="2"/>
      <c r="L34" s="2"/>
      <c r="M34" s="20"/>
      <c r="N34" s="2"/>
      <c r="O34" s="2"/>
      <c r="P34" s="2"/>
      <c r="Q34" s="2"/>
      <c r="R34" s="2"/>
      <c r="S34" s="2"/>
    </row>
    <row r="35" spans="1:19" x14ac:dyDescent="0.3">
      <c r="A35" s="2"/>
      <c r="B35" s="19"/>
      <c r="C35" s="11" t="s">
        <v>237</v>
      </c>
      <c r="D35" s="2"/>
      <c r="E35" s="2"/>
      <c r="F35" s="2"/>
      <c r="G35" s="2"/>
      <c r="H35" s="53"/>
      <c r="I35" s="2"/>
      <c r="J35" s="54" t="str">
        <f>IF(HLOOKUP('Ibilgailu-mota'!$E$10,DE!$D$1:$AK$284,59,0)="","",HLOOKUP('Ibilgailu-mota'!$E$10,DE!$D$1:$AK$284,59,0))</f>
        <v/>
      </c>
      <c r="K35" s="2"/>
      <c r="L35" s="2"/>
      <c r="M35" s="20"/>
      <c r="N35" s="2"/>
      <c r="O35" s="2"/>
      <c r="P35" s="2"/>
      <c r="Q35" s="2"/>
      <c r="R35" s="2"/>
      <c r="S35" s="2"/>
    </row>
    <row customHeight="1" ht="3.75" r="36" spans="1:19" x14ac:dyDescent="0.3">
      <c r="A36" s="2"/>
      <c r="B36" s="19"/>
      <c r="C36" s="11"/>
      <c r="D36" s="2"/>
      <c r="E36" s="2"/>
      <c r="F36" s="2"/>
      <c r="G36" s="2"/>
      <c r="H36" s="48"/>
      <c r="I36" s="2"/>
      <c r="J36" s="48"/>
      <c r="K36" s="2"/>
      <c r="L36" s="2"/>
      <c r="M36" s="20"/>
      <c r="N36" s="2"/>
      <c r="O36" s="2"/>
      <c r="P36" s="2"/>
      <c r="Q36" s="2"/>
      <c r="R36" s="2"/>
      <c r="S36" s="2"/>
    </row>
    <row r="37" spans="1:19" x14ac:dyDescent="0.3">
      <c r="A37" s="2"/>
      <c r="B37" s="19"/>
      <c r="C37" s="11" t="s">
        <v>238</v>
      </c>
      <c r="D37" s="2"/>
      <c r="E37" s="2"/>
      <c r="F37" s="2"/>
      <c r="G37" s="2"/>
      <c r="H37" s="53"/>
      <c r="I37" s="2"/>
      <c r="J37" s="54" t="str">
        <f>IF(HLOOKUP('Ibilgailu-mota'!$E$10,DE!$D$1:$AK$284,60,0)="","",HLOOKUP('Ibilgailu-mota'!$E$10,DE!$D$1:$AK$284,60,0))</f>
        <v/>
      </c>
      <c r="K37" s="2"/>
      <c r="L37" s="2"/>
      <c r="M37" s="20"/>
      <c r="N37" s="2"/>
      <c r="O37" s="2"/>
      <c r="P37" s="2"/>
      <c r="Q37" s="2"/>
      <c r="R37" s="2"/>
      <c r="S37" s="2"/>
    </row>
    <row customHeight="1" ht="3.75" r="38" spans="1:19" x14ac:dyDescent="0.3">
      <c r="A38" s="2"/>
      <c r="B38" s="19"/>
      <c r="C38" s="11"/>
      <c r="D38" s="2"/>
      <c r="E38" s="2"/>
      <c r="F38" s="2"/>
      <c r="G38" s="2"/>
      <c r="H38" s="48"/>
      <c r="I38" s="2"/>
      <c r="J38" s="48"/>
      <c r="K38" s="2"/>
      <c r="L38" s="2"/>
      <c r="M38" s="20"/>
      <c r="N38" s="2"/>
      <c r="O38" s="2"/>
      <c r="P38" s="2"/>
      <c r="Q38" s="2"/>
      <c r="R38" s="2"/>
      <c r="S38" s="2"/>
    </row>
    <row r="39" spans="1:19" x14ac:dyDescent="0.3">
      <c r="A39" s="2"/>
      <c r="B39" s="19"/>
      <c r="C39" s="11" t="s">
        <v>239</v>
      </c>
      <c r="D39" s="2"/>
      <c r="E39" s="2"/>
      <c r="F39" s="2"/>
      <c r="G39" s="2"/>
      <c r="H39" s="53"/>
      <c r="I39" s="2"/>
      <c r="J39" s="54" t="str">
        <f>IF(HLOOKUP('Ibilgailu-mota'!$E$10,DE!$D$1:$AK$284,61,0)="","",HLOOKUP('Ibilgailu-mota'!$E$10,DE!$D$1:$AK$284,61,0))</f>
        <v/>
      </c>
      <c r="K39" s="2"/>
      <c r="L39" s="2"/>
      <c r="M39" s="20"/>
      <c r="N39" s="2"/>
      <c r="O39" s="2"/>
      <c r="P39" s="2"/>
      <c r="Q39" s="2"/>
      <c r="R39" s="2"/>
      <c r="S39" s="2"/>
    </row>
    <row customHeight="1" ht="3.75" r="40" spans="1:19" x14ac:dyDescent="0.3">
      <c r="A40" s="2"/>
      <c r="B40" s="19"/>
      <c r="C40" s="11"/>
      <c r="D40" s="2"/>
      <c r="E40" s="2"/>
      <c r="F40" s="2"/>
      <c r="G40" s="2"/>
      <c r="H40" s="48"/>
      <c r="I40" s="2"/>
      <c r="J40" s="48"/>
      <c r="K40" s="2"/>
      <c r="L40" s="2"/>
      <c r="M40" s="20"/>
      <c r="N40" s="2"/>
      <c r="O40" s="2"/>
      <c r="P40" s="2"/>
      <c r="Q40" s="2"/>
      <c r="R40" s="2"/>
      <c r="S40" s="2"/>
    </row>
    <row r="41" spans="1:19" x14ac:dyDescent="0.3">
      <c r="A41" s="2"/>
      <c r="B41" s="19"/>
      <c r="C41" s="11" t="s">
        <v>240</v>
      </c>
      <c r="D41" s="2"/>
      <c r="E41" s="2"/>
      <c r="F41" s="2"/>
      <c r="G41" s="2"/>
      <c r="H41" s="53"/>
      <c r="I41" s="2"/>
      <c r="J41" s="54" t="str">
        <f>IF(HLOOKUP('Ibilgailu-mota'!$E$10,DE!$D$1:$AK$284,62,0)="","",HLOOKUP('Ibilgailu-mota'!$E$10,DE!$D$1:$AK$284,62,0))</f>
        <v/>
      </c>
      <c r="K41" s="2"/>
      <c r="L41" s="2"/>
      <c r="M41" s="20"/>
      <c r="N41" s="2"/>
      <c r="O41" s="2"/>
      <c r="P41" s="2"/>
      <c r="Q41" s="2"/>
      <c r="R41" s="2"/>
      <c r="S41" s="2"/>
    </row>
    <row customHeight="1" ht="3.75" r="42" spans="1:19" x14ac:dyDescent="0.3">
      <c r="A42" s="2"/>
      <c r="B42" s="19"/>
      <c r="C42" s="11"/>
      <c r="D42" s="2"/>
      <c r="E42" s="2"/>
      <c r="F42" s="2"/>
      <c r="G42" s="2"/>
      <c r="H42" s="48"/>
      <c r="I42" s="2"/>
      <c r="J42" s="48"/>
      <c r="K42" s="2"/>
      <c r="L42" s="2"/>
      <c r="M42" s="20"/>
      <c r="N42" s="2"/>
      <c r="O42" s="2"/>
      <c r="P42" s="2"/>
      <c r="Q42" s="2"/>
      <c r="R42" s="2"/>
      <c r="S42" s="2"/>
    </row>
    <row r="43" spans="1:19" x14ac:dyDescent="0.3">
      <c r="A43" s="2"/>
      <c r="B43" s="19"/>
      <c r="C43" s="11" t="s">
        <v>241</v>
      </c>
      <c r="D43" s="2"/>
      <c r="E43" s="2"/>
      <c r="F43" s="2"/>
      <c r="G43" s="2"/>
      <c r="H43" s="53"/>
      <c r="I43" s="2"/>
      <c r="J43" s="54" t="str">
        <f>IF(HLOOKUP('Ibilgailu-mota'!$E$10,DE!$D$1:$AK$284,63,0)="","",HLOOKUP('Ibilgailu-mota'!$E$10,DE!$D$1:$AK$284,63,0))</f>
        <v/>
      </c>
      <c r="K43" s="2"/>
      <c r="L43" s="2"/>
      <c r="M43" s="20"/>
      <c r="N43" s="2"/>
      <c r="O43" s="2"/>
      <c r="P43" s="2"/>
      <c r="Q43" s="2"/>
      <c r="R43" s="2"/>
      <c r="S43" s="2"/>
    </row>
    <row customHeight="1" ht="3.75" r="44" spans="1:19" x14ac:dyDescent="0.3">
      <c r="A44" s="2"/>
      <c r="B44" s="19"/>
      <c r="C44" s="11"/>
      <c r="D44" s="2"/>
      <c r="E44" s="2"/>
      <c r="F44" s="2"/>
      <c r="G44" s="2"/>
      <c r="H44" s="48"/>
      <c r="I44" s="2"/>
      <c r="J44" s="48"/>
      <c r="K44" s="2"/>
      <c r="L44" s="2"/>
      <c r="M44" s="20"/>
      <c r="N44" s="2"/>
      <c r="O44" s="2"/>
      <c r="P44" s="2"/>
      <c r="Q44" s="2"/>
      <c r="R44" s="2"/>
      <c r="S44" s="2"/>
    </row>
    <row r="45" spans="1:19" x14ac:dyDescent="0.3">
      <c r="A45" s="2"/>
      <c r="B45" s="19"/>
      <c r="C45" s="11" t="s">
        <v>242</v>
      </c>
      <c r="D45" s="2"/>
      <c r="E45" s="2"/>
      <c r="F45" s="2"/>
      <c r="G45" s="2"/>
      <c r="H45" s="60">
        <f>IFERROR(H31+H33+H35+H37+H39+H41+H43,0)</f>
        <v>0</v>
      </c>
      <c r="I45" s="2"/>
      <c r="J45" s="54">
        <f>IF(HLOOKUP('Ibilgailu-mota'!$E$10,DE!$D$1:$AK$284,64,0)="","",HLOOKUP('Ibilgailu-mota'!$E$10,DE!$D$1:$AK$284,64,0))</f>
        <v>0</v>
      </c>
      <c r="K45" s="2"/>
      <c r="L45" s="2"/>
      <c r="M45" s="20"/>
      <c r="N45" s="2"/>
      <c r="O45" s="2"/>
      <c r="P45" s="2"/>
      <c r="Q45" s="2"/>
      <c r="R45" s="2"/>
      <c r="S45" s="2"/>
    </row>
    <row customHeight="1" ht="15" r="46" spans="1:19" x14ac:dyDescent="0.3">
      <c r="A46" s="2"/>
      <c r="B46" s="19"/>
      <c r="C46" s="11"/>
      <c r="D46" s="2"/>
      <c r="E46" s="2"/>
      <c r="F46" s="2"/>
      <c r="G46" s="2"/>
      <c r="H46" s="48"/>
      <c r="I46" s="2"/>
      <c r="J46" s="48"/>
      <c r="K46" s="2"/>
      <c r="L46" s="2"/>
      <c r="M46" s="20"/>
      <c r="N46" s="2"/>
      <c r="O46" s="2"/>
      <c r="P46" s="2"/>
      <c r="Q46" s="2"/>
      <c r="R46" s="2"/>
      <c r="S46" s="2"/>
    </row>
    <row r="47" spans="1:19" x14ac:dyDescent="0.3">
      <c r="A47" s="2"/>
      <c r="B47" s="19"/>
      <c r="C47" s="11" t="s">
        <v>243</v>
      </c>
      <c r="D47" s="2"/>
      <c r="E47" s="2"/>
      <c r="F47" s="2"/>
      <c r="G47" s="2"/>
      <c r="H47" s="60">
        <f>IFERROR(H27+H45,0)</f>
        <v>0</v>
      </c>
      <c r="I47" s="2"/>
      <c r="J47" s="54">
        <f>IF(HLOOKUP('Ibilgailu-mota'!$E$10,DE!$D$1:$AK$284,65,0)="","",HLOOKUP('Ibilgailu-mota'!$E$10,DE!$D$1:$AK$284,65,0))</f>
        <v>0</v>
      </c>
      <c r="K47" s="2"/>
      <c r="L47" s="2"/>
      <c r="M47" s="20"/>
      <c r="N47" s="2"/>
      <c r="O47" s="2"/>
      <c r="P47" s="2"/>
      <c r="Q47" s="2"/>
      <c r="R47" s="2"/>
      <c r="S47" s="2"/>
    </row>
    <row r="48" spans="1:19" x14ac:dyDescent="0.3">
      <c r="A48" s="2"/>
      <c r="B48" s="23"/>
      <c r="C48" s="24"/>
      <c r="D48" s="24"/>
      <c r="E48" s="24"/>
      <c r="F48" s="24"/>
      <c r="G48" s="24"/>
      <c r="H48" s="65"/>
      <c r="I48" s="24"/>
      <c r="J48" s="65"/>
      <c r="K48" s="24"/>
      <c r="L48" s="24"/>
      <c r="M48" s="25"/>
      <c r="N48" s="2"/>
      <c r="O48" s="2"/>
      <c r="P48" s="2"/>
      <c r="Q48" s="2"/>
      <c r="R48" s="2"/>
      <c r="S48" s="2"/>
    </row>
    <row r="49" spans="1:19" x14ac:dyDescent="0.3">
      <c r="A49" s="2"/>
      <c r="B49" s="2"/>
      <c r="C49" s="2"/>
      <c r="D49" s="2"/>
      <c r="E49" s="2"/>
      <c r="F49" s="2"/>
      <c r="G49" s="2"/>
      <c r="H49" s="48"/>
      <c r="I49" s="2"/>
      <c r="J49" s="48"/>
      <c r="K49" s="2"/>
      <c r="L49" s="2"/>
      <c r="M49" s="2"/>
      <c r="N49" s="2"/>
      <c r="O49" s="2"/>
      <c r="P49" s="2"/>
      <c r="Q49" s="2"/>
      <c r="R49" s="2"/>
      <c r="S49" s="2"/>
    </row>
    <row r="50" spans="1:19" x14ac:dyDescent="0.3">
      <c r="A50" s="2"/>
      <c r="B50" s="2"/>
      <c r="C50" s="2"/>
      <c r="D50" s="2"/>
      <c r="E50" s="2"/>
      <c r="F50" s="2"/>
      <c r="G50" s="2"/>
      <c r="H50" s="48"/>
      <c r="I50" s="2"/>
      <c r="J50" s="48"/>
      <c r="K50" s="2"/>
      <c r="L50" s="2"/>
      <c r="M50" s="2"/>
      <c r="N50" s="2"/>
      <c r="O50" s="2"/>
      <c r="P50" s="2"/>
      <c r="Q50" s="2"/>
      <c r="R50" s="2"/>
      <c r="S50" s="2"/>
    </row>
    <row r="51" spans="1:19" x14ac:dyDescent="0.3">
      <c r="A51" s="2"/>
      <c r="B51" s="2"/>
      <c r="C51" s="2"/>
      <c r="D51" s="2"/>
      <c r="E51" s="2"/>
      <c r="F51" s="2"/>
      <c r="G51" s="2"/>
      <c r="H51" s="48"/>
      <c r="I51" s="2"/>
      <c r="J51" s="48"/>
      <c r="K51" s="2"/>
      <c r="L51" s="2"/>
      <c r="M51" s="2"/>
      <c r="N51" s="2"/>
      <c r="O51" s="2"/>
      <c r="P51" s="2"/>
      <c r="Q51" s="2"/>
      <c r="R51" s="2"/>
      <c r="S51" s="2"/>
    </row>
    <row r="52" spans="1:19" x14ac:dyDescent="0.3">
      <c r="A52" s="2"/>
      <c r="B52" s="2"/>
      <c r="C52" s="2"/>
      <c r="D52" s="2"/>
      <c r="E52" s="2"/>
      <c r="F52" s="2"/>
      <c r="G52" s="2"/>
      <c r="H52" s="48"/>
      <c r="I52" s="2"/>
      <c r="J52" s="48"/>
      <c r="K52" s="2"/>
      <c r="L52" s="2"/>
      <c r="M52" s="2"/>
      <c r="N52" s="2"/>
      <c r="O52" s="2"/>
      <c r="P52" s="2"/>
      <c r="Q52" s="2"/>
      <c r="R52" s="2"/>
      <c r="S52" s="2"/>
    </row>
    <row r="53" spans="1:19" x14ac:dyDescent="0.3">
      <c r="A53" s="2"/>
      <c r="B53" s="2"/>
      <c r="C53" s="2"/>
      <c r="D53" s="2"/>
      <c r="E53" s="2"/>
      <c r="F53" s="2"/>
      <c r="G53" s="2"/>
      <c r="H53" s="48"/>
      <c r="I53" s="2"/>
      <c r="J53" s="48"/>
      <c r="K53" s="2"/>
      <c r="L53" s="2"/>
      <c r="M53" s="2"/>
      <c r="N53" s="2"/>
      <c r="O53" s="2"/>
      <c r="P53" s="2"/>
      <c r="Q53" s="2"/>
      <c r="R53" s="2"/>
      <c r="S53" s="2"/>
    </row>
    <row r="54" spans="1:19" x14ac:dyDescent="0.3">
      <c r="A54" s="2"/>
      <c r="B54" s="2"/>
      <c r="C54" s="2"/>
      <c r="D54" s="2"/>
      <c r="E54" s="2"/>
      <c r="F54" s="2"/>
      <c r="G54" s="2"/>
      <c r="H54" s="48"/>
      <c r="I54" s="2"/>
      <c r="J54" s="48"/>
      <c r="K54" s="2"/>
      <c r="L54" s="2"/>
      <c r="M54" s="2"/>
      <c r="N54" s="2"/>
      <c r="O54" s="2"/>
      <c r="P54" s="2"/>
      <c r="Q54" s="2"/>
      <c r="R54" s="2"/>
      <c r="S54" s="2"/>
    </row>
    <row r="55" spans="1:19" x14ac:dyDescent="0.3">
      <c r="A55" s="2"/>
      <c r="B55" s="2"/>
      <c r="C55" s="2"/>
      <c r="D55" s="2"/>
      <c r="E55" s="2"/>
      <c r="F55" s="2"/>
      <c r="G55" s="2"/>
      <c r="H55" s="48"/>
      <c r="I55" s="2"/>
      <c r="J55" s="48"/>
      <c r="K55" s="2"/>
      <c r="L55" s="2"/>
      <c r="M55" s="2"/>
      <c r="N55" s="2"/>
      <c r="O55" s="2"/>
      <c r="P55" s="2"/>
      <c r="Q55" s="2"/>
      <c r="R55" s="2"/>
      <c r="S55" s="2"/>
    </row>
    <row r="56" spans="1:19" x14ac:dyDescent="0.3">
      <c r="A56" s="2"/>
      <c r="B56" s="2"/>
      <c r="C56" s="2"/>
      <c r="D56" s="2"/>
      <c r="E56" s="2"/>
      <c r="F56" s="2"/>
      <c r="G56" s="2"/>
      <c r="H56" s="48"/>
      <c r="I56" s="2"/>
      <c r="J56" s="48"/>
      <c r="K56" s="2"/>
      <c r="L56" s="2"/>
      <c r="M56" s="2"/>
      <c r="N56" s="2"/>
      <c r="O56" s="2"/>
      <c r="P56" s="2"/>
      <c r="Q56" s="2"/>
      <c r="R56" s="2"/>
      <c r="S56" s="2"/>
    </row>
    <row r="57" spans="1:19" x14ac:dyDescent="0.3">
      <c r="A57" s="2"/>
      <c r="B57" s="2"/>
      <c r="C57" s="2"/>
      <c r="D57" s="2"/>
      <c r="E57" s="2"/>
      <c r="F57" s="2"/>
      <c r="G57" s="2"/>
      <c r="H57" s="48"/>
      <c r="I57" s="2"/>
      <c r="J57" s="48"/>
      <c r="K57" s="2"/>
      <c r="L57" s="2"/>
      <c r="M57" s="2"/>
      <c r="N57" s="2"/>
      <c r="O57" s="2"/>
      <c r="P57" s="2"/>
      <c r="Q57" s="2"/>
      <c r="R57" s="2"/>
      <c r="S57" s="2"/>
    </row>
    <row r="58" spans="1:19" x14ac:dyDescent="0.3">
      <c r="A58" s="2"/>
      <c r="B58" s="2"/>
      <c r="C58" s="2"/>
      <c r="D58" s="2"/>
      <c r="E58" s="2"/>
      <c r="F58" s="2"/>
      <c r="G58" s="2"/>
      <c r="H58" s="48"/>
      <c r="I58" s="2"/>
      <c r="J58" s="48"/>
      <c r="K58" s="2"/>
      <c r="L58" s="2"/>
      <c r="M58" s="2"/>
      <c r="N58" s="2"/>
      <c r="O58" s="2"/>
      <c r="P58" s="2"/>
      <c r="Q58" s="2"/>
      <c r="R58" s="2"/>
      <c r="S58" s="2"/>
    </row>
    <row r="59" spans="1:19" x14ac:dyDescent="0.3">
      <c r="A59" s="2"/>
      <c r="B59" s="2"/>
      <c r="C59" s="2"/>
      <c r="D59" s="2"/>
      <c r="E59" s="2"/>
      <c r="F59" s="2"/>
      <c r="G59" s="2"/>
      <c r="H59" s="48"/>
      <c r="I59" s="2"/>
      <c r="J59" s="48"/>
      <c r="K59" s="2"/>
      <c r="L59" s="2"/>
      <c r="M59" s="2"/>
      <c r="N59" s="2"/>
      <c r="O59" s="2"/>
      <c r="P59" s="2"/>
      <c r="Q59" s="2"/>
      <c r="R59" s="2"/>
      <c r="S59" s="2"/>
    </row>
  </sheetData>
  <sheetProtection objects="1" scenarios="1" selectLockedCells="1" sheet="1"/>
  <pageMargins bottom="0.75" footer="0.3" header="0.3" left="0.7" right="0.7" top="0.75"/>
  <drawing r:id="rId1"/>
</worksheet>
</file>

<file path=xl/worksheets/sheet8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W72"/>
  <sheetViews>
    <sheetView topLeftCell="A20" workbookViewId="0">
      <selection activeCell="H13" sqref="H13"/>
    </sheetView>
  </sheetViews>
  <sheetFormatPr baseColWidth="10" defaultColWidth="11.44140625" defaultRowHeight="14.4" x14ac:dyDescent="0.3"/>
  <cols>
    <col min="1" max="2" customWidth="true" width="5.6640625" collapsed="true"/>
    <col min="3" max="3" customWidth="true" width="13.44140625" collapsed="true"/>
    <col min="8" max="8" customWidth="true" style="47" width="8.6640625" collapsed="true"/>
    <col min="9" max="9" customWidth="true" width="7.5546875" collapsed="true"/>
    <col min="10" max="10" customWidth="true" style="47" width="15.6640625" collapsed="true"/>
    <col min="11" max="11" customWidth="true" style="47" width="8.6640625" collapsed="true"/>
    <col min="12" max="12" customWidth="true" style="47" width="17.33203125" collapsed="true"/>
    <col min="13" max="13" customWidth="true" width="10.88671875" collapsed="true"/>
    <col min="15" max="16" customWidth="true" width="5.6640625" collapsed="true"/>
  </cols>
  <sheetData>
    <row r="1" spans="1:23" x14ac:dyDescent="0.3">
      <c r="A1" s="2"/>
      <c r="B1" s="2"/>
      <c r="C1" s="2"/>
      <c r="D1" s="2"/>
      <c r="E1" s="2"/>
      <c r="F1" s="2"/>
      <c r="G1" s="2"/>
      <c r="H1" s="48"/>
      <c r="I1" s="2"/>
      <c r="J1" s="48"/>
      <c r="K1" s="48"/>
      <c r="L1" s="48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3">
      <c r="A2" s="2"/>
      <c r="B2" s="2"/>
      <c r="C2" s="2"/>
      <c r="D2" s="2"/>
      <c r="E2" s="2"/>
      <c r="F2" s="2"/>
      <c r="G2" s="2"/>
      <c r="H2" s="48"/>
      <c r="I2" s="2"/>
      <c r="J2" s="48"/>
      <c r="K2" s="48"/>
      <c r="L2" s="48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x14ac:dyDescent="0.3">
      <c r="A3" s="2"/>
      <c r="B3" s="2"/>
      <c r="C3" s="2"/>
      <c r="D3" s="2"/>
      <c r="E3" s="2"/>
      <c r="F3" s="2"/>
      <c r="G3" s="2"/>
      <c r="H3" s="48"/>
      <c r="I3" s="2"/>
      <c r="J3" s="48"/>
      <c r="K3" s="48"/>
      <c r="L3" s="48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x14ac:dyDescent="0.3">
      <c r="A4" s="2"/>
      <c r="B4" s="2"/>
      <c r="C4" s="2"/>
      <c r="D4" s="2"/>
      <c r="E4" s="2"/>
      <c r="F4" s="2"/>
      <c r="G4" s="2"/>
      <c r="H4" s="48"/>
      <c r="I4" s="2"/>
      <c r="J4" s="48"/>
      <c r="K4" s="48"/>
      <c r="L4" s="48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x14ac:dyDescent="0.3">
      <c r="A5" s="2"/>
      <c r="B5" s="2"/>
      <c r="C5" s="2"/>
      <c r="D5" s="2"/>
      <c r="E5" s="2"/>
      <c r="F5" s="2"/>
      <c r="G5" s="2"/>
      <c r="H5" s="48"/>
      <c r="I5" s="2"/>
      <c r="J5" s="48"/>
      <c r="K5" s="48"/>
      <c r="L5" s="48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ht="23.4" r="6" spans="1:23" x14ac:dyDescent="0.45">
      <c r="A6" s="2"/>
      <c r="B6" s="2"/>
      <c r="C6" s="3" t="s">
        <v>244</v>
      </c>
      <c r="D6" s="2"/>
      <c r="E6" s="2"/>
      <c r="F6" s="2"/>
      <c r="G6" s="2"/>
      <c r="H6" s="48"/>
      <c r="I6" s="2"/>
      <c r="J6" s="48"/>
      <c r="K6" s="48"/>
      <c r="L6" s="48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x14ac:dyDescent="0.3">
      <c r="A7" s="2"/>
      <c r="B7" s="2"/>
      <c r="C7" s="2"/>
      <c r="D7" s="2"/>
      <c r="E7" s="2"/>
      <c r="F7" s="2"/>
      <c r="G7" s="2"/>
      <c r="H7" s="48"/>
      <c r="I7" s="2"/>
      <c r="J7" s="48"/>
      <c r="K7" s="48"/>
      <c r="L7" s="48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x14ac:dyDescent="0.3">
      <c r="A8" s="2"/>
      <c r="B8" s="17"/>
      <c r="C8" s="5"/>
      <c r="D8" s="5"/>
      <c r="E8" s="5"/>
      <c r="F8" s="5"/>
      <c r="G8" s="5"/>
      <c r="H8" s="49"/>
      <c r="I8" s="5"/>
      <c r="J8" s="49"/>
      <c r="K8" s="49"/>
      <c r="L8" s="49"/>
      <c r="M8" s="5"/>
      <c r="N8" s="5"/>
      <c r="O8" s="18"/>
      <c r="P8" s="2"/>
      <c r="Q8" s="2"/>
      <c r="R8" s="2"/>
      <c r="S8" s="2"/>
      <c r="T8" s="2"/>
      <c r="U8" s="2"/>
      <c r="V8" s="2"/>
      <c r="W8" s="2"/>
    </row>
    <row customHeight="1" ht="20.100000000000001" r="9" spans="1:23" x14ac:dyDescent="0.3">
      <c r="A9" s="2"/>
      <c r="B9" s="19"/>
      <c r="C9" s="8" t="s">
        <v>146</v>
      </c>
      <c r="D9" s="9"/>
      <c r="E9" s="9"/>
      <c r="F9" s="9"/>
      <c r="G9" s="9"/>
      <c r="H9" s="50"/>
      <c r="I9" s="9"/>
      <c r="J9" s="51"/>
      <c r="K9" s="50"/>
      <c r="L9" s="80" t="s">
        <v>287</v>
      </c>
      <c r="M9" s="92" t="str">
        <f>DE!$AJ$2</f>
        <v>08/01/2024</v>
      </c>
      <c r="N9" s="9"/>
      <c r="O9" s="20"/>
      <c r="P9" s="2"/>
      <c r="Q9" s="2"/>
      <c r="R9" s="2"/>
      <c r="S9" s="2"/>
      <c r="T9" s="2"/>
      <c r="U9" s="2"/>
      <c r="V9" s="2"/>
      <c r="W9" s="2"/>
    </row>
    <row r="10" spans="1:23" x14ac:dyDescent="0.3">
      <c r="A10" s="2"/>
      <c r="B10" s="19"/>
      <c r="C10" s="2"/>
      <c r="D10" s="2"/>
      <c r="E10" s="2"/>
      <c r="F10" s="2"/>
      <c r="G10" s="2"/>
      <c r="H10" s="48"/>
      <c r="I10" s="2"/>
      <c r="J10" s="48"/>
      <c r="K10" s="48"/>
      <c r="L10" s="48"/>
      <c r="M10" s="2"/>
      <c r="N10" s="2"/>
      <c r="O10" s="20"/>
      <c r="P10" s="2"/>
      <c r="Q10" s="2"/>
      <c r="R10" s="2"/>
      <c r="S10" s="2"/>
      <c r="T10" s="2"/>
      <c r="U10" s="2"/>
      <c r="V10" s="2"/>
      <c r="W10" s="2"/>
    </row>
    <row r="11" spans="1:23" x14ac:dyDescent="0.3">
      <c r="A11" s="2"/>
      <c r="B11" s="19"/>
      <c r="C11" s="21" t="s">
        <v>245</v>
      </c>
      <c r="D11" s="2"/>
      <c r="E11" s="2"/>
      <c r="F11" s="2"/>
      <c r="G11" s="2"/>
      <c r="H11" s="48"/>
      <c r="I11" s="2"/>
      <c r="J11" s="53"/>
      <c r="K11" s="54"/>
      <c r="L11" s="54" t="str">
        <f>IF(HLOOKUP('Ibilgailu-mota'!$E$10,DE!$D$1:$AK$284,66,0)="","",HLOOKUP('Ibilgailu-mota'!$E$10,DE!$D$1:$AK$284,66,0))</f>
        <v/>
      </c>
      <c r="M11" s="2"/>
      <c r="N11" s="2"/>
      <c r="O11" s="20"/>
      <c r="P11" s="2"/>
      <c r="Q11" s="2"/>
      <c r="R11" s="2"/>
      <c r="S11" s="2"/>
      <c r="T11" s="2"/>
      <c r="U11" s="2"/>
      <c r="V11" s="2"/>
      <c r="W11" s="2"/>
    </row>
    <row customHeight="1" ht="3.75" r="12" spans="1:23" x14ac:dyDescent="0.3">
      <c r="A12" s="2"/>
      <c r="B12" s="19"/>
      <c r="C12" s="11"/>
      <c r="D12" s="2"/>
      <c r="E12" s="2"/>
      <c r="F12" s="2"/>
      <c r="G12" s="2"/>
      <c r="H12" s="48"/>
      <c r="I12" s="2"/>
      <c r="J12" s="48"/>
      <c r="K12" s="48"/>
      <c r="L12" s="28"/>
      <c r="M12" s="2"/>
      <c r="N12" s="2"/>
      <c r="O12" s="20"/>
      <c r="P12" s="2"/>
      <c r="Q12" s="2"/>
      <c r="R12" s="2"/>
      <c r="S12" s="2"/>
      <c r="T12" s="2"/>
      <c r="U12" s="2"/>
      <c r="V12" s="2"/>
      <c r="W12" s="2"/>
    </row>
    <row r="13" spans="1:23" x14ac:dyDescent="0.3">
      <c r="A13" s="2"/>
      <c r="B13" s="19"/>
      <c r="C13" s="21" t="s">
        <v>246</v>
      </c>
      <c r="D13" s="2"/>
      <c r="E13" s="2"/>
      <c r="F13" s="2"/>
      <c r="G13" s="2"/>
      <c r="H13" s="53"/>
      <c r="I13" s="11" t="s">
        <v>4</v>
      </c>
      <c r="J13" s="60">
        <f>IFERROR(ROUND((H13/100)*J11,2),0)</f>
        <v>0</v>
      </c>
      <c r="K13" s="54" t="str">
        <f>IF(HLOOKUP(CONCATENATE('Ibilgailu-mota'!$E$10,"A"),DE!$C$1:$AK$300,67,0)="","",HLOOKUP(CONCATENATE('Ibilgailu-mota'!$E$10,"A"),DE!$C$1:$AK$300,67,0))</f>
        <v/>
      </c>
      <c r="L13" s="54">
        <f>IF(HLOOKUP('Ibilgailu-mota'!$E$10,DE!$D$1:$AK$284,67,0)="","",HLOOKUP('Ibilgailu-mota'!$E$10,DE!$D$1:$AK$284,67,0))</f>
        <v>0</v>
      </c>
      <c r="M13" s="2"/>
      <c r="N13" s="2"/>
      <c r="O13" s="20"/>
      <c r="P13" s="2"/>
      <c r="Q13" s="2"/>
      <c r="R13" s="2"/>
      <c r="S13" s="2"/>
      <c r="T13" s="2"/>
      <c r="U13" s="2"/>
      <c r="V13" s="2"/>
      <c r="W13" s="2"/>
    </row>
    <row customHeight="1" ht="3.75" r="14" spans="1:23" x14ac:dyDescent="0.3">
      <c r="A14" s="2"/>
      <c r="B14" s="19"/>
      <c r="C14" s="11"/>
      <c r="D14" s="2"/>
      <c r="E14" s="2"/>
      <c r="F14" s="2"/>
      <c r="G14" s="2"/>
      <c r="H14" s="48"/>
      <c r="I14" s="2"/>
      <c r="J14" s="48"/>
      <c r="K14" s="48"/>
      <c r="M14" s="2"/>
      <c r="N14" s="2"/>
      <c r="O14" s="20"/>
      <c r="P14" s="2"/>
      <c r="Q14" s="2"/>
      <c r="R14" s="2"/>
      <c r="S14" s="2"/>
      <c r="T14" s="2"/>
      <c r="U14" s="2"/>
      <c r="V14" s="2"/>
      <c r="W14" s="2"/>
    </row>
    <row r="15" spans="1:23" x14ac:dyDescent="0.3">
      <c r="A15" s="2"/>
      <c r="B15" s="19"/>
      <c r="C15" s="21" t="s">
        <v>247</v>
      </c>
      <c r="D15" s="2"/>
      <c r="E15" s="2"/>
      <c r="F15" s="2"/>
      <c r="G15" s="2"/>
      <c r="H15" s="53"/>
      <c r="I15" s="2" t="s">
        <v>4</v>
      </c>
      <c r="J15" s="60">
        <f>IFERROR(ROUND((H15/100)*(J11-J13)/(1+H15/100),2),0)</f>
        <v>0</v>
      </c>
      <c r="K15" s="54" t="str">
        <f>IF(HLOOKUP(CONCATENATE('Ibilgailu-mota'!$E$10,"A"),DE!$C$1:$AK$300,68,0)="","",HLOOKUP(CONCATENATE('Ibilgailu-mota'!$E$10,"A"),DE!$C$1:$AK$300,68,0))</f>
        <v/>
      </c>
      <c r="L15" s="54">
        <f>IF(HLOOKUP('Ibilgailu-mota'!$E$10,DE!$D$1:$AK$284,68,0)="","",HLOOKUP('Ibilgailu-mota'!$E$10,DE!$D$1:$AK$284,68,0))</f>
        <v>0</v>
      </c>
      <c r="M15" s="2"/>
      <c r="N15" s="2"/>
      <c r="O15" s="20"/>
      <c r="P15" s="2"/>
      <c r="Q15" s="2"/>
      <c r="R15" s="2"/>
      <c r="S15" s="2"/>
      <c r="T15" s="2"/>
      <c r="U15" s="2"/>
      <c r="V15" s="2"/>
      <c r="W15" s="2"/>
    </row>
    <row customHeight="1" ht="3.75" r="16" spans="1:23" x14ac:dyDescent="0.3">
      <c r="A16" s="2"/>
      <c r="B16" s="19"/>
      <c r="C16" s="11"/>
      <c r="D16" s="2"/>
      <c r="E16" s="2"/>
      <c r="F16" s="2"/>
      <c r="G16" s="2"/>
      <c r="H16" s="48"/>
      <c r="I16" s="2"/>
      <c r="J16" s="48"/>
      <c r="K16" s="48"/>
      <c r="L16" s="28"/>
      <c r="M16" s="2"/>
      <c r="N16" s="2"/>
      <c r="O16" s="20"/>
      <c r="P16" s="2"/>
      <c r="Q16" s="2"/>
      <c r="R16" s="2"/>
      <c r="S16" s="2"/>
      <c r="T16" s="2"/>
      <c r="U16" s="2"/>
      <c r="V16" s="2"/>
      <c r="W16" s="2"/>
    </row>
    <row r="17" spans="1:23" x14ac:dyDescent="0.3">
      <c r="A17" s="2"/>
      <c r="B17" s="19"/>
      <c r="C17" s="21" t="s">
        <v>248</v>
      </c>
      <c r="D17" s="2"/>
      <c r="E17" s="2"/>
      <c r="F17" s="2"/>
      <c r="G17" s="2"/>
      <c r="H17" s="48"/>
      <c r="I17" s="2"/>
      <c r="J17" s="60">
        <f>IFERROR(ROUND((J11-J13)/(1+H15/100),2),0)</f>
        <v>0</v>
      </c>
      <c r="K17" s="48"/>
      <c r="L17" s="54">
        <f>IF(HLOOKUP('Ibilgailu-mota'!$E$10,DE!$D$1:$AK$284,69,0)="","",HLOOKUP('Ibilgailu-mota'!$E$10,DE!$D$1:$AK$284,69,0))</f>
        <v>0</v>
      </c>
      <c r="M17" s="2"/>
      <c r="N17" s="2"/>
      <c r="O17" s="20"/>
      <c r="P17" s="2"/>
      <c r="Q17" s="2"/>
      <c r="R17" s="2"/>
      <c r="S17" s="2"/>
      <c r="T17" s="2"/>
      <c r="U17" s="2"/>
      <c r="V17" s="2"/>
      <c r="W17" s="2"/>
    </row>
    <row customHeight="1" ht="3.75" r="18" spans="1:23" x14ac:dyDescent="0.3">
      <c r="A18" s="2"/>
      <c r="B18" s="19"/>
      <c r="C18" s="11"/>
      <c r="D18" s="2"/>
      <c r="E18" s="2"/>
      <c r="F18" s="2"/>
      <c r="G18" s="2"/>
      <c r="H18" s="48"/>
      <c r="I18" s="2"/>
      <c r="J18" s="48"/>
      <c r="K18" s="48"/>
      <c r="L18" s="48"/>
      <c r="M18" s="2"/>
      <c r="N18" s="2"/>
      <c r="O18" s="20"/>
      <c r="P18" s="2"/>
      <c r="Q18" s="2"/>
      <c r="R18" s="2"/>
      <c r="S18" s="2"/>
      <c r="T18" s="2"/>
      <c r="U18" s="2"/>
      <c r="V18" s="2"/>
      <c r="W18" s="2"/>
    </row>
    <row r="19" spans="1:23" x14ac:dyDescent="0.3">
      <c r="A19" s="2"/>
      <c r="B19" s="19"/>
      <c r="C19" s="21" t="s">
        <v>249</v>
      </c>
      <c r="D19" s="2"/>
      <c r="E19" s="2"/>
      <c r="F19" s="2"/>
      <c r="G19" s="2"/>
      <c r="H19" s="48"/>
      <c r="I19" s="2"/>
      <c r="J19" s="60">
        <f>IFERROR(ROUND(('Ibilgailuaren Ezaugarriak'!J23/100)*'Ibilgailuaren Ezaugarriak'!J27*'Kostu aldakorrak'!J17,0),0)</f>
        <v>0</v>
      </c>
      <c r="K19" s="48"/>
      <c r="L19" s="54">
        <f>IF(HLOOKUP('Ibilgailu-mota'!$E$10,DE!$D$1:$AK$284,70,0)="","",HLOOKUP('Ibilgailu-mota'!$E$10,DE!$D$1:$AK$284,70,0))</f>
        <v>0</v>
      </c>
      <c r="M19" s="2"/>
      <c r="N19" s="2"/>
      <c r="O19" s="20"/>
      <c r="P19" s="2"/>
      <c r="Q19" s="2"/>
      <c r="R19" s="2"/>
      <c r="S19" s="2"/>
      <c r="T19" s="2"/>
      <c r="U19" s="2"/>
      <c r="V19" s="2"/>
      <c r="W19" s="2"/>
    </row>
    <row r="20" spans="1:23" x14ac:dyDescent="0.3">
      <c r="A20" s="2"/>
      <c r="B20" s="19"/>
      <c r="C20" s="2"/>
      <c r="D20" s="2"/>
      <c r="E20" s="2"/>
      <c r="F20" s="2"/>
      <c r="G20" s="2"/>
      <c r="H20" s="48"/>
      <c r="I20" s="2"/>
      <c r="J20" s="48"/>
      <c r="K20" s="48"/>
      <c r="L20" s="48"/>
      <c r="M20" s="2"/>
      <c r="N20" s="2"/>
      <c r="O20" s="20"/>
      <c r="P20" s="2"/>
      <c r="Q20" s="2"/>
      <c r="R20" s="2"/>
      <c r="S20" s="2"/>
      <c r="T20" s="2"/>
      <c r="U20" s="2"/>
      <c r="V20" s="2"/>
      <c r="W20" s="2"/>
    </row>
    <row customHeight="1" ht="20.100000000000001" r="21" spans="1:23" x14ac:dyDescent="0.3">
      <c r="A21" s="2"/>
      <c r="B21" s="19"/>
      <c r="C21" s="8" t="s">
        <v>250</v>
      </c>
      <c r="D21" s="9"/>
      <c r="E21" s="9"/>
      <c r="F21" s="9"/>
      <c r="G21" s="9"/>
      <c r="H21" s="50"/>
      <c r="I21" s="9"/>
      <c r="J21" s="51"/>
      <c r="K21" s="50"/>
      <c r="L21" s="80" t="s">
        <v>287</v>
      </c>
      <c r="M21" s="92" t="str">
        <f>DE!$AJ$2</f>
        <v>08/01/2024</v>
      </c>
      <c r="N21" s="9"/>
      <c r="O21" s="20"/>
      <c r="P21" s="2"/>
      <c r="Q21" s="2"/>
      <c r="R21" s="2"/>
      <c r="S21" s="2"/>
      <c r="T21" s="2"/>
      <c r="U21" s="2"/>
      <c r="V21" s="2"/>
      <c r="W21" s="2"/>
    </row>
    <row r="22" spans="1:23" x14ac:dyDescent="0.3">
      <c r="A22" s="2"/>
      <c r="B22" s="19"/>
      <c r="C22" s="2"/>
      <c r="D22" s="2"/>
      <c r="E22" s="2"/>
      <c r="F22" s="2"/>
      <c r="G22" s="2"/>
      <c r="H22" s="48"/>
      <c r="I22" s="2"/>
      <c r="J22" s="48"/>
      <c r="K22" s="48"/>
      <c r="L22" s="48"/>
      <c r="M22" s="2"/>
      <c r="N22" s="2"/>
      <c r="O22" s="20"/>
      <c r="P22" s="2"/>
      <c r="Q22" s="2"/>
      <c r="R22" s="2"/>
      <c r="S22" s="2"/>
      <c r="T22" s="2"/>
      <c r="U22" s="2"/>
      <c r="V22" s="2"/>
      <c r="W22" s="2"/>
    </row>
    <row r="23" spans="1:23" x14ac:dyDescent="0.3">
      <c r="A23" s="2"/>
      <c r="B23" s="19"/>
      <c r="C23" s="21" t="s">
        <v>251</v>
      </c>
      <c r="D23" s="2"/>
      <c r="E23" s="2"/>
      <c r="F23" s="2"/>
      <c r="G23" s="2"/>
      <c r="H23" s="48"/>
      <c r="I23" s="2"/>
      <c r="J23" s="53"/>
      <c r="K23" s="48"/>
      <c r="L23" s="54" t="str">
        <f>IF(HLOOKUP('Ibilgailu-mota'!$E$10,DE!$D$1:$AK$284,71,0)="","",HLOOKUP('Ibilgailu-mota'!$E$10,DE!$D$1:$AK$284,71,0))</f>
        <v/>
      </c>
      <c r="M23" s="2"/>
      <c r="N23" s="2"/>
      <c r="O23" s="20"/>
      <c r="P23" s="2"/>
      <c r="Q23" s="2"/>
      <c r="R23" s="2"/>
      <c r="S23" s="2"/>
      <c r="T23" s="2"/>
      <c r="U23" s="2"/>
      <c r="V23" s="2"/>
      <c r="W23" s="2"/>
    </row>
    <row customHeight="1" ht="3.75" r="24" spans="1:23" x14ac:dyDescent="0.3">
      <c r="A24" s="2"/>
      <c r="B24" s="19"/>
      <c r="C24" s="11"/>
      <c r="D24" s="2"/>
      <c r="E24" s="2"/>
      <c r="F24" s="2"/>
      <c r="G24" s="2"/>
      <c r="H24" s="48"/>
      <c r="I24" s="2"/>
      <c r="J24" s="48"/>
      <c r="K24" s="48"/>
      <c r="M24" s="2"/>
      <c r="N24" s="2"/>
      <c r="O24" s="20"/>
      <c r="P24" s="2"/>
      <c r="Q24" s="2"/>
      <c r="R24" s="2"/>
      <c r="S24" s="2"/>
      <c r="T24" s="2"/>
      <c r="U24" s="2"/>
      <c r="V24" s="2"/>
      <c r="W24" s="2"/>
    </row>
    <row r="25" spans="1:23" x14ac:dyDescent="0.3">
      <c r="A25" s="2"/>
      <c r="B25" s="19"/>
      <c r="C25" s="21" t="s">
        <v>252</v>
      </c>
      <c r="D25" s="2"/>
      <c r="E25" s="2"/>
      <c r="F25" s="2"/>
      <c r="G25" s="2"/>
      <c r="H25" s="48"/>
      <c r="I25" s="11"/>
      <c r="J25" s="53"/>
      <c r="K25" s="48"/>
      <c r="L25" s="54" t="str">
        <f>IF(HLOOKUP('Ibilgailu-mota'!$E$10,DE!$D$1:$AK$284,72,0)="","",HLOOKUP('Ibilgailu-mota'!$E$10,DE!$D$1:$AK$284,72,0))</f>
        <v/>
      </c>
      <c r="M25" s="2"/>
      <c r="N25" s="2"/>
      <c r="O25" s="20"/>
      <c r="P25" s="2"/>
      <c r="Q25" s="2"/>
      <c r="R25" s="2"/>
      <c r="S25" s="2"/>
      <c r="T25" s="2"/>
      <c r="U25" s="2"/>
      <c r="V25" s="2"/>
      <c r="W25" s="2"/>
    </row>
    <row customHeight="1" ht="3.75" r="26" spans="1:23" x14ac:dyDescent="0.3">
      <c r="A26" s="2"/>
      <c r="B26" s="19"/>
      <c r="C26" s="11"/>
      <c r="D26" s="2"/>
      <c r="E26" s="2"/>
      <c r="F26" s="2"/>
      <c r="G26" s="2"/>
      <c r="H26" s="48"/>
      <c r="I26" s="2"/>
      <c r="J26" s="48"/>
      <c r="K26" s="48"/>
      <c r="L26" s="28"/>
      <c r="M26" s="2"/>
      <c r="N26" s="2"/>
      <c r="O26" s="20"/>
      <c r="P26" s="2"/>
      <c r="Q26" s="2"/>
      <c r="R26" s="2"/>
      <c r="S26" s="2"/>
      <c r="T26" s="2"/>
      <c r="U26" s="2"/>
      <c r="V26" s="2"/>
      <c r="W26" s="2"/>
    </row>
    <row r="27" spans="1:23" x14ac:dyDescent="0.3">
      <c r="A27" s="2"/>
      <c r="B27" s="19"/>
      <c r="C27" s="21" t="s">
        <v>253</v>
      </c>
      <c r="D27" s="2"/>
      <c r="E27" s="2"/>
      <c r="F27" s="2"/>
      <c r="G27" s="2"/>
      <c r="H27" s="48"/>
      <c r="I27" s="2"/>
      <c r="J27" s="53"/>
      <c r="K27" s="48"/>
      <c r="L27" s="54" t="str">
        <f>IF(HLOOKUP('Ibilgailu-mota'!$E$10,DE!$D$1:$AK$284,73,0)="","",HLOOKUP('Ibilgailu-mota'!$E$10,DE!$D$1:$AK$284,73,0))</f>
        <v/>
      </c>
      <c r="M27" s="2"/>
      <c r="N27" s="2"/>
      <c r="O27" s="20"/>
      <c r="P27" s="2"/>
      <c r="Q27" s="2"/>
      <c r="R27" s="2"/>
      <c r="S27" s="2"/>
      <c r="T27" s="2"/>
      <c r="U27" s="2"/>
      <c r="V27" s="2"/>
      <c r="W27" s="2"/>
    </row>
    <row customHeight="1" ht="3.75" r="28" spans="1:23" x14ac:dyDescent="0.3">
      <c r="A28" s="2"/>
      <c r="B28" s="19"/>
      <c r="C28" s="2"/>
      <c r="D28" s="2"/>
      <c r="E28" s="2"/>
      <c r="F28" s="2"/>
      <c r="G28" s="2"/>
      <c r="H28" s="48"/>
      <c r="I28" s="2"/>
      <c r="J28" s="48"/>
      <c r="K28" s="48"/>
      <c r="L28" s="28"/>
      <c r="M28" s="2"/>
      <c r="N28" s="2"/>
      <c r="O28" s="20"/>
      <c r="P28" s="2"/>
      <c r="Q28" s="2"/>
      <c r="R28" s="2"/>
      <c r="S28" s="2"/>
      <c r="T28" s="2"/>
      <c r="U28" s="2"/>
      <c r="V28" s="2"/>
      <c r="W28" s="2"/>
    </row>
    <row r="29" spans="1:23" x14ac:dyDescent="0.3">
      <c r="A29" s="2"/>
      <c r="B29" s="19"/>
      <c r="C29" s="11" t="s">
        <v>254</v>
      </c>
      <c r="D29" s="2"/>
      <c r="E29" s="2"/>
      <c r="F29" s="2"/>
      <c r="G29" s="2"/>
      <c r="H29" s="48"/>
      <c r="I29" s="2"/>
      <c r="J29" s="53"/>
      <c r="K29" s="48"/>
      <c r="L29" s="54" t="str">
        <f>IF(HLOOKUP('Ibilgailu-mota'!$E$10,DE!$D$1:$AK$284,74,0)="","",HLOOKUP('Ibilgailu-mota'!$E$10,DE!$D$1:$AK$284,74,0))</f>
        <v/>
      </c>
      <c r="M29" s="2"/>
      <c r="N29" s="2"/>
      <c r="O29" s="20"/>
      <c r="P29" s="2"/>
      <c r="Q29" s="2"/>
      <c r="R29" s="2"/>
      <c r="S29" s="2"/>
      <c r="T29" s="2"/>
      <c r="U29" s="2"/>
      <c r="V29" s="2"/>
      <c r="W29" s="2"/>
    </row>
    <row customHeight="1" ht="3.75" r="30" spans="1:23" x14ac:dyDescent="0.3">
      <c r="A30" s="2"/>
      <c r="B30" s="19"/>
      <c r="C30" s="2"/>
      <c r="D30" s="2"/>
      <c r="E30" s="2"/>
      <c r="F30" s="2"/>
      <c r="G30" s="2"/>
      <c r="H30" s="48"/>
      <c r="I30" s="2"/>
      <c r="J30" s="48"/>
      <c r="K30" s="48"/>
      <c r="L30" s="28"/>
      <c r="M30" s="2"/>
      <c r="N30" s="2"/>
      <c r="O30" s="20"/>
      <c r="P30" s="2"/>
      <c r="Q30" s="2"/>
      <c r="R30" s="2"/>
      <c r="S30" s="2"/>
      <c r="T30" s="2"/>
      <c r="U30" s="2"/>
      <c r="V30" s="2"/>
      <c r="W30" s="2"/>
    </row>
    <row r="31" spans="1:23" x14ac:dyDescent="0.3">
      <c r="A31" s="2"/>
      <c r="B31" s="19"/>
      <c r="C31" s="11" t="s">
        <v>255</v>
      </c>
      <c r="D31" s="2"/>
      <c r="E31" s="2"/>
      <c r="F31" s="2"/>
      <c r="G31" s="2"/>
      <c r="H31" s="48"/>
      <c r="I31" s="2"/>
      <c r="J31" s="53"/>
      <c r="K31" s="48"/>
      <c r="L31" s="54" t="str">
        <f>IF(HLOOKUP('Ibilgailu-mota'!$E$10,DE!$D$1:$AK$284,75,0)="","",HLOOKUP('Ibilgailu-mota'!$E$10,DE!$D$1:$AK$284,75,0))</f>
        <v/>
      </c>
      <c r="M31" s="2"/>
      <c r="N31" s="2"/>
      <c r="O31" s="20"/>
      <c r="P31" s="2"/>
      <c r="Q31" s="2"/>
      <c r="R31" s="2"/>
      <c r="S31" s="2"/>
      <c r="T31" s="2"/>
      <c r="U31" s="2"/>
      <c r="V31" s="2"/>
      <c r="W31" s="2"/>
    </row>
    <row customHeight="1" ht="3.75" r="32" spans="1:23" x14ac:dyDescent="0.3">
      <c r="A32" s="2"/>
      <c r="B32" s="19"/>
      <c r="C32" s="2"/>
      <c r="D32" s="2"/>
      <c r="E32" s="2"/>
      <c r="F32" s="2"/>
      <c r="G32" s="2"/>
      <c r="H32" s="48"/>
      <c r="I32" s="2"/>
      <c r="J32" s="48"/>
      <c r="K32" s="48"/>
      <c r="L32" s="28"/>
      <c r="M32" s="2"/>
      <c r="N32" s="2"/>
      <c r="O32" s="20"/>
      <c r="P32" s="2"/>
      <c r="Q32" s="2"/>
      <c r="R32" s="2"/>
      <c r="S32" s="2"/>
      <c r="T32" s="2"/>
      <c r="U32" s="2"/>
      <c r="V32" s="2"/>
      <c r="W32" s="2"/>
    </row>
    <row r="33" spans="1:23" x14ac:dyDescent="0.3">
      <c r="A33" s="2"/>
      <c r="B33" s="19"/>
      <c r="C33" s="11" t="s">
        <v>256</v>
      </c>
      <c r="D33" s="2"/>
      <c r="E33" s="2"/>
      <c r="F33" s="2"/>
      <c r="G33" s="2"/>
      <c r="H33" s="48"/>
      <c r="I33" s="2"/>
      <c r="J33" s="53"/>
      <c r="K33" s="48"/>
      <c r="L33" s="54" t="str">
        <f>IF(HLOOKUP('Ibilgailu-mota'!$E$10,DE!$D$1:$AK$284,76,0)="","",HLOOKUP('Ibilgailu-mota'!$E$10,DE!$D$1:$AK$284,76,0))</f>
        <v/>
      </c>
      <c r="M33" s="2"/>
      <c r="N33" s="2"/>
      <c r="O33" s="20"/>
      <c r="P33" s="2"/>
      <c r="Q33" s="2"/>
      <c r="R33" s="2"/>
      <c r="S33" s="2"/>
      <c r="T33" s="2"/>
      <c r="U33" s="2"/>
      <c r="V33" s="2"/>
      <c r="W33" s="2"/>
    </row>
    <row customHeight="1" ht="3.75" r="34" spans="1:23" x14ac:dyDescent="0.3">
      <c r="A34" s="2"/>
      <c r="B34" s="19"/>
      <c r="C34" s="2"/>
      <c r="D34" s="2"/>
      <c r="E34" s="2"/>
      <c r="F34" s="2"/>
      <c r="G34" s="2"/>
      <c r="H34" s="48"/>
      <c r="I34" s="2"/>
      <c r="J34" s="48"/>
      <c r="K34" s="48"/>
      <c r="L34" s="28"/>
      <c r="M34" s="2"/>
      <c r="N34" s="2"/>
      <c r="O34" s="20"/>
      <c r="P34" s="2"/>
      <c r="Q34" s="2"/>
      <c r="R34" s="2"/>
      <c r="S34" s="2"/>
      <c r="T34" s="2"/>
      <c r="U34" s="2"/>
      <c r="V34" s="2"/>
      <c r="W34" s="2"/>
    </row>
    <row r="35" spans="1:23" x14ac:dyDescent="0.3">
      <c r="A35" s="2"/>
      <c r="B35" s="19"/>
      <c r="C35" s="21" t="s">
        <v>257</v>
      </c>
      <c r="D35" s="2"/>
      <c r="E35" s="2"/>
      <c r="F35" s="2"/>
      <c r="G35" s="2"/>
      <c r="H35" s="48"/>
      <c r="I35" s="2"/>
      <c r="J35" s="53"/>
      <c r="K35" s="48"/>
      <c r="L35" s="54" t="str">
        <f>IF(HLOOKUP('Ibilgailu-mota'!$E$10,DE!$D$1:$AK$284,77,0)="","",HLOOKUP('Ibilgailu-mota'!$E$10,DE!$D$1:$AK$284,77,0))</f>
        <v/>
      </c>
      <c r="M35" s="2"/>
      <c r="N35" s="2"/>
      <c r="O35" s="20"/>
      <c r="P35" s="2"/>
      <c r="Q35" s="2"/>
      <c r="R35" s="2"/>
      <c r="S35" s="2"/>
      <c r="T35" s="2"/>
      <c r="U35" s="2"/>
      <c r="V35" s="2"/>
      <c r="W35" s="2"/>
    </row>
    <row customHeight="1" ht="3.75" r="36" spans="1:23" x14ac:dyDescent="0.3">
      <c r="A36" s="2"/>
      <c r="B36" s="19"/>
      <c r="C36" s="11"/>
      <c r="D36" s="2"/>
      <c r="E36" s="2"/>
      <c r="F36" s="2"/>
      <c r="G36" s="2"/>
      <c r="H36" s="48"/>
      <c r="I36" s="2"/>
      <c r="J36" s="48"/>
      <c r="K36" s="48"/>
      <c r="L36" s="28"/>
      <c r="M36" s="2"/>
      <c r="N36" s="2"/>
      <c r="O36" s="20"/>
      <c r="P36" s="2"/>
      <c r="Q36" s="2"/>
      <c r="R36" s="2"/>
      <c r="S36" s="2"/>
      <c r="T36" s="2"/>
      <c r="U36" s="2"/>
      <c r="V36" s="2"/>
      <c r="W36" s="2"/>
    </row>
    <row r="37" spans="1:23" x14ac:dyDescent="0.3">
      <c r="A37" s="2"/>
      <c r="B37" s="19"/>
      <c r="C37" s="21" t="s">
        <v>258</v>
      </c>
      <c r="D37" s="2"/>
      <c r="E37" s="2"/>
      <c r="F37" s="2"/>
      <c r="G37" s="2"/>
      <c r="H37" s="48"/>
      <c r="I37" s="2"/>
      <c r="J37" s="53"/>
      <c r="K37" s="48"/>
      <c r="L37" s="54" t="str">
        <f>IF(HLOOKUP('Ibilgailu-mota'!$E$10,DE!$D$1:$AK$284,78,0)="","",HLOOKUP('Ibilgailu-mota'!$E$10,DE!$D$1:$AK$284,78,0))</f>
        <v/>
      </c>
      <c r="M37" s="2"/>
      <c r="N37" s="2"/>
      <c r="O37" s="20"/>
      <c r="P37" s="2"/>
      <c r="Q37" s="2"/>
      <c r="R37" s="2"/>
      <c r="S37" s="2"/>
      <c r="T37" s="2"/>
      <c r="U37" s="2"/>
      <c r="V37" s="2"/>
      <c r="W37" s="2"/>
    </row>
    <row customHeight="1" ht="3.75" r="38" spans="1:23" x14ac:dyDescent="0.3">
      <c r="A38" s="2"/>
      <c r="B38" s="19"/>
      <c r="C38" s="11"/>
      <c r="D38" s="2"/>
      <c r="E38" s="2"/>
      <c r="F38" s="2"/>
      <c r="G38" s="2"/>
      <c r="H38" s="48"/>
      <c r="I38" s="2"/>
      <c r="J38" s="48"/>
      <c r="K38" s="48"/>
      <c r="L38" s="28"/>
      <c r="M38" s="2"/>
      <c r="N38" s="2"/>
      <c r="O38" s="20"/>
      <c r="P38" s="2"/>
      <c r="Q38" s="2"/>
      <c r="R38" s="2"/>
      <c r="S38" s="2"/>
      <c r="T38" s="2"/>
      <c r="U38" s="2"/>
      <c r="V38" s="2"/>
      <c r="W38" s="2"/>
    </row>
    <row r="39" spans="1:23" x14ac:dyDescent="0.3">
      <c r="A39" s="2"/>
      <c r="B39" s="19"/>
      <c r="C39" s="21" t="s">
        <v>259</v>
      </c>
      <c r="D39" s="2"/>
      <c r="E39" s="2"/>
      <c r="F39" s="2"/>
      <c r="G39" s="2"/>
      <c r="H39" s="48"/>
      <c r="I39" s="2"/>
      <c r="J39" s="53"/>
      <c r="K39" s="48"/>
      <c r="L39" s="54" t="str">
        <f>IF(HLOOKUP('Ibilgailu-mota'!$E$10,DE!$D$1:$AK$284,79,0)="","",HLOOKUP('Ibilgailu-mota'!$E$10,DE!$D$1:$AK$284,79,0))</f>
        <v/>
      </c>
      <c r="M39" s="2"/>
      <c r="N39" s="2"/>
      <c r="O39" s="20"/>
      <c r="P39" s="2"/>
      <c r="Q39" s="2"/>
      <c r="R39" s="2"/>
      <c r="S39" s="2"/>
      <c r="T39" s="2"/>
      <c r="U39" s="2"/>
      <c r="V39" s="2"/>
      <c r="W39" s="2"/>
    </row>
    <row customHeight="1" ht="3.75" r="40" spans="1:23" x14ac:dyDescent="0.3">
      <c r="A40" s="2"/>
      <c r="B40" s="19"/>
      <c r="C40" s="11"/>
      <c r="D40" s="2"/>
      <c r="E40" s="2"/>
      <c r="F40" s="2"/>
      <c r="G40" s="2"/>
      <c r="H40" s="48"/>
      <c r="I40" s="2"/>
      <c r="J40" s="48"/>
      <c r="K40" s="48"/>
      <c r="L40" s="28"/>
      <c r="M40" s="2"/>
      <c r="N40" s="2"/>
      <c r="O40" s="20"/>
      <c r="P40" s="2"/>
      <c r="Q40" s="2"/>
      <c r="R40" s="2"/>
      <c r="S40" s="2"/>
      <c r="T40" s="2"/>
      <c r="U40" s="2"/>
      <c r="V40" s="2"/>
      <c r="W40" s="2"/>
    </row>
    <row r="41" spans="1:23" x14ac:dyDescent="0.3">
      <c r="A41" s="2"/>
      <c r="B41" s="19"/>
      <c r="C41" s="21" t="s">
        <v>260</v>
      </c>
      <c r="D41" s="2"/>
      <c r="E41" s="2"/>
      <c r="F41" s="2"/>
      <c r="G41" s="2"/>
      <c r="H41" s="48"/>
      <c r="I41" s="2"/>
      <c r="J41" s="60">
        <f>IFERROR(ROUND((J23*J29*'Ibilgailuaren Ezaugarriak'!J23/'Kostu aldakorrak'!J35)+(J25*J31*'Ibilgailuaren Ezaugarriak'!J23/'Kostu aldakorrak'!J37)+(J27*J33*'Ibilgailuaren Ezaugarriak'!J23/'Kostu aldakorrak'!J39),0),0)</f>
        <v>0</v>
      </c>
      <c r="K41" s="48"/>
      <c r="L41" s="54">
        <f>IF(HLOOKUP('Ibilgailu-mota'!$E$10,DE!$D$1:$AK$284,80,0)="","",HLOOKUP('Ibilgailu-mota'!$E$10,DE!$D$1:$AK$284,80,0))</f>
        <v>0</v>
      </c>
      <c r="M41" s="2"/>
      <c r="N41" s="2"/>
      <c r="O41" s="20"/>
      <c r="P41" s="2"/>
      <c r="Q41" s="2"/>
      <c r="R41" s="2"/>
      <c r="S41" s="2"/>
      <c r="T41" s="2"/>
      <c r="U41" s="2"/>
      <c r="V41" s="2"/>
      <c r="W41" s="2"/>
    </row>
    <row r="42" spans="1:23" x14ac:dyDescent="0.3">
      <c r="A42" s="2"/>
      <c r="B42" s="19"/>
      <c r="C42" s="2"/>
      <c r="D42" s="2"/>
      <c r="E42" s="2"/>
      <c r="F42" s="2"/>
      <c r="G42" s="2"/>
      <c r="H42" s="48"/>
      <c r="I42" s="2"/>
      <c r="J42" s="48"/>
      <c r="K42" s="48"/>
      <c r="L42" s="48"/>
      <c r="M42" s="2"/>
      <c r="N42" s="2"/>
      <c r="O42" s="20"/>
      <c r="P42" s="2"/>
      <c r="Q42" s="2"/>
      <c r="R42" s="2"/>
      <c r="S42" s="2"/>
      <c r="T42" s="2"/>
      <c r="U42" s="2"/>
      <c r="V42" s="2"/>
      <c r="W42" s="2"/>
    </row>
    <row customHeight="1" ht="20.100000000000001" r="43" spans="1:23" x14ac:dyDescent="0.3">
      <c r="A43" s="2"/>
      <c r="B43" s="19"/>
      <c r="C43" s="8" t="s">
        <v>261</v>
      </c>
      <c r="D43" s="9"/>
      <c r="E43" s="9"/>
      <c r="F43" s="9"/>
      <c r="G43" s="9"/>
      <c r="H43" s="50"/>
      <c r="I43" s="9"/>
      <c r="J43" s="51"/>
      <c r="K43" s="50"/>
      <c r="L43" s="80" t="s">
        <v>287</v>
      </c>
      <c r="M43" s="92" t="str">
        <f>DE!$AJ$2</f>
        <v>08/01/2024</v>
      </c>
      <c r="N43" s="9"/>
      <c r="O43" s="20"/>
      <c r="P43" s="2"/>
      <c r="Q43" s="2"/>
      <c r="R43" s="2"/>
      <c r="S43" s="2"/>
      <c r="T43" s="2"/>
      <c r="U43" s="2"/>
      <c r="V43" s="2"/>
      <c r="W43" s="2"/>
    </row>
    <row r="44" spans="1:23" x14ac:dyDescent="0.3">
      <c r="A44" s="2"/>
      <c r="B44" s="19"/>
      <c r="C44" s="2"/>
      <c r="D44" s="2"/>
      <c r="E44" s="2"/>
      <c r="F44" s="2"/>
      <c r="G44" s="2"/>
      <c r="H44" s="48"/>
      <c r="I44" s="2"/>
      <c r="J44" s="48"/>
      <c r="K44" s="48"/>
      <c r="L44" s="48"/>
      <c r="M44" s="2"/>
      <c r="N44" s="2"/>
      <c r="O44" s="20"/>
      <c r="P44" s="2"/>
      <c r="Q44" s="2"/>
      <c r="R44" s="2"/>
      <c r="S44" s="2"/>
      <c r="T44" s="2"/>
      <c r="U44" s="2"/>
      <c r="V44" s="2"/>
      <c r="W44" s="2"/>
    </row>
    <row r="45" spans="1:23" x14ac:dyDescent="0.3">
      <c r="A45" s="2"/>
      <c r="B45" s="19"/>
      <c r="C45" s="21" t="s">
        <v>262</v>
      </c>
      <c r="D45" s="2"/>
      <c r="E45" s="2"/>
      <c r="F45" s="2"/>
      <c r="G45" s="2"/>
      <c r="H45" s="48"/>
      <c r="I45" s="2"/>
      <c r="J45" s="53"/>
      <c r="K45" s="48"/>
      <c r="L45" s="54" t="str">
        <f>IF(HLOOKUP('Ibilgailu-mota'!$E$10,DE!$D$1:$AK$284,81,0)="","",HLOOKUP('Ibilgailu-mota'!$E$10,DE!$D$1:$AK$284,81,0))</f>
        <v/>
      </c>
      <c r="M45" s="2"/>
      <c r="N45" s="2"/>
      <c r="O45" s="20"/>
      <c r="P45" s="2"/>
      <c r="Q45" s="2"/>
      <c r="R45" s="2"/>
      <c r="S45" s="2"/>
      <c r="T45" s="2"/>
      <c r="U45" s="2"/>
      <c r="V45" s="2"/>
      <c r="W45" s="2"/>
    </row>
    <row customHeight="1" ht="3.75" r="46" spans="1:23" x14ac:dyDescent="0.3">
      <c r="A46" s="2"/>
      <c r="B46" s="19"/>
      <c r="C46" s="11"/>
      <c r="D46" s="2"/>
      <c r="E46" s="2"/>
      <c r="F46" s="2"/>
      <c r="G46" s="2"/>
      <c r="H46" s="48"/>
      <c r="I46" s="2"/>
      <c r="J46" s="48"/>
      <c r="K46" s="48"/>
      <c r="L46" s="28"/>
      <c r="M46" s="2"/>
      <c r="N46" s="2"/>
      <c r="O46" s="20"/>
      <c r="P46" s="2"/>
      <c r="Q46" s="2"/>
      <c r="R46" s="2"/>
      <c r="S46" s="2"/>
      <c r="T46" s="2"/>
      <c r="U46" s="2"/>
      <c r="V46" s="2"/>
      <c r="W46" s="2"/>
    </row>
    <row r="47" spans="1:23" x14ac:dyDescent="0.3">
      <c r="A47" s="2"/>
      <c r="B47" s="19"/>
      <c r="C47" s="11" t="s">
        <v>263</v>
      </c>
      <c r="D47" s="2"/>
      <c r="E47" s="2"/>
      <c r="F47" s="2"/>
      <c r="G47" s="2"/>
      <c r="H47" s="48"/>
      <c r="I47" s="11"/>
      <c r="J47" s="60">
        <f>IFERROR(ROUND('Ibilgailuaren Ezaugarriak'!J23*'Kostu aldakorrak'!J45,2),0)</f>
        <v>0</v>
      </c>
      <c r="K47" s="48"/>
      <c r="L47" s="54">
        <f>IF(HLOOKUP('Ibilgailu-mota'!$E$10,DE!$D$1:$AK$284,82,0)="","",HLOOKUP('Ibilgailu-mota'!$E$10,DE!$D$1:$AK$284,82,0))</f>
        <v>0</v>
      </c>
      <c r="M47" s="2"/>
      <c r="N47" s="2"/>
      <c r="O47" s="20"/>
      <c r="P47" s="2"/>
      <c r="Q47" s="2"/>
      <c r="R47" s="2"/>
      <c r="S47" s="2"/>
      <c r="T47" s="2"/>
      <c r="U47" s="2"/>
      <c r="V47" s="2"/>
      <c r="W47" s="2"/>
    </row>
    <row r="48" spans="1:23" x14ac:dyDescent="0.3">
      <c r="A48" s="2"/>
      <c r="B48" s="19"/>
      <c r="C48" s="2"/>
      <c r="D48" s="2"/>
      <c r="E48" s="2"/>
      <c r="F48" s="2"/>
      <c r="G48" s="2"/>
      <c r="H48" s="48"/>
      <c r="I48" s="2"/>
      <c r="J48" s="48"/>
      <c r="K48" s="48"/>
      <c r="L48" s="48"/>
      <c r="M48" s="2"/>
      <c r="N48" s="2"/>
      <c r="O48" s="20"/>
      <c r="P48" s="2"/>
      <c r="Q48" s="2"/>
      <c r="R48" s="2"/>
      <c r="S48" s="2"/>
      <c r="T48" s="2"/>
      <c r="U48" s="2"/>
      <c r="V48" s="2"/>
      <c r="W48" s="2"/>
    </row>
    <row customHeight="1" ht="20.100000000000001" r="49" spans="1:23" x14ac:dyDescent="0.3">
      <c r="A49" s="2"/>
      <c r="B49" s="19"/>
      <c r="C49" s="8" t="s">
        <v>264</v>
      </c>
      <c r="D49" s="9"/>
      <c r="E49" s="9"/>
      <c r="F49" s="9"/>
      <c r="G49" s="9"/>
      <c r="H49" s="50"/>
      <c r="I49" s="9"/>
      <c r="J49" s="51"/>
      <c r="K49" s="50"/>
      <c r="L49" s="80" t="s">
        <v>287</v>
      </c>
      <c r="M49" s="92" t="str">
        <f>DE!$AJ$2</f>
        <v>08/01/2024</v>
      </c>
      <c r="N49" s="9"/>
      <c r="O49" s="20"/>
      <c r="P49" s="2"/>
      <c r="Q49" s="2"/>
      <c r="R49" s="2"/>
      <c r="S49" s="2"/>
      <c r="T49" s="2"/>
      <c r="U49" s="2"/>
      <c r="V49" s="2"/>
      <c r="W49" s="2"/>
    </row>
    <row customHeight="1" ht="18" r="50" spans="1:23" x14ac:dyDescent="0.3">
      <c r="A50" s="2"/>
      <c r="B50" s="19"/>
      <c r="C50" s="2"/>
      <c r="D50" s="2"/>
      <c r="E50" s="2"/>
      <c r="F50" s="2"/>
      <c r="G50" s="2"/>
      <c r="H50" s="48"/>
      <c r="I50" s="2"/>
      <c r="J50" s="48"/>
      <c r="K50" s="48"/>
      <c r="L50" s="48"/>
      <c r="M50" s="2"/>
      <c r="N50" s="2"/>
      <c r="O50" s="20"/>
      <c r="P50" s="2"/>
      <c r="Q50" s="2"/>
      <c r="R50" s="2"/>
      <c r="S50" s="2"/>
      <c r="T50" s="2"/>
      <c r="U50" s="2"/>
      <c r="V50" s="2"/>
      <c r="W50" s="2"/>
    </row>
    <row r="51" spans="1:23" x14ac:dyDescent="0.3">
      <c r="A51" s="2"/>
      <c r="B51" s="19"/>
      <c r="C51" s="11" t="s">
        <v>265</v>
      </c>
      <c r="D51" s="2"/>
      <c r="E51" s="2"/>
      <c r="F51" s="2"/>
      <c r="G51" s="2"/>
      <c r="H51" s="48"/>
      <c r="I51" s="2"/>
      <c r="J51" s="53"/>
      <c r="K51" s="48"/>
      <c r="L51" s="54" t="str">
        <f>IF(HLOOKUP('Ibilgailu-mota'!$E$10,DE!$D$1:$AK$284,83,0)="","",HLOOKUP('Ibilgailu-mota'!$E$10,DE!$D$1:$AK$284,83,0))</f>
        <v/>
      </c>
      <c r="M51" s="2"/>
      <c r="N51" s="2"/>
      <c r="O51" s="20"/>
      <c r="P51" s="2"/>
      <c r="Q51" s="2"/>
      <c r="R51" s="2"/>
      <c r="S51" s="2"/>
      <c r="T51" s="2"/>
      <c r="U51" s="2"/>
      <c r="V51" s="2"/>
      <c r="W51" s="2"/>
    </row>
    <row customHeight="1" ht="3.75" r="52" spans="1:23" x14ac:dyDescent="0.3">
      <c r="A52" s="2"/>
      <c r="B52" s="19"/>
      <c r="C52" s="2"/>
      <c r="D52" s="2"/>
      <c r="E52" s="2"/>
      <c r="F52" s="2"/>
      <c r="G52" s="2"/>
      <c r="H52" s="48"/>
      <c r="I52" s="2"/>
      <c r="J52" s="48"/>
      <c r="K52" s="48"/>
      <c r="M52" s="2"/>
      <c r="N52" s="2"/>
      <c r="O52" s="20"/>
      <c r="P52" s="2"/>
      <c r="Q52" s="35"/>
      <c r="R52" s="2"/>
      <c r="S52" s="2"/>
      <c r="T52" s="2"/>
      <c r="U52" s="2"/>
      <c r="V52" s="2"/>
      <c r="W52" s="2"/>
    </row>
    <row r="53" spans="1:23" x14ac:dyDescent="0.3">
      <c r="A53" s="2"/>
      <c r="B53" s="19"/>
      <c r="C53" s="21" t="s">
        <v>266</v>
      </c>
      <c r="D53" s="2"/>
      <c r="E53" s="2"/>
      <c r="F53" s="2"/>
      <c r="G53" s="2"/>
      <c r="H53" s="48"/>
      <c r="I53" s="2"/>
      <c r="J53" s="60">
        <f>IFERROR(ROUND('Kostu aldakorrak'!J19+'Kostu aldakorrak'!J41+'Kostu aldakorrak'!J47+'Kostu aldakorrak'!J51,2),0)</f>
        <v>0</v>
      </c>
      <c r="K53" s="48"/>
      <c r="L53" s="54">
        <f>IF(HLOOKUP('Ibilgailu-mota'!$E$10,DE!$D$1:$AK$284,84,0)="","",HLOOKUP('Ibilgailu-mota'!$E$10,DE!$D$1:$AK$284,84,0))</f>
        <v>0</v>
      </c>
      <c r="M53" s="2"/>
      <c r="N53" s="2"/>
      <c r="O53" s="20"/>
      <c r="P53" s="2"/>
      <c r="Q53" s="35"/>
      <c r="R53" s="2"/>
      <c r="S53" s="2"/>
      <c r="T53" s="2"/>
      <c r="U53" s="2"/>
      <c r="V53" s="2"/>
      <c r="W53" s="2"/>
    </row>
    <row customHeight="1" ht="3.75" r="54" spans="1:23" x14ac:dyDescent="0.3">
      <c r="A54" s="2"/>
      <c r="B54" s="19"/>
      <c r="C54" s="2"/>
      <c r="D54" s="2"/>
      <c r="E54" s="2"/>
      <c r="F54" s="2"/>
      <c r="G54" s="2"/>
      <c r="H54" s="48"/>
      <c r="I54" s="2"/>
      <c r="J54" s="48"/>
      <c r="K54" s="48"/>
      <c r="L54" s="48"/>
      <c r="M54" s="2"/>
      <c r="N54" s="2"/>
      <c r="O54" s="20"/>
      <c r="P54" s="2"/>
      <c r="Q54" s="35"/>
      <c r="R54" s="2"/>
      <c r="S54" s="2"/>
      <c r="T54" s="2"/>
      <c r="U54" s="2"/>
      <c r="V54" s="2"/>
      <c r="W54" s="2"/>
    </row>
    <row r="55" spans="1:23" x14ac:dyDescent="0.3">
      <c r="A55" s="2"/>
      <c r="B55" s="19"/>
      <c r="C55" s="11" t="s">
        <v>267</v>
      </c>
      <c r="D55" s="2"/>
      <c r="E55" s="2"/>
      <c r="F55" s="2"/>
      <c r="G55" s="2"/>
      <c r="H55" s="48"/>
      <c r="I55" s="2"/>
      <c r="J55" s="60">
        <f>IFERROR(ROUND('Erosketa kostuak'!J63+'Ibilgailuan doazen langileen ko'!H39+'Aseguruak esta zerga arloko kos'!H47+'Kostu aldakorrak'!J53,2),0)</f>
        <v>0</v>
      </c>
      <c r="K55" s="48"/>
      <c r="L55" s="54">
        <f>IF(HLOOKUP('Ibilgailu-mota'!$E$10,DE!$D$1:$AK$284,85,0)="","",HLOOKUP('Ibilgailu-mota'!$E$10,DE!$D$1:$AK$284,85,0))</f>
        <v>0</v>
      </c>
      <c r="M55" s="2"/>
      <c r="N55" s="2"/>
      <c r="O55" s="20"/>
      <c r="P55" s="2"/>
      <c r="Q55" s="35"/>
      <c r="R55" s="2"/>
      <c r="S55" s="2"/>
      <c r="T55" s="2"/>
      <c r="U55" s="2"/>
      <c r="V55" s="2"/>
      <c r="W55" s="2"/>
    </row>
    <row r="56" spans="1:23" x14ac:dyDescent="0.3">
      <c r="A56" s="2"/>
      <c r="B56" s="23"/>
      <c r="C56" s="24"/>
      <c r="D56" s="24"/>
      <c r="E56" s="24"/>
      <c r="F56" s="24"/>
      <c r="G56" s="24"/>
      <c r="H56" s="65"/>
      <c r="I56" s="24"/>
      <c r="J56" s="65"/>
      <c r="K56" s="65"/>
      <c r="L56" s="65"/>
      <c r="M56" s="24"/>
      <c r="N56" s="24"/>
      <c r="O56" s="25"/>
      <c r="P56" s="2"/>
      <c r="Q56" s="2"/>
      <c r="R56" s="2"/>
      <c r="S56" s="2"/>
      <c r="T56" s="2"/>
      <c r="U56" s="2"/>
      <c r="V56" s="2"/>
      <c r="W56" s="2"/>
    </row>
    <row r="57" spans="1:23" x14ac:dyDescent="0.3">
      <c r="A57" s="2"/>
      <c r="B57" s="2"/>
      <c r="C57" s="2"/>
      <c r="D57" s="2"/>
      <c r="E57" s="2"/>
      <c r="F57" s="2"/>
      <c r="G57" s="2"/>
      <c r="H57" s="48"/>
      <c r="I57" s="2"/>
      <c r="J57" s="48"/>
      <c r="K57" s="48"/>
      <c r="L57" s="48"/>
      <c r="M57" s="2"/>
      <c r="N57" s="2"/>
      <c r="O57" s="2"/>
      <c r="P57" s="2"/>
      <c r="Q57" s="35"/>
      <c r="R57" s="35"/>
      <c r="S57" s="2"/>
      <c r="T57" s="2"/>
      <c r="U57" s="2"/>
      <c r="V57" s="2"/>
      <c r="W57" s="2"/>
    </row>
    <row r="58" spans="1:23" x14ac:dyDescent="0.3">
      <c r="A58" s="2"/>
      <c r="B58" s="2"/>
      <c r="C58" s="2"/>
      <c r="D58" s="2"/>
      <c r="E58" s="2"/>
      <c r="F58" s="2"/>
      <c r="G58" s="2"/>
      <c r="H58" s="48"/>
      <c r="I58" s="2"/>
      <c r="J58" s="48"/>
      <c r="K58" s="48"/>
      <c r="L58" s="48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x14ac:dyDescent="0.3">
      <c r="A59" s="2"/>
      <c r="B59" s="2"/>
      <c r="C59" s="2"/>
      <c r="D59" s="2"/>
      <c r="E59" s="2"/>
      <c r="F59" s="2"/>
      <c r="G59" s="2"/>
      <c r="H59" s="48"/>
      <c r="I59" s="2"/>
      <c r="J59" s="48"/>
      <c r="K59" s="48"/>
      <c r="L59" s="48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x14ac:dyDescent="0.3">
      <c r="A60" s="2"/>
      <c r="B60" s="2"/>
      <c r="C60" s="2"/>
      <c r="D60" s="2"/>
      <c r="E60" s="2"/>
      <c r="F60" s="2"/>
      <c r="G60" s="2"/>
      <c r="H60" s="48"/>
      <c r="I60" s="2"/>
      <c r="J60" s="48"/>
      <c r="K60" s="48"/>
      <c r="L60" s="48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x14ac:dyDescent="0.3">
      <c r="A61" s="2"/>
      <c r="B61" s="2"/>
      <c r="C61" s="2"/>
      <c r="D61" s="2"/>
      <c r="E61" s="2"/>
      <c r="F61" s="2"/>
      <c r="G61" s="2"/>
      <c r="H61" s="48"/>
      <c r="I61" s="2"/>
      <c r="J61" s="48"/>
      <c r="K61" s="48"/>
      <c r="L61" s="48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x14ac:dyDescent="0.3">
      <c r="A62" s="2"/>
      <c r="B62" s="2"/>
      <c r="C62" s="2"/>
      <c r="D62" s="2"/>
      <c r="E62" s="2"/>
      <c r="F62" s="2"/>
      <c r="G62" s="2"/>
      <c r="H62" s="48"/>
      <c r="I62" s="2"/>
      <c r="J62" s="48"/>
      <c r="K62" s="48"/>
      <c r="L62" s="48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x14ac:dyDescent="0.3">
      <c r="A63" s="2"/>
      <c r="B63" s="2"/>
      <c r="C63" s="2"/>
      <c r="D63" s="2"/>
      <c r="E63" s="2"/>
      <c r="F63" s="2"/>
      <c r="G63" s="2"/>
      <c r="H63" s="48"/>
      <c r="I63" s="2"/>
      <c r="J63" s="48"/>
      <c r="K63" s="48"/>
      <c r="L63" s="48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x14ac:dyDescent="0.3">
      <c r="A64" s="2"/>
      <c r="B64" s="2"/>
      <c r="C64" s="2"/>
      <c r="D64" s="2"/>
      <c r="E64" s="2"/>
      <c r="F64" s="2"/>
      <c r="G64" s="2"/>
      <c r="H64" s="48"/>
      <c r="I64" s="2"/>
      <c r="J64" s="48"/>
      <c r="K64" s="48"/>
      <c r="L64" s="48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x14ac:dyDescent="0.3">
      <c r="A65" s="2"/>
      <c r="B65" s="2"/>
      <c r="C65" s="2"/>
      <c r="D65" s="2"/>
      <c r="E65" s="2"/>
      <c r="F65" s="2"/>
      <c r="G65" s="2"/>
      <c r="H65" s="48"/>
      <c r="I65" s="2"/>
      <c r="J65" s="48"/>
      <c r="K65" s="48"/>
      <c r="L65" s="48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x14ac:dyDescent="0.3">
      <c r="A66" s="2"/>
      <c r="B66" s="2"/>
      <c r="C66" s="2"/>
      <c r="D66" s="2"/>
      <c r="E66" s="2"/>
      <c r="F66" s="2"/>
      <c r="G66" s="2"/>
      <c r="H66" s="48"/>
      <c r="I66" s="2"/>
      <c r="J66" s="48"/>
      <c r="K66" s="48"/>
      <c r="L66" s="48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x14ac:dyDescent="0.3">
      <c r="A67" s="2"/>
      <c r="B67" s="2"/>
      <c r="C67" s="2"/>
      <c r="D67" s="2"/>
      <c r="E67" s="2"/>
      <c r="F67" s="2"/>
      <c r="G67" s="2"/>
      <c r="H67" s="48"/>
      <c r="I67" s="2"/>
      <c r="J67" s="48"/>
      <c r="K67" s="48"/>
      <c r="L67" s="48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x14ac:dyDescent="0.3">
      <c r="A68" s="2"/>
      <c r="B68" s="2"/>
      <c r="C68" s="2"/>
      <c r="D68" s="2"/>
      <c r="E68" s="2"/>
      <c r="F68" s="2"/>
      <c r="G68" s="2"/>
      <c r="H68" s="48"/>
      <c r="I68" s="2"/>
      <c r="J68" s="48"/>
      <c r="K68" s="48"/>
      <c r="L68" s="48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x14ac:dyDescent="0.3">
      <c r="A69" s="2"/>
      <c r="B69" s="2"/>
      <c r="C69" s="2"/>
      <c r="D69" s="2"/>
      <c r="E69" s="2"/>
      <c r="F69" s="2"/>
      <c r="G69" s="2"/>
      <c r="H69" s="48"/>
      <c r="I69" s="2"/>
      <c r="J69" s="48"/>
      <c r="K69" s="48"/>
      <c r="L69" s="48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x14ac:dyDescent="0.3">
      <c r="A70" s="2"/>
      <c r="B70" s="2"/>
      <c r="C70" s="2"/>
      <c r="D70" s="2"/>
      <c r="E70" s="2"/>
      <c r="F70" s="2"/>
      <c r="G70" s="2"/>
      <c r="H70" s="48"/>
      <c r="I70" s="2"/>
      <c r="J70" s="48"/>
      <c r="K70" s="48"/>
      <c r="L70" s="48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x14ac:dyDescent="0.3">
      <c r="A71" s="2"/>
      <c r="B71" s="2"/>
      <c r="C71" s="2"/>
      <c r="D71" s="2"/>
      <c r="E71" s="2"/>
      <c r="F71" s="2"/>
      <c r="G71" s="2"/>
      <c r="H71" s="48"/>
      <c r="I71" s="2"/>
      <c r="J71" s="48"/>
      <c r="K71" s="48"/>
      <c r="L71" s="48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x14ac:dyDescent="0.3">
      <c r="A72" s="2"/>
      <c r="B72" s="2"/>
      <c r="C72" s="2"/>
      <c r="D72" s="2"/>
      <c r="E72" s="2"/>
      <c r="F72" s="2"/>
      <c r="G72" s="2"/>
      <c r="H72" s="48"/>
      <c r="I72" s="2"/>
      <c r="J72" s="48"/>
      <c r="K72" s="48"/>
      <c r="L72" s="48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</sheetData>
  <sheetProtection objects="1" scenarios="1" selectLockedCells="1" sheet="1"/>
  <pageMargins bottom="0.75" footer="0.3" header="0.3" left="0.7" right="0.7" top="0.75"/>
  <pageSetup orientation="portrait" paperSize="9" r:id="rId1"/>
  <drawing r:id="rId2"/>
</worksheet>
</file>

<file path=xl/worksheets/sheet9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O36"/>
  <sheetViews>
    <sheetView workbookViewId="0">
      <selection activeCell="J9" sqref="J9"/>
    </sheetView>
  </sheetViews>
  <sheetFormatPr baseColWidth="10" defaultColWidth="11.44140625" defaultRowHeight="14.4" x14ac:dyDescent="0.3"/>
  <cols>
    <col min="1" max="2" customWidth="true" width="5.6640625" collapsed="true"/>
    <col min="3" max="3" customWidth="true" width="40.33203125" collapsed="true"/>
    <col min="7" max="7" customWidth="true" width="21.33203125" collapsed="true"/>
    <col min="8" max="8" customWidth="true" style="47" width="15.6640625" collapsed="true"/>
    <col min="9" max="9" customWidth="true" width="2.0" collapsed="true"/>
    <col min="10" max="10" customWidth="true" style="47" width="16.88671875" collapsed="true"/>
    <col min="11" max="11" customWidth="true" width="10.5546875" collapsed="true"/>
    <col min="12" max="12" customWidth="true" width="9.5546875" collapsed="true"/>
    <col min="13" max="14" customWidth="true" width="5.6640625" collapsed="true"/>
  </cols>
  <sheetData>
    <row r="1" spans="1:15" x14ac:dyDescent="0.3">
      <c r="A1" s="2"/>
      <c r="B1" s="2"/>
      <c r="C1" s="2"/>
      <c r="D1" s="2"/>
      <c r="E1" s="2"/>
      <c r="F1" s="2"/>
      <c r="G1" s="2"/>
      <c r="H1" s="48"/>
      <c r="I1" s="2"/>
      <c r="J1" s="48"/>
      <c r="K1" s="2"/>
      <c r="L1" s="2"/>
      <c r="M1" s="2"/>
      <c r="N1" s="2"/>
      <c r="O1" s="2"/>
    </row>
    <row r="2" spans="1:15" x14ac:dyDescent="0.3">
      <c r="A2" s="2"/>
      <c r="B2" s="2"/>
      <c r="C2" s="2"/>
      <c r="D2" s="2"/>
      <c r="E2" s="2"/>
      <c r="F2" s="2"/>
      <c r="G2" s="2"/>
      <c r="H2" s="48"/>
      <c r="I2" s="2"/>
      <c r="J2" s="48"/>
      <c r="K2" s="2"/>
      <c r="L2" s="2"/>
      <c r="M2" s="2"/>
      <c r="N2" s="2"/>
      <c r="O2" s="2"/>
    </row>
    <row r="3" spans="1:15" x14ac:dyDescent="0.3">
      <c r="A3" s="2"/>
      <c r="B3" s="2"/>
      <c r="C3" s="2"/>
      <c r="D3" s="2"/>
      <c r="E3" s="2"/>
      <c r="F3" s="2"/>
      <c r="G3" s="2"/>
      <c r="H3" s="48"/>
      <c r="I3" s="2"/>
      <c r="J3" s="48"/>
      <c r="K3" s="2"/>
      <c r="L3" s="2"/>
      <c r="M3" s="2"/>
      <c r="N3" s="2"/>
      <c r="O3" s="2"/>
    </row>
    <row r="4" spans="1:15" x14ac:dyDescent="0.3">
      <c r="A4" s="2"/>
      <c r="B4" s="2"/>
      <c r="C4" s="2"/>
      <c r="D4" s="2"/>
      <c r="E4" s="2"/>
      <c r="F4" s="2"/>
      <c r="G4" s="2"/>
      <c r="H4" s="48"/>
      <c r="I4" s="2"/>
      <c r="J4" s="48"/>
      <c r="K4" s="2"/>
      <c r="L4" s="2"/>
      <c r="M4" s="2"/>
      <c r="N4" s="2"/>
      <c r="O4" s="2"/>
    </row>
    <row r="5" spans="1:15" x14ac:dyDescent="0.3">
      <c r="A5" s="2"/>
      <c r="B5" s="2"/>
      <c r="C5" s="2"/>
      <c r="D5" s="2"/>
      <c r="E5" s="2"/>
      <c r="F5" s="2"/>
      <c r="G5" s="2"/>
      <c r="H5" s="48"/>
      <c r="I5" s="2"/>
      <c r="J5" s="48"/>
      <c r="K5" s="2"/>
      <c r="L5" s="2"/>
      <c r="M5" s="2"/>
      <c r="N5" s="2"/>
      <c r="O5" s="2"/>
    </row>
    <row ht="23.4" r="6" spans="1:15" x14ac:dyDescent="0.45">
      <c r="A6" s="2"/>
      <c r="B6" s="2"/>
      <c r="C6" s="3" t="s">
        <v>272</v>
      </c>
      <c r="D6" s="2"/>
      <c r="E6" s="2"/>
      <c r="F6" s="2"/>
      <c r="G6" s="2"/>
      <c r="H6" s="48"/>
      <c r="I6" s="2"/>
      <c r="J6" s="48"/>
      <c r="K6" s="2"/>
      <c r="L6" s="2"/>
      <c r="M6" s="2"/>
      <c r="N6" s="2"/>
      <c r="O6" s="2"/>
    </row>
    <row r="7" spans="1:15" x14ac:dyDescent="0.3">
      <c r="A7" s="2"/>
      <c r="B7" s="2"/>
      <c r="C7" s="2"/>
      <c r="D7" s="2"/>
      <c r="E7" s="2"/>
      <c r="F7" s="2"/>
      <c r="G7" s="2"/>
      <c r="H7" s="48"/>
      <c r="I7" s="2"/>
      <c r="J7" s="48"/>
      <c r="K7" s="2"/>
      <c r="L7" s="2"/>
      <c r="M7" s="2"/>
      <c r="N7" s="2"/>
      <c r="O7" s="2"/>
    </row>
    <row r="8" spans="1:15" x14ac:dyDescent="0.3">
      <c r="A8" s="2"/>
      <c r="B8" s="17"/>
      <c r="C8" s="5"/>
      <c r="D8" s="5"/>
      <c r="E8" s="5"/>
      <c r="F8" s="5"/>
      <c r="G8" s="5"/>
      <c r="H8" s="49"/>
      <c r="I8" s="5"/>
      <c r="J8" s="49"/>
      <c r="K8" s="5"/>
      <c r="L8" s="5"/>
      <c r="M8" s="18"/>
      <c r="N8" s="2"/>
      <c r="O8" s="2"/>
    </row>
    <row customHeight="1" ht="20.100000000000001" r="9" spans="1:15" x14ac:dyDescent="0.3">
      <c r="A9" s="2"/>
      <c r="B9" s="19"/>
      <c r="C9" s="8" t="s">
        <v>268</v>
      </c>
      <c r="D9" s="9"/>
      <c r="E9" s="9"/>
      <c r="F9" s="9"/>
      <c r="G9" s="9"/>
      <c r="H9" s="51"/>
      <c r="I9" s="9"/>
      <c r="J9" s="80" t="s">
        <v>287</v>
      </c>
      <c r="K9" s="92" t="str">
        <f>DE!$AJ$2</f>
        <v>08/01/2024</v>
      </c>
      <c r="L9" s="9"/>
      <c r="M9" s="20"/>
      <c r="N9" s="2"/>
      <c r="O9" s="2"/>
    </row>
    <row r="10" spans="1:15" x14ac:dyDescent="0.3">
      <c r="A10" s="2"/>
      <c r="B10" s="19"/>
      <c r="C10" s="2"/>
      <c r="D10" s="2"/>
      <c r="E10" s="2"/>
      <c r="F10" s="2"/>
      <c r="G10" s="2"/>
      <c r="H10" s="48"/>
      <c r="I10" s="2"/>
      <c r="J10" s="48"/>
      <c r="K10" s="2"/>
      <c r="L10" s="2"/>
      <c r="M10" s="20"/>
      <c r="N10" s="2"/>
      <c r="O10" s="2"/>
    </row>
    <row r="11" spans="1:15" x14ac:dyDescent="0.3">
      <c r="A11" s="2"/>
      <c r="B11" s="19"/>
      <c r="C11" s="11" t="s">
        <v>269</v>
      </c>
      <c r="D11" s="2"/>
      <c r="E11" s="2"/>
      <c r="F11" s="2"/>
      <c r="G11" s="2"/>
      <c r="H11" s="60">
        <f>IFERROR(ROUND('Kostu aldakorrak'!J55/8,0),0)</f>
        <v>0</v>
      </c>
      <c r="I11" s="2"/>
      <c r="J11" s="54">
        <f>IF(HLOOKUP('Ibilgailu-mota'!$E$10,DE!$D$1:$AK$284,86,0)="","",HLOOKUP('Ibilgailu-mota'!$E$10,DE!$D$1:$AK$284,86,0))</f>
        <v>0</v>
      </c>
      <c r="K11" s="2"/>
      <c r="L11" s="2"/>
      <c r="M11" s="20"/>
      <c r="N11" s="2"/>
      <c r="O11" s="2"/>
    </row>
    <row r="12" spans="1:15" x14ac:dyDescent="0.3">
      <c r="A12" s="2"/>
      <c r="B12" s="19"/>
      <c r="C12" s="11"/>
      <c r="D12" s="2"/>
      <c r="E12" s="2"/>
      <c r="F12" s="2"/>
      <c r="G12" s="2"/>
      <c r="H12" s="48"/>
      <c r="I12" s="2"/>
      <c r="K12" s="2"/>
      <c r="L12" s="2"/>
      <c r="M12" s="20"/>
      <c r="N12" s="2"/>
      <c r="O12" s="2"/>
    </row>
    <row r="13" spans="1:15" x14ac:dyDescent="0.3">
      <c r="A13" s="2"/>
      <c r="B13" s="19"/>
      <c r="C13" s="11" t="s">
        <v>270</v>
      </c>
      <c r="D13" s="2"/>
      <c r="E13" s="2"/>
      <c r="F13" s="2"/>
      <c r="G13" s="2"/>
      <c r="H13" s="60">
        <f>H11</f>
        <v>0</v>
      </c>
      <c r="I13" s="2"/>
      <c r="J13" s="54">
        <f>IF(HLOOKUP('Ibilgailu-mota'!$E$10,DE!$D$1:$AK$284,87,0)="","",HLOOKUP('Ibilgailu-mota'!$E$10,DE!$D$1:$AK$284,87,0))</f>
        <v>0</v>
      </c>
      <c r="K13" s="2"/>
      <c r="L13" s="2"/>
      <c r="M13" s="20"/>
      <c r="N13" s="2"/>
      <c r="O13" s="2"/>
    </row>
    <row customHeight="1" ht="15" r="14" spans="1:15" x14ac:dyDescent="0.3">
      <c r="A14" s="2"/>
      <c r="B14" s="19"/>
      <c r="C14" s="11"/>
      <c r="D14" s="2"/>
      <c r="E14" s="2"/>
      <c r="F14" s="2"/>
      <c r="G14" s="2"/>
      <c r="H14" s="48"/>
      <c r="I14" s="2"/>
      <c r="J14" s="54"/>
      <c r="K14" s="2"/>
      <c r="L14" s="2"/>
      <c r="M14" s="20"/>
      <c r="N14" s="2"/>
      <c r="O14" s="2"/>
    </row>
    <row r="15" spans="1:15" x14ac:dyDescent="0.3">
      <c r="A15" s="2"/>
      <c r="B15" s="19"/>
      <c r="C15" s="11" t="s">
        <v>271</v>
      </c>
      <c r="D15" s="2"/>
      <c r="E15" s="2"/>
      <c r="F15" s="2"/>
      <c r="G15" s="2"/>
      <c r="H15" s="60">
        <f>IFERROR(ROUND(H13+'Kostu aldakorrak'!J55,0),0)</f>
        <v>0</v>
      </c>
      <c r="I15" s="2"/>
      <c r="J15" s="54">
        <f>IF(HLOOKUP('Ibilgailu-mota'!$E$10,DE!$D$1:$AK$284,88,0)="","",HLOOKUP('Ibilgailu-mota'!$E$10,DE!$D$1:$AK$284,88,0))</f>
        <v>0</v>
      </c>
      <c r="K15" s="2"/>
      <c r="L15" s="2"/>
      <c r="M15" s="20"/>
      <c r="N15" s="2"/>
      <c r="O15" s="2"/>
    </row>
    <row r="16" spans="1:15" x14ac:dyDescent="0.3">
      <c r="A16" s="2"/>
      <c r="B16" s="23"/>
      <c r="C16" s="24"/>
      <c r="D16" s="24"/>
      <c r="E16" s="24"/>
      <c r="F16" s="24"/>
      <c r="G16" s="24"/>
      <c r="H16" s="65"/>
      <c r="I16" s="24"/>
      <c r="J16" s="65"/>
      <c r="K16" s="24"/>
      <c r="L16" s="24"/>
      <c r="M16" s="25"/>
      <c r="N16" s="2"/>
      <c r="O16" s="2"/>
    </row>
    <row r="17" spans="1:15" x14ac:dyDescent="0.3">
      <c r="A17" s="2"/>
      <c r="B17" s="2"/>
      <c r="C17" s="2"/>
      <c r="D17" s="2"/>
      <c r="E17" s="2"/>
      <c r="F17" s="2"/>
      <c r="G17" s="2"/>
      <c r="H17" s="48"/>
      <c r="I17" s="2"/>
      <c r="J17" s="48"/>
      <c r="K17" s="2"/>
      <c r="L17" s="2"/>
      <c r="M17" s="2"/>
      <c r="N17" s="2"/>
      <c r="O17" s="2"/>
    </row>
    <row r="18" spans="1:15" x14ac:dyDescent="0.3">
      <c r="A18" s="2"/>
      <c r="B18" s="2"/>
      <c r="C18" s="2"/>
      <c r="D18" s="2"/>
      <c r="E18" s="2"/>
      <c r="F18" s="2"/>
      <c r="G18" s="2"/>
      <c r="H18" s="48"/>
      <c r="I18" s="2"/>
      <c r="J18" s="48"/>
      <c r="K18" s="2"/>
      <c r="L18" s="2"/>
      <c r="M18" s="2"/>
      <c r="N18" s="2"/>
      <c r="O18" s="2"/>
    </row>
    <row r="19" spans="1:15" x14ac:dyDescent="0.3">
      <c r="A19" s="2"/>
      <c r="B19" s="2"/>
      <c r="C19" s="2"/>
      <c r="D19" s="2"/>
      <c r="E19" s="2"/>
      <c r="F19" s="2"/>
      <c r="G19" s="2"/>
      <c r="H19" s="48"/>
      <c r="I19" s="2"/>
      <c r="J19" s="48"/>
      <c r="K19" s="2"/>
      <c r="L19" s="2"/>
      <c r="M19" s="2"/>
      <c r="N19" s="2"/>
      <c r="O19" s="2"/>
    </row>
    <row r="20" spans="1:15" x14ac:dyDescent="0.3">
      <c r="A20" s="2"/>
      <c r="B20" s="2"/>
      <c r="C20" s="2"/>
      <c r="D20" s="2"/>
      <c r="E20" s="2"/>
      <c r="F20" s="2"/>
      <c r="G20" s="2"/>
      <c r="H20" s="48"/>
      <c r="I20" s="2"/>
      <c r="J20" s="48"/>
      <c r="K20" s="2"/>
      <c r="L20" s="2"/>
      <c r="M20" s="2"/>
      <c r="N20" s="2"/>
      <c r="O20" s="2"/>
    </row>
    <row r="21" spans="1:15" x14ac:dyDescent="0.3">
      <c r="A21" s="2"/>
      <c r="B21" s="2"/>
      <c r="C21" s="2"/>
      <c r="D21" s="2"/>
      <c r="E21" s="2"/>
      <c r="F21" s="2"/>
      <c r="G21" s="2"/>
      <c r="H21" s="48"/>
      <c r="I21" s="2"/>
      <c r="J21" s="48"/>
      <c r="K21" s="2"/>
      <c r="L21" s="2"/>
      <c r="M21" s="2"/>
      <c r="N21" s="2"/>
      <c r="O21" s="2"/>
    </row>
    <row r="22" spans="1:15" x14ac:dyDescent="0.3">
      <c r="A22" s="2"/>
      <c r="B22" s="2"/>
      <c r="C22" s="2"/>
      <c r="D22" s="2"/>
      <c r="E22" s="2"/>
      <c r="F22" s="2"/>
      <c r="G22" s="2"/>
      <c r="H22" s="48"/>
      <c r="I22" s="2"/>
      <c r="J22" s="48"/>
      <c r="K22" s="2"/>
      <c r="L22" s="2"/>
      <c r="M22" s="2"/>
      <c r="N22" s="2"/>
      <c r="O22" s="2"/>
    </row>
    <row r="23" spans="1:15" x14ac:dyDescent="0.3">
      <c r="A23" s="2"/>
      <c r="B23" s="2"/>
      <c r="C23" s="2"/>
      <c r="D23" s="2"/>
      <c r="E23" s="2"/>
      <c r="F23" s="2"/>
      <c r="G23" s="2"/>
      <c r="H23" s="48"/>
      <c r="I23" s="2"/>
      <c r="J23" s="48"/>
      <c r="K23" s="2"/>
      <c r="L23" s="2"/>
      <c r="M23" s="2"/>
      <c r="N23" s="2"/>
      <c r="O23" s="2"/>
    </row>
    <row r="24" spans="1:15" x14ac:dyDescent="0.3">
      <c r="A24" s="2"/>
      <c r="B24" s="2"/>
      <c r="C24" s="2"/>
      <c r="D24" s="2"/>
      <c r="E24" s="2"/>
      <c r="F24" s="2"/>
      <c r="G24" s="2"/>
      <c r="H24" s="48"/>
      <c r="I24" s="2"/>
      <c r="J24" s="48"/>
      <c r="K24" s="2"/>
      <c r="L24" s="2"/>
      <c r="M24" s="2"/>
      <c r="N24" s="2"/>
      <c r="O24" s="2"/>
    </row>
    <row r="25" spans="1:15" x14ac:dyDescent="0.3">
      <c r="A25" s="2"/>
      <c r="B25" s="2"/>
      <c r="C25" s="2"/>
      <c r="D25" s="2"/>
      <c r="E25" s="2"/>
      <c r="F25" s="2"/>
      <c r="G25" s="2"/>
      <c r="H25" s="48"/>
      <c r="I25" s="2"/>
      <c r="J25" s="48"/>
      <c r="K25" s="2"/>
      <c r="L25" s="2"/>
      <c r="M25" s="2"/>
      <c r="N25" s="2"/>
      <c r="O25" s="2"/>
    </row>
    <row r="26" spans="1:15" x14ac:dyDescent="0.3">
      <c r="A26" s="2"/>
      <c r="B26" s="2"/>
      <c r="C26" s="2"/>
      <c r="D26" s="2"/>
      <c r="E26" s="2"/>
      <c r="F26" s="2"/>
      <c r="G26" s="2"/>
      <c r="H26" s="48"/>
      <c r="I26" s="2"/>
      <c r="J26" s="48"/>
      <c r="K26" s="2"/>
      <c r="L26" s="2"/>
      <c r="M26" s="2"/>
      <c r="N26" s="2"/>
      <c r="O26" s="2"/>
    </row>
    <row r="27" spans="1:15" x14ac:dyDescent="0.3">
      <c r="A27" s="2"/>
      <c r="B27" s="2"/>
      <c r="C27" s="2"/>
      <c r="D27" s="2"/>
      <c r="E27" s="2"/>
      <c r="F27" s="2"/>
      <c r="G27" s="2"/>
      <c r="H27" s="48"/>
      <c r="I27" s="2"/>
      <c r="J27" s="48"/>
      <c r="K27" s="2"/>
      <c r="L27" s="2"/>
      <c r="M27" s="2"/>
      <c r="N27" s="2"/>
      <c r="O27" s="2"/>
    </row>
    <row r="28" spans="1:15" x14ac:dyDescent="0.3">
      <c r="A28" s="2"/>
      <c r="B28" s="2"/>
      <c r="C28" s="2"/>
      <c r="D28" s="2"/>
      <c r="E28" s="2"/>
      <c r="F28" s="2"/>
      <c r="G28" s="2"/>
      <c r="H28" s="48"/>
      <c r="I28" s="2"/>
      <c r="J28" s="48"/>
      <c r="K28" s="2"/>
      <c r="L28" s="2"/>
      <c r="M28" s="2"/>
      <c r="N28" s="2"/>
      <c r="O28" s="2"/>
    </row>
    <row r="29" spans="1:15" x14ac:dyDescent="0.3">
      <c r="A29" s="2"/>
      <c r="B29" s="2"/>
      <c r="C29" s="2"/>
      <c r="D29" s="2"/>
      <c r="E29" s="2"/>
      <c r="F29" s="2"/>
      <c r="G29" s="2"/>
      <c r="H29" s="48"/>
      <c r="I29" s="2"/>
      <c r="J29" s="48"/>
      <c r="K29" s="2"/>
      <c r="L29" s="2"/>
      <c r="M29" s="2"/>
      <c r="N29" s="2"/>
      <c r="O29" s="2"/>
    </row>
    <row r="30" spans="1:15" x14ac:dyDescent="0.3">
      <c r="A30" s="2"/>
      <c r="B30" s="2"/>
      <c r="C30" s="2"/>
      <c r="D30" s="2"/>
      <c r="E30" s="2"/>
      <c r="F30" s="2"/>
      <c r="G30" s="2"/>
      <c r="H30" s="48"/>
      <c r="I30" s="2"/>
      <c r="J30" s="48"/>
      <c r="K30" s="2"/>
      <c r="L30" s="2"/>
      <c r="M30" s="2"/>
      <c r="N30" s="2"/>
      <c r="O30" s="2"/>
    </row>
    <row r="31" spans="1:15" x14ac:dyDescent="0.3">
      <c r="A31" s="2"/>
      <c r="B31" s="2"/>
      <c r="C31" s="2"/>
      <c r="D31" s="2"/>
      <c r="E31" s="2"/>
      <c r="F31" s="2"/>
      <c r="G31" s="2"/>
      <c r="H31" s="48"/>
      <c r="I31" s="2"/>
      <c r="J31" s="48"/>
      <c r="K31" s="2"/>
      <c r="L31" s="2"/>
      <c r="M31" s="2"/>
      <c r="N31" s="2"/>
      <c r="O31" s="2"/>
    </row>
    <row r="32" spans="1:15" x14ac:dyDescent="0.3">
      <c r="A32" s="2"/>
      <c r="B32" s="2"/>
      <c r="C32" s="2"/>
      <c r="D32" s="2"/>
      <c r="E32" s="2"/>
      <c r="F32" s="2"/>
      <c r="G32" s="2"/>
      <c r="H32" s="48"/>
      <c r="I32" s="2"/>
      <c r="J32" s="48"/>
      <c r="K32" s="2"/>
      <c r="L32" s="2"/>
      <c r="M32" s="2"/>
      <c r="N32" s="2"/>
      <c r="O32" s="2"/>
    </row>
    <row r="33" spans="1:15" x14ac:dyDescent="0.3">
      <c r="A33" s="2"/>
      <c r="B33" s="2"/>
      <c r="C33" s="2"/>
      <c r="D33" s="2"/>
      <c r="E33" s="2"/>
      <c r="F33" s="2"/>
      <c r="G33" s="2"/>
      <c r="H33" s="48"/>
      <c r="I33" s="2"/>
      <c r="J33" s="48"/>
      <c r="K33" s="2"/>
      <c r="L33" s="2"/>
      <c r="M33" s="2"/>
      <c r="N33" s="2"/>
      <c r="O33" s="2"/>
    </row>
    <row r="34" spans="1:15" x14ac:dyDescent="0.3">
      <c r="A34" s="2"/>
      <c r="B34" s="2"/>
      <c r="C34" s="2"/>
      <c r="D34" s="2"/>
      <c r="E34" s="2"/>
      <c r="F34" s="2"/>
      <c r="G34" s="2"/>
      <c r="H34" s="48"/>
      <c r="I34" s="2"/>
      <c r="J34" s="48"/>
      <c r="K34" s="2"/>
      <c r="L34" s="2"/>
      <c r="M34" s="2"/>
      <c r="N34" s="2"/>
      <c r="O34" s="2"/>
    </row>
    <row r="35" spans="1:15" x14ac:dyDescent="0.3">
      <c r="A35" s="2"/>
      <c r="B35" s="2"/>
      <c r="C35" s="2"/>
      <c r="D35" s="2"/>
      <c r="E35" s="2"/>
      <c r="F35" s="2"/>
      <c r="G35" s="2"/>
      <c r="H35" s="48"/>
      <c r="I35" s="2"/>
      <c r="J35" s="48"/>
      <c r="K35" s="2"/>
      <c r="L35" s="2"/>
      <c r="M35" s="2"/>
      <c r="N35" s="2"/>
      <c r="O35" s="2"/>
    </row>
    <row r="36" spans="1:15" x14ac:dyDescent="0.3">
      <c r="A36" s="2"/>
      <c r="B36" s="2"/>
      <c r="C36" s="2"/>
      <c r="D36" s="2"/>
      <c r="E36" s="2"/>
      <c r="F36" s="2"/>
      <c r="G36" s="2"/>
      <c r="H36" s="48"/>
      <c r="I36" s="2"/>
      <c r="J36" s="48"/>
      <c r="K36" s="2"/>
      <c r="L36" s="2"/>
      <c r="M36" s="2"/>
      <c r="N36" s="2"/>
      <c r="O36" s="2"/>
    </row>
  </sheetData>
  <sheetProtection objects="1" scenarios="1" selectLockedCells="1" sheet="1"/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Hojas de cálculo</vt:lpstr>
      </vt:variant>
      <vt:variant>
        <vt:i4>11</vt:i4>
      </vt:variant>
      <vt:variant>
        <vt:lpstr>Rangos con nombre</vt:lpstr>
      </vt:variant>
      <vt:variant>
        <vt:i4>3</vt:i4>
      </vt:variant>
    </vt:vector>
  </HeadingPairs>
  <TitlesOfParts>
    <vt:vector baseType="lpstr" size="14">
      <vt:lpstr>T</vt:lpstr>
      <vt:lpstr>DE</vt:lpstr>
      <vt:lpstr>Ibilgailu-mota</vt:lpstr>
      <vt:lpstr>Ibilgailuaren Ezaugarriak</vt:lpstr>
      <vt:lpstr>Erosketa kostuak</vt:lpstr>
      <vt:lpstr>Ibilgailuan doazen langileen ko</vt:lpstr>
      <vt:lpstr>Aseguruak esta zerga arloko kos</vt:lpstr>
      <vt:lpstr>Kostu aldakorrak</vt:lpstr>
      <vt:lpstr>Zeharkako kostuak</vt:lpstr>
      <vt:lpstr>Emaitzak</vt:lpstr>
      <vt:lpstr>Zerbitzuaren kostua</vt:lpstr>
      <vt:lpstr>Adquisicion</vt:lpstr>
      <vt:lpstr>Precarga</vt:lpstr>
      <vt:lpstr>TipoV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2006-09-16T00:00:00Z</dcterms:created>
  <dcterms:modified xsi:type="dcterms:W3CDTF">2024-01-12T11:34:59Z</dcterms:modified>
</cp:coreProperties>
</file>