
<file path=[Content_Types].xml><?xml version="1.0" encoding="utf-8"?>
<Types xmlns="http://schemas.openxmlformats.org/package/2006/content-types">
  <Default ContentType="application/vnd.ms-office.activeX" Extension="bin"/>
  <Default ContentType="image/x-emf" Extension="emf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office.activeX+xml" PartName="/xl/activeX/activeX1.xml"/>
  <Override ContentType="application/vnd.ms-office.activeX+xml" PartName="/xl/activeX/activeX2.xml"/>
  <Override ContentType="application/vnd.ms-office.activeX+xml" PartName="/xl/activeX/activeX3.xml"/>
  <Override ContentType="application/vnd.ms-office.activeX+xml" PartName="/xl/activeX/activeX4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ms-excel.person+xml" PartName="/xl/persons/person.xml"/>
  <Override ContentType="application/vnd.openxmlformats-officedocument.spreadsheetml.printerSettings" PartName="/xl/printerSettings/printerSettings1.bin"/>
  <Override ContentType="application/vnd.openxmlformats-officedocument.spreadsheetml.printerSettings" PartName="/xl/printerSettings/printerSettings2.bin"/>
  <Override ContentType="application/vnd.openxmlformats-officedocument.spreadsheetml.printerSettings" PartName="/xl/printerSettings/printerSettings3.bin"/>
  <Override ContentType="application/vnd.openxmlformats-officedocument.spreadsheetml.printerSettings" PartName="/xl/printerSettings/printerSettings4.bin"/>
  <Override ContentType="application/vnd.openxmlformats-officedocument.spreadsheetml.printerSettings" PartName="/xl/printerSettings/printerSettings5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62F9E958-00F4-224C-1CEB-3A4BEE276A53}" lastEdited="7" lowestEdited="7" rupBuild="26626"/>
  <workbookPr codeName="ThisWorkbook" defaultThemeVersion="124226" filterPrivacy="1"/>
  <xr:revisionPtr documentId="13_ncr:1_{5519E4E6-DE8D-4E2E-9FA0-0CCF9598D05F}" revIDLastSave="117" xr10:uidLastSave="{9D1BB857-4511-43F5-8593-35BC09C38746}" xr6:coauthVersionLast="47" xr6:coauthVersionMax="47"/>
  <bookViews>
    <workbookView activeTab="2" firstSheet="2" windowHeight="12576" windowWidth="23256" xWindow="-108" xr2:uid="{00000000-000D-0000-FFFF-FFFF00000000}" yWindow="-108"/>
  </bookViews>
  <sheets>
    <sheet name="T" r:id="rId1" sheetId="1" state="hidden"/>
    <sheet name="DE" r:id="rId2" sheetId="2" state="hidden"/>
    <sheet name="Tipo Vehículo" r:id="rId3" sheetId="7"/>
    <sheet name="Cálculo Simplificado" r:id="rId4" sheetId="4"/>
    <sheet name="Resultados" r:id="rId5" sheetId="5"/>
    <sheet name="Coste Servicio" r:id="rId6" sheetId="6"/>
  </sheets>
  <definedNames>
    <definedName name="Adquisicion">#REF!</definedName>
    <definedName localSheetId="2" name="Precarga">#REF!</definedName>
    <definedName name="Precarga">#REF!</definedName>
    <definedName name="Pregunta">T!$C$2:$D$3</definedName>
    <definedName name="PreguntaSN">T!$C$2:$C$3</definedName>
    <definedName localSheetId="2" name="TipoV">#REF!</definedName>
    <definedName name="TipoV">#REF!</definedName>
    <definedName localSheetId="2" name="TVehiculo">#REF!</definedName>
    <definedName name="TVehiculo">T!$A$2:$A$17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i="7" l="1" r="E10"/>
  <c i="5" l="1" r="I59"/>
  <c i="5" r="I36"/>
  <c i="5" r="I9"/>
  <c i="4" r="K9"/>
  <c i="4" r="J47"/>
  <c i="4" r="I45"/>
  <c i="4" r="J39"/>
  <c i="4" r="J29"/>
  <c i="4" r="J27"/>
  <c i="4" r="J23"/>
  <c i="4" r="J13"/>
  <c i="4" r="J11"/>
  <c i="4" r="J10"/>
  <c i="2" r="Q14"/>
  <c i="2" r="O122"/>
  <c i="2" l="1" r="AI106"/>
  <c i="2" r="AG106"/>
  <c i="2" r="AE106"/>
  <c i="2" r="AC106"/>
  <c i="2" r="AA106"/>
  <c i="2" r="Y106"/>
  <c i="2" r="W106"/>
  <c i="2" r="U106"/>
  <c i="2" r="S106"/>
  <c i="2" r="Q106"/>
  <c i="2" r="O106"/>
  <c i="2" r="M106"/>
  <c i="2" r="K106"/>
  <c i="2" r="I106"/>
  <c i="2" r="G106"/>
  <c i="2" r="E106"/>
  <c i="2" r="AI104"/>
  <c i="2" r="AG104"/>
  <c i="2" r="AE104"/>
  <c i="2" r="AC104"/>
  <c i="2" r="AA104"/>
  <c i="2" r="Y104"/>
  <c i="2" r="W104"/>
  <c i="2" r="U104"/>
  <c i="2" r="S104"/>
  <c i="2" r="Q104"/>
  <c i="2" r="O104"/>
  <c i="2" r="M104"/>
  <c i="2" r="K104"/>
  <c i="2" r="I104"/>
  <c i="2" r="G104"/>
  <c i="2" r="E104"/>
  <c i="2" r="AI102"/>
  <c i="4" r="J43" s="1"/>
  <c i="2" r="AG102"/>
  <c i="2" r="AE102"/>
  <c i="2" r="AC102"/>
  <c i="2" r="AA102"/>
  <c i="2" r="Y102"/>
  <c i="2" r="W102"/>
  <c i="2" r="U102"/>
  <c i="2" r="S102"/>
  <c i="2" r="Q102"/>
  <c i="2" r="O102"/>
  <c i="2" r="M102"/>
  <c i="2" r="K102"/>
  <c i="2" r="I102"/>
  <c i="2" r="G102"/>
  <c i="2" r="E102"/>
  <c i="2" r="Y86"/>
  <c i="2" r="Y89" s="1"/>
  <c i="2" r="W86"/>
  <c i="2" r="W89" s="1"/>
  <c i="2" r="Y85"/>
  <c i="2" r="W85"/>
  <c i="2" r="AI78"/>
  <c i="2" r="AI80" s="1"/>
  <c i="2" r="AG78"/>
  <c i="2" r="AG80" s="1"/>
  <c i="2" r="AG81" s="1"/>
  <c i="2" r="AE78"/>
  <c i="2" r="AE80" s="1"/>
  <c i="2" r="AE81" s="1"/>
  <c i="2" r="AC78"/>
  <c i="2" r="AC80" s="1"/>
  <c i="2" r="AC81" s="1"/>
  <c i="2" r="AA78"/>
  <c i="2" r="AA80" s="1"/>
  <c i="2" r="AA81" s="1"/>
  <c i="2" r="Y78"/>
  <c i="2" r="Y80" s="1"/>
  <c i="2" r="Y81" s="1"/>
  <c i="2" r="W78"/>
  <c i="2" r="W80" s="1"/>
  <c i="2" r="W81" s="1"/>
  <c i="2" r="U78"/>
  <c i="2" r="U80" s="1"/>
  <c i="2" r="U81" s="1"/>
  <c i="2" r="S78"/>
  <c i="2" r="S80" s="1"/>
  <c i="2" r="S81" s="1"/>
  <c i="2" r="Q78"/>
  <c i="2" r="Q80" s="1"/>
  <c i="2" r="Q81" s="1"/>
  <c i="2" r="O78"/>
  <c i="2" r="O80" s="1"/>
  <c i="2" r="O81" s="1"/>
  <c i="2" r="M78"/>
  <c i="2" r="M80" s="1"/>
  <c i="2" r="M81" s="1"/>
  <c i="2" r="K78"/>
  <c i="2" r="K80" s="1"/>
  <c i="2" r="K81" s="1"/>
  <c i="2" r="I78"/>
  <c i="2" r="I80" s="1"/>
  <c i="2" r="I81" s="1"/>
  <c i="2" r="G78"/>
  <c i="2" r="G80" s="1"/>
  <c i="2" r="G81" s="1"/>
  <c i="2" r="E78"/>
  <c i="2" r="AI75"/>
  <c i="4" r="J35" s="1"/>
  <c i="2" r="AG75"/>
  <c i="2" r="AE75"/>
  <c i="2" r="AC75"/>
  <c i="2" r="AA75"/>
  <c i="2" r="Y75"/>
  <c i="2" r="W75"/>
  <c i="2" r="U75"/>
  <c i="2" r="S75"/>
  <c i="2" r="Q75"/>
  <c i="2" r="O75"/>
  <c i="2" r="M75"/>
  <c i="2" r="K75"/>
  <c i="2" r="I75"/>
  <c i="2" r="G75"/>
  <c i="2" r="E75"/>
  <c i="2" r="AI66"/>
  <c i="4" r="J33" s="1"/>
  <c i="2" r="AG66"/>
  <c i="2" r="AE66"/>
  <c i="2" r="AC66"/>
  <c i="2" r="AA66"/>
  <c i="2" r="AA76" s="1"/>
  <c i="2" r="Y66"/>
  <c i="2" r="W66"/>
  <c i="2" r="U66"/>
  <c i="2" r="S66"/>
  <c i="2" r="Q66"/>
  <c i="2" r="O66"/>
  <c i="2" r="M66"/>
  <c i="2" r="K66"/>
  <c i="2" r="I66"/>
  <c i="2" r="G66"/>
  <c i="2" r="E66"/>
  <c i="2" r="AI56"/>
  <c i="2" r="AG56"/>
  <c i="2" r="AE56"/>
  <c i="2" r="AC56"/>
  <c i="2" r="AA56"/>
  <c i="2" r="Y56"/>
  <c i="2" r="W56"/>
  <c i="2" r="U56"/>
  <c i="2" r="S56"/>
  <c i="2" r="Q56"/>
  <c i="2" r="O56"/>
  <c i="2" r="M56"/>
  <c i="2" r="K56"/>
  <c i="2" r="I56"/>
  <c i="2" r="G56"/>
  <c i="2" r="E56"/>
  <c i="2" r="AI54"/>
  <c i="4" r="I31" s="1"/>
  <c i="2" r="AG54"/>
  <c i="2" r="AE54"/>
  <c i="2" r="AC54"/>
  <c i="2" r="AA54"/>
  <c i="2" r="Y54"/>
  <c i="2" r="Y57" s="1"/>
  <c i="2" r="W54"/>
  <c i="2" r="U54"/>
  <c i="2" r="S54"/>
  <c i="2" r="Q54"/>
  <c i="2" r="O54"/>
  <c i="2" r="M54"/>
  <c i="2" r="K54"/>
  <c i="2" r="K57" s="1"/>
  <c i="2" r="I54"/>
  <c i="2" r="G54"/>
  <c i="2" r="G57" s="1"/>
  <c i="2" r="E54"/>
  <c i="2" r="AI39"/>
  <c i="4" r="J25" s="1"/>
  <c i="2" r="AC39"/>
  <c i="2" r="AA39"/>
  <c i="2" r="W39"/>
  <c i="2" r="U39"/>
  <c i="2" r="S39"/>
  <c i="2" r="Q39"/>
  <c i="2" r="M39"/>
  <c i="2" r="K39"/>
  <c i="2" r="I39"/>
  <c i="2" r="G39"/>
  <c i="2" r="E39"/>
  <c i="2" r="AI37"/>
  <c i="2" r="AC37"/>
  <c i="2" r="AA37"/>
  <c i="2" r="W37"/>
  <c i="2" r="U37"/>
  <c i="2" r="S37"/>
  <c i="2" r="Q37"/>
  <c i="2" r="Q41" s="1"/>
  <c i="2" r="M37"/>
  <c i="2" r="K37"/>
  <c i="2" r="I37"/>
  <c i="2" r="G37"/>
  <c i="2" r="E37"/>
  <c i="2" r="Y31"/>
  <c i="2" r="O31"/>
  <c i="2" r="Y29"/>
  <c i="2" r="O29"/>
  <c i="2" r="AI23"/>
  <c i="4" r="J19" s="1"/>
  <c i="2" r="AG23"/>
  <c i="2" r="AE23"/>
  <c i="2" r="AC23"/>
  <c i="2" r="AA23"/>
  <c i="2" r="Y23"/>
  <c i="2" r="W23"/>
  <c i="2" r="U23"/>
  <c i="2" r="S23"/>
  <c i="2" r="Q23"/>
  <c i="2" r="O23"/>
  <c i="2" r="M23"/>
  <c i="2" r="K23"/>
  <c i="2" r="I23"/>
  <c i="2" r="G23"/>
  <c i="2" r="E23"/>
  <c i="2" r="AI21"/>
  <c i="2" r="AG21"/>
  <c i="2" r="AE21"/>
  <c i="2" r="AC21"/>
  <c i="2" r="AA21"/>
  <c i="2" r="Y21"/>
  <c i="2" r="W21"/>
  <c i="2" r="U21"/>
  <c i="2" r="S21"/>
  <c i="2" r="Q21"/>
  <c i="2" r="O21"/>
  <c i="2" r="M21"/>
  <c i="2" r="K21"/>
  <c i="2" r="I21"/>
  <c i="2" r="G21"/>
  <c i="2" r="E21"/>
  <c i="2" r="AI17"/>
  <c i="4" r="J17" s="1"/>
  <c i="2" r="AG17"/>
  <c i="2" r="AE17"/>
  <c i="2" r="AC17"/>
  <c i="2" r="AA17"/>
  <c i="2" r="Y17"/>
  <c i="2" r="W17"/>
  <c i="2" r="U17"/>
  <c i="2" r="S17"/>
  <c i="2" r="Q17"/>
  <c i="2" r="O17"/>
  <c i="2" r="M17"/>
  <c i="2" r="K17"/>
  <c i="2" r="I17"/>
  <c i="2" r="G17"/>
  <c i="2" r="E17"/>
  <c i="2" r="AI15"/>
  <c i="2" r="AG15"/>
  <c i="2" r="AE15"/>
  <c i="2" r="AC15"/>
  <c i="2" r="AA15"/>
  <c i="2" r="Y15"/>
  <c i="2" r="W15"/>
  <c i="2" r="U15"/>
  <c i="2" r="S15"/>
  <c i="2" r="Q15"/>
  <c i="2" r="O15"/>
  <c i="2" r="M15"/>
  <c i="2" r="K15"/>
  <c i="2" r="I15"/>
  <c i="2" r="G15"/>
  <c i="2" r="E15"/>
  <c i="2" r="AI14"/>
  <c i="2" r="AG14"/>
  <c i="2" r="AE14"/>
  <c i="2" r="AC14"/>
  <c i="2" r="AA14"/>
  <c i="2" r="Y14"/>
  <c i="2" r="W14"/>
  <c i="2" r="U14"/>
  <c i="2" r="S14"/>
  <c i="2" r="O14"/>
  <c i="2" r="M14"/>
  <c i="2" r="K14"/>
  <c i="2" r="I14"/>
  <c i="2" r="G14"/>
  <c i="2" r="E14"/>
  <c i="2" r="AI11"/>
  <c i="2" r="AG11"/>
  <c i="2" r="AE11"/>
  <c i="2" r="AC11"/>
  <c i="2" r="AA11"/>
  <c i="2" r="Y11"/>
  <c i="2" r="W11"/>
  <c i="2" r="U11"/>
  <c i="2" r="S11"/>
  <c i="2" r="Q11"/>
  <c i="2" r="O11"/>
  <c i="2" r="M11"/>
  <c i="2" r="K11"/>
  <c i="2" r="I11"/>
  <c i="2" r="G11"/>
  <c i="2" r="E11"/>
  <c i="2" r="AI10"/>
  <c i="2" r="AG10"/>
  <c i="2" r="AE10"/>
  <c i="2" r="AC10"/>
  <c i="2" r="AA10"/>
  <c i="2" r="Y10"/>
  <c i="2" r="W10"/>
  <c i="2" r="U10"/>
  <c i="2" r="S10"/>
  <c i="2" r="Q10"/>
  <c i="2" r="O10"/>
  <c i="2" r="M10"/>
  <c i="2" r="K10"/>
  <c i="2" r="I10"/>
  <c i="2" r="G10"/>
  <c i="2" r="E10"/>
  <c i="2" l="1" r="Y32"/>
  <c i="4" r="J45"/>
  <c i="2" r="AI81"/>
  <c i="2" r="G108"/>
  <c i="2" r="K108"/>
  <c i="2" r="O108"/>
  <c i="2" r="Q108"/>
  <c i="2" r="S108"/>
  <c i="2" r="AC108"/>
  <c i="2" r="AE108"/>
  <c i="2" r="AI57"/>
  <c i="2" r="AG76"/>
  <c i="2" r="AI76"/>
  <c i="2" r="AE76"/>
  <c i="2" r="AE57"/>
  <c i="2" r="AC76"/>
  <c i="2" r="AA57"/>
  <c i="2" r="Y76"/>
  <c i="2" r="W76"/>
  <c i="2" r="U76"/>
  <c i="2" r="S76"/>
  <c i="2" r="S57"/>
  <c i="2" r="Q57"/>
  <c i="2" r="Q76"/>
  <c i="2" r="O57"/>
  <c i="2" r="M76"/>
  <c i="2" r="K76"/>
  <c i="2" r="I76"/>
  <c i="2" r="I57"/>
  <c i="2" r="G76"/>
  <c i="2" r="E76"/>
  <c i="2" r="E57"/>
  <c i="2" r="G40"/>
  <c i="2" r="E40"/>
  <c i="2" r="K40"/>
  <c i="2" r="S40"/>
  <c i="2" r="U41"/>
  <c i="2" r="W40"/>
  <c i="2" r="AA40"/>
  <c i="2" r="AI40"/>
  <c i="2" r="AI108"/>
  <c i="2" r="AG108"/>
  <c i="2" r="AG57"/>
  <c i="2" r="AC57"/>
  <c i="2" r="AA108"/>
  <c i="2" r="W57"/>
  <c i="2" r="O32"/>
  <c i="2" r="O33"/>
  <c i="2" r="U57"/>
  <c i="2" r="M108"/>
  <c i="2" r="M57"/>
  <c i="2" r="O25"/>
  <c i="2" r="O24"/>
  <c i="2" r="AE25"/>
  <c i="2" r="AE24"/>
  <c i="2" r="M25"/>
  <c i="2" r="M24"/>
  <c i="2" r="U108"/>
  <c i="2" r="S25"/>
  <c i="2" r="S24"/>
  <c i="2" r="AI25"/>
  <c i="2" r="AI24"/>
  <c i="2" r="W108"/>
  <c i="2" r="Q25"/>
  <c i="2" r="Q24"/>
  <c i="2" r="AG25"/>
  <c i="2" r="AG24"/>
  <c i="2" r="E24"/>
  <c i="2" r="E25"/>
  <c i="2" r="U25"/>
  <c i="2" r="U24"/>
  <c i="2" r="I40"/>
  <c i="2" r="AC40"/>
  <c i="2" r="S41"/>
  <c i="2" r="I108"/>
  <c i="2" r="Y108"/>
  <c i="2" r="AC25"/>
  <c i="2" r="AC24"/>
  <c i="2" r="E80"/>
  <c i="2" r="E81" s="1"/>
  <c i="2" r="E108" s="1"/>
  <c i="2" r="G24"/>
  <c i="2" r="G25"/>
  <c i="2" r="W25"/>
  <c i="2" r="W24"/>
  <c i="2" r="Y33"/>
  <c i="2" r="I25"/>
  <c i="2" r="I24"/>
  <c i="2" r="Y25"/>
  <c i="2" r="Y24"/>
  <c i="2" r="M41"/>
  <c i="2" r="E41"/>
  <c i="2" r="W41"/>
  <c i="2" r="K25"/>
  <c i="2" r="K24"/>
  <c i="2" r="AA25"/>
  <c i="2" r="AA24"/>
  <c i="2" r="G41"/>
  <c i="2" r="AA41"/>
  <c i="2" r="O76"/>
  <c i="2" r="Q40"/>
  <c i="2" r="O79"/>
  <c i="2" r="AE79"/>
  <c i="2" r="AC41"/>
  <c i="2" r="U40"/>
  <c i="2" r="K41"/>
  <c i="2" r="AI41"/>
  <c i="2" r="S79"/>
  <c i="2" r="AI79"/>
  <c i="2" r="M40"/>
  <c i="2" r="AG79"/>
  <c i="2" r="E79"/>
  <c i="2" r="U79"/>
  <c i="2" r="I41"/>
  <c i="2" r="Q79"/>
  <c i="2" r="G79"/>
  <c i="2" r="W79"/>
  <c i="2" r="I79"/>
  <c i="2" r="Y79"/>
  <c i="2" r="K79"/>
  <c i="2" r="AA79"/>
  <c i="2" r="M79"/>
  <c i="2" r="AC79"/>
  <c i="4" l="1" r="J37"/>
  <c i="4" r="J41"/>
  <c i="2" r="AG50"/>
  <c i="2" r="AE50"/>
  <c i="2" r="E50"/>
  <c i="2" r="Q50"/>
  <c i="2" r="U50"/>
  <c i="2" r="AC50"/>
  <c i="2" r="AA50"/>
  <c i="2" r="Y50"/>
  <c i="2" r="W50"/>
  <c i="2" r="S50"/>
  <c i="2" r="O50"/>
  <c i="2" r="M50"/>
  <c i="2" r="G50"/>
  <c i="2" r="K50"/>
  <c i="2" r="AI50"/>
  <c i="2" r="I50"/>
  <c i="2" l="1" r="AI125"/>
  <c i="2" r="AG125"/>
  <c i="2" r="AE125"/>
  <c i="2" r="AC125"/>
  <c i="2" r="AA125"/>
  <c i="2" r="Y125"/>
  <c i="2" r="W125"/>
  <c i="2" r="U125"/>
  <c i="2" r="S125"/>
  <c i="2" r="Q125"/>
  <c i="2" r="O125"/>
  <c i="2" r="M125"/>
  <c i="2" r="K125"/>
  <c i="2" r="I125"/>
  <c i="2" r="G125"/>
  <c i="2" r="E125"/>
  <c i="2" r="W124"/>
  <c i="2" r="G124"/>
  <c i="2" r="E124"/>
  <c i="2" r="G123"/>
  <c i="2" r="AG122"/>
  <c i="2" r="AE122"/>
  <c i="2" r="AC122"/>
  <c i="2" r="Y122"/>
  <c i="2" r="U122"/>
  <c i="2" r="M122"/>
  <c i="2" r="AI124"/>
  <c i="2" r="AG124"/>
  <c i="2" r="AE124"/>
  <c i="2" r="AC124"/>
  <c i="2" r="AA124"/>
  <c i="2" r="Y124"/>
  <c i="2" r="U124"/>
  <c i="2" r="S124"/>
  <c i="2" r="Q124"/>
  <c i="2" r="O124"/>
  <c i="2" r="M124"/>
  <c i="2" r="K124"/>
  <c i="2" r="I124"/>
  <c i="2" r="W123"/>
  <c i="2" r="U123"/>
  <c i="2" r="E123"/>
  <c i="2" r="AI123"/>
  <c i="4" r="J31" s="1"/>
  <c i="2" r="AG123"/>
  <c i="2" r="AE123"/>
  <c i="2" r="AC123"/>
  <c i="2" r="AA123"/>
  <c i="2" r="Y123"/>
  <c i="2" r="S123"/>
  <c i="2" r="Q123"/>
  <c i="2" r="O123"/>
  <c i="2" r="M123"/>
  <c i="2" r="K123"/>
  <c i="2" r="I123"/>
  <c i="2" r="AI122"/>
  <c i="4" r="J21" s="1"/>
  <c i="2" r="AA122"/>
  <c i="2" r="W122"/>
  <c i="2" r="S122"/>
  <c i="2" r="Q122"/>
  <c i="2" r="K122"/>
  <c i="2" r="I122"/>
  <c i="2" r="G122"/>
  <c i="2" r="E122"/>
  <c i="2" r="W121"/>
  <c i="2" r="U121"/>
  <c i="2" r="G121"/>
  <c i="2" r="E121"/>
  <c i="4" l="1" r="I43"/>
  <c i="2" r="AC121"/>
  <c i="2" r="M121"/>
  <c i="2" r="O121"/>
  <c i="2" r="AE121"/>
  <c i="2" r="I121"/>
  <c i="2" r="Q121"/>
  <c i="2" r="Y121"/>
  <c i="2" r="AG121"/>
  <c i="2" r="K121"/>
  <c i="2" r="S121"/>
  <c i="2" r="AA121"/>
  <c i="2" r="AI121"/>
  <c i="4" r="J15" s="1"/>
  <c i="5" r="E13"/>
  <c i="6" r="H21"/>
  <c i="6" r="H13"/>
  <c i="2" l="1" r="U112"/>
  <c i="2" r="W112"/>
  <c i="2" r="AI112"/>
  <c i="2" r="AC112"/>
  <c i="2" r="AC113" s="1"/>
  <c i="2" r="Q112"/>
  <c i="2" r="M112"/>
  <c i="2" r="M113" s="1"/>
  <c i="2" r="AE112"/>
  <c i="2" r="AE113" s="1"/>
  <c i="2" r="AG112"/>
  <c i="2" r="O112"/>
  <c i="4" r="I41"/>
  <c i="2" l="1" r="Y112"/>
  <c i="2" r="I112"/>
  <c i="2" r="AG111"/>
  <c i="2" r="AG110"/>
  <c i="2" r="AG109"/>
  <c i="2" r="Q111"/>
  <c i="2" r="Q110"/>
  <c i="2" r="Q109"/>
  <c i="2" r="AI111"/>
  <c i="2" r="AI110"/>
  <c i="2" r="AI109"/>
  <c i="2" r="AA112"/>
  <c i="2" r="AG113"/>
  <c i="2" r="G112"/>
  <c i="2" r="K112"/>
  <c i="2" r="Q113"/>
  <c i="2" r="AI113"/>
  <c i="2" r="O111"/>
  <c i="2" r="O110"/>
  <c i="2" r="O109"/>
  <c i="2" r="S112"/>
  <c i="2" r="W111"/>
  <c i="2" r="W110"/>
  <c i="2" r="W109"/>
  <c i="2" r="U111"/>
  <c i="2" r="U110"/>
  <c i="2" r="U109"/>
  <c i="2" r="E112"/>
  <c i="4" r="J49" s="1"/>
  <c i="2" r="O113"/>
  <c i="2" r="AE111"/>
  <c i="2" r="AE110"/>
  <c i="2" r="AE109"/>
  <c i="2" r="M111"/>
  <c i="2" r="M110"/>
  <c i="2" r="M109"/>
  <c i="2" r="W113"/>
  <c i="2" r="AC111"/>
  <c i="2" r="AC109"/>
  <c i="2" r="AC110"/>
  <c i="2" r="U113"/>
  <c i="4" l="1" r="I10"/>
  <c i="5" r="E11" s="1"/>
  <c i="2" r="K111"/>
  <c i="2" r="K110"/>
  <c i="2" r="K109"/>
  <c i="2" r="I111"/>
  <c i="2" r="I110"/>
  <c i="2" r="I109"/>
  <c i="2" r="E111"/>
  <c i="2" r="E110"/>
  <c i="2" r="E109"/>
  <c i="2" r="S111"/>
  <c i="2" r="S110"/>
  <c i="2" r="S109"/>
  <c i="2" r="K113"/>
  <c i="2" r="AA111"/>
  <c i="2" r="AA110"/>
  <c i="2" r="AA109"/>
  <c i="2" r="I113"/>
  <c i="2" r="E113"/>
  <c i="2" r="S113"/>
  <c i="2" r="G111"/>
  <c i="2" r="G110"/>
  <c i="2" r="G109"/>
  <c i="2" r="AA113"/>
  <c i="2" r="Y111"/>
  <c i="2" r="Y110"/>
  <c i="2" r="Y109"/>
  <c i="2" r="G113"/>
  <c i="2" r="Y113"/>
  <c i="5" l="1" r="H11"/>
  <c i="6" r="H31"/>
  <c i="5" r="H13"/>
  <c i="5" r="H12"/>
  <c i="5" r="H14"/>
  <c i="5" r="H41" s="1"/>
  <c i="5" r="H63" s="1"/>
  <c i="5" r="H64" s="1"/>
  <c i="5" r="E14"/>
  <c i="5" r="E12"/>
  <c i="6" r="H33" s="1"/>
  <c i="6" l="1" r="H37"/>
  <c i="5" r="H40"/>
  <c i="5" r="H65" s="1"/>
  <c i="5" r="H66" s="1"/>
  <c i="5" r="H16"/>
  <c i="5" r="I12" s="1"/>
  <c i="5" l="1" r="H43"/>
  <c i="5" r="I11"/>
  <c i="5" r="I41"/>
  <c i="5" r="I14"/>
  <c i="5" r="I40"/>
  <c i="5" r="I13"/>
  <c i="5" l="1" r="H67"/>
  <c i="5" r="H62"/>
  <c i="5" r="H61"/>
  <c i="5" r="E40"/>
  <c i="5" l="1" r="E65"/>
  <c i="5" l="1" r="E66"/>
  <c i="5" r="E16"/>
  <c i="5" r="F12" s="1"/>
  <c i="5" r="E41"/>
  <c i="5" r="E43" s="1"/>
  <c i="5" l="1" r="E61"/>
  <c i="5" r="E62"/>
  <c i="5" r="F14"/>
  <c i="5" r="F11"/>
  <c i="5" r="F13"/>
  <c i="5" r="F40"/>
  <c i="5" r="E67"/>
  <c i="5" r="E63"/>
  <c i="5" r="E64" s="1"/>
  <c i="5" r="F41"/>
</calcChain>
</file>

<file path=xl/sharedStrings.xml><?xml version="1.0" encoding="utf-8"?>
<sst xmlns="http://schemas.openxmlformats.org/spreadsheetml/2006/main" count="320" uniqueCount="221">
  <si>
    <t>Tipo de vehículo</t>
  </si>
  <si>
    <t>Pregunta</t>
  </si>
  <si>
    <t>Adquisicion</t>
  </si>
  <si>
    <t>Si</t>
  </si>
  <si>
    <t>S</t>
  </si>
  <si>
    <t>Compra</t>
  </si>
  <si>
    <t>No</t>
  </si>
  <si>
    <t>N</t>
  </si>
  <si>
    <t>Alquiler, leasing…</t>
  </si>
  <si>
    <t>Descripción:</t>
  </si>
  <si>
    <t xml:space="preserve"> </t>
  </si>
  <si>
    <t>Tipo interes</t>
  </si>
  <si>
    <t>Número de ejes</t>
  </si>
  <si>
    <t>Kilómetros recorridos anualmente</t>
  </si>
  <si>
    <t>Consumo medio (litros/100km)</t>
  </si>
  <si>
    <t>Horas trabajadas al año</t>
  </si>
  <si>
    <t>Pago de alquiler o leasing anual (€)</t>
  </si>
  <si>
    <t>Vida útil (años)</t>
  </si>
  <si>
    <t>AMORTIZACION CARROZADO</t>
  </si>
  <si>
    <t>GASTOS FINANCIEROS CARROZADO</t>
  </si>
  <si>
    <t>AMORTIZACION EQUIPOS</t>
  </si>
  <si>
    <t>GASTOS FINANCIEROS EQUIPOS</t>
  </si>
  <si>
    <t>COSTES DE ADQUISICION</t>
  </si>
  <si>
    <t>COSTES DE PERSONAL</t>
  </si>
  <si>
    <t>Otros seguros (€)</t>
  </si>
  <si>
    <t>COSTE TOTAL ANUAL DE LOS SEGUROS (€)</t>
  </si>
  <si>
    <t>Visados</t>
  </si>
  <si>
    <t>Inspección técnica de vehículos (I.T.V.) (€)</t>
  </si>
  <si>
    <t>Impuesto de actividades económicas (I.A.E.) repercutible a este vehículo (€)</t>
  </si>
  <si>
    <t>Impuesto de Vehículos de Tracción Mecánica (I.T.V.M.) (€)</t>
  </si>
  <si>
    <t>Revisión tacógrafo (€)</t>
  </si>
  <si>
    <t>Otros costes fiscales (€)</t>
  </si>
  <si>
    <t>COSTE FISCAL TOTAL ANUAL</t>
  </si>
  <si>
    <t>SEGUROS Y COSTES FISCALES</t>
  </si>
  <si>
    <t>Precio del carburante, con IVA (€/litro)</t>
  </si>
  <si>
    <t>Descuento (%, €/litro)</t>
  </si>
  <si>
    <t>IVA aplicado al carburante (€/litro)</t>
  </si>
  <si>
    <t>Precio carburante sin IVA (€/litro)</t>
  </si>
  <si>
    <t>Número de neumáticos direccionables</t>
  </si>
  <si>
    <t>Número de neumáticos motrices</t>
  </si>
  <si>
    <t>Número de neumáticos arrastre</t>
  </si>
  <si>
    <t>Precio sin IVA de un neumático direccionable (€)</t>
  </si>
  <si>
    <t>Precio sin IVA de un neumático motriz (€)</t>
  </si>
  <si>
    <t>Precio sin IVA de un neumático arrastre (€)</t>
  </si>
  <si>
    <t>Duración media de un neumático direccionable (km)</t>
  </si>
  <si>
    <t>Duración media de un neumático motriz (km)</t>
  </si>
  <si>
    <t>Duración media de un neumático arrastre (km)</t>
  </si>
  <si>
    <t>GASTO ANUAL EN PEAJES, SIN IVA (€)</t>
  </si>
  <si>
    <t>COSTES VARIABLES</t>
  </si>
  <si>
    <t>COSTES INDIRECTOS</t>
  </si>
  <si>
    <t>COSTES TOTALES</t>
  </si>
  <si>
    <t>Tipo de vehículo:</t>
  </si>
  <si>
    <t>1. Cálculo simplificado</t>
  </si>
  <si>
    <t>Introduzca un resumen simplificado de los parámetros de la simulación</t>
  </si>
  <si>
    <t>(*)</t>
  </si>
  <si>
    <t>Coste total anual de los seguros (€)</t>
  </si>
  <si>
    <t>Coste fiscal total anual (€)</t>
  </si>
  <si>
    <t>Gasto total anual en carburante, sin IVA (€)</t>
  </si>
  <si>
    <t>(*) Los campos marcados con asterisco se recalcularán automaticamente al cambiar los kilómetros.</t>
  </si>
  <si>
    <t>Coste de un servicio</t>
  </si>
  <si>
    <t>Denominación del servicio</t>
  </si>
  <si>
    <t>Resultados</t>
  </si>
  <si>
    <t>Usuario</t>
  </si>
  <si>
    <t>Euros</t>
  </si>
  <si>
    <t>%</t>
  </si>
  <si>
    <t>A</t>
  </si>
  <si>
    <t>B</t>
  </si>
  <si>
    <t>C</t>
  </si>
  <si>
    <t>D</t>
  </si>
  <si>
    <t>ESTRUCTURA DE COSTES ANUALES</t>
  </si>
  <si>
    <t>Amortización y gastos financieros y leasing</t>
  </si>
  <si>
    <t>Personal</t>
  </si>
  <si>
    <t>Seguros, costes fiscales, gestión y comercialización</t>
  </si>
  <si>
    <t>Carburante, neumáticos, reparaciones, mantenimiento y peajes</t>
  </si>
  <si>
    <t>COSTES POR TIEMPO-COSTES POR DISTANCIA</t>
  </si>
  <si>
    <t>Costes por tiempo</t>
  </si>
  <si>
    <t>Costes por distancia</t>
  </si>
  <si>
    <t>COSTES MEDIOS</t>
  </si>
  <si>
    <t>Coste total medio (por km. facturado)</t>
  </si>
  <si>
    <t>Coste total medio (por hora facturada)</t>
  </si>
  <si>
    <t>Coste por tiempo medio (por hora)</t>
  </si>
  <si>
    <t>Costes totales por viajero-kilómetro</t>
  </si>
  <si>
    <t>Coste por tiempo</t>
  </si>
  <si>
    <t>Coste por distancia</t>
  </si>
  <si>
    <t>Coste por distancia media (por km.)</t>
  </si>
  <si>
    <t>Kilómetros recorridos en este servicio (km)</t>
  </si>
  <si>
    <t>Coste por distancia de este servicio (€)</t>
  </si>
  <si>
    <t>Coste por tiempo de este servicio (€)</t>
  </si>
  <si>
    <t>Otros costes asociados a este servicio (€)</t>
  </si>
  <si>
    <t>Coste total de este servicio (€)</t>
  </si>
  <si>
    <t>¿Desea comenzar la simulación con los datos estadísticos añadidos a los formularios de cálculo?</t>
  </si>
  <si>
    <t>T1A</t>
  </si>
  <si>
    <t>T1</t>
  </si>
  <si>
    <t>T2A</t>
  </si>
  <si>
    <t>T2</t>
  </si>
  <si>
    <t>T3A</t>
  </si>
  <si>
    <t>T3</t>
  </si>
  <si>
    <t>T4A</t>
  </si>
  <si>
    <t>T4</t>
  </si>
  <si>
    <t>T5A</t>
  </si>
  <si>
    <t>T5</t>
  </si>
  <si>
    <t>T6A</t>
  </si>
  <si>
    <t>T6</t>
  </si>
  <si>
    <t>T7A</t>
  </si>
  <si>
    <t>T7</t>
  </si>
  <si>
    <t>T8A</t>
  </si>
  <si>
    <t>T8</t>
  </si>
  <si>
    <t>T9A</t>
  </si>
  <si>
    <t>T9</t>
  </si>
  <si>
    <t>T10A</t>
  </si>
  <si>
    <t>T10</t>
  </si>
  <si>
    <t>T11A</t>
  </si>
  <si>
    <t>T11</t>
  </si>
  <si>
    <t>T12A</t>
  </si>
  <si>
    <t>T12</t>
  </si>
  <si>
    <t>T13A</t>
  </si>
  <si>
    <t>T13</t>
  </si>
  <si>
    <t>T14A</t>
  </si>
  <si>
    <t>T14</t>
  </si>
  <si>
    <t>T15A</t>
  </si>
  <si>
    <t>T15</t>
  </si>
  <si>
    <t>T16A</t>
  </si>
  <si>
    <t>T16</t>
  </si>
  <si>
    <t>Vehículo articulado de carga general de larga distancia</t>
  </si>
  <si>
    <t>Vehículo articulado de carga general de corta distancia</t>
  </si>
  <si>
    <t>Portacontenedores de larga distancia</t>
  </si>
  <si>
    <t>Portacontenedores de corta distancia</t>
  </si>
  <si>
    <t>Volquete articulado de obra</t>
  </si>
  <si>
    <t>Vehículo de 2 ejes de carga general</t>
  </si>
  <si>
    <t>Vehículo articulado de mercancías peligrosas (químicas) de larga distancia</t>
  </si>
  <si>
    <t>Vehículo articulado de productos derivados del petróleo (gasoil, gasolina, fueloil)</t>
  </si>
  <si>
    <t>Vehículo cisterna de mercancías peligrosas (gases) de larga distancia</t>
  </si>
  <si>
    <t>Vehículo frigorífico articulado</t>
  </si>
  <si>
    <t>Vehículo frigorífico de 2 ejes</t>
  </si>
  <si>
    <t>Volquete graneles de larga distancia</t>
  </si>
  <si>
    <t>Volquete graneles de corta distancia</t>
  </si>
  <si>
    <t>Camión ligero 3T distribución</t>
  </si>
  <si>
    <t>Furgonetas</t>
  </si>
  <si>
    <t>Vehículo genérico (para todos aquellos vehículos que no puedan ser englobados en las categorías anteriores)</t>
  </si>
  <si>
    <t>Potencia</t>
  </si>
  <si>
    <t>MMA</t>
  </si>
  <si>
    <t>Carga útil</t>
  </si>
  <si>
    <t>Número de neumáticos</t>
  </si>
  <si>
    <t>Kilómetros recorridos anualmente en carga (%, km)</t>
  </si>
  <si>
    <t>Kilómetros recorridos anualmente en vacío (%, km)</t>
  </si>
  <si>
    <t>Horas trabajadas al año en carga (%, h)</t>
  </si>
  <si>
    <t>Horas trabajadas al año en vacío (%, h)</t>
  </si>
  <si>
    <t>Días trabajados al año</t>
  </si>
  <si>
    <t>Horas trabajadas por jornada</t>
  </si>
  <si>
    <t>Pago de leasing o renta anual (€)</t>
  </si>
  <si>
    <t>Precio de tarifa sin IVA (€)</t>
  </si>
  <si>
    <t>Descuento sobre tarifa (%)</t>
  </si>
  <si>
    <t>Precio de adquisición sin IVA (€)</t>
  </si>
  <si>
    <t>Valor residual sobre precio de tarifa (%)</t>
  </si>
  <si>
    <t>AMORTIZACIÓN DEL VEHÍCULO DE TRACCIÓN</t>
  </si>
  <si>
    <t>GASTOS FINANCIEROS DEL VEHÍCULO DE TRACCIÓN</t>
  </si>
  <si>
    <t>AMORTIZACIÓN REMOLQUE</t>
  </si>
  <si>
    <t>GASTOS FINANCIEROS REMOLQUE</t>
  </si>
  <si>
    <t>Coste total anual del conductor, incluidos costes de empresa (Seg. Soc. y otros) €</t>
  </si>
  <si>
    <t>Dieta total diaria del conductor (€/día)</t>
  </si>
  <si>
    <t>Número de días con dieta al año</t>
  </si>
  <si>
    <t>Dietas totales anuales (€)</t>
  </si>
  <si>
    <t>Plus anual de actividad del conductor (€/km)</t>
  </si>
  <si>
    <t>Plus anual de actividad del conductor (€)</t>
  </si>
  <si>
    <t>Responsabilidad civil del vehículo de tracción (€)</t>
  </si>
  <si>
    <t>Responsabilidad civil del remolque o semirremolque (€)</t>
  </si>
  <si>
    <t>Responsabilidad civil de la mercancía (€)</t>
  </si>
  <si>
    <t>Seguro de accidentes de personal de a bordo (€)</t>
  </si>
  <si>
    <t>Retirada del carné de conducir (€)</t>
  </si>
  <si>
    <t>Seguro de la mercancía (€)</t>
  </si>
  <si>
    <t>Daños propios (seguro todo riesgo) (€)</t>
  </si>
  <si>
    <t>Inspecciones A.T.P. (transporte mercancías perecederas)</t>
  </si>
  <si>
    <t>Inspecciones A.D.R. (transporte mercancías peligrosas)</t>
  </si>
  <si>
    <t>IVA aplicado al carburante (%)(€/litro)</t>
  </si>
  <si>
    <t>GASTO TOTAL ANUAL EN CARBURANTE DEL VEHÍCULO (€, SIN IVA)</t>
  </si>
  <si>
    <t>Precio de compra de carburante</t>
  </si>
  <si>
    <t xml:space="preserve">Descuento (%, €)  </t>
  </si>
  <si>
    <t>IVA aplicado al carburante (%)</t>
  </si>
  <si>
    <t>Consumo medio de los equipos (litros/hora)</t>
  </si>
  <si>
    <t>Horas anuales de utilización de los equipos</t>
  </si>
  <si>
    <t>GASTO TOTAL ANUAL EN CARBURANTE EQUIPOS</t>
  </si>
  <si>
    <t>Número de neumáticos semirremolque o remolque</t>
  </si>
  <si>
    <t>Precio sin IVA de un neumático remolque-semirremolque (€)</t>
  </si>
  <si>
    <t>Duración media de un neumático remolque-semirremolque (km)</t>
  </si>
  <si>
    <t>GASTO TOTAL ANUAL EN NEUMATICOS (€, SIN IVA)</t>
  </si>
  <si>
    <t>Coste de mantenimiento por km, sin IVA (€/km)</t>
  </si>
  <si>
    <t>GASTO ANUAL EN MANTENIMIENTO, SIN IVA (€)</t>
  </si>
  <si>
    <t>Coste de reparaciones por km, sin IVA (€/km)</t>
  </si>
  <si>
    <t>GASTO ANUAL EN REPARACIONES, SIN IVA (€)</t>
  </si>
  <si>
    <t>Coste anual estructura(gestión, administración,) repercutible a este vehículo</t>
  </si>
  <si>
    <t>Coste anual comercialización repercutible a este vehículo</t>
  </si>
  <si>
    <t>Otros costes indirectos anuales repercutibles a este vehículo</t>
  </si>
  <si>
    <t>Valor de adquisición del vehículo sin IVA y sin neumáticos (€)</t>
  </si>
  <si>
    <t>Vida útil del vehículo (años)</t>
  </si>
  <si>
    <t>Valor residual sin IVA del vehículo (€)</t>
  </si>
  <si>
    <t>Valor de adquisición del remolque-semirremolque sin IVA y sin neumáticos (€)</t>
  </si>
  <si>
    <t>Vida útil del remolque-semirremolque (años)</t>
  </si>
  <si>
    <t>Valor residual del remolque-semirremolque sin IVA (€)</t>
  </si>
  <si>
    <t>Leasing y alquiler (vehículo de tracción, carrozado, semirremolque, equipos auxiliares)</t>
  </si>
  <si>
    <t>Coste total anual del conductor, incluidos costes de empresa, Seg. Soc y otros (€)</t>
  </si>
  <si>
    <t>Dietas y plus de actividad anuales del conductor (€)</t>
  </si>
  <si>
    <t>Gasto total anual en neumáticos (€)</t>
  </si>
  <si>
    <t>Gasto anual en mantenimiento, sin IVA (€)</t>
  </si>
  <si>
    <t>Coste anual en peajes, sin IVA (€)</t>
  </si>
  <si>
    <t>Total costes anuales indirectos repercutibles a este vehículo (€)</t>
  </si>
  <si>
    <t>Costo neumáticos por km</t>
  </si>
  <si>
    <t xml:space="preserve">Kilómetros en carga (km) </t>
  </si>
  <si>
    <t xml:space="preserve">Kilómetros en vacío (km) </t>
  </si>
  <si>
    <t xml:space="preserve">Consumo medio por kilómetro en este servicio (litros / 100 km) </t>
  </si>
  <si>
    <t xml:space="preserve">Horas empleadas en este servicio </t>
  </si>
  <si>
    <t xml:space="preserve">Horas en carga </t>
  </si>
  <si>
    <t xml:space="preserve">Horas en vacío </t>
  </si>
  <si>
    <t xml:space="preserve">Horas en carga, descarga y paralización </t>
  </si>
  <si>
    <t xml:space="preserve">Peajes </t>
  </si>
  <si>
    <t>Editar</t>
  </si>
  <si>
    <t>Gasto anual en mantenimiento y reparaciones, sin IVA (€)</t>
  </si>
  <si>
    <t>08/01/2024</t>
  </si>
  <si>
    <t>Seleccionar tipo de vehículo</t>
  </si>
  <si>
    <t>Datos estadísticos</t>
  </si>
  <si>
    <t>22/01/2024</t>
  </si>
  <si>
    <t>23/01/2024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</si>
</sst>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0.0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F7FB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81">
    <xf borderId="0" fillId="0" fontId="0" numFmtId="0" xfId="0"/>
    <xf applyBorder="1" applyFont="1" borderId="1" fillId="0" fontId="2" numFmtId="0" xfId="0"/>
    <xf applyAlignment="1" borderId="0" fillId="0" fontId="0" numFmtId="0" xfId="0">
      <alignment vertical="center" wrapText="1"/>
    </xf>
    <xf applyFill="1" borderId="0" fillId="2" fontId="0" numFmtId="0" xfId="0"/>
    <xf applyFill="1" applyFont="1" borderId="0" fillId="2" fontId="4" numFmtId="0" xfId="0"/>
    <xf applyBorder="1" applyFill="1" borderId="2" fillId="2" fontId="0" numFmtId="0" xfId="0"/>
    <xf applyBorder="1" applyFill="1" borderId="3" fillId="2" fontId="0" numFmtId="0" xfId="0"/>
    <xf applyBorder="1" applyFill="1" borderId="4" fillId="2" fontId="0" numFmtId="0" xfId="0"/>
    <xf applyBorder="1" applyFill="1" borderId="5" fillId="2" fontId="0" numFmtId="0" xfId="0"/>
    <xf applyBorder="1" applyFill="1" borderId="6" fillId="2" fontId="0" numFmtId="0" xfId="0"/>
    <xf applyFill="1" applyFont="1" borderId="0" fillId="2" fontId="2" numFmtId="0" xfId="0"/>
    <xf applyAlignment="1" applyFill="1" applyFont="1" borderId="0" fillId="2" fontId="3" numFmtId="0" xfId="0">
      <alignment horizontal="center"/>
    </xf>
    <xf applyBorder="1" applyFill="1" borderId="7" fillId="2" fontId="0" numFmtId="0" xfId="0"/>
    <xf applyBorder="1" applyFill="1" borderId="8" fillId="2" fontId="0" numFmtId="0" xfId="0"/>
    <xf applyBorder="1" applyFill="1" borderId="9" fillId="2" fontId="0" numFmtId="0" xfId="0"/>
    <xf applyBorder="1" applyFill="1" borderId="10" fillId="2" fontId="0" numFmtId="0" xfId="0"/>
    <xf applyBorder="1" applyFill="1" borderId="11" fillId="2" fontId="0" numFmtId="0" xfId="0"/>
    <xf applyAlignment="1" applyFill="1" applyFont="1" borderId="0" fillId="4" fontId="1" numFmtId="0" xfId="0">
      <alignment vertical="center"/>
    </xf>
    <xf applyFill="1" borderId="0" fillId="4" fontId="0" numFmtId="0" xfId="0"/>
    <xf applyBorder="1" applyFill="1" borderId="12" fillId="2" fontId="0" numFmtId="0" xfId="0"/>
    <xf applyFont="1" borderId="0" fillId="0" fontId="2" numFmtId="0" xfId="0"/>
    <xf applyFill="1" applyFont="1" borderId="0" fillId="2" fontId="6" numFmtId="0" xfId="0"/>
    <xf applyBorder="1" applyFill="1" borderId="13" fillId="2" fontId="0" numFmtId="0" xfId="0"/>
    <xf applyBorder="1" applyFill="1" borderId="14" fillId="2" fontId="0" numFmtId="0" xfId="0"/>
    <xf applyBorder="1" applyFill="1" borderId="15" fillId="2" fontId="0" numFmtId="0" xfId="0"/>
    <xf applyFill="1" applyFont="1" borderId="0" fillId="2" fontId="7" numFmtId="0" xfId="0"/>
    <xf applyAlignment="1" applyBorder="1" applyFill="1" borderId="1" fillId="2" fontId="0" numFmtId="0" xfId="0">
      <alignment horizontal="right"/>
    </xf>
    <xf applyAlignment="1" applyFill="1" borderId="0" fillId="2" fontId="0" numFmtId="0" xfId="0">
      <alignment horizontal="right"/>
    </xf>
    <xf applyBorder="1" applyFill="1" applyFont="1" borderId="1" fillId="6" fontId="2" numFmtId="0" xfId="0"/>
    <xf applyBorder="1" applyFill="1" applyNumberFormat="1" borderId="1" fillId="6" fontId="0" numFmtId="3" xfId="0"/>
    <xf applyFill="1" applyFont="1" applyNumberFormat="1" borderId="0" fillId="2" fontId="6" numFmtId="3" xfId="0"/>
    <xf applyFill="1" applyFont="1" applyNumberFormat="1" borderId="0" fillId="2" fontId="6" numFmtId="4" xfId="0"/>
    <xf applyFill="1" applyNumberFormat="1" borderId="0" fillId="2" fontId="0" numFmtId="164" xfId="0"/>
    <xf applyFill="1" applyNumberFormat="1" borderId="0" fillId="2" fontId="0" numFmtId="2" xfId="0"/>
    <xf applyNumberFormat="1" borderId="0" fillId="0" fontId="0" numFmtId="3" xfId="0"/>
    <xf applyFill="1" applyNumberFormat="1" borderId="0" fillId="2" fontId="0" numFmtId="1" xfId="0"/>
    <xf applyBorder="1" applyFill="1" applyNumberFormat="1" borderId="1" fillId="6" fontId="0" numFmtId="2" xfId="0"/>
    <xf applyAlignment="1" applyBorder="1" applyFont="1" borderId="1" fillId="0" fontId="2" numFmtId="0" xfId="0">
      <alignment horizontal="center"/>
    </xf>
    <xf applyBorder="1" borderId="1" fillId="0" fontId="0" numFmtId="0" xfId="0"/>
    <xf applyAlignment="1" borderId="0" fillId="0" fontId="0" numFmtId="0" xfId="0">
      <alignment vertical="center"/>
    </xf>
    <xf applyAlignment="1" applyBorder="1" borderId="1" fillId="0" fontId="0" numFmtId="0" xfId="0">
      <alignment vertical="center"/>
    </xf>
    <xf applyFont="1" borderId="0" fillId="0" fontId="8" numFmtId="0" xfId="0"/>
    <xf applyNumberFormat="1" borderId="0" fillId="0" fontId="0" numFmtId="4" xfId="0"/>
    <xf applyFill="1" applyNumberFormat="1" borderId="0" fillId="2" fontId="0" numFmtId="4" xfId="0"/>
    <xf applyBorder="1" applyFill="1" applyNumberFormat="1" borderId="3" fillId="2" fontId="0" numFmtId="4" xfId="0"/>
    <xf applyAlignment="1" applyFill="1" applyFont="1" applyNumberFormat="1" borderId="0" fillId="4" fontId="1" numFmtId="4" xfId="0">
      <alignment vertical="center"/>
    </xf>
    <xf applyFill="1" applyNumberFormat="1" applyProtection="1" borderId="0" fillId="3" fontId="0" numFmtId="4" xfId="0">
      <protection locked="0"/>
    </xf>
    <xf applyFill="1" applyNumberFormat="1" borderId="0" fillId="5" fontId="0" numFmtId="4" xfId="0"/>
    <xf applyBorder="1" applyFill="1" applyNumberFormat="1" borderId="14" fillId="2" fontId="0" numFmtId="4" xfId="0"/>
    <xf applyAlignment="1" applyBorder="1" borderId="16" fillId="0" fontId="0" numFmtId="0" xfId="0">
      <alignment vertical="center" wrapText="1"/>
    </xf>
    <xf applyBorder="1" borderId="16" fillId="0" fontId="0" numFmtId="0" xfId="0"/>
    <xf applyBorder="1" applyFill="1" applyFont="1" applyNumberFormat="1" borderId="1" fillId="8" fontId="10" numFmtId="4" xfId="0"/>
    <xf applyFill="1" applyFont="1" applyNumberFormat="1" borderId="0" fillId="2" fontId="11" numFmtId="4" xfId="0"/>
    <xf applyNumberFormat="1" borderId="0" fillId="0" fontId="0" numFmtId="2" xfId="0"/>
    <xf applyAlignment="1" applyBorder="1" applyFill="1" borderId="3" fillId="2" fontId="0" numFmtId="0" xfId="0">
      <alignment horizontal="right"/>
    </xf>
    <xf applyAlignment="1" applyFill="1" borderId="0" fillId="4" fontId="0" numFmtId="0" xfId="0">
      <alignment horizontal="right"/>
    </xf>
    <xf applyAlignment="1" applyFill="1" applyFont="1" borderId="0" fillId="2" fontId="2" numFmtId="0" xfId="0">
      <alignment horizontal="right"/>
    </xf>
    <xf applyAlignment="1" applyBorder="1" applyFill="1" borderId="14" fillId="2" fontId="0" numFmtId="0" xfId="0">
      <alignment horizontal="right"/>
    </xf>
    <xf applyAlignment="1" borderId="0" fillId="0" fontId="0" numFmtId="0" xfId="0">
      <alignment horizontal="right"/>
    </xf>
    <xf applyAlignment="1" applyFill="1" applyFont="1" applyProtection="1" borderId="0" fillId="4" fontId="1" numFmtId="0" xfId="0">
      <alignment vertical="center"/>
      <protection locked="0"/>
    </xf>
    <xf applyAlignment="1" applyFill="1" borderId="0" fillId="3" fontId="0" numFmtId="0" xfId="0">
      <alignment vertical="center" wrapText="1"/>
    </xf>
    <xf applyFill="1" borderId="0" fillId="3" fontId="0" numFmtId="0" xfId="0"/>
    <xf applyBorder="1" applyFill="1" borderId="16" fillId="3" fontId="0" numFmtId="0" xfId="0"/>
    <xf applyFill="1" applyNumberFormat="1" borderId="0" fillId="3" fontId="0" numFmtId="4" xfId="0"/>
    <xf applyBorder="1" applyFill="1" applyNumberFormat="1" borderId="16" fillId="3" fontId="0" numFmtId="4" xfId="0"/>
    <xf applyFill="1" applyNumberFormat="1" borderId="0" fillId="3" fontId="0" numFmtId="165" xfId="0"/>
    <xf applyFill="1" applyNumberFormat="1" borderId="0" fillId="3" fontId="0" numFmtId="2" xfId="0"/>
    <xf applyNumberFormat="1" borderId="0" fillId="0" fontId="0" numFmtId="165" xfId="0"/>
    <xf applyNumberFormat="1" borderId="0" fillId="0" fontId="0" numFmtId="14" xfId="0"/>
    <xf applyFont="1" applyNumberFormat="1" borderId="0" fillId="0" fontId="6" numFmtId="4" xfId="0"/>
    <xf applyFill="1" applyFont="1" applyNumberFormat="1" borderId="0" fillId="2" fontId="11" numFmtId="3" xfId="0"/>
    <xf applyBorder="1" applyFill="1" applyFont="1" applyNumberFormat="1" borderId="1" fillId="8" fontId="10" numFmtId="3" xfId="0"/>
    <xf applyFill="1" applyFont="1" borderId="0" fillId="2" fontId="11" numFmtId="0" xfId="0"/>
    <xf applyNumberFormat="1" borderId="0" fillId="0" fontId="0" numFmtId="166" xfId="0"/>
    <xf applyFill="1" applyFont="1" applyNumberFormat="1" borderId="0" fillId="2" fontId="3" numFmtId="167" xfId="0"/>
    <xf applyFill="1" applyFont="1" applyProtection="1" borderId="0" fillId="3" fontId="5" numFmtId="0" xfId="0">
      <protection hidden="1" locked="0"/>
    </xf>
    <xf applyAlignment="1" applyFill="1" applyFont="1" applyProtection="1" borderId="0" fillId="7" fontId="9" numFmtId="0" xfId="0">
      <alignment horizontal="center" vertical="center"/>
      <protection locked="0"/>
    </xf>
    <xf applyAlignment="1" applyFill="1" applyFont="1" applyNumberFormat="1" borderId="0" fillId="4" fontId="1" numFmtId="14" xfId="0">
      <alignment vertical="center"/>
    </xf>
    <xf applyAlignment="1" applyFill="1" applyFont="1" applyNumberFormat="1" applyProtection="1" borderId="0" fillId="7" fontId="9" numFmtId="14" xfId="0">
      <alignment vertical="center"/>
      <protection locked="0"/>
    </xf>
    <xf applyAlignment="1" applyFill="1" applyFont="1" applyProtection="1" borderId="0" fillId="4" fontId="1" numFmtId="0" xfId="0">
      <alignment horizontal="center" vertical="center"/>
      <protection locked="0"/>
    </xf>
    <xf applyAlignment="1" applyFill="1" applyNumberFormat="1" applyProtection="1" borderId="0" fillId="3" fontId="0" numFmtId="2" xfId="0">
      <alignment horizontal="left"/>
      <protection locked="0"/>
    </xf>
  </cellXfs>
  <cellStyles count="1"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persons/person.xml" Type="http://schemas.microsoft.com/office/2017/10/relationships/person"/>
<Relationship Id="rId11" Target="calcChain.xml" Type="http://schemas.openxmlformats.org/officeDocument/2006/relationships/calcChain"/>
<Relationship Id="rId12" Target="vbaProject.bin" Type="http://schemas.microsoft.com/office/2006/relationships/vbaProjec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activeX/_rels/activeX1.xml.rels><?xml version="1.0" encoding="UTF-8" standalone="no"?>
<Relationships xmlns="http://schemas.openxmlformats.org/package/2006/relationships">
<Relationship Id="rId1" Target="activeX1.bin" Type="http://schemas.microsoft.com/office/2006/relationships/activeXControlBinary"/>
</Relationships>

</file>

<file path=xl/activeX/_rels/activeX2.xml.rels><?xml version="1.0" encoding="UTF-8" standalone="no"?>
<Relationships xmlns="http://schemas.openxmlformats.org/package/2006/relationships">
<Relationship Id="rId1" Target="activeX2.bin" Type="http://schemas.microsoft.com/office/2006/relationships/activeXControlBinary"/>
</Relationships>

</file>

<file path=xl/activeX/_rels/activeX3.xml.rels><?xml version="1.0" encoding="UTF-8" standalone="no"?>
<Relationships xmlns="http://schemas.openxmlformats.org/package/2006/relationships">
<Relationship Id="rId1" Target="activeX3.bin" Type="http://schemas.microsoft.com/office/2006/relationships/activeXControlBinary"/>
</Relationships>

</file>

<file path=xl/activeX/_rels/activeX4.xml.rels><?xml version="1.0" encoding="UTF-8" standalone="no"?>
<Relationships xmlns="http://schemas.openxmlformats.org/package/2006/relationships">
<Relationship Id="rId1" Target="activeX4.bin" Type="http://schemas.microsoft.com/office/2006/relationships/activeXControlBinary"/>
</Relationships>
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Resultados!$D$11:$D$14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Resultados!$E$11:$E$14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D-4831-A42C-87AE484A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Resultados!$G$11:$G$14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Resultados!$H$11:$H$14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D-4667-BF25-070DE0F4D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Resultados!$D$40:$D$41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Resultados!$E$40:$E$41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C-45FE-B339-9BCF94C5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cat>
            <c:strRef>
              <c:f>Resultados!$G$40:$G$41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Resultados!$H$40:$H$41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69B-BE14-830F13AAA32C}"/>
            </c:ext>
          </c:extLst>
        </c:ser>
        <c:ser>
          <c:idx val="0"/>
          <c:order val="1"/>
          <c:explosion val="25"/>
          <c:cat>
            <c:strRef>
              <c:f>Resultados!$G$40:$G$41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Resultados!$E$40:$E$41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8-469B-BE14-830F13AA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drawings/_rels/drawing2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6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7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Relationship Id="rId5" Target="../charts/chart4.xml" Type="http://schemas.openxmlformats.org/officeDocument/2006/relationships/chart"/>
</Relationships>

</file>

<file path=xl/drawings/_rels/drawing5.xml.rels><?xml version="1.0" encoding="UTF-8" standalone="no"?>
<Relationships xmlns="http://schemas.openxmlformats.org/package/2006/relationships">
<Relationship Id="rId1" Target="../media/image8.jpe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1.emf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emf" Type="http://schemas.openxmlformats.org/officeDocument/2006/relationships/image"/>
<Relationship Id="rId2" Target="../media/image3.emf" Type="http://schemas.openxmlformats.org/officeDocument/2006/relationships/image"/>
<Relationship Id="rId3" Target="../media/image4.em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</xdr:row>
          <xdr:rowOff>60960</xdr:rowOff>
        </xdr:from>
        <xdr:to>
          <xdr:col>7</xdr:col>
          <xdr:colOff>381000</xdr:colOff>
          <xdr:row>2</xdr:row>
          <xdr:rowOff>137160</xdr:rowOff>
        </xdr:to>
        <xdr:sp macro="" textlink="">
          <xdr:nvSpPr>
            <xdr:cNvPr hidden="1" id="5121" name="EDITABLE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320155</xdr:colOff>
      <xdr:row>0</xdr:row>
      <xdr:rowOff>48581</xdr:rowOff>
    </xdr:from>
    <xdr:to>
      <xdr:col>7</xdr:col>
      <xdr:colOff>3440750</xdr:colOff>
      <xdr:row>4</xdr:row>
      <xdr:rowOff>150453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290" y="50486"/>
          <a:ext cx="3120595" cy="8333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3764280</xdr:colOff>
          <xdr:row>10</xdr:row>
          <xdr:rowOff>175260</xdr:rowOff>
        </xdr:from>
        <xdr:to>
          <xdr:col>7</xdr:col>
          <xdr:colOff>4290060</xdr:colOff>
          <xdr:row>12</xdr:row>
          <xdr:rowOff>60960</xdr:rowOff>
        </xdr:to>
        <xdr:sp macro="" textlink="">
          <xdr:nvSpPr>
            <xdr:cNvPr hidden="1" id="10241" name="B_Carga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4404360</xdr:colOff>
          <xdr:row>10</xdr:row>
          <xdr:rowOff>175260</xdr:rowOff>
        </xdr:from>
        <xdr:to>
          <xdr:col>7</xdr:col>
          <xdr:colOff>4907280</xdr:colOff>
          <xdr:row>12</xdr:row>
          <xdr:rowOff>60960</xdr:rowOff>
        </xdr:to>
        <xdr:sp macro="" textlink="">
          <xdr:nvSpPr>
            <xdr:cNvPr hidden="1" id="10242" name="B_Vaciar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0</xdr:rowOff>
        </xdr:from>
        <xdr:to>
          <xdr:col>7</xdr:col>
          <xdr:colOff>6111240</xdr:colOff>
          <xdr:row>10</xdr:row>
          <xdr:rowOff>68580</xdr:rowOff>
        </xdr:to>
        <xdr:sp macro="" textlink="">
          <xdr:nvSpPr>
            <xdr:cNvPr hidden="1" id="10243" name="CB_Vehiculo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2934503</xdr:colOff>
      <xdr:row>0</xdr:row>
      <xdr:rowOff>48581</xdr:rowOff>
    </xdr:from>
    <xdr:to>
      <xdr:col>6</xdr:col>
      <xdr:colOff>667758</xdr:colOff>
      <xdr:row>4</xdr:row>
      <xdr:rowOff>169503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6503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2886879</xdr:colOff>
      <xdr:row>0</xdr:row>
      <xdr:rowOff>48581</xdr:rowOff>
    </xdr:from>
    <xdr:to>
      <xdr:col>5</xdr:col>
      <xdr:colOff>248659</xdr:colOff>
      <xdr:row>4</xdr:row>
      <xdr:rowOff>169503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879" y="48581"/>
          <a:ext cx="3120595" cy="871492"/>
        </a:xfrm>
        <a:prstGeom prst="rect">
          <a:avLst/>
        </a:prstGeom>
      </xdr:spPr>
    </xdr:pic>
    <xdr:clientData/>
  </xdr:twoCellAnchor>
  <xdr:twoCellAnchor>
    <xdr:from>
      <xdr:col>3</xdr:col>
      <xdr:colOff>133349</xdr:colOff>
      <xdr:row>17</xdr:row>
      <xdr:rowOff>128588</xdr:rowOff>
    </xdr:from>
    <xdr:to>
      <xdr:col>6</xdr:col>
      <xdr:colOff>0</xdr:colOff>
      <xdr:row>27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19051</xdr:colOff>
      <xdr:row>17</xdr:row>
      <xdr:rowOff>123826</xdr:rowOff>
    </xdr:from>
    <xdr:to>
      <xdr:col>9</xdr:col>
      <xdr:colOff>1</xdr:colOff>
      <xdr:row>27</xdr:row>
      <xdr:rowOff>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44</xdr:row>
      <xdr:rowOff>133351</xdr:rowOff>
    </xdr:from>
    <xdr:to>
      <xdr:col>6</xdr:col>
      <xdr:colOff>0</xdr:colOff>
      <xdr:row>54</xdr:row>
      <xdr:rowOff>142876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190500</xdr:colOff>
      <xdr:row>44</xdr:row>
      <xdr:rowOff>142875</xdr:rowOff>
    </xdr:from>
    <xdr:to>
      <xdr:col>9</xdr:col>
      <xdr:colOff>9526</xdr:colOff>
      <xdr:row>54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2170261</xdr:colOff>
      <xdr:row>0</xdr:row>
      <xdr:rowOff>0</xdr:rowOff>
    </xdr:from>
    <xdr:to>
      <xdr:col>8</xdr:col>
      <xdr:colOff>371444</xdr:colOff>
      <xdr:row>5</xdr:row>
      <xdr:rowOff>16154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2261" y="0"/>
          <a:ext cx="3468508" cy="9686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../drawings/vmlDrawing1.vml" Type="http://schemas.openxmlformats.org/officeDocument/2006/relationships/vmlDrawing"/>
<Relationship Id="rId3" Target="../activeX/activeX1.xml" Type="http://schemas.openxmlformats.org/officeDocument/2006/relationships/control"/>
<Relationship Id="rId4" Target="../media/image1.emf" Type="http://schemas.openxmlformats.org/officeDocument/2006/relationships/image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Relationship Id="rId4" Target="../activeX/activeX2.xml" Type="http://schemas.openxmlformats.org/officeDocument/2006/relationships/control"/>
<Relationship Id="rId5" Target="../media/image2.emf" Type="http://schemas.openxmlformats.org/officeDocument/2006/relationships/image"/>
<Relationship Id="rId6" Target="../activeX/activeX3.xml" Type="http://schemas.openxmlformats.org/officeDocument/2006/relationships/control"/>
<Relationship Id="rId7" Target="../media/image3.emf" Type="http://schemas.openxmlformats.org/officeDocument/2006/relationships/image"/>
<Relationship Id="rId8" Target="../activeX/activeX4.xml" Type="http://schemas.openxmlformats.org/officeDocument/2006/relationships/control"/>
<Relationship Id="rId9" Target="../media/image4.emf" Type="http://schemas.openxmlformats.org/officeDocument/2006/relationships/image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Relationship Id="rId2" Target="../drawings/drawing5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H17"/>
  <sheetViews>
    <sheetView workbookViewId="0">
      <selection activeCell="B5" sqref="B5"/>
    </sheetView>
  </sheetViews>
  <sheetFormatPr baseColWidth="10" defaultColWidth="9.109375" defaultRowHeight="14.4" x14ac:dyDescent="0.3"/>
  <cols>
    <col min="1" max="1" bestFit="true" customWidth="true" width="99.109375" collapsed="true"/>
    <col min="2" max="2" customWidth="true" width="8.44140625" collapsed="true"/>
    <col min="3" max="3" customWidth="true" width="3.6640625" collapsed="true"/>
    <col min="4" max="4" bestFit="true" customWidth="true" width="2.44140625" collapsed="true"/>
  </cols>
  <sheetData>
    <row r="1" spans="1:8" x14ac:dyDescent="0.3">
      <c r="A1" s="1" t="s">
        <v>0</v>
      </c>
      <c r="C1" s="1" t="s">
        <v>1</v>
      </c>
      <c r="F1" s="1" t="s">
        <v>2</v>
      </c>
      <c r="H1" s="1" t="s">
        <v>214</v>
      </c>
    </row>
    <row r="2" spans="1:8" x14ac:dyDescent="0.3">
      <c r="A2" t="s">
        <v>123</v>
      </c>
      <c r="B2" t="s">
        <v>92</v>
      </c>
      <c r="C2" t="s">
        <v>3</v>
      </c>
      <c r="D2" t="s">
        <v>4</v>
      </c>
      <c r="F2" t="s">
        <v>5</v>
      </c>
    </row>
    <row r="3" spans="1:8" x14ac:dyDescent="0.3">
      <c r="A3" t="s">
        <v>124</v>
      </c>
      <c r="B3" t="s">
        <v>94</v>
      </c>
      <c r="C3" t="s">
        <v>6</v>
      </c>
      <c r="D3" t="s">
        <v>7</v>
      </c>
      <c r="F3" t="s">
        <v>8</v>
      </c>
    </row>
    <row r="4" spans="1:8" x14ac:dyDescent="0.3">
      <c r="A4" t="s">
        <v>125</v>
      </c>
      <c r="B4" t="s">
        <v>96</v>
      </c>
    </row>
    <row r="5" spans="1:8" x14ac:dyDescent="0.3">
      <c r="A5" t="s">
        <v>126</v>
      </c>
      <c r="B5" t="s">
        <v>98</v>
      </c>
    </row>
    <row r="6" spans="1:8" x14ac:dyDescent="0.3">
      <c r="A6" t="s">
        <v>127</v>
      </c>
      <c r="B6" t="s">
        <v>100</v>
      </c>
    </row>
    <row r="7" spans="1:8" x14ac:dyDescent="0.3">
      <c r="A7" t="s">
        <v>128</v>
      </c>
      <c r="B7" t="s">
        <v>102</v>
      </c>
    </row>
    <row r="8" spans="1:8" x14ac:dyDescent="0.3">
      <c r="A8" t="s">
        <v>129</v>
      </c>
      <c r="B8" t="s">
        <v>104</v>
      </c>
    </row>
    <row r="9" spans="1:8" x14ac:dyDescent="0.3">
      <c r="A9" t="s">
        <v>130</v>
      </c>
      <c r="B9" t="s">
        <v>106</v>
      </c>
    </row>
    <row r="10" spans="1:8" x14ac:dyDescent="0.3">
      <c r="A10" t="s">
        <v>131</v>
      </c>
      <c r="B10" t="s">
        <v>108</v>
      </c>
    </row>
    <row r="11" spans="1:8" x14ac:dyDescent="0.3">
      <c r="A11" t="s">
        <v>132</v>
      </c>
      <c r="B11" t="s">
        <v>110</v>
      </c>
    </row>
    <row r="12" spans="1:8" x14ac:dyDescent="0.3">
      <c r="A12" t="s">
        <v>133</v>
      </c>
      <c r="B12" t="s">
        <v>112</v>
      </c>
    </row>
    <row r="13" spans="1:8" x14ac:dyDescent="0.3">
      <c r="A13" t="s">
        <v>134</v>
      </c>
      <c r="B13" t="s">
        <v>114</v>
      </c>
    </row>
    <row r="14" spans="1:8" x14ac:dyDescent="0.3">
      <c r="A14" t="s">
        <v>135</v>
      </c>
      <c r="B14" t="s">
        <v>116</v>
      </c>
    </row>
    <row r="15" spans="1:8" x14ac:dyDescent="0.3">
      <c r="A15" t="s">
        <v>136</v>
      </c>
      <c r="B15" t="s">
        <v>118</v>
      </c>
    </row>
    <row r="16" spans="1:8" x14ac:dyDescent="0.3">
      <c r="A16" t="s">
        <v>137</v>
      </c>
      <c r="B16" t="s">
        <v>120</v>
      </c>
    </row>
    <row r="17" spans="1:2" x14ac:dyDescent="0.3">
      <c r="A17" t="s">
        <v>138</v>
      </c>
      <c r="B17" t="s">
        <v>122</v>
      </c>
    </row>
  </sheetData>
  <pageMargins bottom="0.75" footer="0.3" header="0.3" left="0.7" right="0.7" top="0.75"/>
  <drawing r:id="rId1"/>
  <legacyDrawing r:id="rId2"/>
  <controls>
    <mc:AlternateContent>
      <mc:Choice Requires="x14">
        <control name="EDITABLE" r:id="rId3" shapeId="5121">
          <controlPr autoLine="0" defaultSize="0" r:id="rId4">
            <anchor moveWithCells="1">
              <from>
                <xdr:col>7</xdr:col>
                <xdr:colOff>152400</xdr:colOff>
                <xdr:row>1</xdr:row>
                <xdr:rowOff>60960</xdr:rowOff>
              </from>
              <to>
                <xdr:col>7</xdr:col>
                <xdr:colOff>381000</xdr:colOff>
                <xdr:row>2</xdr:row>
                <xdr:rowOff>137160</xdr:rowOff>
              </to>
            </anchor>
          </controlPr>
        </control>
      </mc:Choice>
      <mc:Fallback>
        <control name="EDITABLE" r:id="rId3" shapeId="5121"/>
      </mc:Fallback>
    </mc:AlternateContent>
  </contro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J131"/>
  <sheetViews>
    <sheetView workbookViewId="0" zoomScale="71" zoomScaleNormal="71">
      <selection activeCell="E2" sqref="E2"/>
    </sheetView>
  </sheetViews>
  <sheetFormatPr baseColWidth="10" defaultColWidth="11.44140625" defaultRowHeight="14.4" x14ac:dyDescent="0.3"/>
  <cols>
    <col min="1" max="1" customWidth="true" width="3.33203125" collapsed="true"/>
    <col min="2" max="2" customWidth="true" width="47.109375" collapsed="true"/>
    <col min="3" max="3" customWidth="true" width="5.5546875" collapsed="true"/>
    <col min="4" max="4" customWidth="true" width="6.6640625" collapsed="true"/>
    <col min="5" max="5" customWidth="true" width="11.109375" collapsed="true"/>
    <col min="6" max="6" customWidth="true" width="6.6640625" collapsed="true"/>
    <col min="7" max="7" customWidth="true" width="11.33203125" collapsed="true"/>
    <col min="8" max="8" customWidth="true" width="6.6640625" collapsed="true"/>
    <col min="9" max="9" customWidth="true" width="11.5546875" collapsed="true"/>
    <col min="10" max="10" customWidth="true" width="6.6640625" collapsed="true"/>
    <col min="11" max="11" customWidth="true" width="11.33203125" collapsed="true"/>
    <col min="12" max="12" customWidth="true" width="6.6640625" collapsed="true"/>
    <col min="13" max="13" customWidth="true" width="12.0" collapsed="true"/>
    <col min="14" max="14" customWidth="true" width="6.6640625" collapsed="true"/>
    <col min="15" max="15" customWidth="true" width="10.44140625" collapsed="true"/>
    <col min="16" max="16" customWidth="true" width="6.6640625" collapsed="true"/>
    <col min="17" max="17" customWidth="true" width="12.44140625" collapsed="true"/>
    <col min="18" max="18" customWidth="true" width="6.6640625" collapsed="true"/>
    <col min="19" max="19" customWidth="true" width="11.44140625" collapsed="true"/>
    <col min="20" max="20" customWidth="true" width="6.6640625" collapsed="true"/>
    <col min="21" max="21" customWidth="true" width="11.33203125" collapsed="true"/>
    <col min="22" max="22" customWidth="true" width="6.6640625" collapsed="true"/>
    <col min="23" max="23" customWidth="true" width="11.44140625" collapsed="true"/>
    <col min="24" max="24" customWidth="true" width="6.6640625" collapsed="true"/>
    <col min="25" max="25" customWidth="true" width="10.5546875" collapsed="true"/>
    <col min="26" max="26" customWidth="true" width="6.6640625" collapsed="true"/>
    <col min="27" max="27" customWidth="true" width="12.109375" collapsed="true"/>
    <col min="28" max="28" customWidth="true" width="6.6640625" collapsed="true"/>
    <col min="29" max="29" customWidth="true" width="12.109375" collapsed="true"/>
    <col min="30" max="30" customWidth="true" width="6.6640625" collapsed="true"/>
    <col min="31" max="31" customWidth="true" width="11.44140625" collapsed="true"/>
    <col min="32" max="32" customWidth="true" width="6.6640625" collapsed="true"/>
    <col min="33" max="33" customWidth="true" width="11.33203125" collapsed="true"/>
    <col min="34" max="34" customWidth="true" width="6.6640625" collapsed="true"/>
    <col min="35" max="35" customWidth="true" width="12.0" collapsed="true"/>
  </cols>
  <sheetData>
    <row r="1" spans="2:36" x14ac:dyDescent="0.3"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100</v>
      </c>
      <c r="N1" s="37" t="s">
        <v>101</v>
      </c>
      <c r="O1" s="37" t="s">
        <v>102</v>
      </c>
      <c r="P1" s="37" t="s">
        <v>103</v>
      </c>
      <c r="Q1" s="37" t="s">
        <v>104</v>
      </c>
      <c r="R1" s="37" t="s">
        <v>105</v>
      </c>
      <c r="S1" s="37" t="s">
        <v>106</v>
      </c>
      <c r="T1" s="37" t="s">
        <v>107</v>
      </c>
      <c r="U1" s="37" t="s">
        <v>108</v>
      </c>
      <c r="V1" s="37" t="s">
        <v>109</v>
      </c>
      <c r="W1" s="37" t="s">
        <v>110</v>
      </c>
      <c r="X1" s="37" t="s">
        <v>111</v>
      </c>
      <c r="Y1" s="37" t="s">
        <v>112</v>
      </c>
      <c r="Z1" s="37" t="s">
        <v>113</v>
      </c>
      <c r="AA1" s="37" t="s">
        <v>114</v>
      </c>
      <c r="AB1" s="37" t="s">
        <v>115</v>
      </c>
      <c r="AC1" s="37" t="s">
        <v>116</v>
      </c>
      <c r="AD1" s="37" t="s">
        <v>117</v>
      </c>
      <c r="AE1" s="37" t="s">
        <v>118</v>
      </c>
      <c r="AF1" s="37" t="s">
        <v>119</v>
      </c>
      <c r="AG1" s="37" t="s">
        <v>120</v>
      </c>
      <c r="AH1" s="37" t="s">
        <v>121</v>
      </c>
      <c r="AI1" s="37" t="s">
        <v>122</v>
      </c>
    </row>
    <row r="2" spans="2:36" x14ac:dyDescent="0.3">
      <c r="B2" s="2" t="s">
        <v>9</v>
      </c>
      <c r="C2" s="2"/>
      <c r="D2" t="s">
        <v>10</v>
      </c>
      <c r="E2" t="s">
        <v>123</v>
      </c>
      <c r="F2" t="s">
        <v>10</v>
      </c>
      <c r="G2" t="s">
        <v>124</v>
      </c>
      <c r="H2" t="s">
        <v>10</v>
      </c>
      <c r="I2" t="s">
        <v>125</v>
      </c>
      <c r="J2" t="s">
        <v>10</v>
      </c>
      <c r="K2" t="s">
        <v>126</v>
      </c>
      <c r="L2" t="s">
        <v>10</v>
      </c>
      <c r="M2" t="s">
        <v>127</v>
      </c>
      <c r="N2" t="s">
        <v>10</v>
      </c>
      <c r="O2" t="s">
        <v>128</v>
      </c>
      <c r="P2" t="s">
        <v>10</v>
      </c>
      <c r="Q2" t="s">
        <v>129</v>
      </c>
      <c r="R2" t="s">
        <v>10</v>
      </c>
      <c r="S2" t="s">
        <v>130</v>
      </c>
      <c r="T2" t="s">
        <v>10</v>
      </c>
      <c r="U2" t="s">
        <v>131</v>
      </c>
      <c r="V2" t="s">
        <v>10</v>
      </c>
      <c r="W2" t="s">
        <v>132</v>
      </c>
      <c r="X2" t="s">
        <v>10</v>
      </c>
      <c r="Y2" t="s">
        <v>133</v>
      </c>
      <c r="Z2" t="s">
        <v>10</v>
      </c>
      <c r="AA2" t="s">
        <v>134</v>
      </c>
      <c r="AB2" t="s">
        <v>10</v>
      </c>
      <c r="AC2" t="s">
        <v>135</v>
      </c>
      <c r="AD2" t="s">
        <v>10</v>
      </c>
      <c r="AE2" t="s">
        <v>136</v>
      </c>
      <c r="AF2" t="s">
        <v>10</v>
      </c>
      <c r="AG2" t="s">
        <v>137</v>
      </c>
      <c r="AH2" t="s">
        <v>10</v>
      </c>
      <c r="AI2" t="s">
        <v>138</v>
      </c>
      <c r="AJ2" s="68" t="s">
        <v>220</v>
      </c>
    </row>
    <row r="3" spans="2:36" x14ac:dyDescent="0.3">
      <c r="B3" t="s">
        <v>11</v>
      </c>
      <c r="C3"/>
      <c r="D3"/>
      <c r="E3" s="60" t="n">
        <v>0.0534</v>
      </c>
      <c r="F3"/>
      <c r="G3" s="60" t="n">
        <v>0.0534</v>
      </c>
      <c r="H3"/>
      <c r="I3" s="60" t="n">
        <v>0.0534</v>
      </c>
      <c r="J3"/>
      <c r="K3" s="60" t="n">
        <v>0.0534</v>
      </c>
      <c r="L3"/>
      <c r="M3" s="60" t="n">
        <v>0.0534</v>
      </c>
      <c r="N3"/>
      <c r="O3" s="60" t="n">
        <v>0.0534</v>
      </c>
      <c r="P3"/>
      <c r="Q3" s="60" t="n">
        <v>0.0534</v>
      </c>
      <c r="R3"/>
      <c r="S3" s="60" t="n">
        <v>0.0534</v>
      </c>
      <c r="T3"/>
      <c r="U3" s="60" t="n">
        <v>0.0534</v>
      </c>
      <c r="V3"/>
      <c r="W3" s="60" t="n">
        <v>0.0534</v>
      </c>
      <c r="X3"/>
      <c r="Y3" s="60" t="n">
        <v>0.0534</v>
      </c>
      <c r="Z3"/>
      <c r="AA3" s="60" t="n">
        <v>0.0534</v>
      </c>
      <c r="AB3"/>
      <c r="AC3" s="60" t="n">
        <v>0.0534</v>
      </c>
      <c r="AD3"/>
      <c r="AE3" s="60" t="n">
        <v>0.0534</v>
      </c>
      <c r="AF3"/>
      <c r="AG3" s="60" t="n">
        <v>0.0534</v>
      </c>
      <c r="AH3"/>
      <c r="AI3" s="60" t="n">
        <v>0.0534</v>
      </c>
      <c r="AJ3"/>
    </row>
    <row r="4" spans="2:36" x14ac:dyDescent="0.3">
      <c r="B4" t="s">
        <v>139</v>
      </c>
      <c r="C4"/>
      <c r="D4"/>
      <c r="E4" s="60" t="n">
        <v>455.0</v>
      </c>
      <c r="F4"/>
      <c r="G4" s="60" t="n">
        <v>455.0</v>
      </c>
      <c r="H4"/>
      <c r="I4" s="60" t="n">
        <v>455.0</v>
      </c>
      <c r="J4"/>
      <c r="K4" s="60" t="n">
        <v>455.0</v>
      </c>
      <c r="L4"/>
      <c r="M4" s="60" t="n">
        <v>455.0</v>
      </c>
      <c r="N4"/>
      <c r="O4" s="60" t="n">
        <v>280.0</v>
      </c>
      <c r="P4"/>
      <c r="Q4" s="60" t="n">
        <v>455.0</v>
      </c>
      <c r="R4"/>
      <c r="S4" s="60" t="n">
        <v>455.0</v>
      </c>
      <c r="T4"/>
      <c r="U4" s="60" t="n">
        <v>455.0</v>
      </c>
      <c r="V4"/>
      <c r="W4" s="60" t="n">
        <v>455.0</v>
      </c>
      <c r="X4"/>
      <c r="Y4" s="60" t="n">
        <v>280.0</v>
      </c>
      <c r="Z4"/>
      <c r="AA4" s="60" t="n">
        <v>455.0</v>
      </c>
      <c r="AB4"/>
      <c r="AC4" s="60" t="n">
        <v>455.0</v>
      </c>
      <c r="AD4"/>
      <c r="AE4" s="60" t="n">
        <v>130.0</v>
      </c>
      <c r="AF4"/>
      <c r="AG4" s="60" t="n">
        <v>130.0</v>
      </c>
      <c r="AH4"/>
      <c r="AI4" s="60" t="n">
        <v>455.0</v>
      </c>
      <c r="AJ4"/>
    </row>
    <row r="5" spans="2:36" x14ac:dyDescent="0.3">
      <c r="B5" s="2" t="s">
        <v>140</v>
      </c>
      <c r="C5" s="2"/>
      <c r="D5" s="2"/>
      <c r="E5" s="60" t="n">
        <v>40000.0</v>
      </c>
      <c r="F5" s="2"/>
      <c r="G5" s="60" t="n">
        <v>40000.0</v>
      </c>
      <c r="H5" s="2"/>
      <c r="I5" s="60" t="n">
        <v>44000.0</v>
      </c>
      <c r="J5" s="2"/>
      <c r="K5" s="60" t="n">
        <v>44000.0</v>
      </c>
      <c r="L5" s="2"/>
      <c r="M5" s="60" t="n">
        <v>40000.0</v>
      </c>
      <c r="N5" s="2"/>
      <c r="O5" s="60" t="n">
        <v>18000.0</v>
      </c>
      <c r="P5" s="2"/>
      <c r="Q5" s="60" t="n">
        <v>40000.0</v>
      </c>
      <c r="R5" s="2"/>
      <c r="S5" s="60" t="n">
        <v>40000.0</v>
      </c>
      <c r="T5" s="2"/>
      <c r="U5" s="60" t="n">
        <v>40000.0</v>
      </c>
      <c r="V5" s="2"/>
      <c r="W5" s="60" t="n">
        <v>40000.0</v>
      </c>
      <c r="X5" s="2"/>
      <c r="Y5" s="60" t="n">
        <v>18000.0</v>
      </c>
      <c r="Z5" s="2"/>
      <c r="AA5" s="60" t="n">
        <v>40000.0</v>
      </c>
      <c r="AB5" s="2"/>
      <c r="AC5" s="60" t="n">
        <v>40000.0</v>
      </c>
      <c r="AD5" s="2"/>
      <c r="AE5" s="60" t="n">
        <v>35000.0</v>
      </c>
      <c r="AF5" s="2"/>
      <c r="AG5" s="60" t="n">
        <v>3500.0</v>
      </c>
      <c r="AH5" s="2"/>
      <c r="AI5" s="60" t="n">
        <v>40000.0</v>
      </c>
      <c r="AJ5"/>
    </row>
    <row r="6" spans="2:36" x14ac:dyDescent="0.3">
      <c r="B6" t="s">
        <v>141</v>
      </c>
      <c r="C6"/>
      <c r="D6" s="2"/>
      <c r="E6" s="60" t="n">
        <v>25000.0</v>
      </c>
      <c r="F6" s="2"/>
      <c r="G6" s="60" t="n">
        <v>25000.0</v>
      </c>
      <c r="H6" s="2"/>
      <c r="I6" s="60" t="n">
        <v>26250.0</v>
      </c>
      <c r="J6" s="2"/>
      <c r="K6" s="60" t="n">
        <v>26250.0</v>
      </c>
      <c r="L6" s="2"/>
      <c r="M6" s="60" t="n">
        <v>23000.0</v>
      </c>
      <c r="N6" s="2"/>
      <c r="O6" s="60" t="n">
        <v>9500.0</v>
      </c>
      <c r="P6" s="2"/>
      <c r="Q6" s="60" t="n">
        <v>0.0</v>
      </c>
      <c r="R6" s="2"/>
      <c r="S6" s="60" t="n">
        <v>0.0</v>
      </c>
      <c r="T6" s="2"/>
      <c r="U6" s="60" t="n">
        <v>0.0</v>
      </c>
      <c r="V6" s="2"/>
      <c r="W6" s="60" t="n">
        <v>24000.0</v>
      </c>
      <c r="X6" s="2"/>
      <c r="Y6" s="60" t="n">
        <v>9000.0</v>
      </c>
      <c r="Z6" s="2"/>
      <c r="AA6" s="60" t="n">
        <v>24000.0</v>
      </c>
      <c r="AB6" s="2"/>
      <c r="AC6" s="60" t="n">
        <v>24000.0</v>
      </c>
      <c r="AD6" s="2"/>
      <c r="AE6" s="60" t="n">
        <v>1500.0</v>
      </c>
      <c r="AF6" s="2"/>
      <c r="AG6" s="60" t="n">
        <v>1500.0</v>
      </c>
      <c r="AH6" s="2"/>
      <c r="AI6" s="60" t="n">
        <v>25000.0</v>
      </c>
      <c r="AJ6"/>
    </row>
    <row r="7" spans="2:36" x14ac:dyDescent="0.3">
      <c r="B7" s="2" t="s">
        <v>12</v>
      </c>
      <c r="C7" s="2"/>
      <c r="D7" s="2"/>
      <c r="E7" s="60" t="n">
        <v>5.0</v>
      </c>
      <c r="F7" s="2"/>
      <c r="G7" s="60" t="n">
        <v>5.0</v>
      </c>
      <c r="H7" s="2"/>
      <c r="I7" s="60" t="n">
        <v>6.0</v>
      </c>
      <c r="J7" s="2"/>
      <c r="K7" s="60" t="n">
        <v>6.0</v>
      </c>
      <c r="L7" s="2"/>
      <c r="M7" s="60" t="n">
        <v>4.0</v>
      </c>
      <c r="N7" s="2"/>
      <c r="O7" s="60" t="n">
        <v>2.0</v>
      </c>
      <c r="P7" s="2"/>
      <c r="Q7" s="60" t="n">
        <v>5.0</v>
      </c>
      <c r="R7" s="2"/>
      <c r="S7" s="60" t="n">
        <v>5.0</v>
      </c>
      <c r="T7" s="2"/>
      <c r="U7" s="60" t="n">
        <v>5.0</v>
      </c>
      <c r="V7" s="2"/>
      <c r="W7" s="60" t="n">
        <v>5.0</v>
      </c>
      <c r="X7" s="2"/>
      <c r="Y7" s="60" t="n">
        <v>2.0</v>
      </c>
      <c r="Z7" s="2"/>
      <c r="AA7" s="60" t="n">
        <v>5.0</v>
      </c>
      <c r="AB7" s="2"/>
      <c r="AC7" s="60" t="n">
        <v>5.0</v>
      </c>
      <c r="AD7" s="2"/>
      <c r="AE7" s="60" t="n">
        <v>2.0</v>
      </c>
      <c r="AF7" s="2"/>
      <c r="AG7" s="60" t="n">
        <v>2.0</v>
      </c>
      <c r="AH7" s="2"/>
      <c r="AI7" s="60" t="n">
        <v>5.0</v>
      </c>
      <c r="AJ7"/>
    </row>
    <row r="8" spans="2:36" x14ac:dyDescent="0.3">
      <c r="B8" t="s">
        <v>142</v>
      </c>
      <c r="C8"/>
      <c r="D8" s="2"/>
      <c r="E8" s="60" t="n">
        <v>12.0</v>
      </c>
      <c r="F8" s="2"/>
      <c r="G8" s="60" t="n">
        <v>12.0</v>
      </c>
      <c r="H8" s="2"/>
      <c r="I8" s="60" t="n">
        <v>14.0</v>
      </c>
      <c r="J8" s="2"/>
      <c r="K8" s="60" t="n">
        <v>14.0</v>
      </c>
      <c r="L8" s="2"/>
      <c r="M8" s="60" t="n">
        <v>14.0</v>
      </c>
      <c r="N8" s="2"/>
      <c r="O8" s="60" t="n">
        <v>6.0</v>
      </c>
      <c r="P8" s="2"/>
      <c r="Q8" s="60" t="n">
        <v>12.0</v>
      </c>
      <c r="R8" s="2"/>
      <c r="S8" s="60" t="n">
        <v>12.0</v>
      </c>
      <c r="T8" s="2"/>
      <c r="U8" s="60" t="n">
        <v>12.0</v>
      </c>
      <c r="V8" s="2"/>
      <c r="W8" s="60" t="n">
        <v>12.0</v>
      </c>
      <c r="X8" s="2"/>
      <c r="Y8" s="60" t="n">
        <v>6.0</v>
      </c>
      <c r="Z8" s="2"/>
      <c r="AA8" s="60" t="n">
        <v>12.0</v>
      </c>
      <c r="AB8" s="2"/>
      <c r="AC8" s="60" t="n">
        <v>12.0</v>
      </c>
      <c r="AD8" s="2"/>
      <c r="AE8" s="60" t="n">
        <v>4.0</v>
      </c>
      <c r="AF8" s="2"/>
      <c r="AG8" s="60" t="n">
        <v>4.0</v>
      </c>
      <c r="AH8" s="2"/>
      <c r="AI8" s="60" t="n">
        <v>12.0</v>
      </c>
      <c r="AJ8"/>
    </row>
    <row r="9" spans="2:36" x14ac:dyDescent="0.3">
      <c r="B9" s="2" t="s">
        <v>13</v>
      </c>
      <c r="C9" s="2"/>
      <c r="D9" s="2"/>
      <c r="E9" s="60" t="n">
        <v>150000.0</v>
      </c>
      <c r="F9" s="2"/>
      <c r="G9" s="60" t="n">
        <v>120000.0</v>
      </c>
      <c r="H9" s="2"/>
      <c r="I9" s="60" t="n">
        <v>100000.0</v>
      </c>
      <c r="J9" s="2"/>
      <c r="K9" s="60" t="n">
        <v>100000.0</v>
      </c>
      <c r="L9" s="2"/>
      <c r="M9" s="60" t="n">
        <v>60000.0</v>
      </c>
      <c r="N9" s="2"/>
      <c r="O9" s="60" t="n">
        <v>90000.0</v>
      </c>
      <c r="P9" s="2"/>
      <c r="Q9" s="60" t="n">
        <v>105000.0</v>
      </c>
      <c r="R9" s="2"/>
      <c r="S9" s="60" t="n">
        <v>100000.0</v>
      </c>
      <c r="T9" s="2"/>
      <c r="U9" s="60" t="n">
        <v>100000.0</v>
      </c>
      <c r="V9" s="2"/>
      <c r="W9" s="60" t="n">
        <v>120000.0</v>
      </c>
      <c r="X9" s="2"/>
      <c r="Y9" s="60" t="n">
        <v>70000.0</v>
      </c>
      <c r="Z9" s="2"/>
      <c r="AA9" s="60" t="n">
        <v>120000.0</v>
      </c>
      <c r="AB9" s="2"/>
      <c r="AC9" s="60" t="n">
        <v>120000.0</v>
      </c>
      <c r="AD9" s="2"/>
      <c r="AE9" s="60" t="n">
        <v>50000.0</v>
      </c>
      <c r="AF9" s="2"/>
      <c r="AG9" s="60" t="n">
        <v>50000.0</v>
      </c>
      <c r="AH9" s="2"/>
      <c r="AI9" s="60" t="n">
        <v>120000.0</v>
      </c>
      <c r="AJ9"/>
    </row>
    <row r="10" spans="2:36" x14ac:dyDescent="0.3">
      <c r="B10" t="s">
        <v>143</v>
      </c>
      <c r="C10"/>
      <c r="D10" s="60" t="n">
        <v>90.0</v>
      </c>
      <c r="E10" t="n">
        <f>E9*D10/100</f>
        <v>135000.0</v>
      </c>
      <c r="F10" s="60" t="n">
        <v>85.0</v>
      </c>
      <c r="G10" t="n">
        <f>G9*F10/100</f>
        <v>102000.0</v>
      </c>
      <c r="H10" s="60" t="n">
        <v>85.0</v>
      </c>
      <c r="I10" t="n">
        <f ref="I10:K10" si="0" t="shared">I9*H10/100</f>
        <v>85000.0</v>
      </c>
      <c r="J10" s="60" t="n">
        <v>85.0</v>
      </c>
      <c r="K10" t="n">
        <f si="0" t="shared"/>
        <v>85000.0</v>
      </c>
      <c r="L10" s="60" t="n">
        <v>50.0</v>
      </c>
      <c r="M10" t="n">
        <f ref="M10" si="1" t="shared">M9*L10/100</f>
        <v>30000.0</v>
      </c>
      <c r="N10" s="60" t="n">
        <v>80.0</v>
      </c>
      <c r="O10" t="n">
        <f ref="O10" si="2" t="shared">O9*N10/100</f>
        <v>72000.0</v>
      </c>
      <c r="P10" s="60" t="n">
        <v>75.0</v>
      </c>
      <c r="Q10" t="n">
        <f ref="Q10" si="3" t="shared">Q9*P10/100</f>
        <v>78750.0</v>
      </c>
      <c r="R10" s="60" t="n">
        <v>50.0</v>
      </c>
      <c r="S10" t="n">
        <f ref="S10:U10" si="4" t="shared">S9*R10/100</f>
        <v>50000.0</v>
      </c>
      <c r="T10" s="60" t="n">
        <v>50.0</v>
      </c>
      <c r="U10" t="n">
        <f si="4" t="shared"/>
        <v>50000.0</v>
      </c>
      <c r="V10" s="60" t="n">
        <v>80.0</v>
      </c>
      <c r="W10" t="n">
        <f ref="W10" si="5" t="shared">W9*V10/100</f>
        <v>96000.0</v>
      </c>
      <c r="X10" s="60" t="n">
        <v>75.0</v>
      </c>
      <c r="Y10" t="n">
        <f ref="Y10" si="6" t="shared">Y9*X10/100</f>
        <v>52500.0</v>
      </c>
      <c r="Z10" s="60" t="n">
        <v>80.0</v>
      </c>
      <c r="AA10" t="n">
        <f ref="AA10:AC10" si="7" t="shared">AA9*Z10/100</f>
        <v>96000.0</v>
      </c>
      <c r="AB10" s="60" t="n">
        <v>80.0</v>
      </c>
      <c r="AC10" t="n">
        <f si="7" t="shared"/>
        <v>96000.0</v>
      </c>
      <c r="AD10" s="60" t="n">
        <v>75.0</v>
      </c>
      <c r="AE10" t="n">
        <f ref="AE10" si="8" t="shared">AE9*AD10/100</f>
        <v>37500.0</v>
      </c>
      <c r="AF10" s="60" t="n">
        <v>75.0</v>
      </c>
      <c r="AG10" t="n">
        <f ref="AG10" si="9" t="shared">AG9*AF10/100</f>
        <v>37500.0</v>
      </c>
      <c r="AH10" s="60" t="n">
        <v>85.0</v>
      </c>
      <c r="AI10" t="n">
        <f>AI9*AH10/100</f>
        <v>102000.0</v>
      </c>
      <c r="AJ10"/>
    </row>
    <row r="11" spans="2:36" x14ac:dyDescent="0.3">
      <c r="B11" t="s">
        <v>144</v>
      </c>
      <c r="C11"/>
      <c r="D11" s="60" t="n">
        <v>10.0</v>
      </c>
      <c r="E11" t="n">
        <f>E9*D11/100</f>
        <v>15000.0</v>
      </c>
      <c r="F11" s="60" t="n">
        <v>15.0</v>
      </c>
      <c r="G11" t="n">
        <f>G9*F11/100</f>
        <v>18000.0</v>
      </c>
      <c r="H11" s="60" t="n">
        <v>15.0</v>
      </c>
      <c r="I11" t="n">
        <f ref="I11" si="10" t="shared">I9*H11/100</f>
        <v>15000.0</v>
      </c>
      <c r="J11" s="60" t="n">
        <v>15.0</v>
      </c>
      <c r="K11" t="n">
        <f ref="K11" si="11" t="shared">K9*J11/100</f>
        <v>15000.0</v>
      </c>
      <c r="L11" s="60" t="n">
        <v>50.0</v>
      </c>
      <c r="M11" t="n">
        <f ref="M11" si="12" t="shared">M9*L11/100</f>
        <v>30000.0</v>
      </c>
      <c r="N11" s="60" t="n">
        <v>20.0</v>
      </c>
      <c r="O11" t="n">
        <f ref="O11" si="13" t="shared">O9*N11/100</f>
        <v>18000.0</v>
      </c>
      <c r="P11" s="60" t="n">
        <v>25.0</v>
      </c>
      <c r="Q11" t="n">
        <f ref="Q11" si="14" t="shared">Q9*P11/100</f>
        <v>26250.0</v>
      </c>
      <c r="R11" s="60" t="n">
        <v>50.0</v>
      </c>
      <c r="S11" t="n">
        <f ref="S11" si="15" t="shared">S9*R11/100</f>
        <v>50000.0</v>
      </c>
      <c r="T11" s="60" t="n">
        <v>50.0</v>
      </c>
      <c r="U11" t="n">
        <f ref="U11" si="16" t="shared">U9*T11/100</f>
        <v>50000.0</v>
      </c>
      <c r="V11" s="60" t="n">
        <v>20.0</v>
      </c>
      <c r="W11" t="n">
        <f ref="W11" si="17" t="shared">W9*V11/100</f>
        <v>24000.0</v>
      </c>
      <c r="X11" s="60" t="n">
        <v>25.0</v>
      </c>
      <c r="Y11" t="n">
        <f ref="Y11" si="18" t="shared">Y9*X11/100</f>
        <v>17500.0</v>
      </c>
      <c r="Z11" s="60" t="n">
        <v>20.0</v>
      </c>
      <c r="AA11" t="n">
        <f ref="AA11" si="19" t="shared">AA9*Z11/100</f>
        <v>24000.0</v>
      </c>
      <c r="AB11" s="60" t="n">
        <v>20.0</v>
      </c>
      <c r="AC11" t="n">
        <f ref="AC11" si="20" t="shared">AC9*AB11/100</f>
        <v>24000.0</v>
      </c>
      <c r="AD11" s="60" t="n">
        <v>25.0</v>
      </c>
      <c r="AE11" t="n">
        <f ref="AE11" si="21" t="shared">AE9*AD11/100</f>
        <v>12500.0</v>
      </c>
      <c r="AF11" s="60" t="n">
        <v>25.0</v>
      </c>
      <c r="AG11" t="n">
        <f ref="AG11" si="22" t="shared">AG9*AF11/100</f>
        <v>12500.0</v>
      </c>
      <c r="AH11" s="60" t="n">
        <v>15.0</v>
      </c>
      <c r="AI11" t="n">
        <f>AI9*AH11/100</f>
        <v>18000.0</v>
      </c>
      <c r="AJ11"/>
    </row>
    <row r="12" spans="2:36" x14ac:dyDescent="0.3">
      <c r="B12" s="2" t="s">
        <v>14</v>
      </c>
      <c r="C12" s="2"/>
      <c r="D12" s="2"/>
      <c r="E12" s="60" t="n">
        <v>35.0</v>
      </c>
      <c r="F12" s="2"/>
      <c r="G12" s="60" t="n">
        <v>35.0</v>
      </c>
      <c r="H12" s="2"/>
      <c r="I12" s="60" t="n">
        <v>35.0</v>
      </c>
      <c r="J12" s="2"/>
      <c r="K12" s="60" t="n">
        <v>35.0</v>
      </c>
      <c r="L12" s="2"/>
      <c r="M12" s="60" t="n">
        <v>38.5</v>
      </c>
      <c r="N12" s="2"/>
      <c r="O12" s="60" t="n">
        <v>25.0</v>
      </c>
      <c r="P12" s="2"/>
      <c r="Q12" s="60" t="n">
        <v>34.5</v>
      </c>
      <c r="R12" s="2"/>
      <c r="S12" s="60" t="n">
        <v>34.5</v>
      </c>
      <c r="T12" s="2"/>
      <c r="U12" s="60" t="n">
        <v>34.5</v>
      </c>
      <c r="V12" s="2"/>
      <c r="W12" s="60" t="n">
        <v>35.0</v>
      </c>
      <c r="X12" s="2"/>
      <c r="Y12" s="60" t="n">
        <v>25.0</v>
      </c>
      <c r="Z12" s="2"/>
      <c r="AA12" s="60" t="n">
        <v>35.0</v>
      </c>
      <c r="AB12" s="2"/>
      <c r="AC12" s="60" t="n">
        <v>35.0</v>
      </c>
      <c r="AD12" s="2"/>
      <c r="AE12" s="60" t="n">
        <v>11.5</v>
      </c>
      <c r="AF12" s="2"/>
      <c r="AG12" s="60" t="n">
        <v>11.5</v>
      </c>
      <c r="AH12" s="2"/>
      <c r="AI12" s="60" t="n">
        <v>35.0</v>
      </c>
      <c r="AJ12"/>
    </row>
    <row r="13" spans="2:36" x14ac:dyDescent="0.3">
      <c r="B13" s="2" t="s">
        <v>15</v>
      </c>
      <c r="C13" s="2"/>
      <c r="D13" s="2"/>
      <c r="E13" s="60" t="n">
        <v>2000.0</v>
      </c>
      <c r="F13" s="2"/>
      <c r="G13" s="60" t="n">
        <v>1800.0</v>
      </c>
      <c r="H13" s="2"/>
      <c r="I13" s="60" t="n">
        <v>1800.0</v>
      </c>
      <c r="J13" s="2"/>
      <c r="K13" s="60" t="n">
        <v>1800.0</v>
      </c>
      <c r="L13" s="2"/>
      <c r="M13" s="60" t="n">
        <v>1800.0</v>
      </c>
      <c r="N13" s="2"/>
      <c r="O13" s="60" t="n">
        <v>1800.0</v>
      </c>
      <c r="P13" s="2"/>
      <c r="Q13" s="60" t="n">
        <v>1800.0</v>
      </c>
      <c r="R13" s="2"/>
      <c r="S13" s="60" t="n">
        <v>1800.0</v>
      </c>
      <c r="T13" s="2"/>
      <c r="U13" s="60" t="n">
        <v>1800.0</v>
      </c>
      <c r="V13" s="2"/>
      <c r="W13" s="60" t="n">
        <v>1800.0</v>
      </c>
      <c r="X13" s="2"/>
      <c r="Y13" s="60" t="n">
        <v>1800.0</v>
      </c>
      <c r="Z13" s="2"/>
      <c r="AA13" s="60" t="n">
        <v>1800.0</v>
      </c>
      <c r="AB13" s="2"/>
      <c r="AC13" s="60" t="n">
        <v>1800.0</v>
      </c>
      <c r="AD13" s="2"/>
      <c r="AE13" s="60" t="n">
        <v>1800.0</v>
      </c>
      <c r="AF13" s="2"/>
      <c r="AG13" s="60" t="n">
        <v>1800.0</v>
      </c>
      <c r="AH13" s="2"/>
      <c r="AI13" s="60" t="n">
        <v>1800.0</v>
      </c>
      <c r="AJ13"/>
    </row>
    <row r="14" spans="2:36" x14ac:dyDescent="0.3">
      <c r="B14" t="s">
        <v>145</v>
      </c>
      <c r="C14"/>
      <c r="D14" s="60" t="n">
        <v>90.0</v>
      </c>
      <c r="E14" t="n">
        <f>E13*D14/100</f>
        <v>1800.0</v>
      </c>
      <c r="F14" s="60" t="n">
        <v>85.0</v>
      </c>
      <c r="G14" t="n">
        <f>G13*F14/100</f>
        <v>1530.0</v>
      </c>
      <c r="H14" s="60" t="n">
        <v>85.0</v>
      </c>
      <c r="I14" t="n">
        <f ref="I14:K14" si="23" t="shared">I13*H14/100</f>
        <v>1530.0</v>
      </c>
      <c r="J14" s="60" t="n">
        <v>85.0</v>
      </c>
      <c r="K14" t="n">
        <f si="23" t="shared"/>
        <v>1530.0</v>
      </c>
      <c r="L14" s="60" t="n">
        <v>50.0</v>
      </c>
      <c r="M14" t="n">
        <f ref="M14" si="24" t="shared">M13*L14/100</f>
        <v>900.0</v>
      </c>
      <c r="N14" s="60" t="n">
        <v>80.0</v>
      </c>
      <c r="O14" t="n">
        <f ref="O14" si="25" t="shared">O13*N14/100</f>
        <v>1440.0</v>
      </c>
      <c r="P14" s="60" t="n">
        <v>75.0</v>
      </c>
      <c r="Q14" t="n">
        <f ref="Q14" si="26" t="shared">Q13*P14/100</f>
        <v>1350.0</v>
      </c>
      <c r="R14" s="60" t="n">
        <v>50.0</v>
      </c>
      <c r="S14" t="n">
        <f ref="S14:U14" si="27" t="shared">S13*R14/100</f>
        <v>900.0</v>
      </c>
      <c r="T14" s="60" t="n">
        <v>50.0</v>
      </c>
      <c r="U14" t="n">
        <f si="27" t="shared"/>
        <v>900.0</v>
      </c>
      <c r="V14" s="60" t="n">
        <v>80.0</v>
      </c>
      <c r="W14" t="n">
        <f ref="W14" si="28" t="shared">W13*V14/100</f>
        <v>1440.0</v>
      </c>
      <c r="X14" s="60" t="n">
        <v>75.0</v>
      </c>
      <c r="Y14" t="n">
        <f ref="Y14" si="29" t="shared">Y13*X14/100</f>
        <v>1350.0</v>
      </c>
      <c r="Z14" s="60" t="n">
        <v>80.0</v>
      </c>
      <c r="AA14" t="n">
        <f ref="AA14:AC14" si="30" t="shared">AA13*Z14/100</f>
        <v>1440.0</v>
      </c>
      <c r="AB14" s="60" t="n">
        <v>80.0</v>
      </c>
      <c r="AC14" t="n">
        <f si="30" t="shared"/>
        <v>1440.0</v>
      </c>
      <c r="AD14" s="60" t="n">
        <v>75.0</v>
      </c>
      <c r="AE14" t="n">
        <f ref="AE14" si="31" t="shared">AE13*AD14/100</f>
        <v>1350.0</v>
      </c>
      <c r="AF14" s="60" t="n">
        <v>75.0</v>
      </c>
      <c r="AG14" t="n">
        <f ref="AG14" si="32" t="shared">AG13*AF14/100</f>
        <v>1350.0</v>
      </c>
      <c r="AH14" s="60" t="n">
        <v>85.0</v>
      </c>
      <c r="AI14" t="n">
        <f>AI13*AH14/100</f>
        <v>1530.0</v>
      </c>
      <c r="AJ14"/>
    </row>
    <row r="15" spans="2:36" x14ac:dyDescent="0.3">
      <c r="B15" t="s">
        <v>146</v>
      </c>
      <c r="C15"/>
      <c r="D15" s="60" t="n">
        <v>10.0</v>
      </c>
      <c r="E15" t="n">
        <f>E13*D15/100</f>
        <v>200.0</v>
      </c>
      <c r="F15" s="60" t="n">
        <v>15.0</v>
      </c>
      <c r="G15" t="n">
        <f>G13*F15/100</f>
        <v>270.0</v>
      </c>
      <c r="H15" s="60" t="n">
        <v>15.0</v>
      </c>
      <c r="I15" t="n">
        <f ref="I15" si="33" t="shared">I13*H15/100</f>
        <v>270.0</v>
      </c>
      <c r="J15" s="60" t="n">
        <v>15.0</v>
      </c>
      <c r="K15" t="n">
        <f ref="K15" si="34" t="shared">K13*J15/100</f>
        <v>270.0</v>
      </c>
      <c r="L15" s="60" t="n">
        <v>50.0</v>
      </c>
      <c r="M15" t="n">
        <f ref="M15" si="35" t="shared">M13*L15/100</f>
        <v>900.0</v>
      </c>
      <c r="N15" s="60" t="n">
        <v>20.0</v>
      </c>
      <c r="O15" t="n">
        <f ref="O15" si="36" t="shared">O13*N15/100</f>
        <v>360.0</v>
      </c>
      <c r="P15" s="60" t="n">
        <v>25.0</v>
      </c>
      <c r="Q15" t="n">
        <f ref="Q15" si="37" t="shared">Q13*P15/100</f>
        <v>450.0</v>
      </c>
      <c r="R15" s="60" t="n">
        <v>50.0</v>
      </c>
      <c r="S15" t="n">
        <f ref="S15" si="38" t="shared">S13*R15/100</f>
        <v>900.0</v>
      </c>
      <c r="T15" s="60" t="n">
        <v>50.0</v>
      </c>
      <c r="U15" t="n">
        <f ref="U15" si="39" t="shared">U13*T15/100</f>
        <v>900.0</v>
      </c>
      <c r="V15" s="60" t="n">
        <v>20.0</v>
      </c>
      <c r="W15" t="n">
        <f ref="W15" si="40" t="shared">W13*V15/100</f>
        <v>360.0</v>
      </c>
      <c r="X15" s="60" t="n">
        <v>25.0</v>
      </c>
      <c r="Y15" t="n">
        <f ref="Y15" si="41" t="shared">Y13*X15/100</f>
        <v>450.0</v>
      </c>
      <c r="Z15" s="60" t="n">
        <v>20.0</v>
      </c>
      <c r="AA15" t="n">
        <f ref="AA15" si="42" t="shared">AA13*Z15/100</f>
        <v>360.0</v>
      </c>
      <c r="AB15" s="60" t="n">
        <v>20.0</v>
      </c>
      <c r="AC15" t="n">
        <f ref="AC15" si="43" t="shared">AC13*AB15/100</f>
        <v>360.0</v>
      </c>
      <c r="AD15" s="60" t="n">
        <v>25.0</v>
      </c>
      <c r="AE15" t="n">
        <f ref="AE15" si="44" t="shared">AE13*AD15/100</f>
        <v>450.0</v>
      </c>
      <c r="AF15" s="60" t="n">
        <v>25.0</v>
      </c>
      <c r="AG15" t="n">
        <f ref="AG15" si="45" t="shared">AG13*AF15/100</f>
        <v>450.0</v>
      </c>
      <c r="AH15" s="60" t="n">
        <v>15.0</v>
      </c>
      <c r="AI15" t="n">
        <f>AI13*AH15/100</f>
        <v>270.0</v>
      </c>
      <c r="AJ15"/>
    </row>
    <row r="16" spans="2:36" x14ac:dyDescent="0.3">
      <c r="B16" t="s">
        <v>147</v>
      </c>
      <c r="C16"/>
      <c r="D16" s="2"/>
      <c r="E16" s="61" t="n">
        <v>250.0</v>
      </c>
      <c r="F16" s="2"/>
      <c r="G16" s="61" t="n">
        <v>225.0</v>
      </c>
      <c r="H16" s="2"/>
      <c r="I16" s="61" t="n">
        <v>225.0</v>
      </c>
      <c r="J16" s="2"/>
      <c r="K16" s="61" t="n">
        <v>225.0</v>
      </c>
      <c r="L16" s="2"/>
      <c r="M16" s="61" t="n">
        <v>225.0</v>
      </c>
      <c r="N16" s="2"/>
      <c r="O16" s="61" t="n">
        <v>225.0</v>
      </c>
      <c r="P16" s="2"/>
      <c r="Q16" s="61" t="n">
        <v>225.0</v>
      </c>
      <c r="R16" s="2"/>
      <c r="S16" s="61" t="n">
        <v>225.0</v>
      </c>
      <c r="T16" s="2"/>
      <c r="U16" s="61" t="n">
        <v>225.0</v>
      </c>
      <c r="V16" s="2"/>
      <c r="W16" s="61" t="n">
        <v>225.0</v>
      </c>
      <c r="X16" s="2"/>
      <c r="Y16" s="61" t="n">
        <v>225.0</v>
      </c>
      <c r="Z16" s="2"/>
      <c r="AA16" s="61" t="n">
        <v>225.0</v>
      </c>
      <c r="AB16" s="2"/>
      <c r="AC16" s="61" t="n">
        <v>225.0</v>
      </c>
      <c r="AD16" s="2"/>
      <c r="AE16" s="61" t="n">
        <v>225.0</v>
      </c>
      <c r="AF16" s="2"/>
      <c r="AG16" s="61" t="n">
        <v>225.0</v>
      </c>
      <c r="AH16" s="2"/>
      <c r="AI16" s="61" t="n">
        <v>225.0</v>
      </c>
      <c r="AJ16"/>
    </row>
    <row r="17" spans="2:35" x14ac:dyDescent="0.3">
      <c r="B17" s="38" t="s">
        <v>148</v>
      </c>
      <c r="C17" s="38"/>
      <c r="D17" s="2"/>
      <c r="E17" t="n">
        <f>E13/E16</f>
        <v>8.0</v>
      </c>
      <c r="F17" s="2"/>
      <c r="G17" t="n">
        <f ref="G17" si="46" t="shared">G13/G16</f>
        <v>8.0</v>
      </c>
      <c r="H17" s="2"/>
      <c r="I17" t="n">
        <f ref="I17:K17" si="47" t="shared">I13/I16</f>
        <v>8.0</v>
      </c>
      <c r="J17" s="2"/>
      <c r="K17" t="n">
        <f si="47" t="shared"/>
        <v>8.0</v>
      </c>
      <c r="L17" s="2"/>
      <c r="M17" t="n">
        <f ref="M17" si="48" t="shared">M13/M16</f>
        <v>8.0</v>
      </c>
      <c r="N17" s="2"/>
      <c r="O17" t="n">
        <f ref="O17" si="49" t="shared">O13/O16</f>
        <v>8.0</v>
      </c>
      <c r="P17" s="2"/>
      <c r="Q17" t="n">
        <f ref="Q17" si="50" t="shared">Q13/Q16</f>
        <v>8.0</v>
      </c>
      <c r="R17" s="2"/>
      <c r="S17" t="n">
        <f ref="S17:U17" si="51" t="shared">S13/S16</f>
        <v>8.0</v>
      </c>
      <c r="T17" s="2"/>
      <c r="U17" t="n">
        <f si="51" t="shared"/>
        <v>8.0</v>
      </c>
      <c r="V17" s="2"/>
      <c r="W17" t="n">
        <f ref="W17" si="52" t="shared">W13/W16</f>
        <v>8.0</v>
      </c>
      <c r="X17" s="2"/>
      <c r="Y17" t="n">
        <f ref="Y17" si="53" t="shared">Y13/Y16</f>
        <v>8.0</v>
      </c>
      <c r="Z17" s="2"/>
      <c r="AA17" t="n">
        <f ref="AA17:AC17" si="54" t="shared">AA13/AA16</f>
        <v>8.0</v>
      </c>
      <c r="AB17" s="2"/>
      <c r="AC17" t="n">
        <f si="54" t="shared"/>
        <v>8.0</v>
      </c>
      <c r="AD17" s="2"/>
      <c r="AE17" t="n">
        <f ref="AE17" si="55" t="shared">AE13/AE16</f>
        <v>8.0</v>
      </c>
      <c r="AF17" s="2"/>
      <c r="AG17" t="n">
        <f ref="AG17" si="56" t="shared">AG13/AG16</f>
        <v>8.0</v>
      </c>
      <c r="AH17" s="2"/>
      <c r="AI17" t="n">
        <f ref="AI17" si="57" t="shared">AI13/AI16</f>
        <v>8.0</v>
      </c>
      <c r="AJ17"/>
    </row>
    <row r="18" spans="2:35" x14ac:dyDescent="0.3">
      <c r="B18" t="s">
        <v>149</v>
      </c>
      <c r="C18"/>
      <c r="D18" s="49"/>
      <c r="E18" s="62" t="n">
        <v>0.0</v>
      </c>
      <c r="F18" s="49"/>
      <c r="G18" s="62" t="n">
        <v>0.0</v>
      </c>
      <c r="H18" s="49"/>
      <c r="I18" s="62" t="n">
        <v>0.0</v>
      </c>
      <c r="J18" s="49"/>
      <c r="K18" s="62" t="n">
        <v>0.0</v>
      </c>
      <c r="L18" s="49"/>
      <c r="M18" s="62" t="n">
        <v>0.0</v>
      </c>
      <c r="N18" s="49"/>
      <c r="O18" s="62" t="n">
        <v>0.0</v>
      </c>
      <c r="P18" s="49"/>
      <c r="Q18" s="62" t="n">
        <v>0.0</v>
      </c>
      <c r="R18" s="49"/>
      <c r="S18" s="62" t="n">
        <v>0.0</v>
      </c>
      <c r="T18" s="49"/>
      <c r="U18" s="62" t="n">
        <v>0.0</v>
      </c>
      <c r="V18" s="49"/>
      <c r="W18" s="62" t="n">
        <v>0.0</v>
      </c>
      <c r="X18" s="49"/>
      <c r="Y18" s="62" t="n">
        <v>0.0</v>
      </c>
      <c r="Z18" s="49"/>
      <c r="AA18" s="62" t="n">
        <v>0.0</v>
      </c>
      <c r="AB18" s="49"/>
      <c r="AC18" s="62" t="n">
        <v>0.0</v>
      </c>
      <c r="AD18" s="49"/>
      <c r="AE18" s="62" t="n">
        <v>0.0</v>
      </c>
      <c r="AF18" s="49"/>
      <c r="AG18" s="62" t="n">
        <v>0.0</v>
      </c>
      <c r="AH18" s="49"/>
      <c r="AI18" s="62" t="n">
        <v>0.0</v>
      </c>
      <c r="AJ18"/>
    </row>
    <row r="19" spans="2:35" x14ac:dyDescent="0.3">
      <c r="B19" t="s">
        <v>150</v>
      </c>
      <c r="C19"/>
      <c r="D19" s="2"/>
      <c r="E19" s="61" t="n">
        <v>124387.3</v>
      </c>
      <c r="F19" s="2"/>
      <c r="G19" s="61" t="n">
        <v>124387.3</v>
      </c>
      <c r="H19" s="2"/>
      <c r="I19" s="61" t="n">
        <v>124387.3</v>
      </c>
      <c r="J19" s="2"/>
      <c r="K19" s="61" t="n">
        <v>124387.3</v>
      </c>
      <c r="L19" s="2"/>
      <c r="M19" s="61" t="n">
        <v>124387.3</v>
      </c>
      <c r="N19" s="2"/>
      <c r="O19" s="61" t="n">
        <v>76916.1</v>
      </c>
      <c r="P19" s="2"/>
      <c r="Q19" s="61" t="n">
        <v>124387.3</v>
      </c>
      <c r="R19" s="2"/>
      <c r="S19" s="61" t="n">
        <v>124387.3</v>
      </c>
      <c r="T19" s="2"/>
      <c r="U19" s="61" t="n">
        <v>124387.3</v>
      </c>
      <c r="V19" s="2"/>
      <c r="W19" s="61" t="n">
        <v>124387.3</v>
      </c>
      <c r="X19" s="2"/>
      <c r="Y19" s="61" t="n">
        <v>76916.1</v>
      </c>
      <c r="Z19" s="2"/>
      <c r="AA19" s="61" t="n">
        <v>124387.3</v>
      </c>
      <c r="AB19" s="2"/>
      <c r="AC19" s="61" t="n">
        <v>124387.3</v>
      </c>
      <c r="AD19" s="2"/>
      <c r="AE19" s="61" t="n">
        <v>26034.19</v>
      </c>
      <c r="AF19" s="2"/>
      <c r="AG19" s="61" t="n">
        <v>26034.19</v>
      </c>
      <c r="AH19" s="2"/>
      <c r="AI19" s="61" t="n">
        <v>124387.3</v>
      </c>
      <c r="AJ19"/>
    </row>
    <row r="20" spans="2:35" x14ac:dyDescent="0.3">
      <c r="B20" t="s">
        <v>151</v>
      </c>
      <c r="C20"/>
      <c r="D20" s="2"/>
      <c r="E20" s="61" t="n">
        <v>10.0</v>
      </c>
      <c r="F20" s="2"/>
      <c r="G20" s="61" t="n">
        <v>10.0</v>
      </c>
      <c r="H20" s="2"/>
      <c r="I20" s="61" t="n">
        <v>10.0</v>
      </c>
      <c r="J20" s="2"/>
      <c r="K20" s="61" t="n">
        <v>10.0</v>
      </c>
      <c r="L20" s="2"/>
      <c r="M20" s="61" t="n">
        <v>10.0</v>
      </c>
      <c r="N20" s="2"/>
      <c r="O20" s="61" t="n">
        <v>10.0</v>
      </c>
      <c r="P20" s="2"/>
      <c r="Q20" s="61" t="n">
        <v>10.0</v>
      </c>
      <c r="R20" s="2"/>
      <c r="S20" s="61" t="n">
        <v>10.0</v>
      </c>
      <c r="T20" s="2"/>
      <c r="U20" s="61" t="n">
        <v>10.0</v>
      </c>
      <c r="V20" s="2"/>
      <c r="W20" s="61" t="n">
        <v>10.0</v>
      </c>
      <c r="X20" s="2"/>
      <c r="Y20" s="61" t="n">
        <v>10.0</v>
      </c>
      <c r="Z20" s="2"/>
      <c r="AA20" s="61" t="n">
        <v>10.0</v>
      </c>
      <c r="AB20" s="2"/>
      <c r="AC20" s="61" t="n">
        <v>10.0</v>
      </c>
      <c r="AD20" s="2"/>
      <c r="AE20" s="61" t="n">
        <v>10.0</v>
      </c>
      <c r="AF20" s="2"/>
      <c r="AG20" s="61" t="n">
        <v>10.0</v>
      </c>
      <c r="AH20" s="2"/>
      <c r="AI20" s="61" t="n">
        <v>10.0</v>
      </c>
      <c r="AJ20"/>
    </row>
    <row r="21" spans="2:35" x14ac:dyDescent="0.3">
      <c r="B21" t="s">
        <v>152</v>
      </c>
      <c r="C21"/>
      <c r="D21" s="2"/>
      <c r="E21" t="n">
        <f>ROUND((1-E20/100)*E19,0)</f>
        <v>111949.0</v>
      </c>
      <c r="F21" s="2"/>
      <c r="G21" t="n">
        <f>(1-G20/100)*G19</f>
        <v>111949.0</v>
      </c>
      <c r="H21" s="2"/>
      <c r="I21" t="n">
        <f ref="I21:K21" si="58" t="shared">(1-I20/100)*I19</f>
        <v>111949.0</v>
      </c>
      <c r="J21" s="2"/>
      <c r="K21" t="n">
        <f si="58" t="shared"/>
        <v>111949.0</v>
      </c>
      <c r="L21" s="2"/>
      <c r="M21" t="n">
        <f ref="M21" si="59" t="shared">(1-M20/100)*M19</f>
        <v>111949.0</v>
      </c>
      <c r="N21" s="2"/>
      <c r="O21" s="53" t="n">
        <f ref="O21" si="60" t="shared">(1-O20/100)*O19</f>
        <v>69224.0</v>
      </c>
      <c r="P21" s="2"/>
      <c r="Q21" t="n">
        <f ref="Q21" si="61" t="shared">(1-Q20/100)*Q19</f>
        <v>111949.0</v>
      </c>
      <c r="R21" s="2"/>
      <c r="S21" t="n">
        <f ref="S21:U21" si="62" t="shared">(1-S20/100)*S19</f>
        <v>111949.0</v>
      </c>
      <c r="T21" s="2"/>
      <c r="U21" t="n">
        <f si="62" t="shared"/>
        <v>111949.0</v>
      </c>
      <c r="V21" s="2"/>
      <c r="W21" t="n">
        <f ref="W21" si="63" t="shared">(1-W20/100)*W19</f>
        <v>111949.0</v>
      </c>
      <c r="X21" s="2"/>
      <c r="Y21" t="n">
        <f ref="Y21" si="64" t="shared">(1-Y20/100)*Y19</f>
        <v>69224.0</v>
      </c>
      <c r="Z21" s="2"/>
      <c r="AA21" t="n">
        <f ref="AA21:AC21" si="65" t="shared">(1-AA20/100)*AA19</f>
        <v>111949.0</v>
      </c>
      <c r="AB21" s="2"/>
      <c r="AC21" t="n">
        <f si="65" t="shared"/>
        <v>111949.0</v>
      </c>
      <c r="AD21" s="2"/>
      <c r="AE21" t="n">
        <f ref="AE21" si="66" t="shared">(1-AE20/100)*AE19</f>
        <v>23431.0</v>
      </c>
      <c r="AF21" s="2"/>
      <c r="AG21" t="n">
        <f ref="AG21" si="67" t="shared">(1-AG20/100)*AG19</f>
        <v>23431.0</v>
      </c>
      <c r="AH21" s="2"/>
      <c r="AI21" t="n">
        <f>(1-AI20/100)*AI19</f>
        <v>111949.0</v>
      </c>
      <c r="AJ21"/>
    </row>
    <row r="22" spans="2:35" x14ac:dyDescent="0.3">
      <c r="B22" t="s">
        <v>17</v>
      </c>
      <c r="C22"/>
      <c r="D22" s="2"/>
      <c r="E22" s="61" t="n">
        <v>5.0</v>
      </c>
      <c r="F22" s="2"/>
      <c r="G22" s="61" t="n">
        <v>6.0</v>
      </c>
      <c r="H22" s="2"/>
      <c r="I22" s="61" t="n">
        <v>8.0</v>
      </c>
      <c r="J22" s="2"/>
      <c r="K22" s="61" t="n">
        <v>8.0</v>
      </c>
      <c r="L22" s="2"/>
      <c r="M22" s="61" t="n">
        <v>8.0</v>
      </c>
      <c r="N22" s="2"/>
      <c r="O22" s="61" t="n">
        <v>10.0</v>
      </c>
      <c r="P22" s="2"/>
      <c r="Q22" s="61" t="n">
        <v>6.0</v>
      </c>
      <c r="R22" s="2"/>
      <c r="S22" s="61" t="n">
        <v>6.0</v>
      </c>
      <c r="T22" s="2"/>
      <c r="U22" s="61" t="n">
        <v>6.0</v>
      </c>
      <c r="V22" s="2"/>
      <c r="W22" s="61" t="n">
        <v>6.0</v>
      </c>
      <c r="X22" s="2"/>
      <c r="Y22" s="61" t="n">
        <v>10.0</v>
      </c>
      <c r="Z22" s="2"/>
      <c r="AA22" s="61" t="n">
        <v>6.0</v>
      </c>
      <c r="AB22" s="2"/>
      <c r="AC22" s="61" t="n">
        <v>6.0</v>
      </c>
      <c r="AD22" s="2"/>
      <c r="AE22" s="61" t="n">
        <v>8.0</v>
      </c>
      <c r="AF22" s="2"/>
      <c r="AG22" s="61" t="n">
        <v>8.0</v>
      </c>
      <c r="AH22" s="2"/>
      <c r="AI22" s="61" t="n">
        <v>6.0</v>
      </c>
      <c r="AJ22"/>
    </row>
    <row r="23" spans="2:35" x14ac:dyDescent="0.3">
      <c r="B23" t="s">
        <v>153</v>
      </c>
      <c r="C23"/>
      <c r="D23" s="61" t="n">
        <v>15.0</v>
      </c>
      <c r="E23" t="n">
        <f>ROUND(E19*D23/100,0)</f>
        <v>18658.0</v>
      </c>
      <c r="F23" s="61" t="n">
        <v>20.0</v>
      </c>
      <c r="G23" t="n">
        <f>G19*F23/100</f>
        <v>24877.0</v>
      </c>
      <c r="H23" s="61" t="n">
        <v>20.0</v>
      </c>
      <c r="I23" t="n">
        <f>I19*H23/100</f>
        <v>24877.0</v>
      </c>
      <c r="J23" s="61" t="n">
        <v>20.0</v>
      </c>
      <c r="K23" t="n">
        <f>K19*J23/100</f>
        <v>24877.0</v>
      </c>
      <c r="L23" s="61" t="n">
        <v>20.0</v>
      </c>
      <c r="M23" t="n">
        <f>M19*L23/100</f>
        <v>24877.0</v>
      </c>
      <c r="N23" s="61" t="n">
        <v>10.0</v>
      </c>
      <c r="O23" t="n">
        <f>O19*N23/100</f>
        <v>7692.0</v>
      </c>
      <c r="P23" s="61" t="n">
        <v>20.0</v>
      </c>
      <c r="Q23" t="n">
        <f>Q19*P23/100</f>
        <v>24877.0</v>
      </c>
      <c r="R23" s="61" t="n">
        <v>20.0</v>
      </c>
      <c r="S23" t="n">
        <f>S19*R23/100</f>
        <v>24877.0</v>
      </c>
      <c r="T23" s="61" t="n">
        <v>20.0</v>
      </c>
      <c r="U23" t="n">
        <f>U19*T23/100</f>
        <v>24877.0</v>
      </c>
      <c r="V23" s="61" t="n">
        <v>20.0</v>
      </c>
      <c r="W23" t="n">
        <f>W19*V23/100</f>
        <v>24877.0</v>
      </c>
      <c r="X23" s="61" t="n">
        <v>10.0</v>
      </c>
      <c r="Y23" t="n">
        <f>Y19*X23/100</f>
        <v>7692.0</v>
      </c>
      <c r="Z23" s="61" t="n">
        <v>20.0</v>
      </c>
      <c r="AA23" t="n">
        <f>AA19*Z23/100</f>
        <v>24877.0</v>
      </c>
      <c r="AB23" s="61" t="n">
        <v>20.0</v>
      </c>
      <c r="AC23" t="n">
        <f>AC19*AB23/100</f>
        <v>24877.0</v>
      </c>
      <c r="AD23" s="61" t="n">
        <v>15.0</v>
      </c>
      <c r="AE23" t="n">
        <f>AE19*AD23/100</f>
        <v>3905.0</v>
      </c>
      <c r="AF23" s="61" t="n">
        <v>15.0</v>
      </c>
      <c r="AG23" t="n">
        <f>AG19*AF23/100</f>
        <v>3905.0</v>
      </c>
      <c r="AH23" s="61" t="n">
        <v>20.0</v>
      </c>
      <c r="AI23" t="n">
        <f>AI19*AH23/100</f>
        <v>24877.0</v>
      </c>
      <c r="AJ23"/>
    </row>
    <row r="24" spans="2:35" x14ac:dyDescent="0.3">
      <c r="B24" s="39" t="s">
        <v>154</v>
      </c>
      <c r="C24" s="39"/>
      <c r="D24"/>
      <c r="E24" t="n">
        <f>IFERROR(ROUND((E21-E23-E90*E94-E91*E95-E92*E96)/E22,0),0)</f>
        <v>17847.0</v>
      </c>
      <c r="F24"/>
      <c r="G24" t="n">
        <f>IFERROR(ROUND((G21-G23-G90*G94-G91*G95-G92*G96)/G22,0),0)</f>
        <v>13836.0</v>
      </c>
      <c r="H24"/>
      <c r="I24" t="n">
        <f>IFERROR(ROUND((I21-I23-I90*I94-I91*I95-I92*I96)/I22,0),0)</f>
        <v>10208.0</v>
      </c>
      <c r="J24"/>
      <c r="K24" t="n">
        <f>IFERROR(ROUND((K21-K23-K90*K94-K91*K95-K92*K96)/K22,0),0)</f>
        <v>10208.0</v>
      </c>
      <c r="L24"/>
      <c r="M24" t="n">
        <f>IFERROR(ROUND((M21-M23-M90*M94-M91*M95-M92*M96)/M22,0),0)</f>
        <v>10377.0</v>
      </c>
      <c r="N24"/>
      <c r="O24" t="n">
        <f>IFERROR(ROUND((O21-O23-O90*O94-O91*O95-O92*O96)/O22,0),0)</f>
        <v>5723.0</v>
      </c>
      <c r="P24"/>
      <c r="Q24" t="n">
        <f>IFERROR(ROUND((Q21-Q23-Q90*Q94-Q91*Q95-Q92*Q96)/Q22,0),0)</f>
        <v>13836.0</v>
      </c>
      <c r="R24"/>
      <c r="S24" t="n">
        <f>IFERROR(ROUND((S21-S23-S90*S94-S91*S95-S92*S96)/S22,0),0)</f>
        <v>13836.0</v>
      </c>
      <c r="T24"/>
      <c r="U24" t="n">
        <f>IFERROR(ROUND((U21-U23-U90*U94-U91*U95-U92*U96)/U22,0),0)</f>
        <v>13836.0</v>
      </c>
      <c r="V24"/>
      <c r="W24" t="n">
        <f>IFERROR(ROUND((W21-W23-W90*W94-W91*W95-W92*W96)/W22,0),0)</f>
        <v>13836.0</v>
      </c>
      <c r="X24"/>
      <c r="Y24" t="n">
        <f>IFERROR(ROUND((Y21-Y23-Y90*Y94-Y91*Y95-Y92*Y96)/Y22,0),0)</f>
        <v>5723.0</v>
      </c>
      <c r="Z24"/>
      <c r="AA24" t="n">
        <f>IFERROR(ROUND((AA21-AA23-AA90*AA94-AA91*AA95-AA92*AA96)/AA22,0),0)</f>
        <v>13836.0</v>
      </c>
      <c r="AB24"/>
      <c r="AC24" t="n">
        <f>IFERROR(ROUND((AC21-AC23-AC90*AC94-AC91*AC95-AC92*AC96)/AC22,0),0)</f>
        <v>13836.0</v>
      </c>
      <c r="AD24"/>
      <c r="AE24" t="n">
        <f>IFERROR(ROUND((AE21-AE23-AE90*AE94-AE91*AE95-AE92*AE96)/AE22,0),0)</f>
        <v>2342.0</v>
      </c>
      <c r="AF24"/>
      <c r="AG24" t="n">
        <f>IFERROR(ROUND((AG21-AG23-AG90*AG94-AG91*AG95-AG92*AG96)/AG22,0),0)</f>
        <v>2342.0</v>
      </c>
      <c r="AH24"/>
      <c r="AI24" t="n">
        <f>IFERROR(ROUND((AI21-AI23-AI90*AI94-AI91*AI95-AI92*AI96)/AI22,0),0)</f>
        <v>13836.0</v>
      </c>
      <c r="AJ24"/>
    </row>
    <row r="25" spans="2:35" x14ac:dyDescent="0.3">
      <c r="B25" s="39" t="s">
        <v>155</v>
      </c>
      <c r="C25" s="39"/>
      <c r="D25"/>
      <c r="E25" t="n">
        <f>IFERROR(ROUND((E21-E23-E90*E94-E91*E95-E92*E96)*(E$3/(1-POWER(1+E$3,-E22))-1/E22),0),0)</f>
        <v>2958.0</v>
      </c>
      <c r="F25"/>
      <c r="G25" t="n">
        <f>IFERROR(ROUND((G21-G23-G90*G94-G91*G95-G92*G96)*(G$3/(1-POWER(1+G$3,-G22))-1/G22),0),0)</f>
        <v>2698.0</v>
      </c>
      <c r="H25"/>
      <c r="I25" t="n">
        <f>IFERROR(ROUND((I21-I23-I90*I94-I91*I95-I92*I96)*(I$3/(1-POWER(1+I$3,-I22))-1/I22),0),0)</f>
        <v>2601.0</v>
      </c>
      <c r="J25"/>
      <c r="K25" t="n">
        <f>IFERROR(ROUND((K21-K23-K90*K94-K91*K95-K92*K96)*(K$3/(1-POWER(1+K$3,-K22))-1/K22),0),0)</f>
        <v>2601.0</v>
      </c>
      <c r="L25"/>
      <c r="M25" t="n">
        <f>IFERROR(ROUND((M21-M23-M90*M94-M91*M95-M92*M96)*(M$3/(1-POWER(1+M$3,-M22))-1/M22),0),0)</f>
        <v>2644.0</v>
      </c>
      <c r="N25"/>
      <c r="O25" t="n">
        <f>IFERROR(ROUND((O21-O23-O90*O94-O91*O95-O92*O96)*(O$3/(1-POWER(1+O$3,-O22))-1/O22),0),0)</f>
        <v>1811.0</v>
      </c>
      <c r="P25"/>
      <c r="Q25" t="n">
        <f>IFERROR(ROUND((Q21-Q23-Q90*Q94-Q91*Q95-Q92*Q96)*(Q$3/(1-POWER(1+Q$3,-Q22))-1/Q22),0),0)</f>
        <v>2698.0</v>
      </c>
      <c r="R25"/>
      <c r="S25" t="n">
        <f>IFERROR(ROUND((S21-S23-S90*S94-S91*S95-S92*S96)*(S$3/(1-POWER(1+S$3,-S22))-1/S22),0),0)</f>
        <v>2698.0</v>
      </c>
      <c r="T25"/>
      <c r="U25" t="n">
        <f>IFERROR(ROUND((U21-U23-U90*U94-U91*U95-U92*U96)*(U$3/(1-POWER(1+U$3,-U22))-1/U22),0),0)</f>
        <v>2698.0</v>
      </c>
      <c r="V25"/>
      <c r="W25" t="n">
        <f>IFERROR(ROUND((W21-W23-W90*W94-W91*W95-W92*W96)*(W$3/(1-POWER(1+W$3,-W22))-1/W22),0),0)</f>
        <v>2698.0</v>
      </c>
      <c r="X25"/>
      <c r="Y25" t="n">
        <f>IFERROR(ROUND((Y21-Y23-Y90*Y94-Y91*Y95-Y92*Y96)*(Y$3/(1-POWER(1+Y$3,-Y22))-1/Y22),0),0)</f>
        <v>1811.0</v>
      </c>
      <c r="Z25"/>
      <c r="AA25" t="n">
        <f>IFERROR(ROUND((AA21-AA23-AA90*AA94-AA91*AA95-AA92*AA96)*(AA$3/(1-POWER(1+AA$3,-AA22))-1/AA22),0),0)</f>
        <v>2698.0</v>
      </c>
      <c r="AB25"/>
      <c r="AC25" t="n">
        <f>IFERROR(ROUND((AC21-AC23-AC90*AC94-AC91*AC95-AC92*AC96)*(AC$3/(1-POWER(1+AC$3,-AC22))-1/AC22),0),0)</f>
        <v>2698.0</v>
      </c>
      <c r="AD25"/>
      <c r="AE25" t="n">
        <f>IFERROR(ROUND((AE21-AE23-AE90*AE94-AE91*AE95-AE92*AE96)*(AE$3/(1-POWER(1+AE$3,-AE22))-1/AE22),0),0)</f>
        <v>597.0</v>
      </c>
      <c r="AF25"/>
      <c r="AG25" t="n">
        <f>IFERROR(ROUND((AG21-AG23-AG90*AG94-AG91*AG95-AG92*AG96)*(AG$3/(1-POWER(1+AG$3,-AG22))-1/AG22),0),0)</f>
        <v>597.0</v>
      </c>
      <c r="AH25"/>
      <c r="AI25" t="n">
        <f>IFERROR(ROUND((AI21-AI23-AI90*AI94-AI91*AI95-AI92*AI96)*(AI$3/(1-POWER(1+AI$3,-AI22))-1/AI22),0),0)</f>
        <v>2698.0</v>
      </c>
      <c r="AJ25"/>
    </row>
    <row r="26" spans="2:35" x14ac:dyDescent="0.3">
      <c r="B26" t="s">
        <v>16</v>
      </c>
      <c r="C26"/>
      <c r="D26"/>
      <c r="E26"/>
      <c r="F26"/>
      <c r="G26"/>
      <c r="H26"/>
      <c r="I26"/>
      <c r="J26"/>
      <c r="K26"/>
      <c r="L26"/>
      <c r="M26"/>
      <c r="N26" s="2"/>
      <c r="O26" s="61" t="n">
        <v>0.0</v>
      </c>
      <c r="P26"/>
      <c r="Q26"/>
      <c r="R26"/>
      <c r="S26"/>
      <c r="T26"/>
      <c r="U26"/>
      <c r="V26"/>
      <c r="W26"/>
      <c r="X26" s="2"/>
      <c r="Y26" s="61" t="n">
        <v>0.0</v>
      </c>
      <c r="Z26"/>
      <c r="AA26"/>
      <c r="AB26"/>
      <c r="AC26"/>
      <c r="AD26"/>
      <c r="AE26"/>
      <c r="AF26"/>
      <c r="AG26"/>
      <c r="AH26"/>
      <c r="AI26" t="n">
        <v>0.0</v>
      </c>
      <c r="AJ26"/>
    </row>
    <row r="27" spans="2:35" x14ac:dyDescent="0.3">
      <c r="B27" t="s">
        <v>150</v>
      </c>
      <c r="C27"/>
      <c r="D27"/>
      <c r="E27"/>
      <c r="F27"/>
      <c r="G27"/>
      <c r="H27"/>
      <c r="I27"/>
      <c r="J27"/>
      <c r="K27"/>
      <c r="L27"/>
      <c r="M27"/>
      <c r="N27" s="2"/>
      <c r="O27" s="63" t="n">
        <v>8343.72</v>
      </c>
      <c r="P27"/>
      <c r="Q27"/>
      <c r="R27"/>
      <c r="S27"/>
      <c r="T27"/>
      <c r="U27"/>
      <c r="V27"/>
      <c r="W27"/>
      <c r="X27" s="2"/>
      <c r="Y27" s="63" t="n">
        <v>42669.75</v>
      </c>
      <c r="Z27"/>
      <c r="AA27"/>
      <c r="AB27"/>
      <c r="AC27"/>
      <c r="AD27"/>
      <c r="AE27"/>
      <c r="AF27"/>
      <c r="AG27"/>
      <c r="AH27"/>
      <c r="AI27" t="n">
        <v>0.0</v>
      </c>
      <c r="AJ27"/>
    </row>
    <row r="28" spans="2:35" x14ac:dyDescent="0.3">
      <c r="B28" t="s">
        <v>151</v>
      </c>
      <c r="C28"/>
      <c r="D28"/>
      <c r="E28"/>
      <c r="F28"/>
      <c r="G28"/>
      <c r="H28"/>
      <c r="I28"/>
      <c r="J28"/>
      <c r="K28"/>
      <c r="L28"/>
      <c r="M28"/>
      <c r="N28" s="2"/>
      <c r="O28" s="61" t="n">
        <v>5.0</v>
      </c>
      <c r="P28"/>
      <c r="Q28"/>
      <c r="R28"/>
      <c r="S28"/>
      <c r="T28"/>
      <c r="U28"/>
      <c r="V28"/>
      <c r="W28"/>
      <c r="X28" s="2"/>
      <c r="Y28" s="61" t="n">
        <v>5.0</v>
      </c>
      <c r="Z28"/>
      <c r="AA28"/>
      <c r="AB28"/>
      <c r="AC28"/>
      <c r="AD28"/>
      <c r="AE28"/>
      <c r="AF28"/>
      <c r="AG28"/>
      <c r="AH28"/>
      <c r="AI28" t="n">
        <v>0.0</v>
      </c>
      <c r="AJ28"/>
    </row>
    <row r="29" spans="2:35" x14ac:dyDescent="0.3">
      <c r="B29" t="s">
        <v>152</v>
      </c>
      <c r="C29"/>
      <c r="D29"/>
      <c r="E29"/>
      <c r="F29"/>
      <c r="G29"/>
      <c r="H29"/>
      <c r="I29"/>
      <c r="J29"/>
      <c r="K29"/>
      <c r="L29"/>
      <c r="M29"/>
      <c r="N29" s="2"/>
      <c r="O29" t="n">
        <f>ROUND((1-O28/100)*O27,0)</f>
        <v>7927.0</v>
      </c>
      <c r="P29"/>
      <c r="Q29"/>
      <c r="R29"/>
      <c r="S29"/>
      <c r="T29"/>
      <c r="U29"/>
      <c r="V29"/>
      <c r="W29"/>
      <c r="X29" s="2"/>
      <c r="Y29" t="n">
        <f>ROUND((1-Y28/100)*Y27,0)</f>
        <v>40536.0</v>
      </c>
      <c r="Z29"/>
      <c r="AA29"/>
      <c r="AB29"/>
      <c r="AC29"/>
      <c r="AD29"/>
      <c r="AE29"/>
      <c r="AF29"/>
      <c r="AG29"/>
      <c r="AH29"/>
      <c r="AI29" t="n">
        <v>0.0</v>
      </c>
      <c r="AJ29"/>
    </row>
    <row r="30" spans="2:35" x14ac:dyDescent="0.3">
      <c r="B30" t="s">
        <v>17</v>
      </c>
      <c r="C30"/>
      <c r="D30"/>
      <c r="E30"/>
      <c r="F30"/>
      <c r="G30"/>
      <c r="H30"/>
      <c r="I30"/>
      <c r="J30"/>
      <c r="K30"/>
      <c r="L30"/>
      <c r="M30"/>
      <c r="N30" s="2"/>
      <c r="O30" s="61" t="n">
        <v>10.0</v>
      </c>
      <c r="P30"/>
      <c r="Q30"/>
      <c r="R30"/>
      <c r="S30"/>
      <c r="T30"/>
      <c r="U30"/>
      <c r="V30"/>
      <c r="W30"/>
      <c r="X30" s="2"/>
      <c r="Y30" s="61" t="n">
        <v>10.0</v>
      </c>
      <c r="Z30"/>
      <c r="AA30"/>
      <c r="AB30"/>
      <c r="AC30"/>
      <c r="AD30"/>
      <c r="AE30"/>
      <c r="AF30"/>
      <c r="AG30"/>
      <c r="AH30"/>
      <c r="AI30" t="n">
        <v>0.0</v>
      </c>
      <c r="AJ30"/>
    </row>
    <row r="31" spans="2:35" x14ac:dyDescent="0.3">
      <c r="B31" t="s">
        <v>153</v>
      </c>
      <c r="C31"/>
      <c r="D31"/>
      <c r="E31"/>
      <c r="F31"/>
      <c r="G31"/>
      <c r="H31"/>
      <c r="I31"/>
      <c r="J31"/>
      <c r="K31"/>
      <c r="L31"/>
      <c r="M31"/>
      <c r="N31" s="61" t="n">
        <v>10.0</v>
      </c>
      <c r="O31" t="n">
        <f>ROUND(O27*N31/100,0)</f>
        <v>834.0</v>
      </c>
      <c r="P31"/>
      <c r="Q31"/>
      <c r="R31"/>
      <c r="S31"/>
      <c r="T31"/>
      <c r="U31"/>
      <c r="V31"/>
      <c r="W31"/>
      <c r="X31" s="61" t="n">
        <v>10.0</v>
      </c>
      <c r="Y31" t="n">
        <f>ROUND(Y27*X31/100,0)</f>
        <v>4267.0</v>
      </c>
      <c r="Z31"/>
      <c r="AA31"/>
      <c r="AB31"/>
      <c r="AC31"/>
      <c r="AD31"/>
      <c r="AE31"/>
      <c r="AF31"/>
      <c r="AG31"/>
      <c r="AH31" t="n">
        <v>0.0</v>
      </c>
      <c r="AI31" t="n">
        <v>0.0</v>
      </c>
      <c r="AJ31"/>
    </row>
    <row r="32" spans="2:35" x14ac:dyDescent="0.3">
      <c r="B32" t="s">
        <v>18</v>
      </c>
      <c r="C32"/>
      <c r="D32"/>
      <c r="E32"/>
      <c r="F32"/>
      <c r="G32"/>
      <c r="H32"/>
      <c r="I32"/>
      <c r="J32"/>
      <c r="K32"/>
      <c r="L32"/>
      <c r="M32"/>
      <c r="N32"/>
      <c r="O32" t="n">
        <f>IFERROR(ROUND((O29-O31)/O30,0),0)</f>
        <v>709.0</v>
      </c>
      <c r="P32"/>
      <c r="Q32"/>
      <c r="R32"/>
      <c r="S32"/>
      <c r="T32"/>
      <c r="U32"/>
      <c r="V32"/>
      <c r="W32"/>
      <c r="X32"/>
      <c r="Y32" t="n">
        <f>IFERROR(ROUND((Y29-Y31)/Y30,0),0)</f>
        <v>3627.0</v>
      </c>
      <c r="Z32"/>
      <c r="AA32"/>
      <c r="AB32"/>
      <c r="AC32"/>
      <c r="AD32"/>
      <c r="AE32"/>
      <c r="AF32"/>
      <c r="AG32"/>
      <c r="AH32"/>
      <c r="AI32" t="n">
        <v>0.0</v>
      </c>
      <c r="AJ32"/>
    </row>
    <row r="33" spans="2:35" x14ac:dyDescent="0.3">
      <c r="B33" t="s">
        <v>19</v>
      </c>
      <c r="C33"/>
      <c r="D33"/>
      <c r="E33"/>
      <c r="F33"/>
      <c r="G33"/>
      <c r="H33"/>
      <c r="I33"/>
      <c r="J33"/>
      <c r="K33"/>
      <c r="L33"/>
      <c r="M33"/>
      <c r="N33"/>
      <c r="O33" t="n">
        <f>IFERROR(ROUND((O29-O31)*(O$3/(1-POWER(1+O$3,-O30))-1/O30),0),0)</f>
        <v>224.5</v>
      </c>
      <c r="P33"/>
      <c r="Q33"/>
      <c r="R33"/>
      <c r="S33"/>
      <c r="T33"/>
      <c r="U33"/>
      <c r="V33"/>
      <c r="W33"/>
      <c r="X33"/>
      <c r="Y33" t="n">
        <f>IFERROR(ROUND((Y29-Y31)*(Y$3/(1-POWER(1+Y$3,-Y30))-1/Y30),0),0)</f>
        <v>1147.97</v>
      </c>
      <c r="Z33"/>
      <c r="AA33"/>
      <c r="AB33"/>
      <c r="AC33"/>
      <c r="AD33"/>
      <c r="AE33"/>
      <c r="AF33"/>
      <c r="AG33"/>
      <c r="AH33"/>
      <c r="AI33" t="n">
        <v>0.0</v>
      </c>
      <c r="AJ33"/>
    </row>
    <row r="34" spans="2:35" x14ac:dyDescent="0.3">
      <c r="B34" t="s">
        <v>149</v>
      </c>
      <c r="C34"/>
      <c r="D34" s="2"/>
      <c r="E34" s="61" t="n">
        <v>0.0</v>
      </c>
      <c r="F34" s="2"/>
      <c r="G34" s="61" t="n">
        <v>0.0</v>
      </c>
      <c r="H34" s="2"/>
      <c r="I34" s="61" t="n">
        <v>0.0</v>
      </c>
      <c r="J34" s="2"/>
      <c r="K34" s="61" t="n">
        <v>0.0</v>
      </c>
      <c r="L34" s="2"/>
      <c r="M34" s="61" t="n">
        <v>0.0</v>
      </c>
      <c r="N34"/>
      <c r="O34"/>
      <c r="P34" s="2"/>
      <c r="Q34" s="63" t="n">
        <v>0.0</v>
      </c>
      <c r="R34" s="2"/>
      <c r="S34" s="61" t="n">
        <v>0.0</v>
      </c>
      <c r="T34" s="2"/>
      <c r="U34" s="61" t="n">
        <v>0.0</v>
      </c>
      <c r="V34" s="2"/>
      <c r="W34" s="61" t="n">
        <v>0.0</v>
      </c>
      <c r="X34" s="2"/>
      <c r="Y34"/>
      <c r="Z34" s="2"/>
      <c r="AA34" s="61" t="n">
        <v>0.0</v>
      </c>
      <c r="AB34" s="2"/>
      <c r="AC34" s="61" t="n">
        <v>0.0</v>
      </c>
      <c r="AD34" s="2"/>
      <c r="AE34"/>
      <c r="AF34" s="2"/>
      <c r="AG34"/>
      <c r="AH34" s="2"/>
      <c r="AI34" s="61" t="n">
        <v>0.0</v>
      </c>
      <c r="AJ34"/>
    </row>
    <row r="35" spans="2:35" x14ac:dyDescent="0.3">
      <c r="B35" t="s">
        <v>150</v>
      </c>
      <c r="C35"/>
      <c r="D35" s="2"/>
      <c r="E35" s="61" t="n">
        <v>38675.39</v>
      </c>
      <c r="F35" s="2"/>
      <c r="G35" s="61" t="n">
        <v>38675.39</v>
      </c>
      <c r="H35" s="2"/>
      <c r="I35" s="63" t="n">
        <v>30331.08</v>
      </c>
      <c r="J35" s="2"/>
      <c r="K35" s="63" t="n">
        <v>30331.08</v>
      </c>
      <c r="L35" s="2"/>
      <c r="M35" s="63" t="n">
        <v>34334.03</v>
      </c>
      <c r="N35"/>
      <c r="O35"/>
      <c r="P35" s="2"/>
      <c r="Q35" s="63" t="n">
        <v>95236.51</v>
      </c>
      <c r="R35" s="2"/>
      <c r="S35" s="63" t="n">
        <v>95236.51</v>
      </c>
      <c r="T35" s="2"/>
      <c r="U35" s="63" t="n">
        <v>95236.51</v>
      </c>
      <c r="V35" s="2"/>
      <c r="W35" s="63" t="n">
        <v>66653.02</v>
      </c>
      <c r="X35" s="2"/>
      <c r="Y35"/>
      <c r="Z35" s="2"/>
      <c r="AA35" s="63" t="n">
        <v>41816.35</v>
      </c>
      <c r="AB35" s="2"/>
      <c r="AC35" s="63" t="n">
        <v>41816.35</v>
      </c>
      <c r="AD35" s="2"/>
      <c r="AE35"/>
      <c r="AF35" s="2"/>
      <c r="AG35"/>
      <c r="AH35" s="2"/>
      <c r="AI35" s="61" t="n">
        <v>38675.39</v>
      </c>
      <c r="AJ35"/>
    </row>
    <row r="36" spans="2:35" x14ac:dyDescent="0.3">
      <c r="B36" t="s">
        <v>151</v>
      </c>
      <c r="C36"/>
      <c r="D36" s="2"/>
      <c r="E36" s="61" t="n">
        <v>5.0</v>
      </c>
      <c r="F36" s="2"/>
      <c r="G36" s="61" t="n">
        <v>5.0</v>
      </c>
      <c r="H36" s="2"/>
      <c r="I36" s="61" t="n">
        <v>5.0</v>
      </c>
      <c r="J36" s="2"/>
      <c r="K36" s="61" t="n">
        <v>5.0</v>
      </c>
      <c r="L36" s="2"/>
      <c r="M36" s="61" t="n">
        <v>5.0</v>
      </c>
      <c r="N36"/>
      <c r="O36"/>
      <c r="P36" s="2"/>
      <c r="Q36" s="61" t="n">
        <v>5.0</v>
      </c>
      <c r="R36" s="2"/>
      <c r="S36" s="61" t="n">
        <v>5.0</v>
      </c>
      <c r="T36" s="2"/>
      <c r="U36" s="61" t="n">
        <v>5.0</v>
      </c>
      <c r="V36" s="2"/>
      <c r="W36" s="61" t="n">
        <v>5.0</v>
      </c>
      <c r="X36" s="2"/>
      <c r="Y36"/>
      <c r="Z36" s="2"/>
      <c r="AA36" s="61" t="n">
        <v>5.0</v>
      </c>
      <c r="AB36" s="2"/>
      <c r="AC36" s="61" t="n">
        <v>5.0</v>
      </c>
      <c r="AD36" s="2"/>
      <c r="AE36"/>
      <c r="AF36" s="2"/>
      <c r="AG36"/>
      <c r="AH36" s="2"/>
      <c r="AI36" s="61" t="n">
        <v>5.0</v>
      </c>
      <c r="AJ36"/>
    </row>
    <row r="37" spans="2:35" x14ac:dyDescent="0.3">
      <c r="B37" t="s">
        <v>152</v>
      </c>
      <c r="C37"/>
      <c r="D37" s="2"/>
      <c r="E37" t="n">
        <f>ROUND((1-E36/100)*E35,0)</f>
        <v>36742.0</v>
      </c>
      <c r="F37" s="2"/>
      <c r="G37" t="n">
        <f>ROUND((1-G36/100)*G35,0)</f>
        <v>36742.0</v>
      </c>
      <c r="H37" s="2"/>
      <c r="I37" t="n">
        <f>ROUND((1-I36/100)*I35,0)</f>
        <v>28815.0</v>
      </c>
      <c r="J37" s="2"/>
      <c r="K37" t="n">
        <f>ROUND((1-K36/100)*K35,0)</f>
        <v>28815.0</v>
      </c>
      <c r="L37" s="2"/>
      <c r="M37" t="n">
        <f>ROUND((1-M36/100)*M35,0)</f>
        <v>32617.0</v>
      </c>
      <c r="N37"/>
      <c r="O37"/>
      <c r="P37" s="2"/>
      <c r="Q37" t="n">
        <f>ROUND((1-Q36/100)*Q35,0)</f>
        <v>90475.0</v>
      </c>
      <c r="R37" s="2"/>
      <c r="S37" t="n">
        <f>ROUND((1-S36/100)*S35,0)</f>
        <v>90475.0</v>
      </c>
      <c r="T37" s="2"/>
      <c r="U37" t="n">
        <f>ROUND((1-U36/100)*U35,0)</f>
        <v>90475.0</v>
      </c>
      <c r="V37" s="2"/>
      <c r="W37" t="n">
        <f>ROUND((1-W36/100)*W35,0)</f>
        <v>63320.0</v>
      </c>
      <c r="X37" s="2"/>
      <c r="Y37"/>
      <c r="Z37" s="2"/>
      <c r="AA37" t="n">
        <f>ROUND((1-AA36/100)*AA35,0)</f>
        <v>39726.0</v>
      </c>
      <c r="AB37" s="2"/>
      <c r="AC37" t="n">
        <f>ROUND((1-AC36/100)*AC35,0)</f>
        <v>39726.0</v>
      </c>
      <c r="AD37" s="2"/>
      <c r="AE37"/>
      <c r="AF37" s="2"/>
      <c r="AG37"/>
      <c r="AH37" s="2"/>
      <c r="AI37" t="n">
        <f>ROUND((1-AI36/100)*AI35,0)</f>
        <v>36742.0</v>
      </c>
      <c r="AJ37"/>
    </row>
    <row r="38" spans="2:35" x14ac:dyDescent="0.3">
      <c r="B38" t="s">
        <v>17</v>
      </c>
      <c r="C38"/>
      <c r="D38" s="2"/>
      <c r="E38" s="61" t="n">
        <v>7.0</v>
      </c>
      <c r="F38" s="2"/>
      <c r="G38" s="61" t="n">
        <v>8.0</v>
      </c>
      <c r="H38" s="2"/>
      <c r="I38" s="61" t="n">
        <v>12.0</v>
      </c>
      <c r="J38" s="2"/>
      <c r="K38" s="61" t="n">
        <v>12.0</v>
      </c>
      <c r="L38" s="2"/>
      <c r="M38" s="61" t="n">
        <v>12.0</v>
      </c>
      <c r="N38"/>
      <c r="O38"/>
      <c r="P38" s="2"/>
      <c r="Q38" s="61" t="n">
        <v>8.0</v>
      </c>
      <c r="R38" s="2"/>
      <c r="S38" s="61" t="n">
        <v>10.0</v>
      </c>
      <c r="T38" s="2"/>
      <c r="U38" s="61" t="n">
        <v>10.0</v>
      </c>
      <c r="V38" s="2"/>
      <c r="W38" s="61" t="n">
        <v>10.0</v>
      </c>
      <c r="X38" s="2"/>
      <c r="Y38"/>
      <c r="Z38" s="2"/>
      <c r="AA38" s="61" t="n">
        <v>10.0</v>
      </c>
      <c r="AB38" s="2"/>
      <c r="AC38" s="61" t="n">
        <v>10.0</v>
      </c>
      <c r="AD38" s="2"/>
      <c r="AE38"/>
      <c r="AF38" s="2"/>
      <c r="AG38"/>
      <c r="AH38" s="2"/>
      <c r="AI38" s="61" t="n">
        <v>8.0</v>
      </c>
      <c r="AJ38"/>
    </row>
    <row r="39" spans="2:35" x14ac:dyDescent="0.3">
      <c r="B39" t="s">
        <v>153</v>
      </c>
      <c r="C39"/>
      <c r="D39" s="61" t="n">
        <v>10.0</v>
      </c>
      <c r="E39" t="n">
        <f>ROUND(E35*D39/100,0)</f>
        <v>3868.0</v>
      </c>
      <c r="F39" s="61" t="n">
        <v>15.0</v>
      </c>
      <c r="G39" t="n">
        <f>ROUND(G35*F39/100,0)</f>
        <v>5801.0</v>
      </c>
      <c r="H39" s="61" t="n">
        <v>15.0</v>
      </c>
      <c r="I39" t="n">
        <f>ROUND(I35*H39/100,0)</f>
        <v>4550.0</v>
      </c>
      <c r="J39" s="61" t="n">
        <v>15.0</v>
      </c>
      <c r="K39" t="n">
        <f>ROUND(K35*J39/100,0)</f>
        <v>4550.0</v>
      </c>
      <c r="L39" s="61" t="n">
        <v>15.0</v>
      </c>
      <c r="M39" t="n">
        <f>ROUND(M35*L39/100,0)</f>
        <v>5150.0</v>
      </c>
      <c r="N39"/>
      <c r="O39"/>
      <c r="P39" s="61" t="n">
        <v>20.0</v>
      </c>
      <c r="Q39" t="n">
        <f>ROUND(Q35*P39/100,0)</f>
        <v>19047.0</v>
      </c>
      <c r="R39" s="61" t="n">
        <v>15.0</v>
      </c>
      <c r="S39" t="n">
        <f>ROUND(S35*R39/100,0)</f>
        <v>14285.0</v>
      </c>
      <c r="T39" s="61" t="n">
        <v>15.0</v>
      </c>
      <c r="U39" t="n">
        <f>ROUND(U35*T39/100,0)</f>
        <v>14285.0</v>
      </c>
      <c r="V39" s="61" t="n">
        <v>15.0</v>
      </c>
      <c r="W39" t="n">
        <f>ROUND(W35*V39/100,0)</f>
        <v>9998.0</v>
      </c>
      <c r="X39" s="2"/>
      <c r="Y39"/>
      <c r="Z39" s="61" t="n">
        <v>10.0</v>
      </c>
      <c r="AA39" t="n">
        <f>ROUND(AA35*Z39/100,0)</f>
        <v>4182.0</v>
      </c>
      <c r="AB39" s="61" t="n">
        <v>10.0</v>
      </c>
      <c r="AC39" t="n">
        <f>ROUND(AC35*AB39/100,0)</f>
        <v>4182.0</v>
      </c>
      <c r="AD39" s="2"/>
      <c r="AE39"/>
      <c r="AF39" s="2"/>
      <c r="AG39"/>
      <c r="AH39" s="61" t="n">
        <v>15.0</v>
      </c>
      <c r="AI39" t="n">
        <f>ROUND(AI35*AH39/100,0)</f>
        <v>5801.0</v>
      </c>
      <c r="AJ39"/>
    </row>
    <row r="40" spans="2:35" x14ac:dyDescent="0.3">
      <c r="B40" t="s">
        <v>156</v>
      </c>
      <c r="C40"/>
      <c r="D40"/>
      <c r="E40" t="n">
        <f>IFERROR(ROUND((E37-E39-E93*E97)/E38,0),0)</f>
        <v>4117.0</v>
      </c>
      <c r="F40"/>
      <c r="G40" t="n">
        <f ref="G40" si="68" t="shared">IFERROR(ROUND((G37-G39-G93*G97)/G38,0),0)</f>
        <v>3361.0</v>
      </c>
      <c r="H40"/>
      <c r="I40" t="n">
        <f ref="I40" si="69" t="shared">IFERROR(ROUND((I37-I39-I93*I97)/I38,0),0)</f>
        <v>1684.0</v>
      </c>
      <c r="J40"/>
      <c r="K40" t="n">
        <f ref="K40" si="70" t="shared">IFERROR(ROUND((K37-K39-K93*K97)/K38,0),0)</f>
        <v>1684.0</v>
      </c>
      <c r="L40"/>
      <c r="M40" t="n">
        <f ref="M40" si="71" t="shared">IFERROR(ROUND((M37-M39-M93*M97)/M38,0),0)</f>
        <v>1838.0</v>
      </c>
      <c r="N40"/>
      <c r="O40"/>
      <c r="P40"/>
      <c r="Q40" t="n">
        <f ref="Q40" si="72" t="shared">IFERROR(ROUND((Q37-Q39-Q93*Q97)/Q38,0),0)</f>
        <v>8421.0</v>
      </c>
      <c r="R40"/>
      <c r="S40" t="n">
        <f ref="S40" si="73" t="shared">IFERROR(ROUND((S37-S39-S93*S97)/S38,0),0)</f>
        <v>7213.0</v>
      </c>
      <c r="T40"/>
      <c r="U40" t="n">
        <f ref="U40" si="74" t="shared">IFERROR(ROUND((U37-U39-U93*U97)/U38,0),0)</f>
        <v>7213.0</v>
      </c>
      <c r="V40"/>
      <c r="W40" t="n">
        <f ref="W40" si="75" t="shared">IFERROR(ROUND((W37-W39-W93*W97)/W38,0),0)</f>
        <v>4927.0</v>
      </c>
      <c r="X40" s="2"/>
      <c r="Y40"/>
      <c r="Z40"/>
      <c r="AA40" t="n">
        <f>IFERROR(ROUND((AA37-AA39-AA93*AA97)/AA38,0),0)</f>
        <v>3149.0</v>
      </c>
      <c r="AB40"/>
      <c r="AC40" t="n">
        <f>IFERROR(ROUND((AC37-AC39-AC93*AC97)/AC38,0),0)</f>
        <v>3149.0</v>
      </c>
      <c r="AD40" s="2"/>
      <c r="AE40"/>
      <c r="AF40" s="2"/>
      <c r="AG40"/>
      <c r="AH40"/>
      <c r="AI40" t="n">
        <f>IFERROR(ROUND((AI37-AI39-AI93*AI97)/AI38,0),0)</f>
        <v>3361.0</v>
      </c>
      <c r="AJ40"/>
    </row>
    <row r="41" spans="2:35" x14ac:dyDescent="0.3">
      <c r="B41" t="s">
        <v>157</v>
      </c>
      <c r="C41"/>
      <c r="D41"/>
      <c r="E41" t="n">
        <f>IFERROR(ROUND((E37-E39-E93*E97)*(E$3/(1-POWER(1+E$3,-E38))-1/E38),0),0)</f>
        <v>925.0</v>
      </c>
      <c r="F41"/>
      <c r="G41" t="n">
        <f ref="G41" si="76" t="shared">IFERROR(ROUND((G37-G39-G93*G97)*(G$3/(1-POWER(1+G$3,-G38))-1/G38),0),0)</f>
        <v>856.0</v>
      </c>
      <c r="H41"/>
      <c r="I41" t="n">
        <f ref="I41" si="77" t="shared">IFERROR(ROUND((I37-I39-I93*I97)*(I$3/(1-POWER(1+I$3,-I38))-1/I38),0),0)</f>
        <v>640.0</v>
      </c>
      <c r="J41"/>
      <c r="K41" t="n">
        <f ref="K41" si="78" t="shared">IFERROR(ROUND((K37-K39-K93*K97)*(K$3/(1-POWER(1+K$3,-K38))-1/K38),0),0)</f>
        <v>640.0</v>
      </c>
      <c r="L41"/>
      <c r="M41" t="n">
        <f ref="M41" si="79" t="shared">IFERROR(ROUND((M37-M39-M93*M97)*(M$3/(1-POWER(1+M$3,-M38))-1/M38),0),0)</f>
        <v>698.0</v>
      </c>
      <c r="N41"/>
      <c r="O41"/>
      <c r="P41"/>
      <c r="Q41" t="n">
        <f ref="Q41" si="80" t="shared">IFERROR(ROUND((Q37-Q39-Q93*Q97)*(Q$3/(1-POWER(1+Q$3,-Q38))-1/Q38),0),0)</f>
        <v>2146.0</v>
      </c>
      <c r="R41"/>
      <c r="S41" t="n">
        <f ref="S41" si="81" t="shared">IFERROR(ROUND((S37-S39-S93*S97)*(S$3/(1-POWER(1+S$3,-S38))-1/S38),0),0)</f>
        <v>2283.0</v>
      </c>
      <c r="T41"/>
      <c r="U41" t="n">
        <f ref="U41" si="82" t="shared">IFERROR(ROUND((U37-U39-U93*U97)*(U$3/(1-POWER(1+U$3,-U38))-1/U38),0),0)</f>
        <v>2283.0</v>
      </c>
      <c r="V41"/>
      <c r="W41" t="n">
        <f ref="W41" si="83" t="shared">IFERROR(ROUND((W37-W39-W93*W97)*(W$3/(1-POWER(1+W$3,-W38))-1/W38),0),0)</f>
        <v>1559.0</v>
      </c>
      <c r="X41"/>
      <c r="Y41"/>
      <c r="Z41"/>
      <c r="AA41" t="n">
        <f>IFERROR(ROUND((AA37-AA39-AA93*AA97)*(AA$3/(1-POWER(1+AA$3,-AA38))-1/AA38),0),0)</f>
        <v>997.0</v>
      </c>
      <c r="AB41"/>
      <c r="AC41" t="n">
        <f>IFERROR(ROUND((AC37-AC39-AC93*AC97)*(AC$3/(1-POWER(1+AC$3,-AC38))-1/AC38),0),0)</f>
        <v>997.0</v>
      </c>
      <c r="AD41"/>
      <c r="AE41"/>
      <c r="AF41"/>
      <c r="AG41"/>
      <c r="AH41"/>
      <c r="AI41" t="n">
        <f>IFERROR(ROUND((AI37-AI39-AI93*AI97)*(AI$3/(1-POWER(1+AI$3,-AI38))-1/AI38),0),0)</f>
        <v>856.0</v>
      </c>
      <c r="AJ41"/>
    </row>
    <row r="42" spans="2:35" x14ac:dyDescent="0.3">
      <c r="B42" t="s">
        <v>16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t="n">
        <v>0.0</v>
      </c>
      <c r="X42"/>
      <c r="Y42" t="n">
        <v>0.0</v>
      </c>
      <c r="Z42"/>
      <c r="AA42"/>
      <c r="AB42"/>
      <c r="AC42"/>
      <c r="AD42" s="2"/>
      <c r="AE42"/>
      <c r="AF42" s="2"/>
      <c r="AG42"/>
      <c r="AH42"/>
      <c r="AI42" t="n">
        <v>0.0</v>
      </c>
      <c r="AJ42"/>
    </row>
    <row r="43" spans="2:35" x14ac:dyDescent="0.3">
      <c r="B43" t="s">
        <v>150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t="n">
        <v>0.0</v>
      </c>
      <c r="X43"/>
      <c r="Y43" t="n">
        <v>0.0</v>
      </c>
      <c r="Z43"/>
      <c r="AA43"/>
      <c r="AB43"/>
      <c r="AC43"/>
      <c r="AD43"/>
      <c r="AE43"/>
      <c r="AF43"/>
      <c r="AG43"/>
      <c r="AH43"/>
      <c r="AI43" t="n">
        <v>0.0</v>
      </c>
      <c r="AJ43"/>
    </row>
    <row r="44" spans="2:35" x14ac:dyDescent="0.3">
      <c r="B44" t="s">
        <v>151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t="n">
        <v>0.0</v>
      </c>
      <c r="X44"/>
      <c r="Y44" t="n">
        <v>0.0</v>
      </c>
      <c r="Z44"/>
      <c r="AA44"/>
      <c r="AB44"/>
      <c r="AC44"/>
      <c r="AD44"/>
      <c r="AE44"/>
      <c r="AF44"/>
      <c r="AG44"/>
      <c r="AH44"/>
      <c r="AI44" t="n">
        <v>0.0</v>
      </c>
      <c r="AJ44"/>
    </row>
    <row r="45" spans="2:35" x14ac:dyDescent="0.3">
      <c r="B45" t="s">
        <v>152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t="n">
        <v>0.0</v>
      </c>
      <c r="X45"/>
      <c r="Y45" t="n">
        <v>0.0</v>
      </c>
      <c r="Z45"/>
      <c r="AA45"/>
      <c r="AB45"/>
      <c r="AC45"/>
      <c r="AD45"/>
      <c r="AE45"/>
      <c r="AF45"/>
      <c r="AG45"/>
      <c r="AH45"/>
      <c r="AI45" t="n">
        <v>0.0</v>
      </c>
      <c r="AJ45"/>
    </row>
    <row r="46" spans="2:35" x14ac:dyDescent="0.3">
      <c r="B46" t="s">
        <v>17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t="n">
        <v>0.0</v>
      </c>
      <c r="X46"/>
      <c r="Y46" t="n">
        <v>0.0</v>
      </c>
      <c r="Z46"/>
      <c r="AA46"/>
      <c r="AB46"/>
      <c r="AC46"/>
      <c r="AD46"/>
      <c r="AE46"/>
      <c r="AF46"/>
      <c r="AG46"/>
      <c r="AH46"/>
      <c r="AI46" t="n">
        <v>0.0</v>
      </c>
      <c r="AJ46"/>
    </row>
    <row r="47" spans="2:35" x14ac:dyDescent="0.3">
      <c r="B47" t="s">
        <v>153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t="n">
        <v>0.0</v>
      </c>
      <c r="W47" t="n">
        <v>0.0</v>
      </c>
      <c r="X47" t="n">
        <v>0.0</v>
      </c>
      <c r="Y47" t="n">
        <v>0.0</v>
      </c>
      <c r="Z47"/>
      <c r="AA47"/>
      <c r="AB47"/>
      <c r="AC47"/>
      <c r="AD47"/>
      <c r="AE47"/>
      <c r="AF47"/>
      <c r="AG47"/>
      <c r="AH47" t="n">
        <v>0.0</v>
      </c>
      <c r="AI47" t="n">
        <v>0.0</v>
      </c>
      <c r="AJ47"/>
    </row>
    <row r="48" spans="2:35" x14ac:dyDescent="0.3">
      <c r="B48" t="s">
        <v>20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t="n">
        <v>0.0</v>
      </c>
      <c r="X48"/>
      <c r="Y48" t="n">
        <v>0.0</v>
      </c>
      <c r="Z48"/>
      <c r="AA48"/>
      <c r="AB48"/>
      <c r="AC48"/>
      <c r="AD48"/>
      <c r="AE48"/>
      <c r="AF48"/>
      <c r="AG48"/>
      <c r="AH48"/>
      <c r="AI48" t="n">
        <v>0.0</v>
      </c>
      <c r="AJ48"/>
    </row>
    <row r="49" spans="2:35" x14ac:dyDescent="0.3">
      <c r="B49" t="s">
        <v>21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 t="n">
        <v>0.0</v>
      </c>
      <c r="X49"/>
      <c r="Y49" t="n">
        <v>0.0</v>
      </c>
      <c r="Z49"/>
      <c r="AA49"/>
      <c r="AB49"/>
      <c r="AC49"/>
      <c r="AD49"/>
      <c r="AE49"/>
      <c r="AF49"/>
      <c r="AG49"/>
      <c r="AH49"/>
      <c r="AI49" t="n">
        <v>0.0</v>
      </c>
      <c r="AJ49"/>
    </row>
    <row r="50" spans="2:35" x14ac:dyDescent="0.3">
      <c r="B50" s="1" t="s">
        <v>22</v>
      </c>
      <c r="C50" s="38"/>
      <c r="D50"/>
      <c r="E50" t="n">
        <f>E24+E25+E32+E33+E40+E41+E48+E49</f>
        <v>25847.0</v>
      </c>
      <c r="F50"/>
      <c r="G50" t="n">
        <f>G24+G25+G32+G33+G40+G41+G48+G49</f>
        <v>20751.0</v>
      </c>
      <c r="H50"/>
      <c r="I50" t="n">
        <f ref="I50:K50" si="84" t="shared">I24+I25+I32+I33+I40+I41+I48+I49</f>
        <v>15133.0</v>
      </c>
      <c r="J50"/>
      <c r="K50" t="n">
        <f si="84" t="shared"/>
        <v>15133.0</v>
      </c>
      <c r="L50"/>
      <c r="M50" t="n">
        <f ref="M50" si="85" t="shared">M24+M25+M32+M33+M40+M41+M48+M49</f>
        <v>15557.0</v>
      </c>
      <c r="N50"/>
      <c r="O50" t="n">
        <f>O24+O25+O32+O33+O40+O41+O48+O49</f>
        <v>8467.5</v>
      </c>
      <c r="P50"/>
      <c r="Q50" t="n">
        <f ref="Q50" si="86" t="shared">Q24+Q25+Q32+Q33+Q40+Q41+Q48+Q49</f>
        <v>27101.0</v>
      </c>
      <c r="R50"/>
      <c r="S50" t="n">
        <f ref="S50:U50" si="87" t="shared">S24+S25+S32+S33+S40+S41+S48+S49</f>
        <v>26030.0</v>
      </c>
      <c r="T50"/>
      <c r="U50" t="n">
        <f si="87" t="shared"/>
        <v>26030.0</v>
      </c>
      <c r="V50"/>
      <c r="W50" t="n">
        <f ref="W50" si="88" t="shared">W24+W25+W32+W33+W40+W41+W48+W49</f>
        <v>23020.0</v>
      </c>
      <c r="X50"/>
      <c r="Y50" t="n">
        <f ref="Y50" si="89" t="shared">Y24+Y25+Y32+Y33+Y40+Y41+Y48+Y49</f>
        <v>12308.97</v>
      </c>
      <c r="Z50"/>
      <c r="AA50" t="n">
        <f ref="AA50:AC50" si="90" t="shared">AA24+AA25+AA32+AA33+AA40+AA41+AA48+AA49</f>
        <v>20680.0</v>
      </c>
      <c r="AB50"/>
      <c r="AC50" t="n">
        <f si="90" t="shared"/>
        <v>20680.0</v>
      </c>
      <c r="AD50"/>
      <c r="AE50" t="n">
        <f ref="AE50" si="91" t="shared">AE24+AE25+AE32+AE33+AE40+AE41+AE48+AE49</f>
        <v>2939.0</v>
      </c>
      <c r="AF50"/>
      <c r="AG50" t="n">
        <f ref="AG50" si="92" t="shared">AG24+AG25+AG32+AG33+AG40+AG41+AG48+AG49</f>
        <v>2939.0</v>
      </c>
      <c r="AH50"/>
      <c r="AI50" t="n">
        <f>AI24+AI25+AI32+AI33+AI40+AI41+AI48+AI49</f>
        <v>20751.0</v>
      </c>
      <c r="AJ50"/>
    </row>
    <row r="51" spans="2:35" x14ac:dyDescent="0.3">
      <c r="B51" t="s">
        <v>158</v>
      </c>
      <c r="C51"/>
      <c r="D51" s="50"/>
      <c r="E51" s="62" t="n">
        <v>35720.78</v>
      </c>
      <c r="F51" s="50"/>
      <c r="G51" s="62" t="n">
        <v>32180.89</v>
      </c>
      <c r="H51" s="50"/>
      <c r="I51" s="62" t="n">
        <v>32180.89</v>
      </c>
      <c r="J51" s="50"/>
      <c r="K51" s="62" t="n">
        <v>32180.89</v>
      </c>
      <c r="L51" s="50"/>
      <c r="M51" s="62" t="n">
        <v>32180.89</v>
      </c>
      <c r="N51" s="50"/>
      <c r="O51" s="62" t="n">
        <v>32180.89</v>
      </c>
      <c r="P51" s="50"/>
      <c r="Q51" s="64" t="n">
        <v>35398.97</v>
      </c>
      <c r="R51" s="50"/>
      <c r="S51" s="64" t="n">
        <v>35398.97</v>
      </c>
      <c r="T51" s="50"/>
      <c r="U51" s="64" t="n">
        <v>35398.97</v>
      </c>
      <c r="V51" s="50"/>
      <c r="W51" s="62" t="n">
        <v>32180.89</v>
      </c>
      <c r="X51" s="50"/>
      <c r="Y51" s="62" t="n">
        <v>32180.89</v>
      </c>
      <c r="Z51" s="50"/>
      <c r="AA51" s="62" t="n">
        <v>32180.89</v>
      </c>
      <c r="AB51" s="50"/>
      <c r="AC51" s="62" t="n">
        <v>32180.89</v>
      </c>
      <c r="AD51" s="50"/>
      <c r="AE51" s="64" t="n">
        <v>28962.8</v>
      </c>
      <c r="AF51" s="50"/>
      <c r="AG51" s="64" t="n">
        <v>28962.8</v>
      </c>
      <c r="AH51" s="50"/>
      <c r="AI51" s="62" t="n">
        <v>32180.89</v>
      </c>
      <c r="AJ51"/>
    </row>
    <row r="52" spans="2:35" x14ac:dyDescent="0.3">
      <c r="B52" t="s">
        <v>159</v>
      </c>
      <c r="C52"/>
      <c r="D52"/>
      <c r="E52" s="61" t="n">
        <v>79.89</v>
      </c>
      <c r="F52"/>
      <c r="G52" s="61" t="n">
        <v>35.6</v>
      </c>
      <c r="H52"/>
      <c r="I52" s="61" t="n">
        <v>35.6</v>
      </c>
      <c r="J52"/>
      <c r="K52" s="61" t="n">
        <v>35.6</v>
      </c>
      <c r="L52"/>
      <c r="M52" s="61" t="n">
        <v>16.18</v>
      </c>
      <c r="N52"/>
      <c r="O52" s="61" t="n">
        <v>32.37</v>
      </c>
      <c r="P52"/>
      <c r="Q52" s="61" t="n">
        <v>35.6</v>
      </c>
      <c r="R52"/>
      <c r="S52" s="61" t="n">
        <v>35.6</v>
      </c>
      <c r="T52"/>
      <c r="U52" s="61" t="n">
        <v>35.6</v>
      </c>
      <c r="V52"/>
      <c r="W52" s="61" t="n">
        <v>35.6</v>
      </c>
      <c r="X52"/>
      <c r="Y52" s="61" t="n">
        <v>32.37</v>
      </c>
      <c r="Z52"/>
      <c r="AA52" s="61" t="n">
        <v>32.37</v>
      </c>
      <c r="AB52"/>
      <c r="AC52" s="61" t="n">
        <v>32.37</v>
      </c>
      <c r="AD52"/>
      <c r="AE52" s="61" t="n">
        <v>16.18</v>
      </c>
      <c r="AF52"/>
      <c r="AG52" s="61" t="n">
        <v>16.18</v>
      </c>
      <c r="AH52"/>
      <c r="AI52" s="61" t="n">
        <v>35.6</v>
      </c>
      <c r="AJ52"/>
    </row>
    <row r="53" spans="2:35" x14ac:dyDescent="0.3">
      <c r="B53" t="s">
        <v>160</v>
      </c>
      <c r="C53" s="20"/>
      <c r="D53"/>
      <c r="E53" s="61" t="n">
        <v>250.0</v>
      </c>
      <c r="F53"/>
      <c r="G53" s="61" t="n">
        <v>225.0</v>
      </c>
      <c r="H53"/>
      <c r="I53" s="61" t="n">
        <v>200.0</v>
      </c>
      <c r="J53"/>
      <c r="K53" s="61" t="n">
        <v>200.0</v>
      </c>
      <c r="L53"/>
      <c r="M53" s="61" t="n">
        <v>180.0</v>
      </c>
      <c r="N53"/>
      <c r="O53" s="61" t="n">
        <v>133.0</v>
      </c>
      <c r="P53"/>
      <c r="Q53" s="61" t="n">
        <v>200.0</v>
      </c>
      <c r="R53"/>
      <c r="S53" s="61" t="n">
        <v>200.0</v>
      </c>
      <c r="T53"/>
      <c r="U53" s="61" t="n">
        <v>200.0</v>
      </c>
      <c r="V53"/>
      <c r="W53" s="61" t="n">
        <v>225.0</v>
      </c>
      <c r="X53"/>
      <c r="Y53" s="61" t="n">
        <v>75.0</v>
      </c>
      <c r="Z53"/>
      <c r="AA53" s="61" t="n">
        <v>200.0</v>
      </c>
      <c r="AB53"/>
      <c r="AC53" s="61" t="n">
        <v>200.0</v>
      </c>
      <c r="AD53"/>
      <c r="AE53" s="61" t="n">
        <v>150.0</v>
      </c>
      <c r="AF53"/>
      <c r="AG53" s="61" t="n">
        <v>150.0</v>
      </c>
      <c r="AH53"/>
      <c r="AI53" s="61" t="n">
        <v>225.0</v>
      </c>
      <c r="AJ53"/>
    </row>
    <row r="54" spans="2:35" x14ac:dyDescent="0.3">
      <c r="B54" t="s">
        <v>161</v>
      </c>
      <c r="C54"/>
      <c r="D54"/>
      <c r="E54" t="n">
        <f>E52*E53</f>
        <v>19973.0</v>
      </c>
      <c r="F54"/>
      <c r="G54" t="n">
        <f>G52*G53</f>
        <v>8010.0</v>
      </c>
      <c r="H54"/>
      <c r="I54" t="n">
        <f ref="I54:K54" si="93" t="shared">I52*I53</f>
        <v>7120.0</v>
      </c>
      <c r="J54"/>
      <c r="K54" t="n">
        <f si="93" t="shared"/>
        <v>7120.0</v>
      </c>
      <c r="L54"/>
      <c r="M54" t="n">
        <f ref="M54" si="94" t="shared">M52*M53</f>
        <v>2912.0</v>
      </c>
      <c r="N54"/>
      <c r="O54" t="n">
        <f ref="O54" si="95" t="shared">O52*O53</f>
        <v>4305.0</v>
      </c>
      <c r="P54"/>
      <c r="Q54" t="n">
        <f ref="Q54" si="96" t="shared">Q52*Q53</f>
        <v>7120.0</v>
      </c>
      <c r="R54"/>
      <c r="S54" t="n">
        <f ref="S54:U54" si="97" t="shared">S52*S53</f>
        <v>7120.0</v>
      </c>
      <c r="T54"/>
      <c r="U54" t="n">
        <f si="97" t="shared"/>
        <v>7120.0</v>
      </c>
      <c r="V54"/>
      <c r="W54" t="n">
        <f ref="W54" si="98" t="shared">W52*W53</f>
        <v>8010.0</v>
      </c>
      <c r="X54"/>
      <c r="Y54" t="n">
        <f ref="Y54" si="99" t="shared">Y52*Y53</f>
        <v>2428.0</v>
      </c>
      <c r="Z54"/>
      <c r="AA54" t="n">
        <f ref="AA54:AC54" si="100" t="shared">AA52*AA53</f>
        <v>6474.0</v>
      </c>
      <c r="AB54"/>
      <c r="AC54" t="n">
        <f si="100" t="shared"/>
        <v>6474.0</v>
      </c>
      <c r="AD54"/>
      <c r="AE54" t="n">
        <f ref="AE54" si="101" t="shared">AE52*AE53</f>
        <v>2427.0</v>
      </c>
      <c r="AF54"/>
      <c r="AG54" t="n">
        <f ref="AG54" si="102" t="shared">AG52*AG53</f>
        <v>2427.0</v>
      </c>
      <c r="AH54"/>
      <c r="AI54" t="n">
        <f>AI52*AI53</f>
        <v>8010.0</v>
      </c>
      <c r="AJ54"/>
    </row>
    <row r="55" spans="2:35" x14ac:dyDescent="0.3">
      <c r="B55" t="s">
        <v>162</v>
      </c>
      <c r="C55"/>
      <c r="D55"/>
      <c r="E55" s="61" t="n">
        <v>0.06</v>
      </c>
      <c r="F55"/>
      <c r="G55" s="61" t="n">
        <v>0.06</v>
      </c>
      <c r="H55"/>
      <c r="I55" s="61" t="n">
        <v>0.06</v>
      </c>
      <c r="J55"/>
      <c r="K55" s="61" t="n">
        <v>0.06</v>
      </c>
      <c r="L55"/>
      <c r="M55" s="61" t="n">
        <v>0.06</v>
      </c>
      <c r="N55"/>
      <c r="O55" s="61" t="n">
        <v>0.06</v>
      </c>
      <c r="P55"/>
      <c r="Q55" s="61" t="n">
        <v>0.09</v>
      </c>
      <c r="R55"/>
      <c r="S55" s="61" t="n">
        <v>0.09</v>
      </c>
      <c r="T55"/>
      <c r="U55" s="61" t="n">
        <v>0.09</v>
      </c>
      <c r="V55"/>
      <c r="W55" s="61" t="n">
        <v>0.06</v>
      </c>
      <c r="X55"/>
      <c r="Y55" s="65" t="n">
        <v>0.06</v>
      </c>
      <c r="Z55"/>
      <c r="AA55" s="61" t="n">
        <v>0.06</v>
      </c>
      <c r="AB55"/>
      <c r="AC55" s="61" t="n">
        <v>0.06</v>
      </c>
      <c r="AD55"/>
      <c r="AE55" s="61" t="n">
        <v>0.06</v>
      </c>
      <c r="AF55"/>
      <c r="AG55" s="61" t="n">
        <v>0.06</v>
      </c>
      <c r="AH55"/>
      <c r="AI55" s="61" t="n">
        <v>0.06</v>
      </c>
      <c r="AJ55"/>
    </row>
    <row r="56" spans="2:35" x14ac:dyDescent="0.3">
      <c r="B56" t="s">
        <v>163</v>
      </c>
      <c r="C56"/>
      <c r="D56"/>
      <c r="E56" t="n">
        <f>E55*E9</f>
        <v>9000.0</v>
      </c>
      <c r="F56"/>
      <c r="G56" t="n">
        <f>G55*G9</f>
        <v>7200.0</v>
      </c>
      <c r="H56"/>
      <c r="I56" t="n">
        <f ref="I56:K56" si="103" t="shared">I55*I9</f>
        <v>6000.0</v>
      </c>
      <c r="J56"/>
      <c r="K56" t="n">
        <f si="103" t="shared"/>
        <v>6000.0</v>
      </c>
      <c r="L56"/>
      <c r="M56" t="n">
        <f ref="M56" si="104" t="shared">M55*M9</f>
        <v>3600.0</v>
      </c>
      <c r="N56"/>
      <c r="O56" t="n">
        <f ref="O56" si="105" t="shared">O55*O9</f>
        <v>5400.0</v>
      </c>
      <c r="P56"/>
      <c r="Q56" t="n">
        <f ref="Q56" si="106" t="shared">Q55*Q9</f>
        <v>9450.0</v>
      </c>
      <c r="R56"/>
      <c r="S56" t="n">
        <f ref="S56:U56" si="107" t="shared">S55*S9</f>
        <v>9000.0</v>
      </c>
      <c r="T56"/>
      <c r="U56" t="n">
        <f si="107" t="shared"/>
        <v>9000.0</v>
      </c>
      <c r="V56"/>
      <c r="W56" t="n">
        <f ref="W56" si="108" t="shared">W55*W9</f>
        <v>7200.0</v>
      </c>
      <c r="X56"/>
      <c r="Y56" t="n">
        <f ref="Y56" si="109" t="shared">Y55*Y9</f>
        <v>4200.0</v>
      </c>
      <c r="Z56"/>
      <c r="AA56" t="n">
        <f ref="AA56:AC56" si="110" t="shared">AA55*AA9</f>
        <v>7200.0</v>
      </c>
      <c r="AB56"/>
      <c r="AC56" t="n">
        <f si="110" t="shared"/>
        <v>7200.0</v>
      </c>
      <c r="AD56"/>
      <c r="AE56" t="n">
        <f ref="AE56" si="111" t="shared">AE55*AE9</f>
        <v>3000.0</v>
      </c>
      <c r="AF56"/>
      <c r="AG56" t="n">
        <f ref="AG56" si="112" t="shared">AG55*AG9</f>
        <v>3000.0</v>
      </c>
      <c r="AH56"/>
      <c r="AI56" t="n">
        <f>AI55*AI9</f>
        <v>7200.0</v>
      </c>
      <c r="AJ56"/>
    </row>
    <row r="57" spans="2:35" x14ac:dyDescent="0.3">
      <c r="B57" s="40" t="s">
        <v>23</v>
      </c>
      <c r="C57" s="38"/>
      <c r="D57"/>
      <c r="E57" t="n">
        <f>E51+E54+E56</f>
        <v>64693.78</v>
      </c>
      <c r="F57"/>
      <c r="G57" t="n">
        <f>G51+G54+G56</f>
        <v>47390.89</v>
      </c>
      <c r="H57"/>
      <c r="I57" t="n">
        <f ref="I57:K57" si="113" t="shared">I51+I54+I56</f>
        <v>45300.89</v>
      </c>
      <c r="J57"/>
      <c r="K57" t="n">
        <f si="113" t="shared"/>
        <v>45300.89</v>
      </c>
      <c r="L57"/>
      <c r="M57" t="n">
        <f ref="M57" si="114" t="shared">M51+M54+M56</f>
        <v>38692.89</v>
      </c>
      <c r="N57"/>
      <c r="O57" t="n">
        <f ref="O57" si="115" t="shared">O51+O54+O56</f>
        <v>41885.89</v>
      </c>
      <c r="P57"/>
      <c r="Q57" t="n">
        <f ref="Q57" si="116" t="shared">Q51+Q54+Q56</f>
        <v>51968.97</v>
      </c>
      <c r="R57"/>
      <c r="S57" t="n">
        <f ref="S57:U57" si="117" t="shared">S51+S54+S56</f>
        <v>51518.97</v>
      </c>
      <c r="T57"/>
      <c r="U57" t="n">
        <f si="117" t="shared"/>
        <v>51518.97</v>
      </c>
      <c r="V57"/>
      <c r="W57" t="n">
        <f ref="W57" si="118" t="shared">W51+W54+W56</f>
        <v>47390.89</v>
      </c>
      <c r="X57"/>
      <c r="Y57" t="n">
        <f ref="Y57" si="119" t="shared">Y51+Y54+Y56</f>
        <v>38808.89</v>
      </c>
      <c r="Z57"/>
      <c r="AA57" t="n">
        <f ref="AA57:AC57" si="120" t="shared">AA51+AA54+AA56</f>
        <v>45854.89</v>
      </c>
      <c r="AB57"/>
      <c r="AC57" t="n">
        <f si="120" t="shared"/>
        <v>45854.89</v>
      </c>
      <c r="AD57"/>
      <c r="AE57" t="n">
        <f ref="AE57" si="121" t="shared">AE51+AE54+AE56</f>
        <v>34389.8</v>
      </c>
      <c r="AF57"/>
      <c r="AG57" t="n">
        <f ref="AG57" si="122" t="shared">AG51+AG54+AG56</f>
        <v>34389.8</v>
      </c>
      <c r="AH57"/>
      <c r="AI57" t="n">
        <f>AI51+AI54+AI56</f>
        <v>47390.89</v>
      </c>
      <c r="AJ57"/>
    </row>
    <row r="58" spans="2:35" x14ac:dyDescent="0.3">
      <c r="B58" t="s">
        <v>164</v>
      </c>
      <c r="C58"/>
      <c r="D58" s="50"/>
      <c r="E58" s="62" t="n">
        <v>1593.3</v>
      </c>
      <c r="F58" s="50"/>
      <c r="G58" s="62" t="n">
        <v>1593.3</v>
      </c>
      <c r="H58" s="50"/>
      <c r="I58" s="62" t="n">
        <v>1593.3</v>
      </c>
      <c r="J58" s="50"/>
      <c r="K58" s="62" t="n">
        <v>1593.3</v>
      </c>
      <c r="L58" s="50"/>
      <c r="M58" s="62" t="n">
        <v>1593.3</v>
      </c>
      <c r="N58" s="50"/>
      <c r="O58" s="62" t="n">
        <v>1651.51</v>
      </c>
      <c r="P58" s="50"/>
      <c r="Q58" s="62" t="n">
        <v>1593.3</v>
      </c>
      <c r="R58" s="50"/>
      <c r="S58" s="62" t="n">
        <v>1593.3</v>
      </c>
      <c r="T58" s="50"/>
      <c r="U58" s="62" t="n">
        <v>1593.3</v>
      </c>
      <c r="V58" s="50"/>
      <c r="W58" s="62" t="n">
        <v>1593.3</v>
      </c>
      <c r="X58" s="50"/>
      <c r="Y58" s="62" t="n">
        <v>1651.51</v>
      </c>
      <c r="Z58" s="50"/>
      <c r="AA58" s="62" t="n">
        <v>1593.3</v>
      </c>
      <c r="AB58" s="50"/>
      <c r="AC58" s="62" t="n">
        <v>1593.3</v>
      </c>
      <c r="AD58" s="50"/>
      <c r="AE58" s="62" t="n">
        <v>1115.55</v>
      </c>
      <c r="AF58" s="50"/>
      <c r="AG58" s="62" t="n">
        <v>115.55</v>
      </c>
      <c r="AH58" s="50"/>
      <c r="AI58" s="62" t="n">
        <v>1593.3</v>
      </c>
      <c r="AJ58"/>
    </row>
    <row r="59" spans="2:35" x14ac:dyDescent="0.3">
      <c r="B59" t="s">
        <v>165</v>
      </c>
      <c r="C59"/>
      <c r="D59"/>
      <c r="E59" s="61" t="n">
        <v>502.65</v>
      </c>
      <c r="F59"/>
      <c r="G59" s="61" t="n">
        <v>502.65</v>
      </c>
      <c r="H59"/>
      <c r="I59" s="61" t="n">
        <v>502.65</v>
      </c>
      <c r="J59"/>
      <c r="K59" s="61" t="n">
        <v>502.65</v>
      </c>
      <c r="L59"/>
      <c r="M59" s="61" t="n">
        <v>502.65</v>
      </c>
      <c r="N59"/>
      <c r="O59"/>
      <c r="P59"/>
      <c r="Q59" s="61" t="n">
        <v>502.65</v>
      </c>
      <c r="R59"/>
      <c r="S59" s="61" t="n">
        <v>502.65</v>
      </c>
      <c r="T59"/>
      <c r="U59" s="61" t="n">
        <v>502.65</v>
      </c>
      <c r="V59"/>
      <c r="W59" s="61" t="n">
        <v>502.65</v>
      </c>
      <c r="X59"/>
      <c r="Y59"/>
      <c r="Z59"/>
      <c r="AA59" s="61" t="n">
        <v>502.65</v>
      </c>
      <c r="AB59"/>
      <c r="AC59" s="61" t="n">
        <v>502.65</v>
      </c>
      <c r="AD59"/>
      <c r="AE59" s="61"/>
      <c r="AF59"/>
      <c r="AG59" s="61"/>
      <c r="AH59"/>
      <c r="AI59" s="61" t="n">
        <v>502.65</v>
      </c>
      <c r="AJ59"/>
    </row>
    <row r="60" spans="2:35" x14ac:dyDescent="0.3">
      <c r="B60" t="s">
        <v>166</v>
      </c>
      <c r="C60" s="39"/>
      <c r="D60"/>
      <c r="E60" s="61" t="n">
        <v>119.43</v>
      </c>
      <c r="F60"/>
      <c r="G60" s="61" t="n">
        <v>119.43</v>
      </c>
      <c r="H60"/>
      <c r="I60" s="61" t="n">
        <v>119.43</v>
      </c>
      <c r="J60"/>
      <c r="K60" s="61" t="n">
        <v>119.43</v>
      </c>
      <c r="L60"/>
      <c r="M60" s="61" t="n">
        <v>119.43</v>
      </c>
      <c r="N60"/>
      <c r="O60" s="61" t="n">
        <v>119.43</v>
      </c>
      <c r="P60"/>
      <c r="Q60" s="61" t="n">
        <v>630.35</v>
      </c>
      <c r="R60"/>
      <c r="S60" s="61" t="n">
        <v>998.83</v>
      </c>
      <c r="T60"/>
      <c r="U60" s="61" t="n">
        <v>998.83</v>
      </c>
      <c r="V60"/>
      <c r="W60" s="61" t="n">
        <v>139.53</v>
      </c>
      <c r="X60"/>
      <c r="Y60" s="61" t="n">
        <v>119.43</v>
      </c>
      <c r="Z60"/>
      <c r="AA60" s="61" t="n">
        <v>119.43</v>
      </c>
      <c r="AB60"/>
      <c r="AC60" s="61" t="n">
        <v>119.43</v>
      </c>
      <c r="AD60"/>
      <c r="AE60" s="61"/>
      <c r="AF60"/>
      <c r="AG60" s="61"/>
      <c r="AH60"/>
      <c r="AI60" s="61" t="n">
        <v>119.43</v>
      </c>
      <c r="AJ60"/>
    </row>
    <row r="61" spans="2:35" x14ac:dyDescent="0.3">
      <c r="B61" t="s">
        <v>167</v>
      </c>
      <c r="C61"/>
      <c r="D61"/>
      <c r="E61" s="61" t="n">
        <v>55.43</v>
      </c>
      <c r="F61"/>
      <c r="G61" s="61" t="n">
        <v>55.43</v>
      </c>
      <c r="H61"/>
      <c r="I61" s="61" t="n">
        <v>55.43</v>
      </c>
      <c r="J61"/>
      <c r="K61" s="61" t="n">
        <v>55.43</v>
      </c>
      <c r="L61"/>
      <c r="M61" s="61" t="n">
        <v>55.43</v>
      </c>
      <c r="N61"/>
      <c r="O61" s="61" t="n">
        <v>55.43</v>
      </c>
      <c r="P61"/>
      <c r="Q61" s="61" t="n">
        <v>55.43</v>
      </c>
      <c r="R61"/>
      <c r="S61" s="61" t="n">
        <v>55.43</v>
      </c>
      <c r="T61"/>
      <c r="U61" s="61" t="n">
        <v>55.43</v>
      </c>
      <c r="V61"/>
      <c r="W61" s="61" t="n">
        <v>55.43</v>
      </c>
      <c r="X61"/>
      <c r="Y61" s="61" t="n">
        <v>55.43</v>
      </c>
      <c r="Z61"/>
      <c r="AA61" s="61" t="n">
        <v>55.43</v>
      </c>
      <c r="AB61"/>
      <c r="AC61" s="61" t="n">
        <v>55.43</v>
      </c>
      <c r="AD61"/>
      <c r="AE61" s="61" t="n">
        <v>55.43</v>
      </c>
      <c r="AF61"/>
      <c r="AG61" s="61" t="n">
        <v>55.43</v>
      </c>
      <c r="AH61"/>
      <c r="AI61" s="61" t="n">
        <v>55.43</v>
      </c>
      <c r="AJ61"/>
    </row>
    <row r="62" spans="2:35" x14ac:dyDescent="0.3">
      <c r="B62" t="s">
        <v>168</v>
      </c>
      <c r="C62"/>
      <c r="D62"/>
      <c r="E62" s="61" t="n">
        <v>137.99</v>
      </c>
      <c r="F62"/>
      <c r="G62" s="61" t="n">
        <v>137.99</v>
      </c>
      <c r="H62"/>
      <c r="I62" s="61" t="n">
        <v>137.99</v>
      </c>
      <c r="J62"/>
      <c r="K62" s="61" t="n">
        <v>137.99</v>
      </c>
      <c r="L62"/>
      <c r="M62" s="61" t="n">
        <v>137.99</v>
      </c>
      <c r="N62"/>
      <c r="O62" s="61" t="n">
        <v>137.99</v>
      </c>
      <c r="P62"/>
      <c r="Q62" s="61" t="n">
        <v>137.99</v>
      </c>
      <c r="R62"/>
      <c r="S62" s="61" t="n">
        <v>137.99</v>
      </c>
      <c r="T62"/>
      <c r="U62" s="61" t="n">
        <v>137.99</v>
      </c>
      <c r="V62"/>
      <c r="W62" s="61" t="n">
        <v>137.99</v>
      </c>
      <c r="X62"/>
      <c r="Y62" s="61" t="n">
        <v>137.99</v>
      </c>
      <c r="Z62"/>
      <c r="AA62" s="61" t="n">
        <v>137.99</v>
      </c>
      <c r="AB62"/>
      <c r="AC62" s="61" t="n">
        <v>137.99</v>
      </c>
      <c r="AD62"/>
      <c r="AE62" s="61" t="n">
        <v>137.99</v>
      </c>
      <c r="AF62"/>
      <c r="AG62" s="61" t="n">
        <v>137.99</v>
      </c>
      <c r="AH62"/>
      <c r="AI62" s="61" t="n">
        <v>137.99</v>
      </c>
      <c r="AJ62"/>
    </row>
    <row r="63" spans="2:35" x14ac:dyDescent="0.3">
      <c r="B63" t="s">
        <v>169</v>
      </c>
      <c r="C63"/>
      <c r="D63"/>
      <c r="E63" s="61" t="n">
        <v>676.06</v>
      </c>
      <c r="F63"/>
      <c r="G63" s="61" t="n">
        <v>676.06</v>
      </c>
      <c r="H63"/>
      <c r="I63" s="61" t="n">
        <v>367.45</v>
      </c>
      <c r="J63"/>
      <c r="K63" s="61" t="n">
        <v>367.45</v>
      </c>
      <c r="L63"/>
      <c r="M63" s="61" t="n">
        <v>0.0</v>
      </c>
      <c r="N63"/>
      <c r="O63" s="61" t="n">
        <v>403.6</v>
      </c>
      <c r="P63"/>
      <c r="Q63" s="61" t="n">
        <v>676.06</v>
      </c>
      <c r="R63"/>
      <c r="S63" s="61" t="n">
        <v>676.06</v>
      </c>
      <c r="T63"/>
      <c r="U63" s="61" t="n">
        <v>676.06</v>
      </c>
      <c r="V63"/>
      <c r="W63" s="61" t="n">
        <v>974.94</v>
      </c>
      <c r="X63"/>
      <c r="Y63" s="61" t="n">
        <v>825.43</v>
      </c>
      <c r="Z63"/>
      <c r="AA63" s="61" t="n">
        <v>337.32</v>
      </c>
      <c r="AB63"/>
      <c r="AC63" s="61" t="n">
        <v>337.32</v>
      </c>
      <c r="AD63"/>
      <c r="AE63" s="61" t="n">
        <v>247.0</v>
      </c>
      <c r="AF63"/>
      <c r="AG63" s="61" t="n">
        <v>247.0</v>
      </c>
      <c r="AH63"/>
      <c r="AI63" s="61" t="n">
        <v>676.06</v>
      </c>
      <c r="AJ63"/>
    </row>
    <row r="64" spans="2:35" x14ac:dyDescent="0.3">
      <c r="B64" t="s">
        <v>170</v>
      </c>
      <c r="C64"/>
      <c r="D64"/>
      <c r="E64" s="61" t="n">
        <v>2977.9</v>
      </c>
      <c r="F64"/>
      <c r="G64" s="61" t="n">
        <v>2977.9</v>
      </c>
      <c r="H64"/>
      <c r="I64" s="61" t="n">
        <v>2977.9</v>
      </c>
      <c r="J64"/>
      <c r="K64" s="61" t="n">
        <v>2977.9</v>
      </c>
      <c r="L64"/>
      <c r="M64" s="61" t="n">
        <v>3140.13</v>
      </c>
      <c r="N64"/>
      <c r="O64" s="61" t="n">
        <v>1343.96</v>
      </c>
      <c r="P64"/>
      <c r="Q64" s="61" t="n">
        <v>3577.65</v>
      </c>
      <c r="R64"/>
      <c r="S64" s="61" t="n">
        <v>3577.65</v>
      </c>
      <c r="T64"/>
      <c r="U64" s="61" t="n">
        <v>3577.65</v>
      </c>
      <c r="V64"/>
      <c r="W64" s="61" t="n">
        <v>3878.79</v>
      </c>
      <c r="X64"/>
      <c r="Y64" s="61" t="n">
        <v>1669.15</v>
      </c>
      <c r="Z64"/>
      <c r="AA64" s="61" t="n">
        <v>2977.9</v>
      </c>
      <c r="AB64"/>
      <c r="AC64" s="61" t="n">
        <v>2977.9</v>
      </c>
      <c r="AD64"/>
      <c r="AE64" s="61" t="n">
        <v>1869.85</v>
      </c>
      <c r="AF64"/>
      <c r="AG64" s="61" t="n">
        <v>1869.85</v>
      </c>
      <c r="AH64"/>
      <c r="AI64" s="61" t="n">
        <v>2977.9</v>
      </c>
      <c r="AJ64"/>
    </row>
    <row r="65" spans="1:35" x14ac:dyDescent="0.3">
      <c r="A65" s="34"/>
      <c r="B65" t="s">
        <v>24</v>
      </c>
      <c r="C65"/>
      <c r="D65"/>
      <c r="E65" s="61" t="n">
        <v>477.2</v>
      </c>
      <c r="F65"/>
      <c r="G65" s="61" t="n">
        <v>477.2</v>
      </c>
      <c r="H65"/>
      <c r="I65" s="61" t="n">
        <v>477.2</v>
      </c>
      <c r="J65"/>
      <c r="K65" s="61" t="n">
        <v>477.2</v>
      </c>
      <c r="L65"/>
      <c r="M65" s="61" t="n">
        <v>500.1</v>
      </c>
      <c r="N65"/>
      <c r="O65" s="61" t="n">
        <v>477.2</v>
      </c>
      <c r="P65"/>
      <c r="Q65" s="61" t="n">
        <v>477.2</v>
      </c>
      <c r="R65"/>
      <c r="S65" s="61" t="n">
        <v>477.2</v>
      </c>
      <c r="T65"/>
      <c r="U65" s="61" t="n">
        <v>477.2</v>
      </c>
      <c r="V65"/>
      <c r="W65" s="61" t="n">
        <v>477.2</v>
      </c>
      <c r="X65"/>
      <c r="Y65" s="61" t="n">
        <v>477.2</v>
      </c>
      <c r="Z65"/>
      <c r="AA65" s="61" t="n">
        <v>477.2</v>
      </c>
      <c r="AB65"/>
      <c r="AC65" s="61" t="n">
        <v>477.2</v>
      </c>
      <c r="AD65"/>
      <c r="AE65" s="61" t="n">
        <v>226.56</v>
      </c>
      <c r="AF65"/>
      <c r="AG65" s="61" t="n">
        <v>226.56</v>
      </c>
      <c r="AH65"/>
      <c r="AI65" s="61" t="n">
        <v>477.2</v>
      </c>
      <c r="AJ65"/>
    </row>
    <row r="66" spans="1:35" x14ac:dyDescent="0.3">
      <c r="B66" s="39" t="s">
        <v>25</v>
      </c>
      <c r="C66"/>
      <c r="D66"/>
      <c r="E66" t="n">
        <f>SUM(E58:E65)</f>
        <v>6539.96</v>
      </c>
      <c r="F66"/>
      <c r="G66" t="n">
        <f>SUM(G58:G65)</f>
        <v>6539.96</v>
      </c>
      <c r="H66"/>
      <c r="I66" t="n">
        <f ref="I66:K66" si="123" t="shared">SUM(I58:I65)</f>
        <v>6231.35</v>
      </c>
      <c r="J66"/>
      <c r="K66" t="n">
        <f si="123" t="shared"/>
        <v>6231.35</v>
      </c>
      <c r="L66"/>
      <c r="M66" t="n">
        <f ref="M66" si="124" t="shared">SUM(M58:M65)</f>
        <v>6049.03</v>
      </c>
      <c r="N66"/>
      <c r="O66" t="n">
        <f ref="O66" si="125" t="shared">SUM(O58:O65)</f>
        <v>4189.12</v>
      </c>
      <c r="P66"/>
      <c r="Q66" t="n">
        <f ref="Q66" si="126" t="shared">SUM(Q58:Q65)</f>
        <v>7650.63</v>
      </c>
      <c r="R66"/>
      <c r="S66" t="n">
        <f ref="S66:U66" si="127" t="shared">SUM(S58:S65)</f>
        <v>8019.11</v>
      </c>
      <c r="T66"/>
      <c r="U66" t="n">
        <f si="127" t="shared"/>
        <v>8019.11</v>
      </c>
      <c r="V66"/>
      <c r="W66" t="n">
        <f ref="W66" si="128" t="shared">SUM(W58:W65)</f>
        <v>7759.83</v>
      </c>
      <c r="X66"/>
      <c r="Y66" t="n">
        <f ref="Y66" si="129" t="shared">SUM(Y58:Y65)</f>
        <v>4936.14</v>
      </c>
      <c r="Z66"/>
      <c r="AA66" t="n">
        <f ref="AA66:AC66" si="130" t="shared">SUM(AA58:AA65)</f>
        <v>6201.22</v>
      </c>
      <c r="AB66"/>
      <c r="AC66" t="n">
        <f si="130" t="shared"/>
        <v>6201.22</v>
      </c>
      <c r="AD66"/>
      <c r="AE66" t="n">
        <f ref="AE66:AG66" si="131" t="shared">SUM(AE58:AE65)</f>
        <v>3652.38</v>
      </c>
      <c r="AF66"/>
      <c r="AG66" t="n">
        <f si="131" t="shared"/>
        <v>2652.38</v>
      </c>
      <c r="AH66"/>
      <c r="AI66" t="n">
        <f>SUM(AI58:AI65)</f>
        <v>6539.96</v>
      </c>
      <c r="AJ66"/>
    </row>
    <row r="67" spans="1:35" x14ac:dyDescent="0.3">
      <c r="B67" t="s">
        <v>26</v>
      </c>
      <c r="C67"/>
      <c r="D67"/>
      <c r="E67" s="61" t="n">
        <v>16.34</v>
      </c>
      <c r="F67"/>
      <c r="G67" s="61" t="n">
        <v>16.34</v>
      </c>
      <c r="H67"/>
      <c r="I67" s="61" t="n">
        <v>16.34</v>
      </c>
      <c r="J67"/>
      <c r="K67" s="61" t="n">
        <v>16.34</v>
      </c>
      <c r="L67"/>
      <c r="M67" s="61" t="n">
        <v>16.34</v>
      </c>
      <c r="N67"/>
      <c r="O67" s="61" t="n">
        <v>16.34</v>
      </c>
      <c r="P67"/>
      <c r="Q67" s="61" t="n">
        <v>16.34</v>
      </c>
      <c r="R67"/>
      <c r="S67" s="61" t="n">
        <v>16.34</v>
      </c>
      <c r="T67"/>
      <c r="U67" s="61" t="n">
        <v>16.34</v>
      </c>
      <c r="V67"/>
      <c r="W67" s="61" t="n">
        <v>16.34</v>
      </c>
      <c r="X67"/>
      <c r="Y67" s="61" t="n">
        <v>16.34</v>
      </c>
      <c r="Z67"/>
      <c r="AA67" s="61" t="n">
        <v>16.34</v>
      </c>
      <c r="AB67"/>
      <c r="AC67" s="61" t="n">
        <v>16.34</v>
      </c>
      <c r="AD67"/>
      <c r="AE67" s="61" t="n">
        <v>15.68</v>
      </c>
      <c r="AF67"/>
      <c r="AG67" s="61" t="n">
        <v>15.68</v>
      </c>
      <c r="AH67"/>
      <c r="AI67" s="61" t="n">
        <v>16.34</v>
      </c>
      <c r="AJ67"/>
    </row>
    <row r="68" spans="1:35" x14ac:dyDescent="0.3">
      <c r="B68" t="s">
        <v>27</v>
      </c>
      <c r="C68"/>
      <c r="D68"/>
      <c r="E68" s="61" t="n">
        <v>111.92</v>
      </c>
      <c r="F68"/>
      <c r="G68" s="61" t="n">
        <v>111.92</v>
      </c>
      <c r="H68"/>
      <c r="I68" s="61" t="n">
        <v>111.92</v>
      </c>
      <c r="J68"/>
      <c r="K68" s="61" t="n">
        <v>111.92</v>
      </c>
      <c r="L68"/>
      <c r="M68" s="61" t="n">
        <v>111.92</v>
      </c>
      <c r="N68"/>
      <c r="O68" s="61" t="n">
        <v>68.09</v>
      </c>
      <c r="P68"/>
      <c r="Q68" s="61" t="n">
        <v>111.92</v>
      </c>
      <c r="R68"/>
      <c r="S68" s="61" t="n">
        <v>111.92</v>
      </c>
      <c r="T68"/>
      <c r="U68" s="61" t="n">
        <v>111.92</v>
      </c>
      <c r="V68"/>
      <c r="W68" s="61" t="n">
        <v>111.92</v>
      </c>
      <c r="X68"/>
      <c r="Y68" s="61" t="n">
        <v>68.09</v>
      </c>
      <c r="Z68"/>
      <c r="AA68" s="61" t="n">
        <v>111.92</v>
      </c>
      <c r="AB68"/>
      <c r="AC68" s="61" t="n">
        <v>111.92</v>
      </c>
      <c r="AD68"/>
      <c r="AE68" s="61" t="n">
        <v>51.44</v>
      </c>
      <c r="AF68"/>
      <c r="AG68" s="61" t="n">
        <v>51.44</v>
      </c>
      <c r="AH68"/>
      <c r="AI68" s="61" t="n">
        <v>111.92</v>
      </c>
      <c r="AJ68"/>
    </row>
    <row r="69" spans="1:35" x14ac:dyDescent="0.3">
      <c r="B69" t="s">
        <v>28</v>
      </c>
      <c r="C69" s="39"/>
      <c r="D69"/>
      <c r="E69" s="61" t="n">
        <v>354.07</v>
      </c>
      <c r="F69"/>
      <c r="G69" s="61" t="n">
        <v>354.07</v>
      </c>
      <c r="H69"/>
      <c r="I69" s="61" t="n">
        <v>354.07</v>
      </c>
      <c r="J69"/>
      <c r="K69" s="61" t="n">
        <v>354.07</v>
      </c>
      <c r="L69"/>
      <c r="M69" s="61" t="n">
        <v>354.07</v>
      </c>
      <c r="N69"/>
      <c r="O69" s="61" t="n">
        <v>354.07</v>
      </c>
      <c r="P69"/>
      <c r="Q69" s="61" t="n">
        <v>354.07</v>
      </c>
      <c r="R69"/>
      <c r="S69" s="61" t="n">
        <v>354.07</v>
      </c>
      <c r="T69"/>
      <c r="U69" s="61" t="n">
        <v>354.07</v>
      </c>
      <c r="V69"/>
      <c r="W69" s="61" t="n">
        <v>354.07</v>
      </c>
      <c r="X69"/>
      <c r="Y69" s="61" t="n">
        <v>354.07</v>
      </c>
      <c r="Z69"/>
      <c r="AA69" s="61" t="n">
        <v>354.07</v>
      </c>
      <c r="AB69"/>
      <c r="AC69" s="61" t="n">
        <v>354.07</v>
      </c>
      <c r="AD69"/>
      <c r="AE69" s="61" t="n">
        <v>290.22</v>
      </c>
      <c r="AF69"/>
      <c r="AG69" s="61" t="n">
        <v>290.22</v>
      </c>
      <c r="AH69"/>
      <c r="AI69" s="61" t="n">
        <v>354.07</v>
      </c>
      <c r="AJ69"/>
    </row>
    <row r="70" spans="1:35" x14ac:dyDescent="0.3">
      <c r="B70" t="s">
        <v>29</v>
      </c>
      <c r="C70"/>
      <c r="D70"/>
      <c r="E70" s="61" t="n">
        <v>304.82</v>
      </c>
      <c r="F70"/>
      <c r="G70" s="61" t="n">
        <v>304.82</v>
      </c>
      <c r="H70"/>
      <c r="I70" s="61" t="n">
        <v>304.82</v>
      </c>
      <c r="J70"/>
      <c r="K70" s="61" t="n">
        <v>304.82</v>
      </c>
      <c r="L70"/>
      <c r="M70" s="61" t="n">
        <v>304.82</v>
      </c>
      <c r="N70"/>
      <c r="O70" s="61" t="n">
        <v>217.06</v>
      </c>
      <c r="P70"/>
      <c r="Q70" s="61" t="n">
        <v>304.82</v>
      </c>
      <c r="R70"/>
      <c r="S70" s="61" t="n">
        <v>304.82</v>
      </c>
      <c r="T70"/>
      <c r="U70" s="61" t="n">
        <v>304.82</v>
      </c>
      <c r="V70"/>
      <c r="W70" s="61" t="n">
        <v>304.82</v>
      </c>
      <c r="X70"/>
      <c r="Y70" s="61" t="n">
        <v>217.06</v>
      </c>
      <c r="Z70"/>
      <c r="AA70" s="61" t="n">
        <v>304.82</v>
      </c>
      <c r="AB70"/>
      <c r="AC70" s="61" t="n">
        <v>304.82</v>
      </c>
      <c r="AD70"/>
      <c r="AE70" s="61" t="n">
        <v>152.4</v>
      </c>
      <c r="AF70"/>
      <c r="AG70" s="61" t="n">
        <v>152.4</v>
      </c>
      <c r="AH70"/>
      <c r="AI70" s="61" t="n">
        <v>304.82</v>
      </c>
      <c r="AJ70"/>
    </row>
    <row r="71" spans="1:35" x14ac:dyDescent="0.3">
      <c r="B71" t="s">
        <v>30</v>
      </c>
      <c r="C71"/>
      <c r="D71"/>
      <c r="E71" s="61" t="n">
        <v>82.34</v>
      </c>
      <c r="F71"/>
      <c r="G71" s="61" t="n">
        <v>82.34</v>
      </c>
      <c r="H71"/>
      <c r="I71" s="61" t="n">
        <v>82.34</v>
      </c>
      <c r="J71"/>
      <c r="K71" s="61" t="n">
        <v>82.34</v>
      </c>
      <c r="L71"/>
      <c r="M71" s="61" t="n">
        <v>82.34</v>
      </c>
      <c r="N71"/>
      <c r="O71" s="61" t="n">
        <v>82.34</v>
      </c>
      <c r="P71"/>
      <c r="Q71" s="61" t="n">
        <v>82.34</v>
      </c>
      <c r="R71"/>
      <c r="S71" s="61" t="n">
        <v>82.34</v>
      </c>
      <c r="T71"/>
      <c r="U71" s="61" t="n">
        <v>82.34</v>
      </c>
      <c r="V71"/>
      <c r="W71" s="61" t="n">
        <v>82.34</v>
      </c>
      <c r="X71"/>
      <c r="Y71" s="61" t="n">
        <v>82.34</v>
      </c>
      <c r="Z71"/>
      <c r="AA71" s="61" t="n">
        <v>82.34</v>
      </c>
      <c r="AB71"/>
      <c r="AC71" s="61" t="n">
        <v>82.34</v>
      </c>
      <c r="AD71"/>
      <c r="AE71" s="61" t="n">
        <v>82.34</v>
      </c>
      <c r="AF71"/>
      <c r="AG71" s="61"/>
      <c r="AH71"/>
      <c r="AI71" s="61" t="n">
        <v>82.34</v>
      </c>
      <c r="AJ71"/>
    </row>
    <row r="72" spans="1:35" x14ac:dyDescent="0.3">
      <c r="B72" t="s">
        <v>171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61" t="n">
        <v>75.8</v>
      </c>
      <c r="X72"/>
      <c r="Y72" s="61" t="n">
        <v>75.8</v>
      </c>
      <c r="Z72"/>
      <c r="AA72"/>
      <c r="AB72"/>
      <c r="AC72"/>
      <c r="AD72"/>
      <c r="AE72"/>
      <c r="AF72"/>
      <c r="AG72"/>
      <c r="AH72"/>
      <c r="AI72" t="n">
        <v>0.0</v>
      </c>
      <c r="AJ72"/>
    </row>
    <row r="73" spans="1:35" x14ac:dyDescent="0.3">
      <c r="B73" t="s">
        <v>172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61" t="n">
        <v>130.68</v>
      </c>
      <c r="R73"/>
      <c r="S73" s="61" t="n">
        <v>692.64</v>
      </c>
      <c r="T73"/>
      <c r="U73" s="61" t="n">
        <v>692.64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 t="n">
        <v>0.0</v>
      </c>
      <c r="AJ73"/>
    </row>
    <row r="74" spans="1:35" x14ac:dyDescent="0.3">
      <c r="B74" t="s">
        <v>31</v>
      </c>
      <c r="C74"/>
      <c r="D74"/>
      <c r="E74" s="61" t="n">
        <v>28.75</v>
      </c>
      <c r="F74"/>
      <c r="G74" s="61" t="n">
        <v>0.0</v>
      </c>
      <c r="H74"/>
      <c r="I74" s="61" t="n">
        <v>0.0</v>
      </c>
      <c r="J74"/>
      <c r="K74" s="61" t="n">
        <v>0.0</v>
      </c>
      <c r="L74"/>
      <c r="M74" s="61" t="n">
        <v>0.0</v>
      </c>
      <c r="N74"/>
      <c r="O74" s="61" t="n">
        <v>0.0</v>
      </c>
      <c r="P74"/>
      <c r="Q74" s="61" t="n">
        <v>0.0</v>
      </c>
      <c r="R74"/>
      <c r="S74" s="61" t="n">
        <v>0.0</v>
      </c>
      <c r="T74"/>
      <c r="U74" s="61" t="n">
        <v>0.0</v>
      </c>
      <c r="V74"/>
      <c r="W74" s="61" t="n">
        <v>0.0</v>
      </c>
      <c r="X74"/>
      <c r="Y74" s="61" t="n">
        <v>0.0</v>
      </c>
      <c r="Z74"/>
      <c r="AA74" s="61" t="n">
        <v>0.0</v>
      </c>
      <c r="AB74"/>
      <c r="AC74" s="61" t="n">
        <v>0.0</v>
      </c>
      <c r="AD74"/>
      <c r="AE74" s="61" t="n">
        <v>0.0</v>
      </c>
      <c r="AF74"/>
      <c r="AG74" s="61" t="n">
        <v>0.0</v>
      </c>
      <c r="AH74"/>
      <c r="AI74" s="61" t="n">
        <v>0.0</v>
      </c>
      <c r="AJ74"/>
    </row>
    <row r="75" spans="1:35" x14ac:dyDescent="0.3">
      <c r="B75" t="s">
        <v>32</v>
      </c>
      <c r="C75"/>
      <c r="D75"/>
      <c r="E75" t="n">
        <f>SUM(E67:E74)</f>
        <v>898.24</v>
      </c>
      <c r="F75"/>
      <c r="G75" t="n">
        <f>SUM(G67:G74)</f>
        <v>869.49</v>
      </c>
      <c r="H75"/>
      <c r="I75" t="n">
        <f ref="I75:K75" si="132" t="shared">SUM(I67:I74)</f>
        <v>869.49</v>
      </c>
      <c r="J75"/>
      <c r="K75" t="n">
        <f si="132" t="shared"/>
        <v>869.49</v>
      </c>
      <c r="L75"/>
      <c r="M75" t="n">
        <f ref="M75" si="133" t="shared">SUM(M67:M74)</f>
        <v>869.49</v>
      </c>
      <c r="N75"/>
      <c r="O75" t="n">
        <f ref="O75" si="134" t="shared">SUM(O67:O74)</f>
        <v>737.9</v>
      </c>
      <c r="P75"/>
      <c r="Q75" t="n">
        <f ref="Q75" si="135" t="shared">SUM(Q67:Q74)</f>
        <v>1000.17</v>
      </c>
      <c r="R75"/>
      <c r="S75" t="n">
        <f ref="S75:U75" si="136" t="shared">SUM(S67:S74)</f>
        <v>1562.13</v>
      </c>
      <c r="T75"/>
      <c r="U75" t="n">
        <f si="136" t="shared"/>
        <v>1562.13</v>
      </c>
      <c r="V75"/>
      <c r="W75" t="n">
        <f ref="W75" si="137" t="shared">SUM(W67:W74)</f>
        <v>945.29</v>
      </c>
      <c r="X75"/>
      <c r="Y75" t="n">
        <f ref="Y75" si="138" t="shared">SUM(Y67:Y74)</f>
        <v>813.7</v>
      </c>
      <c r="Z75"/>
      <c r="AA75" t="n">
        <f ref="AA75:AC75" si="139" t="shared">SUM(AA67:AA74)</f>
        <v>869.49</v>
      </c>
      <c r="AB75"/>
      <c r="AC75" t="n">
        <f si="139" t="shared"/>
        <v>869.49</v>
      </c>
      <c r="AD75"/>
      <c r="AE75" t="n">
        <f>SUM(AE67:AE74)</f>
        <v>592.08</v>
      </c>
      <c r="AF75"/>
      <c r="AG75" t="n">
        <f ref="AG75" si="140" t="shared">SUM(AG67:AG74)</f>
        <v>509.74</v>
      </c>
      <c r="AH75"/>
      <c r="AI75" t="n">
        <f>SUM(AI67:AI74)</f>
        <v>869.49</v>
      </c>
      <c r="AJ75"/>
    </row>
    <row r="76" spans="1:35" x14ac:dyDescent="0.3">
      <c r="B76" s="38" t="s">
        <v>33</v>
      </c>
      <c r="C76" s="38"/>
      <c r="D76"/>
      <c r="E76" t="n">
        <f>E66+E75</f>
        <v>7438.2</v>
      </c>
      <c r="F76"/>
      <c r="G76" t="n">
        <f>G66+G75</f>
        <v>7409.45</v>
      </c>
      <c r="H76"/>
      <c r="I76" t="n">
        <f ref="I76:K76" si="141" t="shared">I66+I75</f>
        <v>7100.84</v>
      </c>
      <c r="J76"/>
      <c r="K76" t="n">
        <f si="141" t="shared"/>
        <v>7100.84</v>
      </c>
      <c r="L76"/>
      <c r="M76" t="n">
        <f ref="M76" si="142" t="shared">M66+M75</f>
        <v>6918.52</v>
      </c>
      <c r="N76"/>
      <c r="O76" t="n">
        <f ref="O76" si="143" t="shared">O66+O75</f>
        <v>4927.02</v>
      </c>
      <c r="P76"/>
      <c r="Q76" t="n">
        <f ref="Q76" si="144" t="shared">Q66+Q75</f>
        <v>8650.8</v>
      </c>
      <c r="R76"/>
      <c r="S76" t="n">
        <f ref="S76:U76" si="145" t="shared">S66+S75</f>
        <v>9581.24</v>
      </c>
      <c r="T76"/>
      <c r="U76" t="n">
        <f si="145" t="shared"/>
        <v>9581.24</v>
      </c>
      <c r="V76"/>
      <c r="W76" t="n">
        <f ref="W76" si="146" t="shared">W66+W75</f>
        <v>8705.12</v>
      </c>
      <c r="X76"/>
      <c r="Y76" t="n">
        <f ref="Y76" si="147" t="shared">Y66+Y75</f>
        <v>5749.84</v>
      </c>
      <c r="Z76"/>
      <c r="AA76" t="n">
        <f ref="AA76:AC76" si="148" t="shared">AA66+AA75</f>
        <v>7070.71</v>
      </c>
      <c r="AB76"/>
      <c r="AC76" t="n">
        <f si="148" t="shared"/>
        <v>7070.71</v>
      </c>
      <c r="AD76"/>
      <c r="AE76" t="n">
        <f ref="AE76" si="149" t="shared">AE66+AE75</f>
        <v>4244.46</v>
      </c>
      <c r="AF76"/>
      <c r="AG76" t="n">
        <f ref="AG76" si="150" t="shared">AG66+AG75</f>
        <v>3162.12</v>
      </c>
      <c r="AH76"/>
      <c r="AI76" t="n">
        <f>AI66+AI75</f>
        <v>7409.45</v>
      </c>
      <c r="AJ76"/>
    </row>
    <row r="77" spans="1:35" x14ac:dyDescent="0.3">
      <c r="B77" t="s">
        <v>34</v>
      </c>
      <c r="C77"/>
      <c r="D77" s="50"/>
      <c r="E77" s="61" t="n">
        <v>1.6877</v>
      </c>
      <c r="F77" s="50"/>
      <c r="G77" s="61" t="n">
        <v>1.6877</v>
      </c>
      <c r="H77" s="50"/>
      <c r="I77" s="61" t="n">
        <v>1.6877</v>
      </c>
      <c r="J77" s="50"/>
      <c r="K77" s="61" t="n">
        <v>1.6877</v>
      </c>
      <c r="L77" s="50"/>
      <c r="M77" s="61" t="n">
        <v>1.6877</v>
      </c>
      <c r="N77" s="50"/>
      <c r="O77" s="61" t="n">
        <v>1.6877</v>
      </c>
      <c r="P77" s="50"/>
      <c r="Q77" s="62" t="n">
        <v>1.6877</v>
      </c>
      <c r="R77" s="50"/>
      <c r="S77" s="61" t="n">
        <v>1.6877</v>
      </c>
      <c r="T77" s="50"/>
      <c r="U77" s="61" t="n">
        <v>1.6877</v>
      </c>
      <c r="V77" s="50"/>
      <c r="W77" s="61" t="n">
        <v>1.6877</v>
      </c>
      <c r="X77" s="50"/>
      <c r="Y77" s="61" t="n">
        <v>1.6877</v>
      </c>
      <c r="Z77" s="50"/>
      <c r="AA77" s="61" t="n">
        <v>1.6877</v>
      </c>
      <c r="AB77" s="50"/>
      <c r="AC77" s="61" t="n">
        <v>1.6877</v>
      </c>
      <c r="AD77" s="50"/>
      <c r="AE77" s="61" t="n">
        <v>1.6877</v>
      </c>
      <c r="AF77" s="50"/>
      <c r="AG77" s="61" t="n">
        <v>1.6877</v>
      </c>
      <c r="AH77" s="50"/>
      <c r="AI77" s="61" t="n">
        <v>1.6877</v>
      </c>
      <c r="AJ77"/>
    </row>
    <row r="78" spans="1:35" x14ac:dyDescent="0.3">
      <c r="B78" t="s">
        <v>35</v>
      </c>
      <c r="C78"/>
      <c r="D78" s="61" t="n">
        <v>6.73</v>
      </c>
      <c r="E78" t="n">
        <f>ROUND(E77*D78/100,4)</f>
        <v>0.11</v>
      </c>
      <c r="F78" s="61" t="n">
        <v>6.73</v>
      </c>
      <c r="G78" t="n">
        <f>ROUND(G77*F78/100,4)</f>
        <v>0.11</v>
      </c>
      <c r="H78" s="61" t="n">
        <v>6.73</v>
      </c>
      <c r="I78" t="n">
        <f>ROUND(I77*H78/100,4)</f>
        <v>0.11</v>
      </c>
      <c r="J78" s="61" t="n">
        <v>6.73</v>
      </c>
      <c r="K78" t="n">
        <f>ROUND(K77*J78/100,4)</f>
        <v>0.11</v>
      </c>
      <c r="L78" s="61" t="n">
        <v>6.73</v>
      </c>
      <c r="M78" t="n">
        <f>ROUND(M77*L78/100,4)</f>
        <v>0.11</v>
      </c>
      <c r="N78" s="61" t="n">
        <v>6.73</v>
      </c>
      <c r="O78" t="n">
        <f>ROUND(O77*N78/100,4)</f>
        <v>0.11</v>
      </c>
      <c r="P78" s="61" t="n">
        <v>6.73</v>
      </c>
      <c r="Q78" t="n">
        <f>ROUND(Q77*P78/100,4)</f>
        <v>0.11</v>
      </c>
      <c r="R78" s="61" t="n">
        <v>6.73</v>
      </c>
      <c r="S78" t="n">
        <f>ROUND(S77*R78/100,4)</f>
        <v>0.11</v>
      </c>
      <c r="T78" s="61" t="n">
        <v>6.73</v>
      </c>
      <c r="U78" t="n">
        <f>ROUND(U77*T78/100,4)</f>
        <v>0.11</v>
      </c>
      <c r="V78" s="61" t="n">
        <v>6.73</v>
      </c>
      <c r="W78" t="n">
        <f>ROUND(W77*V78/100,4)</f>
        <v>0.11</v>
      </c>
      <c r="X78" s="61" t="n">
        <v>6.73</v>
      </c>
      <c r="Y78" t="n">
        <f>ROUND(Y77*X78/100,4)</f>
        <v>0.11</v>
      </c>
      <c r="Z78" s="61" t="n">
        <v>6.73</v>
      </c>
      <c r="AA78" t="n">
        <f>ROUND(AA77*Z78/100,4)</f>
        <v>0.11</v>
      </c>
      <c r="AB78" s="61" t="n">
        <v>6.73</v>
      </c>
      <c r="AC78" t="n">
        <f>ROUND(AC77*AB78/100,4)</f>
        <v>0.11</v>
      </c>
      <c r="AD78" s="66" t="n">
        <v>3.83</v>
      </c>
      <c r="AE78" t="n">
        <f>ROUND(AE77*AD78/100,4)</f>
        <v>0.06</v>
      </c>
      <c r="AF78" s="66" t="n">
        <v>3.83</v>
      </c>
      <c r="AG78" t="n">
        <f>ROUND(AG77*AF78/100,4)</f>
        <v>0.06</v>
      </c>
      <c r="AH78" s="61" t="n">
        <v>6.73</v>
      </c>
      <c r="AI78" t="n">
        <f>ROUND(AI77*AH78/100,4)</f>
        <v>0.11</v>
      </c>
      <c r="AJ78"/>
    </row>
    <row r="79" spans="1:35" x14ac:dyDescent="0.3">
      <c r="B79" t="s">
        <v>173</v>
      </c>
      <c r="C79"/>
      <c r="D79" s="61" t="n">
        <v>21.0</v>
      </c>
      <c r="E79" s="53" t="n">
        <f>ROUND((D79/100)*(E77-E78)/(1+D79/100),2)</f>
        <v>0.27</v>
      </c>
      <c r="F79" s="61" t="n">
        <v>21.0</v>
      </c>
      <c r="G79" s="53" t="n">
        <f ref="G79" si="151" t="shared">ROUND((F79/100)*(G77-G78)/(1+F79/100),2)</f>
        <v>0.27</v>
      </c>
      <c r="H79" s="61" t="n">
        <v>21.0</v>
      </c>
      <c r="I79" s="53" t="n">
        <f ref="I79" si="152" t="shared">ROUND((H79/100)*(I77-I78)/(1+H79/100),2)</f>
        <v>0.27</v>
      </c>
      <c r="J79" s="61" t="n">
        <v>21.0</v>
      </c>
      <c r="K79" s="53" t="n">
        <f ref="K79" si="153" t="shared">ROUND((J79/100)*(K77-K78)/(1+J79/100),2)</f>
        <v>0.27</v>
      </c>
      <c r="L79" s="61" t="n">
        <v>21.0</v>
      </c>
      <c r="M79" s="53" t="n">
        <f ref="M79" si="154" t="shared">ROUND((L79/100)*(M77-M78)/(1+L79/100),2)</f>
        <v>0.27</v>
      </c>
      <c r="N79" s="61" t="n">
        <v>21.0</v>
      </c>
      <c r="O79" s="53" t="n">
        <f ref="O79" si="155" t="shared">ROUND((N79/100)*(O77-O78)/(1+N79/100),2)</f>
        <v>0.27</v>
      </c>
      <c r="P79" s="61" t="n">
        <v>21.0</v>
      </c>
      <c r="Q79" s="53" t="n">
        <f ref="Q79" si="156" t="shared">ROUND((P79/100)*(Q77-Q78)/(1+P79/100),2)</f>
        <v>0.27</v>
      </c>
      <c r="R79" s="61" t="n">
        <v>21.0</v>
      </c>
      <c r="S79" s="53" t="n">
        <f ref="S79" si="157" t="shared">ROUND((R79/100)*(S77-S78)/(1+R79/100),2)</f>
        <v>0.27</v>
      </c>
      <c r="T79" s="61" t="n">
        <v>21.0</v>
      </c>
      <c r="U79" s="53" t="n">
        <f ref="U79" si="158" t="shared">ROUND((T79/100)*(U77-U78)/(1+T79/100),2)</f>
        <v>0.27</v>
      </c>
      <c r="V79" s="61" t="n">
        <v>21.0</v>
      </c>
      <c r="W79" s="53" t="n">
        <f ref="W79" si="159" t="shared">ROUND((V79/100)*(W77-W78)/(1+V79/100),2)</f>
        <v>0.27</v>
      </c>
      <c r="X79" s="61" t="n">
        <v>21.0</v>
      </c>
      <c r="Y79" s="53" t="n">
        <f ref="Y79" si="160" t="shared">ROUND((X79/100)*(Y77-Y78)/(1+X79/100),2)</f>
        <v>0.27</v>
      </c>
      <c r="Z79" s="61" t="n">
        <v>21.0</v>
      </c>
      <c r="AA79" s="53" t="n">
        <f ref="AA79" si="161" t="shared">ROUND((Z79/100)*(AA77-AA78)/(1+Z79/100),2)</f>
        <v>0.27</v>
      </c>
      <c r="AB79" s="61" t="n">
        <v>21.0</v>
      </c>
      <c r="AC79" s="53" t="n">
        <f ref="AC79" si="162" t="shared">ROUND((AB79/100)*(AC77-AC78)/(1+AB79/100),2)</f>
        <v>0.27</v>
      </c>
      <c r="AD79" s="61" t="n">
        <v>21.0</v>
      </c>
      <c r="AE79" s="53" t="n">
        <f ref="AE79" si="163" t="shared">ROUND((AD79/100)*(AE77-AE78)/(1+AD79/100),2)</f>
        <v>0.28</v>
      </c>
      <c r="AF79" s="61" t="n">
        <v>21.0</v>
      </c>
      <c r="AG79" s="53" t="n">
        <f ref="AG79" si="164" t="shared">ROUND((AF79/100)*(AG77-AG78)/(1+AF79/100),2)</f>
        <v>0.28</v>
      </c>
      <c r="AH79" s="61" t="n">
        <v>21.0</v>
      </c>
      <c r="AI79" s="53" t="n">
        <f ref="AI79" si="165" t="shared">ROUND((AH79/100)*(AI77-AI78)/(1+AH79/100),2)</f>
        <v>0.27</v>
      </c>
      <c r="AJ79"/>
    </row>
    <row r="80" spans="1:35" x14ac:dyDescent="0.3">
      <c r="B80" t="s">
        <v>37</v>
      </c>
      <c r="C80"/>
      <c r="D80"/>
      <c r="E80" s="73" t="n">
        <f>ROUND((E77-E78)/(1+D79/100),2)</f>
        <v>1.3</v>
      </c>
      <c r="F80"/>
      <c r="G80" t="n">
        <f ref="G80" si="166" t="shared">ROUND((G77-G78)/(1+F79/100),2)</f>
        <v>1.3</v>
      </c>
      <c r="H80"/>
      <c r="I80" t="n">
        <f ref="I80" si="167" t="shared">ROUND((I77-I78)/(1+H79/100),2)</f>
        <v>1.3</v>
      </c>
      <c r="J80"/>
      <c r="K80" t="n">
        <f ref="K80" si="168" t="shared">ROUND((K77-K78)/(1+J79/100),2)</f>
        <v>1.3</v>
      </c>
      <c r="L80"/>
      <c r="M80" t="n">
        <f ref="M80" si="169" t="shared">ROUND((M77-M78)/(1+L79/100),2)</f>
        <v>1.3</v>
      </c>
      <c r="N80"/>
      <c r="O80" t="n">
        <f ref="O80" si="170" t="shared">ROUND((O77-O78)/(1+N79/100),2)</f>
        <v>1.3</v>
      </c>
      <c r="P80"/>
      <c r="Q80" t="n">
        <f ref="Q80" si="171" t="shared">ROUND((Q77-Q78)/(1+P79/100),2)</f>
        <v>1.3</v>
      </c>
      <c r="R80"/>
      <c r="S80" t="n">
        <f ref="S80" si="172" t="shared">ROUND((S77-S78)/(1+R79/100),2)</f>
        <v>1.3</v>
      </c>
      <c r="T80"/>
      <c r="U80" t="n">
        <f ref="U80" si="173" t="shared">ROUND((U77-U78)/(1+T79/100),2)</f>
        <v>1.3</v>
      </c>
      <c r="V80"/>
      <c r="W80" t="n">
        <f ref="W80" si="174" t="shared">ROUND((W77-W78)/(1+V79/100),2)</f>
        <v>1.3</v>
      </c>
      <c r="X80"/>
      <c r="Y80" t="n">
        <f ref="Y80" si="175" t="shared">ROUND((Y77-Y78)/(1+X79/100),2)</f>
        <v>1.3</v>
      </c>
      <c r="Z80"/>
      <c r="AA80" t="n">
        <f ref="AA80" si="176" t="shared">ROUND((AA77-AA78)/(1+Z79/100),2)</f>
        <v>1.3</v>
      </c>
      <c r="AB80"/>
      <c r="AC80" t="n">
        <f ref="AC80" si="177" t="shared">ROUND((AC77-AC78)/(1+AB79/100),2)</f>
        <v>1.3</v>
      </c>
      <c r="AD80"/>
      <c r="AE80" t="n">
        <f ref="AE80" si="178" t="shared">ROUND((AE77-AE78)/(1+AD79/100),2)</f>
        <v>1.35</v>
      </c>
      <c r="AF80"/>
      <c r="AG80" t="n">
        <f ref="AG80" si="179" t="shared">ROUND((AG77-AG78)/(1+AF79/100),2)</f>
        <v>1.35</v>
      </c>
      <c r="AH80"/>
      <c r="AI80" t="n">
        <f ref="AI80" si="180" t="shared">ROUND((AI77-AI78)/(1+AH79/100),2)</f>
        <v>1.3</v>
      </c>
      <c r="AJ80"/>
    </row>
    <row r="81" spans="2:35" x14ac:dyDescent="0.3">
      <c r="B81" t="s">
        <v>174</v>
      </c>
      <c r="C81"/>
      <c r="D81"/>
      <c r="E81" t="n">
        <f>ROUND(E9/100*E12*E80,0)</f>
        <v>68250.0</v>
      </c>
      <c r="F81"/>
      <c r="G81" t="n">
        <f ref="G81" si="181" t="shared">ROUND(G9/100*G12*G80,0)</f>
        <v>54600.0</v>
      </c>
      <c r="H81"/>
      <c r="I81" t="n">
        <f ref="I81" si="182" t="shared">ROUND(I9/100*I12*I80,0)</f>
        <v>45500.0</v>
      </c>
      <c r="J81"/>
      <c r="K81" t="n">
        <f ref="K81" si="183" t="shared">ROUND(K9/100*K12*K80,0)</f>
        <v>45500.0</v>
      </c>
      <c r="L81"/>
      <c r="M81" t="n">
        <f ref="M81" si="184" t="shared">ROUND(M9/100*M12*M80,0)</f>
        <v>30030.0</v>
      </c>
      <c r="N81"/>
      <c r="O81" t="n">
        <f ref="O81" si="185" t="shared">ROUND(O9/100*O12*O80,0)</f>
        <v>29250.0</v>
      </c>
      <c r="P81"/>
      <c r="Q81" t="n">
        <f ref="Q81" si="186" t="shared">ROUND(Q9/100*Q12*Q80,0)</f>
        <v>47093.0</v>
      </c>
      <c r="R81"/>
      <c r="S81" t="n">
        <f ref="S81" si="187" t="shared">ROUND(S9/100*S12*S80,0)</f>
        <v>44850.0</v>
      </c>
      <c r="T81"/>
      <c r="U81" t="n">
        <f ref="U81" si="188" t="shared">ROUND(U9/100*U12*U80,0)</f>
        <v>44850.0</v>
      </c>
      <c r="V81"/>
      <c r="W81" t="n">
        <f ref="W81" si="189" t="shared">ROUND(W9/100*W12*W80,0)</f>
        <v>54600.0</v>
      </c>
      <c r="X81"/>
      <c r="Y81" t="n">
        <f ref="Y81" si="190" t="shared">ROUND(Y9/100*Y12*Y80,0)</f>
        <v>22750.0</v>
      </c>
      <c r="Z81"/>
      <c r="AA81" t="n">
        <f ref="AA81" si="191" t="shared">ROUND(AA9/100*AA12*AA80,0)</f>
        <v>54600.0</v>
      </c>
      <c r="AB81"/>
      <c r="AC81" t="n">
        <f ref="AC81" si="192" t="shared">ROUND(AC9/100*AC12*AC80,0)</f>
        <v>54600.0</v>
      </c>
      <c r="AD81"/>
      <c r="AE81" t="n">
        <f ref="AE81" si="193" t="shared">ROUND(AE9/100*AE12*AE80,0)</f>
        <v>7763.0</v>
      </c>
      <c r="AF81"/>
      <c r="AG81" t="n">
        <f ref="AG81" si="194" t="shared">ROUND(AG9/100*AG12*AG80,0)</f>
        <v>7763.0</v>
      </c>
      <c r="AH81"/>
      <c r="AI81" t="n">
        <f ref="AI81" si="195" t="shared">ROUND(AI9/100*AI12*AI80,0)</f>
        <v>54600.0</v>
      </c>
      <c r="AJ81"/>
    </row>
    <row r="82" spans="2:35" x14ac:dyDescent="0.3">
      <c r="B82" t="s">
        <v>175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61" t="n">
        <v>1.2584</v>
      </c>
      <c r="X82"/>
      <c r="Y82" s="61" t="n">
        <v>1.2584</v>
      </c>
      <c r="Z82"/>
      <c r="AA82"/>
      <c r="AB82"/>
      <c r="AC82"/>
      <c r="AD82"/>
      <c r="AE82"/>
      <c r="AF82"/>
      <c r="AG82"/>
      <c r="AH82"/>
      <c r="AI82" t="n">
        <v>0.0</v>
      </c>
      <c r="AJ82"/>
    </row>
    <row r="83" spans="2:35" x14ac:dyDescent="0.3">
      <c r="B83" t="s">
        <v>176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 t="n">
        <v>0.0</v>
      </c>
      <c r="W83" s="61" t="n">
        <v>0.0</v>
      </c>
      <c r="X83" t="n">
        <v>0.0</v>
      </c>
      <c r="Y83" s="61" t="n">
        <v>0.0</v>
      </c>
      <c r="Z83"/>
      <c r="AA83"/>
      <c r="AB83"/>
      <c r="AC83"/>
      <c r="AD83"/>
      <c r="AE83"/>
      <c r="AF83"/>
      <c r="AG83"/>
      <c r="AH83" t="n">
        <v>0.0</v>
      </c>
      <c r="AI83" t="n">
        <v>0.0</v>
      </c>
      <c r="AJ83"/>
    </row>
    <row r="84" spans="2:35" x14ac:dyDescent="0.3">
      <c r="B84" t="s">
        <v>177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61" t="n">
        <v>21.0</v>
      </c>
      <c r="X84"/>
      <c r="Y84" s="61" t="n">
        <v>21.0</v>
      </c>
      <c r="Z84"/>
      <c r="AA84"/>
      <c r="AB84"/>
      <c r="AC84"/>
      <c r="AD84"/>
      <c r="AE84"/>
      <c r="AF84"/>
      <c r="AG84"/>
      <c r="AH84"/>
      <c r="AI84" t="n">
        <v>21.0</v>
      </c>
      <c r="AJ84"/>
    </row>
    <row r="85" spans="2:35" x14ac:dyDescent="0.3">
      <c r="B85" t="s">
        <v>36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t="n">
        <f>(W84/100)*(W82-W83)/(1+W84/100)</f>
        <v>0.22</v>
      </c>
      <c r="X85"/>
      <c r="Y85" s="67" t="n">
        <f>(Y84/100)*(Y82-Y83)/(1+Y84/100)</f>
        <v>0.22</v>
      </c>
      <c r="Z85"/>
      <c r="AA85"/>
      <c r="AB85"/>
      <c r="AC85"/>
      <c r="AD85"/>
      <c r="AE85"/>
      <c r="AF85"/>
      <c r="AG85"/>
      <c r="AH85"/>
      <c r="AI85" t="n">
        <v>0.0</v>
      </c>
      <c r="AJ85"/>
    </row>
    <row r="86" spans="2:35" x14ac:dyDescent="0.3">
      <c r="B86" t="s">
        <v>37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t="n">
        <f>(W82-W83)/(1+W84/100)</f>
        <v>1.04</v>
      </c>
      <c r="X86"/>
      <c r="Y86" s="67" t="n">
        <f>(Y82-Y83)/(1+Y84/100)</f>
        <v>1.04</v>
      </c>
      <c r="Z86"/>
      <c r="AA86"/>
      <c r="AB86"/>
      <c r="AC86"/>
      <c r="AD86"/>
      <c r="AE86"/>
      <c r="AF86"/>
      <c r="AG86"/>
      <c r="AH86"/>
      <c r="AI86" t="n">
        <v>0.0</v>
      </c>
      <c r="AJ86"/>
    </row>
    <row r="87" spans="2:35" x14ac:dyDescent="0.3">
      <c r="B87" t="s">
        <v>178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61" t="n">
        <v>4.0</v>
      </c>
      <c r="X87"/>
      <c r="Y87" s="61" t="n">
        <v>3.0</v>
      </c>
      <c r="Z87"/>
      <c r="AA87"/>
      <c r="AB87"/>
      <c r="AC87"/>
      <c r="AD87"/>
      <c r="AE87"/>
      <c r="AF87"/>
      <c r="AG87"/>
      <c r="AH87"/>
      <c r="AI87" t="n">
        <v>0.0</v>
      </c>
      <c r="AJ87"/>
    </row>
    <row r="88" spans="2:35" x14ac:dyDescent="0.3">
      <c r="B88" t="s">
        <v>179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61" t="n">
        <v>2000.0</v>
      </c>
      <c r="X88"/>
      <c r="Y88" s="61" t="n">
        <v>2000.0</v>
      </c>
      <c r="Z88"/>
      <c r="AA88"/>
      <c r="AB88"/>
      <c r="AC88"/>
      <c r="AD88"/>
      <c r="AE88"/>
      <c r="AF88"/>
      <c r="AG88"/>
      <c r="AH88"/>
      <c r="AI88" t="n">
        <v>0.0</v>
      </c>
      <c r="AJ88"/>
    </row>
    <row r="89" spans="2:35" x14ac:dyDescent="0.3">
      <c r="B89" t="s">
        <v>180</v>
      </c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t="n">
        <f>W86*W87*W88</f>
        <v>8320.0</v>
      </c>
      <c r="X89"/>
      <c r="Y89" t="n">
        <f>Y86*Y87*Y88</f>
        <v>6240.0</v>
      </c>
      <c r="Z89"/>
      <c r="AA89"/>
      <c r="AB89"/>
      <c r="AC89"/>
      <c r="AD89"/>
      <c r="AE89"/>
      <c r="AF89"/>
      <c r="AG89"/>
      <c r="AH89"/>
      <c r="AI89" t="n">
        <v>0.0</v>
      </c>
      <c r="AJ89"/>
    </row>
    <row r="90" spans="2:35" x14ac:dyDescent="0.3">
      <c r="B90" t="s">
        <v>38</v>
      </c>
      <c r="C90"/>
      <c r="D90"/>
      <c r="E90" s="61" t="n">
        <v>2.0</v>
      </c>
      <c r="F90"/>
      <c r="G90" s="61" t="n">
        <v>2.0</v>
      </c>
      <c r="H90"/>
      <c r="I90" s="61" t="n">
        <v>2.0</v>
      </c>
      <c r="J90"/>
      <c r="K90" s="61" t="n">
        <v>2.0</v>
      </c>
      <c r="L90"/>
      <c r="M90" s="61" t="n">
        <v>2.0</v>
      </c>
      <c r="N90"/>
      <c r="O90" s="61" t="n">
        <v>2.0</v>
      </c>
      <c r="P90"/>
      <c r="Q90" s="61" t="n">
        <v>2.0</v>
      </c>
      <c r="R90"/>
      <c r="S90" s="61" t="n">
        <v>2.0</v>
      </c>
      <c r="T90"/>
      <c r="U90" s="61" t="n">
        <v>2.0</v>
      </c>
      <c r="V90"/>
      <c r="W90" s="61" t="n">
        <v>2.0</v>
      </c>
      <c r="X90"/>
      <c r="Y90" s="61" t="n">
        <v>2.0</v>
      </c>
      <c r="Z90"/>
      <c r="AA90" s="61" t="n">
        <v>2.0</v>
      </c>
      <c r="AB90"/>
      <c r="AC90" s="61" t="n">
        <v>2.0</v>
      </c>
      <c r="AD90"/>
      <c r="AE90" s="61" t="n">
        <v>2.0</v>
      </c>
      <c r="AF90"/>
      <c r="AG90" s="61" t="n">
        <v>2.0</v>
      </c>
      <c r="AH90"/>
      <c r="AI90" s="61" t="n">
        <v>2.0</v>
      </c>
      <c r="AJ90"/>
    </row>
    <row r="91" spans="2:35" x14ac:dyDescent="0.3">
      <c r="B91" t="s">
        <v>39</v>
      </c>
      <c r="C91"/>
      <c r="D91"/>
      <c r="E91" s="61" t="n">
        <v>4.0</v>
      </c>
      <c r="F91"/>
      <c r="G91" s="61" t="n">
        <v>4.0</v>
      </c>
      <c r="H91"/>
      <c r="I91" s="61" t="n">
        <v>4.0</v>
      </c>
      <c r="J91"/>
      <c r="K91" s="61" t="n">
        <v>4.0</v>
      </c>
      <c r="L91"/>
      <c r="M91" s="61" t="n">
        <v>4.0</v>
      </c>
      <c r="N91"/>
      <c r="O91" s="61" t="n">
        <v>4.0</v>
      </c>
      <c r="P91"/>
      <c r="Q91" s="61" t="n">
        <v>4.0</v>
      </c>
      <c r="R91"/>
      <c r="S91" s="61" t="n">
        <v>4.0</v>
      </c>
      <c r="T91"/>
      <c r="U91" s="61" t="n">
        <v>4.0</v>
      </c>
      <c r="V91"/>
      <c r="W91" s="61" t="n">
        <v>4.0</v>
      </c>
      <c r="X91"/>
      <c r="Y91" s="61" t="n">
        <v>4.0</v>
      </c>
      <c r="Z91"/>
      <c r="AA91" s="61" t="n">
        <v>4.0</v>
      </c>
      <c r="AB91"/>
      <c r="AC91" s="61" t="n">
        <v>4.0</v>
      </c>
      <c r="AD91"/>
      <c r="AE91" s="61" t="n">
        <v>2.0</v>
      </c>
      <c r="AF91"/>
      <c r="AG91" s="61" t="n">
        <v>2.0</v>
      </c>
      <c r="AH91"/>
      <c r="AI91" s="61" t="n">
        <v>4.0</v>
      </c>
      <c r="AJ91"/>
    </row>
    <row r="92" spans="2:35" x14ac:dyDescent="0.3">
      <c r="B92" t="s">
        <v>40</v>
      </c>
      <c r="C92"/>
      <c r="D92"/>
      <c r="E92" s="61"/>
      <c r="F92"/>
      <c r="G92" s="61"/>
      <c r="H92"/>
      <c r="I92" s="61" t="n">
        <v>2.0</v>
      </c>
      <c r="J92"/>
      <c r="K92" s="61" t="n">
        <v>2.0</v>
      </c>
      <c r="L92"/>
      <c r="M92" s="61"/>
      <c r="N92"/>
      <c r="O92" s="61"/>
      <c r="P92"/>
      <c r="Q92" s="61"/>
      <c r="R92"/>
      <c r="S92" s="61"/>
      <c r="T92"/>
      <c r="U92" s="61"/>
      <c r="V92"/>
      <c r="W92" s="61"/>
      <c r="X92"/>
      <c r="Y92" s="61"/>
      <c r="Z92"/>
      <c r="AA92" s="61"/>
      <c r="AB92"/>
      <c r="AC92" s="61"/>
      <c r="AD92"/>
      <c r="AE92" s="61"/>
      <c r="AF92"/>
      <c r="AG92" s="61"/>
      <c r="AH92"/>
      <c r="AI92" s="61" t="n">
        <v>0.0</v>
      </c>
      <c r="AJ92"/>
    </row>
    <row r="93" spans="2:35" x14ac:dyDescent="0.3">
      <c r="B93" t="s">
        <v>181</v>
      </c>
      <c r="C93"/>
      <c r="D93"/>
      <c r="E93" s="61" t="n">
        <v>6.0</v>
      </c>
      <c r="F93"/>
      <c r="G93" s="61" t="n">
        <v>6.0</v>
      </c>
      <c r="H93"/>
      <c r="I93" s="61" t="n">
        <v>6.0</v>
      </c>
      <c r="J93"/>
      <c r="K93" s="61" t="n">
        <v>6.0</v>
      </c>
      <c r="L93"/>
      <c r="M93" s="61" t="n">
        <v>8.0</v>
      </c>
      <c r="N93"/>
      <c r="O93" s="61"/>
      <c r="P93"/>
      <c r="Q93" s="61" t="n">
        <v>6.0</v>
      </c>
      <c r="R93"/>
      <c r="S93" s="61" t="n">
        <v>6.0</v>
      </c>
      <c r="T93"/>
      <c r="U93" s="61" t="n">
        <v>6.0</v>
      </c>
      <c r="V93"/>
      <c r="W93" s="61" t="n">
        <v>6.0</v>
      </c>
      <c r="X93"/>
      <c r="Y93" s="61"/>
      <c r="Z93"/>
      <c r="AA93" s="61" t="n">
        <v>6.0</v>
      </c>
      <c r="AB93"/>
      <c r="AC93" s="61" t="n">
        <v>6.0</v>
      </c>
      <c r="AD93"/>
      <c r="AE93" s="61"/>
      <c r="AF93"/>
      <c r="AG93" s="61"/>
      <c r="AH93"/>
      <c r="AI93" s="61" t="n">
        <v>6.0</v>
      </c>
      <c r="AJ93"/>
    </row>
    <row r="94" spans="2:35" x14ac:dyDescent="0.3">
      <c r="B94" t="s">
        <v>41</v>
      </c>
      <c r="C94"/>
      <c r="D94"/>
      <c r="E94" s="61" t="n">
        <v>676.14</v>
      </c>
      <c r="F94"/>
      <c r="G94" s="61" t="n">
        <v>676.14</v>
      </c>
      <c r="H94"/>
      <c r="I94" s="61" t="n">
        <v>676.14</v>
      </c>
      <c r="J94"/>
      <c r="K94" s="61" t="n">
        <v>676.14</v>
      </c>
      <c r="L94"/>
      <c r="M94" s="61" t="n">
        <v>676.14</v>
      </c>
      <c r="N94"/>
      <c r="O94" s="61" t="n">
        <v>716.91</v>
      </c>
      <c r="P94"/>
      <c r="Q94" s="61" t="n">
        <v>676.14</v>
      </c>
      <c r="R94"/>
      <c r="S94" s="61" t="n">
        <v>676.14</v>
      </c>
      <c r="T94"/>
      <c r="U94" s="61" t="n">
        <v>676.14</v>
      </c>
      <c r="V94"/>
      <c r="W94" s="61" t="n">
        <v>676.14</v>
      </c>
      <c r="X94"/>
      <c r="Y94" s="61" t="n">
        <v>716.91</v>
      </c>
      <c r="Z94"/>
      <c r="AA94" s="61" t="n">
        <v>676.14</v>
      </c>
      <c r="AB94"/>
      <c r="AC94" s="61" t="n">
        <v>676.14</v>
      </c>
      <c r="AD94"/>
      <c r="AE94" s="61" t="n">
        <v>196.8</v>
      </c>
      <c r="AF94"/>
      <c r="AG94" s="61" t="n">
        <v>196.8</v>
      </c>
      <c r="AH94"/>
      <c r="AI94" s="61" t="n">
        <v>676.14</v>
      </c>
      <c r="AJ94"/>
    </row>
    <row r="95" spans="2:35" x14ac:dyDescent="0.3">
      <c r="B95" t="s">
        <v>42</v>
      </c>
      <c r="C95"/>
      <c r="D95"/>
      <c r="E95" s="61" t="n">
        <v>676.14</v>
      </c>
      <c r="F95"/>
      <c r="G95" s="61" t="n">
        <v>676.14</v>
      </c>
      <c r="H95"/>
      <c r="I95" s="61" t="n">
        <v>676.14</v>
      </c>
      <c r="J95"/>
      <c r="K95" s="61" t="n">
        <v>676.14</v>
      </c>
      <c r="L95"/>
      <c r="M95" s="61" t="n">
        <v>676.14</v>
      </c>
      <c r="N95"/>
      <c r="O95" s="61" t="n">
        <v>716.91</v>
      </c>
      <c r="P95"/>
      <c r="Q95" s="61" t="n">
        <v>676.14</v>
      </c>
      <c r="R95"/>
      <c r="S95" s="61" t="n">
        <v>676.14</v>
      </c>
      <c r="T95"/>
      <c r="U95" s="61" t="n">
        <v>676.14</v>
      </c>
      <c r="V95"/>
      <c r="W95" s="61" t="n">
        <v>676.14</v>
      </c>
      <c r="X95"/>
      <c r="Y95" s="61" t="n">
        <v>716.91</v>
      </c>
      <c r="Z95"/>
      <c r="AA95" s="61" t="n">
        <v>676.14</v>
      </c>
      <c r="AB95"/>
      <c r="AC95" s="61" t="n">
        <v>676.14</v>
      </c>
      <c r="AD95"/>
      <c r="AE95" s="61" t="n">
        <v>196.8</v>
      </c>
      <c r="AF95"/>
      <c r="AG95" s="61" t="n">
        <v>196.8</v>
      </c>
      <c r="AH95"/>
      <c r="AI95" s="61" t="n">
        <v>676.14</v>
      </c>
      <c r="AJ95"/>
    </row>
    <row r="96" spans="2:35" x14ac:dyDescent="0.3">
      <c r="B96" t="s">
        <v>43</v>
      </c>
      <c r="C96"/>
      <c r="D96"/>
      <c r="E96" s="61"/>
      <c r="F96"/>
      <c r="G96" s="61"/>
      <c r="H96"/>
      <c r="I96" s="61" t="n">
        <v>676.14</v>
      </c>
      <c r="J96"/>
      <c r="K96" s="61" t="n">
        <v>676.14</v>
      </c>
      <c r="L96"/>
      <c r="M96" s="61"/>
      <c r="N96"/>
      <c r="O96" s="61"/>
      <c r="P96"/>
      <c r="Q96" s="61"/>
      <c r="R96"/>
      <c r="S96" s="61"/>
      <c r="T96"/>
      <c r="U96" s="61"/>
      <c r="V96"/>
      <c r="W96" s="61"/>
      <c r="X96"/>
      <c r="Y96" s="61"/>
      <c r="Z96"/>
      <c r="AA96" s="61"/>
      <c r="AB96"/>
      <c r="AC96" s="61"/>
      <c r="AD96"/>
      <c r="AE96" s="61"/>
      <c r="AF96"/>
      <c r="AG96" s="61"/>
      <c r="AH96"/>
      <c r="AI96" s="61" t="n">
        <v>676.14</v>
      </c>
      <c r="AJ96"/>
    </row>
    <row r="97" spans="2:35" x14ac:dyDescent="0.3">
      <c r="B97" t="s">
        <v>182</v>
      </c>
      <c r="C97"/>
      <c r="D97"/>
      <c r="E97" s="61" t="n">
        <v>676.14</v>
      </c>
      <c r="F97"/>
      <c r="G97" s="61" t="n">
        <v>676.14</v>
      </c>
      <c r="H97"/>
      <c r="I97" s="61" t="n">
        <v>676.14</v>
      </c>
      <c r="J97"/>
      <c r="K97" s="61" t="n">
        <v>676.14</v>
      </c>
      <c r="L97"/>
      <c r="M97" s="61" t="n">
        <v>676.14</v>
      </c>
      <c r="N97"/>
      <c r="O97" s="61"/>
      <c r="P97"/>
      <c r="Q97" s="61" t="n">
        <v>676.14</v>
      </c>
      <c r="R97"/>
      <c r="S97" s="61" t="n">
        <v>676.14</v>
      </c>
      <c r="T97"/>
      <c r="U97" s="61" t="n">
        <v>676.14</v>
      </c>
      <c r="V97"/>
      <c r="W97" s="61" t="n">
        <v>676.14</v>
      </c>
      <c r="X97"/>
      <c r="Y97" s="61"/>
      <c r="Z97"/>
      <c r="AA97" s="61" t="n">
        <v>676.14</v>
      </c>
      <c r="AB97"/>
      <c r="AC97" s="61" t="n">
        <v>676.14</v>
      </c>
      <c r="AD97"/>
      <c r="AE97" s="61"/>
      <c r="AF97"/>
      <c r="AG97" s="61"/>
      <c r="AH97"/>
      <c r="AI97" s="61" t="n">
        <v>676.14</v>
      </c>
      <c r="AJ97"/>
    </row>
    <row r="98" spans="2:35" x14ac:dyDescent="0.3">
      <c r="B98" t="s">
        <v>44</v>
      </c>
      <c r="C98"/>
      <c r="D98"/>
      <c r="E98" s="61" t="n">
        <v>150000.0</v>
      </c>
      <c r="F98"/>
      <c r="G98" s="61" t="n">
        <v>150000.0</v>
      </c>
      <c r="H98"/>
      <c r="I98" s="61" t="n">
        <v>150000.0</v>
      </c>
      <c r="J98"/>
      <c r="K98" s="61" t="n">
        <v>150000.0</v>
      </c>
      <c r="L98"/>
      <c r="M98" s="61" t="n">
        <v>50000.0</v>
      </c>
      <c r="N98"/>
      <c r="O98" s="61" t="n">
        <v>125000.0</v>
      </c>
      <c r="P98"/>
      <c r="Q98" s="61" t="n">
        <v>150000.0</v>
      </c>
      <c r="R98"/>
      <c r="S98" s="61" t="n">
        <v>150000.0</v>
      </c>
      <c r="T98"/>
      <c r="U98" s="61" t="n">
        <v>150000.0</v>
      </c>
      <c r="V98"/>
      <c r="W98" s="61" t="n">
        <v>150000.0</v>
      </c>
      <c r="X98"/>
      <c r="Y98" s="61" t="n">
        <v>125000.0</v>
      </c>
      <c r="Z98"/>
      <c r="AA98" s="61" t="n">
        <v>150000.0</v>
      </c>
      <c r="AB98"/>
      <c r="AC98" s="61" t="n">
        <v>150000.0</v>
      </c>
      <c r="AD98"/>
      <c r="AE98" s="61" t="n">
        <v>60000.0</v>
      </c>
      <c r="AF98"/>
      <c r="AG98" s="61" t="n">
        <v>60000.0</v>
      </c>
      <c r="AH98"/>
      <c r="AI98" s="61" t="n">
        <v>150000.0</v>
      </c>
      <c r="AJ98"/>
    </row>
    <row r="99" spans="2:35" x14ac:dyDescent="0.3">
      <c r="B99" t="s">
        <v>45</v>
      </c>
      <c r="C99"/>
      <c r="D99"/>
      <c r="E99" s="61" t="n">
        <v>150000.0</v>
      </c>
      <c r="F99"/>
      <c r="G99" s="61" t="n">
        <v>150000.0</v>
      </c>
      <c r="H99"/>
      <c r="I99" s="61" t="n">
        <v>150000.0</v>
      </c>
      <c r="J99"/>
      <c r="K99" s="61" t="n">
        <v>150000.0</v>
      </c>
      <c r="L99"/>
      <c r="M99" s="61" t="n">
        <v>50000.0</v>
      </c>
      <c r="N99"/>
      <c r="O99" s="61" t="n">
        <v>125000.0</v>
      </c>
      <c r="P99"/>
      <c r="Q99" s="61" t="n">
        <v>150000.0</v>
      </c>
      <c r="R99"/>
      <c r="S99" s="61" t="n">
        <v>150000.0</v>
      </c>
      <c r="T99"/>
      <c r="U99" s="61" t="n">
        <v>150000.0</v>
      </c>
      <c r="V99"/>
      <c r="W99" s="61" t="n">
        <v>150000.0</v>
      </c>
      <c r="X99"/>
      <c r="Y99" s="61" t="n">
        <v>125000.0</v>
      </c>
      <c r="Z99"/>
      <c r="AA99" s="61" t="n">
        <v>150000.0</v>
      </c>
      <c r="AB99"/>
      <c r="AC99" s="61" t="n">
        <v>150000.0</v>
      </c>
      <c r="AD99"/>
      <c r="AE99" s="61" t="n">
        <v>60000.0</v>
      </c>
      <c r="AF99"/>
      <c r="AG99" s="61" t="n">
        <v>60000.0</v>
      </c>
      <c r="AH99"/>
      <c r="AI99" s="61" t="n">
        <v>150000.0</v>
      </c>
      <c r="AJ99"/>
    </row>
    <row r="100" spans="2:35" x14ac:dyDescent="0.3">
      <c r="B100" t="s">
        <v>46</v>
      </c>
      <c r="C100"/>
      <c r="D100"/>
      <c r="E100" s="61"/>
      <c r="F100"/>
      <c r="G100" s="61"/>
      <c r="H100"/>
      <c r="I100" s="61" t="n">
        <v>150000.0</v>
      </c>
      <c r="J100"/>
      <c r="K100" s="61" t="n">
        <v>150000.0</v>
      </c>
      <c r="L100"/>
      <c r="M100" s="61"/>
      <c r="N100"/>
      <c r="O100" s="61"/>
      <c r="P100"/>
      <c r="Q100" s="61"/>
      <c r="R100"/>
      <c r="S100" s="61"/>
      <c r="T100"/>
      <c r="U100" s="61"/>
      <c r="V100"/>
      <c r="W100" s="61"/>
      <c r="X100"/>
      <c r="Y100" s="61"/>
      <c r="Z100"/>
      <c r="AA100" s="61"/>
      <c r="AB100"/>
      <c r="AC100" s="61"/>
      <c r="AD100"/>
      <c r="AE100" s="61"/>
      <c r="AF100"/>
      <c r="AG100" s="61"/>
      <c r="AH100"/>
      <c r="AI100" s="61" t="n">
        <v>150000.0</v>
      </c>
      <c r="AJ100"/>
    </row>
    <row r="101" spans="2:35" x14ac:dyDescent="0.3">
      <c r="B101" t="s">
        <v>183</v>
      </c>
      <c r="C101"/>
      <c r="D101"/>
      <c r="E101" s="61" t="n">
        <v>150000.0</v>
      </c>
      <c r="F101"/>
      <c r="G101" s="61" t="n">
        <v>150000.0</v>
      </c>
      <c r="H101"/>
      <c r="I101" s="61" t="n">
        <v>150000.0</v>
      </c>
      <c r="J101"/>
      <c r="K101" s="61" t="n">
        <v>150000.0</v>
      </c>
      <c r="L101"/>
      <c r="M101" s="61" t="n">
        <v>50000.0</v>
      </c>
      <c r="N101"/>
      <c r="O101" s="61"/>
      <c r="P101"/>
      <c r="Q101" s="61" t="n">
        <v>150000.0</v>
      </c>
      <c r="R101"/>
      <c r="S101" s="61" t="n">
        <v>150000.0</v>
      </c>
      <c r="T101"/>
      <c r="U101" s="61" t="n">
        <v>150000.0</v>
      </c>
      <c r="V101"/>
      <c r="W101" s="61" t="n">
        <v>150000.0</v>
      </c>
      <c r="X101"/>
      <c r="Y101" s="61"/>
      <c r="Z101"/>
      <c r="AA101" s="61" t="n">
        <v>150000.0</v>
      </c>
      <c r="AB101"/>
      <c r="AC101" s="61" t="n">
        <v>150000.0</v>
      </c>
      <c r="AD101"/>
      <c r="AE101" s="61"/>
      <c r="AF101"/>
      <c r="AG101" s="61"/>
      <c r="AH101"/>
      <c r="AI101" s="61" t="n">
        <v>150000.0</v>
      </c>
      <c r="AJ101"/>
    </row>
    <row r="102" spans="2:35" x14ac:dyDescent="0.3">
      <c r="B102" s="39" t="s">
        <v>184</v>
      </c>
      <c r="C102"/>
      <c r="D102"/>
      <c r="E102" t="n">
        <f>ROUND(IFERROR(E90*E94*E9/E98,0)+IFERROR(E91*E95*E9/E99,0)+IFERROR(E92*E96*E9/E100,0)+IFERROR(E93*E97*E9/E101,0),0)</f>
        <v>8113.68</v>
      </c>
      <c r="F102"/>
      <c r="G102" t="n">
        <f ref="G102" si="196" t="shared">ROUND(IFERROR(G90*G94*G9/G98,0)+IFERROR(G91*G95*G9/G99,0)+IFERROR(G92*G96*G9/G100,0)+IFERROR(G93*G97*G9/G101,0),0)</f>
        <v>6490.94</v>
      </c>
      <c r="H102"/>
      <c r="I102" t="n">
        <f ref="I102" si="197" t="shared">ROUND(IFERROR(I90*I94*I9/I98,0)+IFERROR(I91*I95*I9/I99,0)+IFERROR(I92*I96*I9/I100,0)+IFERROR(I93*I97*I9/I101,0),0)</f>
        <v>6310.64</v>
      </c>
      <c r="J102"/>
      <c r="K102" t="n">
        <f ref="K102" si="198" t="shared">ROUND(IFERROR(K90*K94*K9/K98,0)+IFERROR(K91*K95*K9/K99,0)+IFERROR(K92*K96*K9/K100,0)+IFERROR(K93*K97*K9/K101,0),0)</f>
        <v>6310.64</v>
      </c>
      <c r="L102"/>
      <c r="M102" t="n">
        <f ref="M102" si="199" t="shared">ROUND(IFERROR(M90*M94*M9/M98,0)+IFERROR(M91*M95*M9/M99,0)+IFERROR(M92*M96*M9/M100,0)+IFERROR(M93*M97*M9/M101,0),0)</f>
        <v>11359.15</v>
      </c>
      <c r="N102"/>
      <c r="O102" t="n">
        <f ref="O102" si="200" t="shared">ROUND(IFERROR(O90*O94*O9/O98,0)+IFERROR(O91*O95*O9/O99,0)+IFERROR(O92*O96*O9/O100,0)+IFERROR(O93*O97*O9/O101,0),0)</f>
        <v>3097.05</v>
      </c>
      <c r="P102"/>
      <c r="Q102" t="n">
        <f ref="Q102" si="201" t="shared">ROUND(IFERROR(Q90*Q94*Q9/Q98,0)+IFERROR(Q91*Q95*Q9/Q99,0)+IFERROR(Q92*Q96*Q9/Q100,0)+IFERROR(Q93*Q97*Q9/Q101,0),0)</f>
        <v>5679.58</v>
      </c>
      <c r="R102"/>
      <c r="S102" t="n">
        <f ref="S102" si="202" t="shared">ROUND(IFERROR(S90*S94*S9/S98,0)+IFERROR(S91*S95*S9/S99,0)+IFERROR(S92*S96*S9/S100,0)+IFERROR(S93*S97*S9/S101,0),0)</f>
        <v>5409.12</v>
      </c>
      <c r="T102"/>
      <c r="U102" t="n">
        <f ref="U102" si="203" t="shared">ROUND(IFERROR(U90*U94*U9/U98,0)+IFERROR(U91*U95*U9/U99,0)+IFERROR(U92*U96*U9/U100,0)+IFERROR(U93*U97*U9/U101,0),0)</f>
        <v>5409.12</v>
      </c>
      <c r="V102"/>
      <c r="W102" t="n">
        <f ref="W102" si="204" t="shared">ROUND(IFERROR(W90*W94*W9/W98,0)+IFERROR(W91*W95*W9/W99,0)+IFERROR(W92*W96*W9/W100,0)+IFERROR(W93*W97*W9/W101,0),0)</f>
        <v>6490.94</v>
      </c>
      <c r="X102"/>
      <c r="Y102" t="n">
        <f ref="Y102" si="205" t="shared">ROUND(IFERROR(Y90*Y94*Y9/Y98,0)+IFERROR(Y91*Y95*Y9/Y99,0)+IFERROR(Y92*Y96*Y9/Y100,0)+IFERROR(Y93*Y97*Y9/Y101,0),0)</f>
        <v>2408.82</v>
      </c>
      <c r="Z102"/>
      <c r="AA102" t="n">
        <f ref="AA102" si="206" t="shared">ROUND(IFERROR(AA90*AA94*AA9/AA98,0)+IFERROR(AA91*AA95*AA9/AA99,0)+IFERROR(AA92*AA96*AA9/AA100,0)+IFERROR(AA93*AA97*AA9/AA101,0),0)</f>
        <v>6490.94</v>
      </c>
      <c r="AB102"/>
      <c r="AC102" t="n">
        <f ref="AC102" si="207" t="shared">ROUND(IFERROR(AC90*AC94*AC9/AC98,0)+IFERROR(AC91*AC95*AC9/AC99,0)+IFERROR(AC92*AC96*AC9/AC100,0)+IFERROR(AC93*AC97*AC9/AC101,0),0)</f>
        <v>6490.94</v>
      </c>
      <c r="AD102"/>
      <c r="AE102" t="n">
        <f ref="AE102" si="208" t="shared">ROUND(IFERROR(AE90*AE94*AE9/AE98,0)+IFERROR(AE91*AE95*AE9/AE99,0)+IFERROR(AE92*AE96*AE9/AE100,0)+IFERROR(AE93*AE97*AE9/AE101,0),0)</f>
        <v>656.0</v>
      </c>
      <c r="AF102"/>
      <c r="AG102" t="n">
        <f ref="AG102" si="209" t="shared">ROUND(IFERROR(AG90*AG94*AG9/AG98,0)+IFERROR(AG91*AG95*AG9/AG99,0)+IFERROR(AG92*AG96*AG9/AG100,0)+IFERROR(AG93*AG97*AG9/AG101,0),0)</f>
        <v>656.0</v>
      </c>
      <c r="AH102"/>
      <c r="AI102" t="n">
        <f ref="AI102" si="210" t="shared">ROUND(IFERROR(AI90*AI94*AI9/AI98,0)+IFERROR(AI91*AI95*AI9/AI99,0)+IFERROR(AI92*AI96*AI9/AI100,0)+IFERROR(AI93*AI97*AI9/AI101,0),0)</f>
        <v>6490.94</v>
      </c>
      <c r="AJ102"/>
    </row>
    <row r="103" spans="2:35" x14ac:dyDescent="0.3">
      <c r="B103" t="s">
        <v>185</v>
      </c>
      <c r="C103"/>
      <c r="D103"/>
      <c r="E103" s="61" t="n">
        <v>0.0172</v>
      </c>
      <c r="F103"/>
      <c r="G103" s="61" t="n">
        <v>0.0172</v>
      </c>
      <c r="H103"/>
      <c r="I103" s="61" t="n">
        <v>0.0206</v>
      </c>
      <c r="J103"/>
      <c r="K103" s="61" t="n">
        <v>0.0206</v>
      </c>
      <c r="L103"/>
      <c r="M103" s="61" t="n">
        <v>0.0696</v>
      </c>
      <c r="N103"/>
      <c r="O103" s="61" t="n">
        <v>0.0204</v>
      </c>
      <c r="P103"/>
      <c r="Q103" s="61" t="n">
        <v>0.0556</v>
      </c>
      <c r="R103"/>
      <c r="S103" s="61" t="n">
        <v>0.0556</v>
      </c>
      <c r="T103"/>
      <c r="U103" s="61" t="n">
        <v>0.0556</v>
      </c>
      <c r="V103"/>
      <c r="W103" s="61" t="n">
        <v>0.0204</v>
      </c>
      <c r="X103"/>
      <c r="Y103" s="61" t="n">
        <v>0.0271</v>
      </c>
      <c r="Z103"/>
      <c r="AA103" s="61" t="n">
        <v>0.0172</v>
      </c>
      <c r="AB103"/>
      <c r="AC103" s="61" t="n">
        <v>0.0172</v>
      </c>
      <c r="AD103"/>
      <c r="AE103" s="61" t="n">
        <v>0.0098</v>
      </c>
      <c r="AF103"/>
      <c r="AG103" s="61" t="n">
        <v>0.098</v>
      </c>
      <c r="AH103"/>
      <c r="AI103" s="61" t="n">
        <v>0.0172</v>
      </c>
      <c r="AJ103"/>
    </row>
    <row r="104" spans="2:35" x14ac:dyDescent="0.3">
      <c r="B104" t="s">
        <v>186</v>
      </c>
      <c r="C104"/>
      <c r="D104"/>
      <c r="E104" t="n">
        <f>E103*E9</f>
        <v>2580.0</v>
      </c>
      <c r="F104"/>
      <c r="G104" t="n">
        <f>G103*G9</f>
        <v>2064.0</v>
      </c>
      <c r="H104"/>
      <c r="I104" t="n">
        <f ref="I104:K104" si="211" t="shared">I103*I9</f>
        <v>2060.0</v>
      </c>
      <c r="J104"/>
      <c r="K104" t="n">
        <f si="211" t="shared"/>
        <v>2060.0</v>
      </c>
      <c r="L104"/>
      <c r="M104" t="n">
        <f ref="M104" si="212" t="shared">M103*M9</f>
        <v>4176.0</v>
      </c>
      <c r="N104"/>
      <c r="O104" t="n">
        <f ref="O104" si="213" t="shared">O103*O9</f>
        <v>1836.0</v>
      </c>
      <c r="P104"/>
      <c r="Q104" t="n">
        <f ref="Q104" si="214" t="shared">Q103*Q9</f>
        <v>5838.0</v>
      </c>
      <c r="R104"/>
      <c r="S104" t="n">
        <f ref="S104:U104" si="215" t="shared">S103*S9</f>
        <v>5560.0</v>
      </c>
      <c r="T104"/>
      <c r="U104" t="n">
        <f si="215" t="shared"/>
        <v>5560.0</v>
      </c>
      <c r="V104"/>
      <c r="W104" t="n">
        <f ref="W104" si="216" t="shared">W103*W9</f>
        <v>2448.0</v>
      </c>
      <c r="X104"/>
      <c r="Y104" t="n">
        <f ref="Y104" si="217" t="shared">Y103*Y9</f>
        <v>1897.0</v>
      </c>
      <c r="Z104"/>
      <c r="AA104" t="n">
        <f ref="AA104:AC104" si="218" t="shared">AA103*AA9</f>
        <v>2064.0</v>
      </c>
      <c r="AB104"/>
      <c r="AC104" t="n">
        <f si="218" t="shared"/>
        <v>2064.0</v>
      </c>
      <c r="AD104"/>
      <c r="AE104" t="n">
        <f ref="AE104" si="219" t="shared">AE103*AE9</f>
        <v>490.0</v>
      </c>
      <c r="AF104"/>
      <c r="AG104" t="n">
        <f ref="AG104" si="220" t="shared">AG103*AG9</f>
        <v>4900.0</v>
      </c>
      <c r="AH104"/>
      <c r="AI104" t="n">
        <f>AI103*AI9</f>
        <v>2064.0</v>
      </c>
      <c r="AJ104"/>
    </row>
    <row r="105" spans="2:35" x14ac:dyDescent="0.3">
      <c r="B105" t="s">
        <v>187</v>
      </c>
      <c r="C105" s="39"/>
      <c r="D105"/>
      <c r="E105" s="61" t="n">
        <v>0.0339</v>
      </c>
      <c r="F105"/>
      <c r="G105" s="61" t="n">
        <v>0.0339</v>
      </c>
      <c r="H105"/>
      <c r="I105" s="61" t="n">
        <v>0.0339</v>
      </c>
      <c r="J105"/>
      <c r="K105" s="61" t="n">
        <v>0.0339</v>
      </c>
      <c r="L105"/>
      <c r="M105" s="61" t="n">
        <v>0.0436</v>
      </c>
      <c r="N105"/>
      <c r="O105" s="61" t="n">
        <v>0.0271</v>
      </c>
      <c r="P105"/>
      <c r="Q105" s="61" t="n">
        <v>0.0428</v>
      </c>
      <c r="R105"/>
      <c r="S105" s="61" t="n">
        <v>0.0428</v>
      </c>
      <c r="T105"/>
      <c r="U105" s="61" t="n">
        <v>0.0428</v>
      </c>
      <c r="V105"/>
      <c r="W105" s="61" t="n">
        <v>0.0428</v>
      </c>
      <c r="X105"/>
      <c r="Y105" s="61" t="n">
        <v>0.0339</v>
      </c>
      <c r="Z105"/>
      <c r="AA105" s="61" t="n">
        <v>0.0339</v>
      </c>
      <c r="AB105"/>
      <c r="AC105" s="61" t="n">
        <v>0.0339</v>
      </c>
      <c r="AD105"/>
      <c r="AE105" s="61" t="n">
        <v>0.0174</v>
      </c>
      <c r="AF105"/>
      <c r="AG105" s="61" t="n">
        <v>0.0174</v>
      </c>
      <c r="AH105"/>
      <c r="AI105" s="61" t="n">
        <v>0.0339</v>
      </c>
      <c r="AJ105"/>
    </row>
    <row r="106" spans="2:35" x14ac:dyDescent="0.3">
      <c r="B106" t="s">
        <v>188</v>
      </c>
      <c r="C106"/>
      <c r="D106"/>
      <c r="E106" t="n">
        <f>E105*E9</f>
        <v>5085.0</v>
      </c>
      <c r="F106"/>
      <c r="G106" t="n">
        <f>G105*G9</f>
        <v>4068.0</v>
      </c>
      <c r="H106"/>
      <c r="I106" t="n">
        <f ref="I106:K106" si="221" t="shared">I105*I9</f>
        <v>3390.0</v>
      </c>
      <c r="J106"/>
      <c r="K106" t="n">
        <f si="221" t="shared"/>
        <v>3390.0</v>
      </c>
      <c r="L106"/>
      <c r="M106" t="n">
        <f ref="M106" si="222" t="shared">M105*M9</f>
        <v>2616.0</v>
      </c>
      <c r="N106"/>
      <c r="O106" t="n">
        <f ref="O106" si="223" t="shared">O105*O9</f>
        <v>2439.0</v>
      </c>
      <c r="P106"/>
      <c r="Q106" t="n">
        <f ref="Q106" si="224" t="shared">Q105*Q9</f>
        <v>4494.0</v>
      </c>
      <c r="R106"/>
      <c r="S106" t="n">
        <f ref="S106:U106" si="225" t="shared">S105*S9</f>
        <v>4280.0</v>
      </c>
      <c r="T106"/>
      <c r="U106" t="n">
        <f si="225" t="shared"/>
        <v>4280.0</v>
      </c>
      <c r="V106"/>
      <c r="W106" t="n">
        <f ref="W106" si="226" t="shared">W105*W9</f>
        <v>5136.0</v>
      </c>
      <c r="X106"/>
      <c r="Y106" t="n">
        <f ref="Y106" si="227" t="shared">Y105*Y9</f>
        <v>2373.0</v>
      </c>
      <c r="Z106"/>
      <c r="AA106" t="n">
        <f ref="AA106:AC106" si="228" t="shared">AA105*AA9</f>
        <v>4068.0</v>
      </c>
      <c r="AB106"/>
      <c r="AC106" t="n">
        <f si="228" t="shared"/>
        <v>4068.0</v>
      </c>
      <c r="AD106"/>
      <c r="AE106" t="n">
        <f ref="AE106" si="229" t="shared">AE105*AE9</f>
        <v>870.0</v>
      </c>
      <c r="AF106"/>
      <c r="AG106" t="n">
        <f ref="AG106" si="230" t="shared">AG105*AG9</f>
        <v>870.0</v>
      </c>
      <c r="AH106"/>
      <c r="AI106" t="n">
        <f>AI105*AI9</f>
        <v>4068.0</v>
      </c>
      <c r="AJ106"/>
    </row>
    <row r="107" spans="2:35" x14ac:dyDescent="0.3">
      <c r="B107" t="s">
        <v>47</v>
      </c>
      <c r="C107"/>
      <c r="D107"/>
      <c r="E107" s="61" t="n">
        <v>17642.53</v>
      </c>
      <c r="F107"/>
      <c r="G107" s="61" t="n">
        <v>2195.51</v>
      </c>
      <c r="H107"/>
      <c r="I107" s="63" t="n">
        <v>1829.6</v>
      </c>
      <c r="J107"/>
      <c r="K107" s="63" t="n">
        <v>1829.6</v>
      </c>
      <c r="L107"/>
      <c r="M107" s="61" t="n">
        <v>0.0</v>
      </c>
      <c r="N107"/>
      <c r="O107" s="61" t="n">
        <v>1411.41</v>
      </c>
      <c r="P107"/>
      <c r="Q107" s="63" t="n">
        <v>9605.39</v>
      </c>
      <c r="R107"/>
      <c r="S107" s="63" t="n">
        <v>9147.98</v>
      </c>
      <c r="T107"/>
      <c r="U107" s="63" t="n">
        <v>9147.98</v>
      </c>
      <c r="V107"/>
      <c r="W107" s="61" t="n">
        <v>2195.51</v>
      </c>
      <c r="X107"/>
      <c r="Y107" s="61" t="n">
        <v>1097.76</v>
      </c>
      <c r="Z107"/>
      <c r="AA107" s="61" t="n">
        <v>2195.51</v>
      </c>
      <c r="AB107"/>
      <c r="AC107" s="61" t="n">
        <v>2195.51</v>
      </c>
      <c r="AD107"/>
      <c r="AE107" s="61" t="n">
        <v>0.0</v>
      </c>
      <c r="AF107"/>
      <c r="AG107" s="61" t="n">
        <v>0.0</v>
      </c>
      <c r="AH107"/>
      <c r="AI107" s="61" t="n">
        <v>2195.51</v>
      </c>
      <c r="AJ107"/>
    </row>
    <row r="108" spans="2:35" x14ac:dyDescent="0.3">
      <c r="B108" s="40" t="s">
        <v>48</v>
      </c>
      <c r="C108" s="38"/>
      <c r="D108"/>
      <c r="E108" t="n">
        <f>ROUND(E81+E89+E102+E104+E106+E107,0)</f>
        <v>101671.21</v>
      </c>
      <c r="F108"/>
      <c r="G108" t="n">
        <f ref="G108" si="231" t="shared">ROUND(G81+G89+G102+G104+G106+G107,0)</f>
        <v>69418.45</v>
      </c>
      <c r="H108"/>
      <c r="I108" t="n">
        <f ref="I108" si="232" t="shared">ROUND(I81+I89+I102+I104+I106+I107,0)</f>
        <v>59090.24</v>
      </c>
      <c r="J108"/>
      <c r="K108" t="n">
        <f ref="K108" si="233" t="shared">ROUND(K81+K89+K102+K104+K106+K107,0)</f>
        <v>59090.24</v>
      </c>
      <c r="L108"/>
      <c r="M108" t="n">
        <f ref="M108" si="234" t="shared">ROUND(M81+M89+M102+M104+M106+M107,0)</f>
        <v>48181.15</v>
      </c>
      <c r="N108"/>
      <c r="O108" t="n">
        <f ref="O108" si="235" t="shared">ROUND(O81+O89+O102+O104+O106+O107,0)</f>
        <v>38033.46</v>
      </c>
      <c r="P108"/>
      <c r="Q108" t="n">
        <f ref="Q108" si="236" t="shared">ROUND(Q81+Q89+Q102+Q104+Q106+Q107,0)</f>
        <v>72709.97</v>
      </c>
      <c r="R108"/>
      <c r="S108" t="n">
        <f ref="S108" si="237" t="shared">ROUND(S81+S89+S102+S104+S106+S107,0)</f>
        <v>69247.1</v>
      </c>
      <c r="T108"/>
      <c r="U108" t="n">
        <f ref="U108" si="238" t="shared">ROUND(U81+U89+U102+U104+U106+U107,0)</f>
        <v>69247.1</v>
      </c>
      <c r="V108"/>
      <c r="W108" t="n">
        <f ref="W108" si="239" t="shared">ROUND(W81+W89+W102+W104+W106+W107,0)</f>
        <v>79190.45</v>
      </c>
      <c r="X108"/>
      <c r="Y108" t="n">
        <f ref="Y108" si="240" t="shared">ROUND(Y81+Y89+Y102+Y104+Y106+Y107,0)</f>
        <v>36766.58</v>
      </c>
      <c r="Z108"/>
      <c r="AA108" t="n">
        <f ref="AA108" si="241" t="shared">ROUND(AA81+AA89+AA102+AA104+AA106+AA107,0)</f>
        <v>69418.45</v>
      </c>
      <c r="AB108"/>
      <c r="AC108" t="n">
        <f ref="AC108" si="242" t="shared">ROUND(AC81+AC89+AC102+AC104+AC106+AC107,0)</f>
        <v>69418.45</v>
      </c>
      <c r="AD108"/>
      <c r="AE108" t="n">
        <f ref="AE108" si="243" t="shared">ROUND(AE81+AE89+AE102+AE104+AE106+AE107,0)</f>
        <v>9779.0</v>
      </c>
      <c r="AF108"/>
      <c r="AG108" t="n">
        <f ref="AG108" si="244" t="shared">ROUND(AG81+AG89+AG102+AG104+AG106+AG107,0)</f>
        <v>14189.0</v>
      </c>
      <c r="AH108"/>
      <c r="AI108" t="n">
        <f ref="AI108" si="245" t="shared">ROUND(AI81+AI89+AI102+AI104+AI106+AI107,0)</f>
        <v>69418.45</v>
      </c>
      <c r="AJ108"/>
    </row>
    <row r="109" spans="2:35" x14ac:dyDescent="0.3">
      <c r="B109" t="s">
        <v>189</v>
      </c>
      <c r="C109"/>
      <c r="D109" s="50"/>
      <c r="E109" s="50" t="n">
        <f>E$112/3</f>
        <v>4328.33</v>
      </c>
      <c r="F109" s="50"/>
      <c r="G109" s="50" t="n">
        <f>G$112/3</f>
        <v>3143.09</v>
      </c>
      <c r="H109" s="50"/>
      <c r="I109" s="50" t="n">
        <f ref="I109" si="246" t="shared">I$112/3</f>
        <v>2745.27</v>
      </c>
      <c r="J109" s="50"/>
      <c r="K109" s="50" t="n">
        <f ref="K109" si="247" t="shared">K$112/3</f>
        <v>2745.27</v>
      </c>
      <c r="L109" s="50"/>
      <c r="M109" s="50" t="n">
        <f ref="M109" si="248" t="shared">M$112/3</f>
        <v>2370.18</v>
      </c>
      <c r="N109" s="50"/>
      <c r="O109" s="50" t="n">
        <f ref="O109" si="249" t="shared">O$112/3</f>
        <v>2023.23</v>
      </c>
      <c r="P109" s="50"/>
      <c r="Q109" s="50" t="n">
        <f ref="Q109" si="250" t="shared">Q$112/3</f>
        <v>3357.7</v>
      </c>
      <c r="R109" s="50"/>
      <c r="S109" s="50" t="n">
        <f ref="S109" si="251" t="shared">S$112/3</f>
        <v>3381.9</v>
      </c>
      <c r="T109" s="50"/>
      <c r="U109" s="50" t="n">
        <f ref="U109:AI111" si="252" t="shared">U$112/3</f>
        <v>3381.9</v>
      </c>
      <c r="V109" s="50"/>
      <c r="W109" s="50" t="n">
        <f ref="W109" si="253" t="shared">W$112/3</f>
        <v>3431.62</v>
      </c>
      <c r="X109" s="50"/>
      <c r="Y109" s="50" t="n">
        <f ref="Y109" si="254" t="shared">Y$112/3</f>
        <v>2029.95</v>
      </c>
      <c r="Z109" s="50"/>
      <c r="AA109" s="50" t="n">
        <f ref="AA109:AC109" si="255" t="shared">AA$112/3</f>
        <v>3101.02</v>
      </c>
      <c r="AB109" s="50"/>
      <c r="AC109" s="50" t="n">
        <f si="255" t="shared"/>
        <v>3101.02</v>
      </c>
      <c r="AD109" s="50"/>
      <c r="AE109" s="50" t="n">
        <f ref="AE109:AG109" si="256" t="shared">AE$112/3</f>
        <v>1112.93</v>
      </c>
      <c r="AF109" s="50"/>
      <c r="AG109" s="50" t="n">
        <f si="256" t="shared"/>
        <v>1112.93</v>
      </c>
      <c r="AH109" s="50"/>
      <c r="AI109" s="50" t="n">
        <f ref="AI109" si="257" t="shared">AI$112/3</f>
        <v>3143.09</v>
      </c>
      <c r="AJ109"/>
    </row>
    <row r="110" spans="2:35" x14ac:dyDescent="0.3">
      <c r="B110" t="s">
        <v>190</v>
      </c>
      <c r="C110"/>
      <c r="D110"/>
      <c r="E110" t="n">
        <f ref="E110:S111" si="258" t="shared">E$112/3</f>
        <v>4328.33</v>
      </c>
      <c r="F110"/>
      <c r="G110" t="n">
        <f si="258" t="shared"/>
        <v>3143.09</v>
      </c>
      <c r="H110"/>
      <c r="I110" t="n">
        <f si="258" t="shared"/>
        <v>2745.27</v>
      </c>
      <c r="J110"/>
      <c r="K110" t="n">
        <f si="258" t="shared"/>
        <v>2745.27</v>
      </c>
      <c r="L110"/>
      <c r="M110" t="n">
        <f si="258" t="shared"/>
        <v>2370.18</v>
      </c>
      <c r="N110"/>
      <c r="O110" t="n">
        <f si="258" t="shared"/>
        <v>2023.23</v>
      </c>
      <c r="P110"/>
      <c r="Q110" t="n">
        <f si="258" t="shared"/>
        <v>3357.7</v>
      </c>
      <c r="R110"/>
      <c r="S110" t="n">
        <f si="258" t="shared"/>
        <v>3381.9</v>
      </c>
      <c r="T110"/>
      <c r="U110" t="n">
        <f si="252" t="shared"/>
        <v>3381.9</v>
      </c>
      <c r="V110"/>
      <c r="W110" t="n">
        <f si="252" t="shared"/>
        <v>3431.62</v>
      </c>
      <c r="X110"/>
      <c r="Y110" t="n">
        <f si="252" t="shared"/>
        <v>2029.95</v>
      </c>
      <c r="Z110"/>
      <c r="AA110" t="n">
        <f si="252" t="shared"/>
        <v>3101.02</v>
      </c>
      <c r="AB110"/>
      <c r="AC110" t="n">
        <f si="252" t="shared"/>
        <v>3101.02</v>
      </c>
      <c r="AD110"/>
      <c r="AE110" t="n">
        <f si="252" t="shared"/>
        <v>1112.93</v>
      </c>
      <c r="AF110"/>
      <c r="AG110" t="n">
        <f si="252" t="shared"/>
        <v>1112.93</v>
      </c>
      <c r="AH110"/>
      <c r="AI110" t="n">
        <f si="252" t="shared"/>
        <v>3143.09</v>
      </c>
      <c r="AJ110"/>
    </row>
    <row r="111" spans="2:35" x14ac:dyDescent="0.3">
      <c r="B111" t="s">
        <v>191</v>
      </c>
      <c r="C111" s="39"/>
      <c r="D111"/>
      <c r="E111" t="n">
        <f si="258" t="shared"/>
        <v>4328.33</v>
      </c>
      <c r="F111"/>
      <c r="G111" t="n">
        <f si="258" t="shared"/>
        <v>3143.09</v>
      </c>
      <c r="H111"/>
      <c r="I111" t="n">
        <f si="258" t="shared"/>
        <v>2745.27</v>
      </c>
      <c r="J111"/>
      <c r="K111" t="n">
        <f si="258" t="shared"/>
        <v>2745.27</v>
      </c>
      <c r="L111"/>
      <c r="M111" t="n">
        <f si="258" t="shared"/>
        <v>2370.18</v>
      </c>
      <c r="N111"/>
      <c r="O111" t="n">
        <f si="258" t="shared"/>
        <v>2023.23</v>
      </c>
      <c r="P111"/>
      <c r="Q111" t="n">
        <f si="258" t="shared"/>
        <v>3357.69</v>
      </c>
      <c r="R111"/>
      <c r="S111" t="n">
        <f si="258" t="shared"/>
        <v>3381.9</v>
      </c>
      <c r="T111"/>
      <c r="U111" t="n">
        <f si="252" t="shared"/>
        <v>3381.9</v>
      </c>
      <c r="V111"/>
      <c r="W111" t="n">
        <f si="252" t="shared"/>
        <v>3431.62</v>
      </c>
      <c r="X111"/>
      <c r="Y111" t="n">
        <f si="252" t="shared"/>
        <v>2029.95</v>
      </c>
      <c r="Z111"/>
      <c r="AA111" t="n">
        <f si="252" t="shared"/>
        <v>3101.02</v>
      </c>
      <c r="AB111"/>
      <c r="AC111" t="n">
        <f si="252" t="shared"/>
        <v>3101.02</v>
      </c>
      <c r="AD111"/>
      <c r="AE111" t="n">
        <f si="252" t="shared"/>
        <v>1112.93</v>
      </c>
      <c r="AF111"/>
      <c r="AG111" t="n">
        <f si="252" t="shared"/>
        <v>1112.93</v>
      </c>
      <c r="AH111"/>
      <c r="AI111" t="n">
        <f si="252" t="shared"/>
        <v>3143.09</v>
      </c>
      <c r="AJ111"/>
    </row>
    <row r="112" spans="2:35" x14ac:dyDescent="0.3">
      <c r="B112" s="20" t="s">
        <v>49</v>
      </c>
      <c r="C112" s="39"/>
      <c r="D112"/>
      <c r="E112" t="n">
        <f>6.5/100*(E50+E57+E76+E108)</f>
        <v>12984.99</v>
      </c>
      <c r="F112"/>
      <c r="G112" t="n">
        <f ref="G112" si="259" t="shared">6.5/100*(G50+G57+G76+G108)</f>
        <v>9429.27</v>
      </c>
      <c r="H112"/>
      <c r="I112" t="n">
        <f ref="I112" si="260" t="shared">6.5/100*(I50+I57+I76+I108)</f>
        <v>8235.81</v>
      </c>
      <c r="J112"/>
      <c r="K112" t="n">
        <f ref="K112" si="261" t="shared">6.5/100*(K50+K57+K76+K108)</f>
        <v>8235.81</v>
      </c>
      <c r="L112"/>
      <c r="M112" t="n">
        <f ref="M112" si="262" t="shared">6.5/100*(M50+M57+M76+M108)</f>
        <v>7110.54</v>
      </c>
      <c r="N112"/>
      <c r="O112" t="n">
        <f ref="O112" si="263" t="shared">6.5/100*(O50+O57+O76+O108)</f>
        <v>6069.69</v>
      </c>
      <c r="P112"/>
      <c r="Q112" t="n">
        <f ref="Q112" si="264" t="shared">6.5/100*(Q50+Q57+Q76+Q108)</f>
        <v>10073.09</v>
      </c>
      <c r="R112"/>
      <c r="S112" t="n">
        <f ref="S112" si="265" t="shared">6.5/100*(S50+S57+S76+S108)</f>
        <v>10145.7</v>
      </c>
      <c r="T112"/>
      <c r="U112" t="n">
        <f ref="U112" si="266" t="shared">6.5/100*(U50+U57+U76+U108)</f>
        <v>10145.7</v>
      </c>
      <c r="V112"/>
      <c r="W112" t="n">
        <f>6.5/100*(W50+W57+W76+W108)</f>
        <v>10294.86</v>
      </c>
      <c r="X112"/>
      <c r="Y112" t="n">
        <f ref="Y112" si="267" t="shared">6.5/100*(Y50+Y57+Y76+Y108)</f>
        <v>6089.85</v>
      </c>
      <c r="Z112"/>
      <c r="AA112" t="n">
        <f ref="AA112" si="268" t="shared">6.5/100*(AA50+AA57+AA76+AA108)</f>
        <v>9303.06</v>
      </c>
      <c r="AB112"/>
      <c r="AC112" t="n">
        <f ref="AC112" si="269" t="shared">6.5/100*(AC50+AC57+AC76+AC108)</f>
        <v>9303.06</v>
      </c>
      <c r="AD112"/>
      <c r="AE112" t="n">
        <f ref="AE112" si="270" t="shared">6.5/100*(AE50+AE57+AE76+AE108)</f>
        <v>3338.79</v>
      </c>
      <c r="AF112"/>
      <c r="AG112" t="n">
        <f ref="AG112" si="271" t="shared">6.5/100*(AG50+AG57+AG76+AG108)</f>
        <v>3338.79</v>
      </c>
      <c r="AH112"/>
      <c r="AI112" t="n">
        <f ref="AI112" si="272" t="shared">6.5/100*(AI50+AI57+AI76+AI108)</f>
        <v>9429.27</v>
      </c>
      <c r="AJ112"/>
    </row>
    <row r="113" spans="2:35" x14ac:dyDescent="0.3">
      <c r="B113" s="20" t="s">
        <v>50</v>
      </c>
      <c r="E113">
        <f>(E50+E57+E76+E108)+E112</f>
        <v>0</v>
      </c>
      <c r="G113">
        <f>(G50+G57+G76+G108)+G112</f>
        <v>0</v>
      </c>
      <c r="I113">
        <f ref="I113" si="273" t="shared">(I50+I57+I76+I108)+I112</f>
        <v>0</v>
      </c>
      <c r="K113">
        <f ref="K113" si="274" t="shared">(K50+K57+K76+K108)+K112</f>
        <v>0</v>
      </c>
      <c r="M113">
        <f ref="M113" si="275" t="shared">(M50+M57+M76+M108)+M112</f>
        <v>0</v>
      </c>
      <c r="O113">
        <f ref="O113" si="276" t="shared">(O50+O57+O76+O108)+O112</f>
        <v>0</v>
      </c>
      <c r="Q113">
        <f ref="Q113" si="277" t="shared">(Q50+Q57+Q76+Q108)+Q112</f>
        <v>0</v>
      </c>
      <c r="S113" s="53">
        <f ref="S113" si="278" t="shared">(S50+S57+S76+S108)+S112</f>
        <v>0</v>
      </c>
      <c r="U113">
        <f ref="U113" si="279" t="shared">(U50+U57+U76+U108)+U112</f>
        <v>0</v>
      </c>
      <c r="W113">
        <f ref="W113" si="280" t="shared">(W50+W57+W76+W108)+W112</f>
        <v>0</v>
      </c>
      <c r="Y113">
        <f ref="Y113" si="281" t="shared">(Y50+Y57+Y76+Y108)+Y112</f>
        <v>0</v>
      </c>
      <c r="AA113">
        <f ref="AA113:AC113" si="282" t="shared">(AA50+AA57+AA76+AA108)+AA112</f>
        <v>0</v>
      </c>
      <c r="AC113">
        <f si="282" t="shared"/>
        <v>0</v>
      </c>
      <c r="AE113">
        <f ref="AE113" si="283" t="shared">(AE50+AE57+AE76+AE108)+AE112</f>
        <v>0</v>
      </c>
      <c r="AG113">
        <f ref="AG113" si="284" t="shared">(AG50+AG57+AG76+AG108)+AG112</f>
        <v>0</v>
      </c>
      <c r="AI113">
        <f ref="AI113" si="285" t="shared">(AI50+AI57+AI76+AI108)+AI112</f>
        <v>0</v>
      </c>
    </row>
    <row r="116" spans="2:35" x14ac:dyDescent="0.3">
      <c r="B116" s="20"/>
      <c r="C116" s="20"/>
    </row>
    <row r="117" spans="2:35" x14ac:dyDescent="0.3">
      <c r="B117" s="20"/>
      <c r="C117" s="20"/>
    </row>
    <row r="121" spans="2:35" x14ac:dyDescent="0.3">
      <c r="B121" t="s">
        <v>192</v>
      </c>
      <c r="E121">
        <f>E21-(E90*E94+E91*E95)</f>
        <v>0</v>
      </c>
      <c r="G121">
        <f>G21-(G90*G94+G91*G95)</f>
        <v>0</v>
      </c>
      <c r="I121">
        <f>I21-(I90*I94+I91*I95)</f>
        <v>0</v>
      </c>
      <c r="K121">
        <f>K21-(K90*K94+K91*K95)</f>
        <v>0</v>
      </c>
      <c r="M121">
        <f>M21-(M90*M94+M91*M95)</f>
        <v>0</v>
      </c>
      <c r="O121">
        <f>O21-(O90*O94+O91*O95)</f>
        <v>0</v>
      </c>
      <c r="Q121">
        <f>Q21-(Q90*Q94+Q91*Q95)</f>
        <v>0</v>
      </c>
      <c r="S121">
        <f>S21-(S90*S94+S91*S95)</f>
        <v>0</v>
      </c>
      <c r="U121">
        <f>U21-(U90*U94+U91*U95)</f>
        <v>0</v>
      </c>
      <c r="W121">
        <f>W21-(W90*W94+W91*W95)</f>
        <v>0</v>
      </c>
      <c r="Y121">
        <f>Y21-(Y90*Y94+Y91*Y95)</f>
        <v>0</v>
      </c>
      <c r="AA121">
        <f>AA21-(AA90*AA94+AA91*AA95)</f>
        <v>0</v>
      </c>
      <c r="AC121">
        <f>AC21-(AC90*AC94+AC91*AC95)</f>
        <v>0</v>
      </c>
      <c r="AE121">
        <f>AE21-(AE90*AE94+AE91*AE95)</f>
        <v>0</v>
      </c>
      <c r="AG121">
        <f>AG21-(AG90*AG94+AG91*AG95)</f>
        <v>0</v>
      </c>
      <c r="AI121">
        <f>AI21-(AI90*AI94+AI91*AI95)</f>
        <v>0</v>
      </c>
    </row>
    <row r="122" spans="2:35" x14ac:dyDescent="0.3">
      <c r="B122" t="s">
        <v>195</v>
      </c>
      <c r="C122" s="20"/>
      <c r="E122">
        <f>E37-(E93*E97)</f>
        <v>0</v>
      </c>
      <c r="G122">
        <f>G37-(G93*G97)</f>
        <v>0</v>
      </c>
      <c r="I122">
        <f>I37-(I93*I97)</f>
        <v>0</v>
      </c>
      <c r="K122">
        <f>K37-(K93*K97)</f>
        <v>0</v>
      </c>
      <c r="M122">
        <f>M37-(M93*M97)</f>
        <v>0</v>
      </c>
      <c r="O122">
        <f>O37-(O93*O97)</f>
        <v>0</v>
      </c>
      <c r="Q122">
        <f>Q37-(Q93*Q97)</f>
        <v>0</v>
      </c>
      <c r="S122">
        <f>S37-(S93*S97)</f>
        <v>0</v>
      </c>
      <c r="U122">
        <f>U37-(U93*U97)</f>
        <v>0</v>
      </c>
      <c r="W122">
        <f>W37-(W93*W97)</f>
        <v>0</v>
      </c>
      <c r="Y122">
        <f>Y37-(Y93*Y97)</f>
        <v>0</v>
      </c>
      <c r="AA122">
        <f>AA37-(AA93*AA97)</f>
        <v>0</v>
      </c>
      <c r="AC122">
        <f>AC37-(AC93*AC97)</f>
        <v>0</v>
      </c>
      <c r="AE122">
        <f>AE37-(AE93*AE97)</f>
        <v>0</v>
      </c>
      <c r="AG122">
        <f>AG37-(AG93*AG97)</f>
        <v>0</v>
      </c>
      <c r="AI122">
        <f>AI37-(AI93*AI97)</f>
        <v>0</v>
      </c>
    </row>
    <row r="123" spans="2:35" x14ac:dyDescent="0.3">
      <c r="B123" t="s">
        <v>200</v>
      </c>
      <c r="C123" s="20"/>
      <c r="E123">
        <f>E54+E56</f>
        <v>0</v>
      </c>
      <c r="G123">
        <f>G54+G56</f>
        <v>0</v>
      </c>
      <c r="I123">
        <f>I54+I56</f>
        <v>0</v>
      </c>
      <c r="K123">
        <f>K54+K56</f>
        <v>0</v>
      </c>
      <c r="M123">
        <f>M54+M56</f>
        <v>0</v>
      </c>
      <c r="O123">
        <f>O54+O56</f>
        <v>0</v>
      </c>
      <c r="Q123">
        <f>Q54+Q56</f>
        <v>0</v>
      </c>
      <c r="S123">
        <f>S54+S56</f>
        <v>0</v>
      </c>
      <c r="U123">
        <f>U54+U56</f>
        <v>0</v>
      </c>
      <c r="W123">
        <f>W54+W56</f>
        <v>0</v>
      </c>
      <c r="Y123">
        <f>Y54+Y56</f>
        <v>0</v>
      </c>
      <c r="AA123">
        <f>AA54+AA56</f>
        <v>0</v>
      </c>
      <c r="AC123">
        <f>AC54+AC56</f>
        <v>0</v>
      </c>
      <c r="AE123">
        <f>AE54+AE56</f>
        <v>0</v>
      </c>
      <c r="AG123">
        <f>AG54+AG56</f>
        <v>0</v>
      </c>
      <c r="AI123">
        <f>AI54+AI56</f>
        <v>0</v>
      </c>
    </row>
    <row r="124" spans="2:35" x14ac:dyDescent="0.3">
      <c r="B124" t="s">
        <v>202</v>
      </c>
      <c r="E124">
        <f>E104+E106</f>
        <v>0</v>
      </c>
      <c r="G124">
        <f>G104+G106</f>
        <v>0</v>
      </c>
      <c r="I124">
        <f>I104+I106</f>
        <v>0</v>
      </c>
      <c r="K124">
        <f>K104+K106</f>
        <v>0</v>
      </c>
      <c r="M124">
        <f>M104+M106</f>
        <v>0</v>
      </c>
      <c r="O124">
        <f>O104+O106</f>
        <v>0</v>
      </c>
      <c r="Q124">
        <f>Q104+Q106</f>
        <v>0</v>
      </c>
      <c r="S124">
        <f>S104+S106</f>
        <v>0</v>
      </c>
      <c r="U124">
        <f>U104+U106</f>
        <v>0</v>
      </c>
      <c r="W124">
        <f>W104+W106</f>
        <v>0</v>
      </c>
      <c r="Y124">
        <f>Y104+Y106</f>
        <v>0</v>
      </c>
      <c r="AA124">
        <f>AA104+AA106</f>
        <v>0</v>
      </c>
      <c r="AC124">
        <f>AC104+AC106</f>
        <v>0</v>
      </c>
      <c r="AE124">
        <f>AE104+AE106</f>
        <v>0</v>
      </c>
      <c r="AG124">
        <f>AG104+AG106</f>
        <v>0</v>
      </c>
      <c r="AI124">
        <f>AI104+AI106</f>
        <v>0</v>
      </c>
    </row>
    <row r="125" spans="2:35" x14ac:dyDescent="0.3">
      <c r="B125" t="s">
        <v>205</v>
      </c>
      <c r="E125">
        <f>IFERROR((E90*E94/E98),0)+IFERROR((E91*E95/E99),0)+IFERROR((E92*E96/E100),0)+IFERROR((E93*E97/E101),0)</f>
        <v>0</v>
      </c>
      <c r="G125">
        <f>IFERROR((G90*G94/G98),0)+IFERROR((G91*G95/G99),0)+IFERROR((G92*G96/G100),0)+IFERROR((G93*G97/G101),0)</f>
        <v>0</v>
      </c>
      <c r="I125">
        <f>IFERROR((I90*I94/I98),0)+IFERROR((I91*I95/I99),0)+IFERROR((I92*I96/I100),0)+IFERROR((I93*I97/I101),0)</f>
        <v>0</v>
      </c>
      <c r="K125">
        <f>IFERROR((K90*K94/K98),0)+IFERROR((K91*K95/K99),0)+IFERROR((K92*K96/K100),0)+IFERROR((K93*K97/K101),0)</f>
        <v>0</v>
      </c>
      <c r="M125">
        <f>IFERROR((M90*M94/M98),0)+IFERROR((M91*M95/M99),0)+IFERROR((M92*M96/M100),0)+IFERROR((M93*M97/M101),0)</f>
        <v>0</v>
      </c>
      <c r="O125">
        <f>IFERROR((O90*O94/O98),0)+IFERROR((O91*O95/O99),0)+IFERROR((O92*O96/O100),0)+IFERROR((O93*O97/O101),0)</f>
        <v>0</v>
      </c>
      <c r="Q125">
        <f>IFERROR((Q90*Q94/Q98),0)+IFERROR((Q91*Q95/Q99),0)+IFERROR((Q92*Q96/Q100),0)+IFERROR((Q93*Q97/Q101),0)</f>
        <v>0</v>
      </c>
      <c r="S125">
        <f>IFERROR((S90*S94/S98),0)+IFERROR((S91*S95/S99),0)+IFERROR((S92*S96/S100),0)+IFERROR((S93*S97/S101),0)</f>
        <v>0</v>
      </c>
      <c r="U125">
        <f>IFERROR((U90*U94/U98),0)+IFERROR((U91*U95/U99),0)+IFERROR((U92*U96/U100),0)+IFERROR((U93*U97/U101),0)</f>
        <v>0</v>
      </c>
      <c r="W125">
        <f>IFERROR((W90*W94/W98),0)+IFERROR((W91*W95/W99),0)+IFERROR((W92*W96/W100),0)+IFERROR((W93*W97/W101),0)</f>
        <v>0</v>
      </c>
      <c r="Y125">
        <f>IFERROR((Y90*Y94/Y98),0)+IFERROR((Y91*Y95/Y99),0)+IFERROR((Y92*Y96/Y100),0)+IFERROR((Y93*Y97/Y101),0)</f>
        <v>0</v>
      </c>
      <c r="AA125">
        <f>IFERROR((AA90*AA94/AA98),0)+IFERROR((AA91*AA95/AA99),0)+IFERROR((AA92*AA96/AA100),0)+IFERROR((AA93*AA97/AA101),0)</f>
        <v>0</v>
      </c>
      <c r="AC125">
        <f>IFERROR((AC90*AC94/AC98),0)+IFERROR((AC91*AC95/AC99),0)+IFERROR((AC92*AC96/AC100),0)+IFERROR((AC93*AC97/AC101),0)</f>
        <v>0</v>
      </c>
      <c r="AE125">
        <f>IFERROR((AE90*AE94/AE98),0)+IFERROR((AE91*AE95/AE99),0)+IFERROR((AE92*AE96/AE100),0)+IFERROR((AE93*AE97/AE101),0)</f>
        <v>0</v>
      </c>
      <c r="AG125">
        <f>IFERROR((AG90*AG94/AG98),0)+IFERROR((AG91*AG95/AG99),0)+IFERROR((AG92*AG96/AG100),0)+IFERROR((AG93*AG97/AG101),0)</f>
        <v>0</v>
      </c>
      <c r="AI125">
        <f>IFERROR((AI90*AI94/AI98),0)+IFERROR((AI91*AI95/AI99),0)+IFERROR((AI92*AI96/AI100),0)+IFERROR((AI93*AI97/AI101),0)</f>
        <v>0</v>
      </c>
    </row>
    <row r="128" spans="2:35" x14ac:dyDescent="0.3">
      <c r="B128" s="39"/>
      <c r="C128" s="39"/>
    </row>
    <row r="131" spans="2:3" x14ac:dyDescent="0.3">
      <c r="B131" s="41"/>
      <c r="C131" s="41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D5E45824-5737-45D9-BAAC-C481F9077626}">
  <sheetPr codeName="Hoja7"/>
  <dimension ref="A1:V35"/>
  <sheetViews>
    <sheetView tabSelected="1" workbookViewId="0" zoomScale="87" zoomScaleNormal="87">
      <selection activeCell="G22" sqref="G22"/>
    </sheetView>
  </sheetViews>
  <sheetFormatPr baseColWidth="10" defaultColWidth="9.109375" defaultRowHeight="14.4" x14ac:dyDescent="0.3"/>
  <cols>
    <col min="1" max="2" customWidth="true" width="5.6640625" collapsed="true"/>
    <col min="5" max="5" customWidth="true" width="8.33203125" collapsed="true"/>
    <col min="6" max="6" customWidth="true" hidden="true" width="35.109375" collapsed="true"/>
    <col min="7" max="7" customWidth="true" width="5.44140625" collapsed="true"/>
    <col min="8" max="8" customWidth="true" width="91.5546875" collapsed="true"/>
    <col min="9" max="10" customWidth="true" width="5.6640625" collapsed="true"/>
  </cols>
  <sheetData>
    <row r="1" spans="1:22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ht="23.4" r="6" spans="1:22" x14ac:dyDescent="0.45">
      <c r="A6" s="3"/>
      <c r="B6" s="3"/>
      <c r="C6" s="4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ht="23.4" r="7" spans="1:22" x14ac:dyDescent="0.45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">
      <c r="A8" s="3"/>
      <c r="B8" s="5"/>
      <c r="C8" s="6"/>
      <c r="D8" s="6"/>
      <c r="E8" s="6"/>
      <c r="F8" s="6"/>
      <c r="G8" s="6"/>
      <c r="H8" s="6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">
      <c r="A9" s="3"/>
      <c r="B9" s="8"/>
      <c r="C9" s="3"/>
      <c r="D9" s="3"/>
      <c r="E9" s="3"/>
      <c r="F9" s="3"/>
      <c r="G9" s="3"/>
      <c r="H9" s="3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3">
      <c r="A10" s="3"/>
      <c r="B10" s="8"/>
      <c r="C10" s="10" t="s">
        <v>51</v>
      </c>
      <c r="D10" s="3"/>
      <c r="E10" s="11" t="str">
        <f>VLOOKUP(F10,T!A2:B17,2,0)</f>
        <v>T1</v>
      </c>
      <c r="F10" s="75" t="s">
        <v>123</v>
      </c>
      <c r="G10" s="3"/>
      <c r="H10" s="3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3">
      <c r="A11" s="9"/>
      <c r="B11" s="3"/>
      <c r="C11" s="3"/>
      <c r="D11" s="3"/>
      <c r="E11" s="3"/>
      <c r="F11" s="3"/>
      <c r="G11" s="3"/>
      <c r="H11" s="3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3">
      <c r="A12" s="9"/>
      <c r="B12" s="3"/>
      <c r="C12" s="10" t="s">
        <v>90</v>
      </c>
      <c r="D12" s="3"/>
      <c r="E12" s="3"/>
      <c r="F12" s="3"/>
      <c r="G12" s="3"/>
      <c r="H12" s="3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3">
      <c r="A13" s="9"/>
      <c r="B13" s="12"/>
      <c r="C13" s="12"/>
      <c r="D13" s="12"/>
      <c r="E13" s="12"/>
      <c r="F13" s="12"/>
      <c r="G13" s="12"/>
      <c r="H13" s="12"/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3">
      <c r="A14" s="3"/>
      <c r="B14" s="3"/>
      <c r="C14" s="3"/>
      <c r="D14" s="3"/>
      <c r="E14" s="3"/>
      <c r="F14" s="3"/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</sheetData>
  <sheetProtection selectLockedCells="1"/>
  <dataValidations count="1">
    <dataValidation allowBlank="1" showErrorMessage="1" showInputMessage="1" sqref="F10" type="list" xr:uid="{CED7B21C-6BA6-4126-B0A5-26555DBFC45C}">
      <formula1>TVehiculo</formula1>
    </dataValidation>
  </dataValidations>
  <pageMargins bottom="0.75" footer="0.3" header="0.3" left="0.7" right="0.7" top="0.75"/>
  <pageSetup orientation="portrait" paperSize="9" r:id="rId1"/>
  <drawing r:id="rId2"/>
  <legacyDrawing r:id="rId3"/>
  <controls>
    <mc:AlternateContent>
      <mc:Choice Requires="x14">
        <control name="B_Carga" r:id="rId4" shapeId="10241">
          <controlPr autoLine="0" defaultSize="0" locked="0" r:id="rId5">
            <anchor moveWithCells="1">
              <from>
                <xdr:col>7</xdr:col>
                <xdr:colOff>3764280</xdr:colOff>
                <xdr:row>10</xdr:row>
                <xdr:rowOff>175260</xdr:rowOff>
              </from>
              <to>
                <xdr:col>7</xdr:col>
                <xdr:colOff>4290060</xdr:colOff>
                <xdr:row>12</xdr:row>
                <xdr:rowOff>60960</xdr:rowOff>
              </to>
            </anchor>
          </controlPr>
        </control>
      </mc:Choice>
      <mc:Fallback>
        <control name="B_Carga" r:id="rId4" shapeId="10241"/>
      </mc:Fallback>
    </mc:AlternateContent>
    <mc:AlternateContent>
      <mc:Choice Requires="x14">
        <control name="B_Vaciar" r:id="rId6" shapeId="10242">
          <controlPr autoLine="0" defaultSize="0" locked="0" r:id="rId7">
            <anchor moveWithCells="1">
              <from>
                <xdr:col>7</xdr:col>
                <xdr:colOff>4404360</xdr:colOff>
                <xdr:row>10</xdr:row>
                <xdr:rowOff>175260</xdr:rowOff>
              </from>
              <to>
                <xdr:col>7</xdr:col>
                <xdr:colOff>4907280</xdr:colOff>
                <xdr:row>12</xdr:row>
                <xdr:rowOff>60960</xdr:rowOff>
              </to>
            </anchor>
          </controlPr>
        </control>
      </mc:Choice>
      <mc:Fallback>
        <control name="B_Vaciar" r:id="rId6" shapeId="10242"/>
      </mc:Fallback>
    </mc:AlternateContent>
    <mc:AlternateContent>
      <mc:Choice Requires="x14">
        <control name="CB_Vehiculo" r:id="rId8" shapeId="10243">
          <controlPr autoLine="0" defaultSize="0" r:id="rId9">
            <anchor moveWithCells="1">
              <from>
                <xdr:col>4</xdr:col>
                <xdr:colOff>342900</xdr:colOff>
                <xdr:row>9</xdr:row>
                <xdr:rowOff>0</xdr:rowOff>
              </from>
              <to>
                <xdr:col>7</xdr:col>
                <xdr:colOff>6111240</xdr:colOff>
                <xdr:row>10</xdr:row>
                <xdr:rowOff>68580</xdr:rowOff>
              </to>
            </anchor>
          </controlPr>
        </control>
      </mc:Choice>
      <mc:Fallback>
        <control name="CB_Vehiculo" r:id="rId8" shapeId="10243"/>
      </mc:Fallback>
    </mc:AlternateContent>
  </control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R81"/>
  <sheetViews>
    <sheetView topLeftCell="B1" workbookViewId="0" zoomScale="87" zoomScaleNormal="87">
      <selection activeCell="O41" sqref="O4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46.6640625" collapsed="true"/>
    <col min="8" max="8" customWidth="true" width="3.109375" collapsed="true"/>
    <col min="9" max="9" customWidth="true" style="42" width="15.6640625" collapsed="true"/>
    <col min="10" max="10" customWidth="true" style="42" width="17.109375" collapsed="true"/>
    <col min="11" max="11" customWidth="true" width="12.44140625" collapsed="true"/>
    <col min="12" max="12" customWidth="true" width="5.21875" collapsed="true"/>
    <col min="13" max="15" customWidth="true" width="5.6640625" collapsed="true"/>
    <col min="17" max="17" customWidth="true" width="20.88671875" collapsed="true"/>
    <col min="18" max="18" customWidth="true" width="24.6640625" collapsed="true"/>
  </cols>
  <sheetData>
    <row r="1" spans="1:18" x14ac:dyDescent="0.3">
      <c r="A1" s="3"/>
      <c r="B1" s="3"/>
      <c r="C1" s="3"/>
      <c r="D1" s="3"/>
      <c r="E1" s="3"/>
      <c r="F1" s="3"/>
      <c r="G1" s="3"/>
      <c r="H1" s="3"/>
      <c r="I1" s="43"/>
      <c r="J1" s="43"/>
      <c r="K1" s="3"/>
      <c r="L1" s="3"/>
      <c r="M1" s="3"/>
      <c r="N1" s="3"/>
      <c r="O1" s="3"/>
      <c r="P1" s="3"/>
      <c r="Q1" s="3"/>
      <c r="R1" s="3"/>
    </row>
    <row r="2" spans="1:18" x14ac:dyDescent="0.3">
      <c r="A2" s="3"/>
      <c r="B2" s="3"/>
      <c r="C2" s="3"/>
      <c r="D2" s="3"/>
      <c r="E2" s="3"/>
      <c r="F2" s="3"/>
      <c r="G2" s="3"/>
      <c r="H2" s="3"/>
      <c r="I2" s="43"/>
      <c r="J2" s="43"/>
      <c r="K2" s="3"/>
      <c r="L2" s="3"/>
      <c r="M2" s="3"/>
      <c r="N2" s="3"/>
      <c r="O2" s="3"/>
      <c r="P2" s="3"/>
      <c r="Q2" s="3"/>
      <c r="R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43"/>
      <c r="J3" s="43"/>
      <c r="K3" s="3"/>
      <c r="L3" s="3"/>
      <c r="M3" s="3"/>
      <c r="N3" s="3"/>
      <c r="O3" s="3"/>
      <c r="P3" s="3"/>
      <c r="Q3" s="3"/>
      <c r="R3" s="3"/>
    </row>
    <row r="4" spans="1:18" x14ac:dyDescent="0.3">
      <c r="A4" s="3"/>
      <c r="B4" s="3"/>
      <c r="C4" s="3"/>
      <c r="D4" s="3"/>
      <c r="E4" s="3"/>
      <c r="F4" s="3"/>
      <c r="G4" s="3"/>
      <c r="H4" s="3"/>
      <c r="I4" s="43"/>
      <c r="J4" s="43"/>
      <c r="K4" s="3"/>
      <c r="L4" s="3"/>
      <c r="M4" s="3"/>
      <c r="N4" s="3"/>
      <c r="O4" s="3"/>
      <c r="P4" s="3"/>
      <c r="Q4" s="3"/>
      <c r="R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43"/>
      <c r="J5" s="43"/>
      <c r="K5" s="3"/>
      <c r="L5" s="3"/>
      <c r="M5" s="3"/>
      <c r="N5" s="3"/>
      <c r="O5" s="3"/>
      <c r="P5" s="3"/>
      <c r="Q5" s="3"/>
      <c r="R5" s="3"/>
    </row>
    <row ht="23.4" r="6" spans="1:18" x14ac:dyDescent="0.45">
      <c r="A6" s="3"/>
      <c r="B6" s="3"/>
      <c r="C6" s="4" t="s">
        <v>52</v>
      </c>
      <c r="D6" s="3"/>
      <c r="E6" s="3"/>
      <c r="F6" s="3"/>
      <c r="G6" s="3"/>
      <c r="H6" s="3"/>
      <c r="I6" s="43"/>
      <c r="J6" s="43"/>
      <c r="K6" s="3"/>
      <c r="L6" s="3"/>
      <c r="M6" s="3"/>
      <c r="N6" s="3"/>
      <c r="O6" s="3"/>
      <c r="P6" s="3"/>
      <c r="Q6" s="3"/>
      <c r="R6" s="3"/>
    </row>
    <row customHeight="1" ht="9" r="7" spans="1:18" x14ac:dyDescent="0.3">
      <c r="A7" s="3"/>
      <c r="B7" s="3"/>
      <c r="C7" s="3"/>
      <c r="D7" s="3"/>
      <c r="E7" s="3"/>
      <c r="F7" s="3"/>
      <c r="G7" s="3"/>
      <c r="H7" s="3"/>
      <c r="I7" s="43"/>
      <c r="J7" s="43"/>
      <c r="K7" s="3"/>
      <c r="L7" s="3"/>
      <c r="M7" s="3"/>
      <c r="N7" s="3"/>
      <c r="O7" s="3"/>
      <c r="P7" s="3"/>
      <c r="Q7" s="3"/>
      <c r="R7" s="3"/>
    </row>
    <row r="8" spans="1:18" x14ac:dyDescent="0.3">
      <c r="A8" s="3"/>
      <c r="B8" s="14"/>
      <c r="C8" s="6"/>
      <c r="D8" s="6"/>
      <c r="E8" s="6"/>
      <c r="F8" s="6"/>
      <c r="G8" s="6"/>
      <c r="H8" s="6"/>
      <c r="I8" s="44"/>
      <c r="J8" s="44"/>
      <c r="K8" s="6"/>
      <c r="L8" s="6"/>
      <c r="M8" s="6"/>
      <c r="N8" s="15"/>
      <c r="O8" s="3"/>
      <c r="P8" s="3"/>
      <c r="Q8" s="3"/>
      <c r="R8" s="3"/>
    </row>
    <row customHeight="1" ht="21.75" r="9" spans="1:18" x14ac:dyDescent="0.3">
      <c r="A9" s="3"/>
      <c r="B9" s="16"/>
      <c r="C9" s="17" t="s">
        <v>53</v>
      </c>
      <c r="D9" s="18"/>
      <c r="E9" s="18"/>
      <c r="F9" s="18"/>
      <c r="G9" s="18"/>
      <c r="H9" s="18"/>
      <c r="I9" s="45"/>
      <c r="J9" s="59" t="s">
        <v>218</v>
      </c>
      <c r="K9" s="77" t="str">
        <f>DE!$AJ$2</f>
        <v>08/01/2024</v>
      </c>
      <c r="L9" s="18"/>
      <c r="M9" s="18"/>
      <c r="N9" s="19"/>
      <c r="O9" s="3"/>
      <c r="P9" s="3"/>
      <c r="Q9" s="3"/>
      <c r="R9" s="3"/>
    </row>
    <row customHeight="1" ht="18" r="10" spans="1:18" x14ac:dyDescent="0.3">
      <c r="A10" s="3"/>
      <c r="B10" s="16"/>
      <c r="C10" s="3"/>
      <c r="D10" s="3"/>
      <c r="E10" s="3"/>
      <c r="F10" s="3"/>
      <c r="G10" s="3"/>
      <c r="H10" s="3"/>
      <c r="I10" s="74" t="str">
        <f>J10</f>
        <v/>
      </c>
      <c r="J10" s="74" t="str">
        <f>IF(HLOOKUP('Tipo Vehículo'!$E$10,DE!$D$1:$AT$285,3,0)="","",HLOOKUP('Tipo Vehículo'!$E$10,DE!$D$1:$AT$285,3,0))</f>
        <v/>
      </c>
      <c r="K10" s="3"/>
      <c r="L10" s="43"/>
      <c r="M10" s="3"/>
      <c r="N10" s="19"/>
      <c r="O10" s="3"/>
      <c r="P10" s="3"/>
      <c r="Q10" s="3"/>
      <c r="R10" s="3"/>
    </row>
    <row r="11" spans="1:18" x14ac:dyDescent="0.3">
      <c r="A11" s="3"/>
      <c r="B11" s="16"/>
      <c r="C11" s="20" t="s">
        <v>13</v>
      </c>
      <c r="D11" s="3"/>
      <c r="E11" s="3"/>
      <c r="F11" s="3"/>
      <c r="G11" s="3"/>
      <c r="H11" s="3"/>
      <c r="I11" s="46"/>
      <c r="J11" s="31" t="str">
        <f>IF(HLOOKUP('Tipo Vehículo'!$E$10,DE!$D$1:$SS$300,9,0)="","",HLOOKUP('Tipo Vehículo'!$E$10,DE!$D$1:$AI$300,9,0))</f>
        <v/>
      </c>
      <c r="K11" s="3"/>
      <c r="L11" s="3"/>
      <c r="M11" s="3"/>
      <c r="N11" s="19"/>
      <c r="O11" s="3"/>
      <c r="P11" s="3"/>
      <c r="Q11" s="3"/>
      <c r="R11" s="3"/>
    </row>
    <row customHeight="1" ht="3.75" r="12" spans="1:18" x14ac:dyDescent="0.3">
      <c r="A12" s="3"/>
      <c r="B12" s="16"/>
      <c r="C12" s="10"/>
      <c r="D12" s="3"/>
      <c r="E12" s="3"/>
      <c r="F12" s="3"/>
      <c r="G12" s="3"/>
      <c r="H12" s="3"/>
      <c r="I12" s="43"/>
      <c r="J12" s="31"/>
      <c r="K12" s="3"/>
      <c r="L12" s="3"/>
      <c r="M12" s="3"/>
      <c r="N12" s="19"/>
      <c r="O12" s="3"/>
      <c r="P12" s="3"/>
      <c r="Q12" s="3"/>
      <c r="R12" s="3"/>
    </row>
    <row r="13" spans="1:18" x14ac:dyDescent="0.3">
      <c r="A13" s="3"/>
      <c r="B13" s="16"/>
      <c r="C13" s="20" t="s">
        <v>15</v>
      </c>
      <c r="D13" s="3"/>
      <c r="E13" s="3"/>
      <c r="F13" s="3"/>
      <c r="G13" s="3"/>
      <c r="H13" s="3"/>
      <c r="I13" s="46"/>
      <c r="J13" s="31" t="str">
        <f>IF(HLOOKUP('Tipo Vehículo'!$E$10,DE!$D$1:$AI$300,13,0)="","",HLOOKUP('Tipo Vehículo'!$E$10,DE!$D$1:$AI$300,13,0))</f>
        <v/>
      </c>
      <c r="K13" s="3"/>
      <c r="L13" s="3"/>
      <c r="M13" s="3"/>
      <c r="N13" s="19"/>
      <c r="O13" s="3"/>
      <c r="P13" s="3"/>
      <c r="Q13" s="3"/>
      <c r="R13" s="3"/>
    </row>
    <row customHeight="1" ht="3.75" r="14" spans="1:18" x14ac:dyDescent="0.3">
      <c r="A14" s="3"/>
      <c r="B14" s="16"/>
      <c r="C14" s="10"/>
      <c r="D14" s="3"/>
      <c r="E14" s="3"/>
      <c r="F14" s="3"/>
      <c r="G14" s="3"/>
      <c r="H14" s="3"/>
      <c r="I14" s="43"/>
      <c r="J14" s="31"/>
      <c r="K14" s="3"/>
      <c r="L14" s="3"/>
      <c r="M14" s="3"/>
      <c r="N14" s="19"/>
      <c r="O14" s="3"/>
      <c r="P14" s="3"/>
      <c r="Q14" s="3"/>
      <c r="R14" s="3"/>
    </row>
    <row r="15" spans="1:18" x14ac:dyDescent="0.3">
      <c r="A15" s="3"/>
      <c r="B15" s="16"/>
      <c r="C15" s="20" t="s">
        <v>192</v>
      </c>
      <c r="D15" s="3"/>
      <c r="E15" s="3"/>
      <c r="F15" s="3"/>
      <c r="G15" s="3"/>
      <c r="H15" s="3"/>
      <c r="I15" s="46">
        <v>0</v>
      </c>
      <c r="J15" s="31">
        <f>IF(HLOOKUP('Tipo Vehículo'!$E$10,DE!$D$1:$AI$300,121,0)="","",HLOOKUP('Tipo Vehículo'!$E$10,DE!$D$1:$AI$300,121,0))</f>
        <v>0</v>
      </c>
      <c r="K15" s="3"/>
      <c r="L15" s="3"/>
      <c r="M15" s="3"/>
      <c r="N15" s="19"/>
      <c r="O15" s="3"/>
      <c r="P15" s="3"/>
      <c r="Q15" s="3"/>
      <c r="R15" s="3"/>
    </row>
    <row customHeight="1" ht="3.75" r="16" spans="1:18" x14ac:dyDescent="0.3">
      <c r="A16" s="3"/>
      <c r="B16" s="16"/>
      <c r="C16" s="3"/>
      <c r="D16" s="3"/>
      <c r="E16" s="3"/>
      <c r="F16" s="3"/>
      <c r="G16" s="3"/>
      <c r="H16" s="3"/>
      <c r="I16" s="43"/>
      <c r="J16" s="43"/>
      <c r="K16" s="3"/>
      <c r="L16" s="3"/>
      <c r="M16" s="3"/>
      <c r="N16" s="19"/>
      <c r="O16" s="3"/>
      <c r="P16" s="3"/>
      <c r="Q16" s="3"/>
      <c r="R16" s="3"/>
    </row>
    <row r="17" spans="1:18" x14ac:dyDescent="0.3">
      <c r="A17" s="3"/>
      <c r="B17" s="16"/>
      <c r="C17" s="20" t="s">
        <v>193</v>
      </c>
      <c r="D17" s="3"/>
      <c r="E17" s="3"/>
      <c r="F17" s="3"/>
      <c r="G17" s="3"/>
      <c r="H17" s="10"/>
      <c r="I17" s="46"/>
      <c r="J17" s="31" t="e">
        <f>IF(HLOOKUP('Tipo Vehículo'!$E$10,DE!$D$1:$AI$300,17,0)="","",HLOOKUP('Tipo Vehículo'!$E$10,DE!$D$1:$AI$300,22,0))</f>
        <v>#DIV/0!</v>
      </c>
      <c r="K17" s="3"/>
      <c r="L17" s="3"/>
      <c r="M17" s="3"/>
      <c r="N17" s="19"/>
      <c r="O17" s="3"/>
      <c r="P17" s="3"/>
      <c r="Q17" s="3"/>
      <c r="R17" s="3"/>
    </row>
    <row customHeight="1" ht="3.75" r="18" spans="1:18" x14ac:dyDescent="0.3">
      <c r="A18" s="3"/>
      <c r="B18" s="16"/>
      <c r="C18" s="3"/>
      <c r="D18" s="3"/>
      <c r="E18" s="3"/>
      <c r="F18" s="3"/>
      <c r="G18" s="3"/>
      <c r="H18" s="3"/>
      <c r="I18" s="43"/>
      <c r="J18" s="43"/>
      <c r="K18" s="3"/>
      <c r="L18" s="3"/>
      <c r="M18" s="3"/>
      <c r="N18" s="19"/>
      <c r="O18" s="3"/>
      <c r="P18" s="3"/>
      <c r="Q18" s="3"/>
      <c r="R18" s="3"/>
    </row>
    <row r="19" spans="1:18" x14ac:dyDescent="0.3">
      <c r="A19" s="3"/>
      <c r="B19" s="16"/>
      <c r="C19" s="20" t="s">
        <v>194</v>
      </c>
      <c r="D19" s="3"/>
      <c r="E19" s="3"/>
      <c r="F19" s="3"/>
      <c r="G19" s="3"/>
      <c r="H19" s="3"/>
      <c r="I19" s="46"/>
      <c r="J19" s="31">
        <f>IF(HLOOKUP('Tipo Vehículo'!$E$10,DE!$D$1:$AI$300,23,0)="","",HLOOKUP('Tipo Vehículo'!$E$10,DE!$D$1:$AI$300,23,0))</f>
        <v>0</v>
      </c>
      <c r="K19" s="3"/>
      <c r="L19" s="3"/>
      <c r="M19" s="3"/>
      <c r="N19" s="19"/>
      <c r="O19" s="3"/>
      <c r="P19" s="3"/>
      <c r="Q19" s="3"/>
      <c r="R19" s="3"/>
    </row>
    <row customHeight="1" ht="3.75" r="20" spans="1:18" x14ac:dyDescent="0.3">
      <c r="A20" s="3"/>
      <c r="B20" s="16"/>
      <c r="C20" s="3"/>
      <c r="D20" s="3"/>
      <c r="E20" s="3"/>
      <c r="F20" s="3"/>
      <c r="G20" s="3"/>
      <c r="H20" s="3"/>
      <c r="I20" s="43"/>
      <c r="J20" s="43"/>
      <c r="K20" s="3"/>
      <c r="L20" s="3"/>
      <c r="M20" s="3"/>
      <c r="N20" s="19"/>
      <c r="O20" s="3"/>
      <c r="P20" s="3"/>
      <c r="Q20" s="3"/>
      <c r="R20" s="3"/>
    </row>
    <row r="21" spans="1:18" x14ac:dyDescent="0.3">
      <c r="A21" s="3"/>
      <c r="B21" s="16"/>
      <c r="C21" s="20" t="s">
        <v>195</v>
      </c>
      <c r="D21" s="3"/>
      <c r="E21" s="3"/>
      <c r="F21" s="3"/>
      <c r="G21" s="3"/>
      <c r="H21" s="3"/>
      <c r="I21" s="46"/>
      <c r="J21" s="31">
        <f>IF(HLOOKUP('Tipo Vehículo'!$E$10,DE!$D$1:$AI$300,122,0)="","",HLOOKUP('Tipo Vehículo'!$E$10,DE!$D$1:$AI$300,122,0))</f>
        <v>0</v>
      </c>
      <c r="K21" s="3"/>
      <c r="L21" s="3"/>
      <c r="M21" s="3"/>
      <c r="N21" s="19"/>
      <c r="O21" s="3"/>
      <c r="P21" s="3"/>
      <c r="Q21" s="3"/>
      <c r="R21" s="3"/>
    </row>
    <row customHeight="1" ht="3.75" r="22" spans="1:18" x14ac:dyDescent="0.3">
      <c r="A22" s="3"/>
      <c r="B22" s="16"/>
      <c r="C22" s="3"/>
      <c r="D22" s="3"/>
      <c r="E22" s="3"/>
      <c r="F22" s="3"/>
      <c r="G22" s="3"/>
      <c r="H22" s="3"/>
      <c r="I22" s="43"/>
      <c r="J22" s="43"/>
      <c r="K22" s="3"/>
      <c r="L22" s="3"/>
      <c r="M22" s="3"/>
      <c r="N22" s="19"/>
      <c r="O22" s="3"/>
      <c r="P22" s="3"/>
      <c r="Q22" s="3"/>
      <c r="R22" s="3"/>
    </row>
    <row r="23" spans="1:18" x14ac:dyDescent="0.3">
      <c r="A23" s="3"/>
      <c r="B23" s="16"/>
      <c r="C23" s="20" t="s">
        <v>196</v>
      </c>
      <c r="D23" s="3"/>
      <c r="E23" s="3"/>
      <c r="F23" s="3"/>
      <c r="G23" s="3"/>
      <c r="H23" s="3"/>
      <c r="I23" s="46"/>
      <c r="J23" s="31" t="str">
        <f>IF(HLOOKUP('Tipo Vehículo'!$E$10,DE!$D$1:$AI$300,38,0)="","",HLOOKUP('Tipo Vehículo'!$E$10,DE!$D$1:$AI$300,38,0))</f>
        <v/>
      </c>
      <c r="K23" s="3"/>
      <c r="L23" s="3"/>
      <c r="M23" s="3"/>
      <c r="N23" s="19"/>
      <c r="O23" s="3"/>
      <c r="P23" s="3"/>
      <c r="Q23" s="3"/>
      <c r="R23" s="3"/>
    </row>
    <row customHeight="1" ht="3.75" r="24" spans="1:18" x14ac:dyDescent="0.3">
      <c r="A24" s="3"/>
      <c r="B24" s="16"/>
      <c r="C24" s="3"/>
      <c r="D24" s="3"/>
      <c r="E24" s="3"/>
      <c r="F24" s="3"/>
      <c r="G24" s="3"/>
      <c r="H24" s="3"/>
      <c r="I24" s="43"/>
      <c r="J24" s="43"/>
      <c r="K24" s="3"/>
      <c r="L24" s="3"/>
      <c r="M24" s="3"/>
      <c r="N24" s="19"/>
      <c r="O24" s="3"/>
      <c r="P24" s="3"/>
      <c r="Q24" s="3"/>
      <c r="R24" s="3"/>
    </row>
    <row r="25" spans="1:18" x14ac:dyDescent="0.3">
      <c r="A25" s="3"/>
      <c r="B25" s="16"/>
      <c r="C25" s="20" t="s">
        <v>197</v>
      </c>
      <c r="D25" s="3"/>
      <c r="E25" s="3"/>
      <c r="F25" s="3"/>
      <c r="G25" s="3"/>
      <c r="H25" s="3"/>
      <c r="I25" s="46"/>
      <c r="J25" s="31">
        <f>IF(HLOOKUP('Tipo Vehículo'!$E$10,DE!$D$1:$AI$300,39,0)="","",HLOOKUP('Tipo Vehículo'!$E$10,DE!$D$1:$AI$300,39,0))</f>
        <v>0</v>
      </c>
      <c r="K25" s="3"/>
      <c r="L25" s="3"/>
      <c r="M25" s="3"/>
      <c r="N25" s="19"/>
      <c r="O25" s="3"/>
      <c r="P25" s="3"/>
      <c r="Q25" s="3"/>
      <c r="R25" s="3"/>
    </row>
    <row customHeight="1" ht="3.75" r="26" spans="1:18" x14ac:dyDescent="0.3">
      <c r="A26" s="3"/>
      <c r="B26" s="16"/>
      <c r="C26" s="3"/>
      <c r="D26" s="3"/>
      <c r="E26" s="3"/>
      <c r="F26" s="3"/>
      <c r="G26" s="3"/>
      <c r="H26" s="3"/>
      <c r="I26" s="43"/>
      <c r="J26" s="31"/>
      <c r="K26" s="3"/>
      <c r="L26" s="3"/>
      <c r="M26" s="3"/>
      <c r="N26" s="19"/>
      <c r="O26" s="3"/>
      <c r="P26" s="3"/>
      <c r="Q26" s="3"/>
      <c r="R26" s="3"/>
    </row>
    <row r="27" spans="1:18" x14ac:dyDescent="0.3">
      <c r="A27" s="3"/>
      <c r="B27" s="16"/>
      <c r="C27" s="20" t="s">
        <v>198</v>
      </c>
      <c r="D27" s="3"/>
      <c r="E27" s="3"/>
      <c r="F27" s="3"/>
      <c r="G27" s="3"/>
      <c r="H27" s="3"/>
      <c r="I27" s="46"/>
      <c r="J27" s="31" t="str">
        <f>IF(HLOOKUP('Tipo Vehículo'!$E$10,DE!$D$1:$AI$300,18,0)="","",HLOOKUP('Tipo Vehículo'!$E$10,DE!$D$1:$AI$300,18,0))</f>
        <v/>
      </c>
      <c r="K27" s="3"/>
      <c r="L27" s="3"/>
      <c r="M27" s="3"/>
      <c r="N27" s="19"/>
      <c r="O27" s="3"/>
      <c r="P27" s="33"/>
      <c r="Q27" s="3"/>
      <c r="R27" s="3"/>
    </row>
    <row customHeight="1" ht="3.75" r="28" spans="1:18" x14ac:dyDescent="0.3">
      <c r="A28" s="3"/>
      <c r="B28" s="16"/>
      <c r="C28" s="3"/>
      <c r="D28" s="3"/>
      <c r="E28" s="3"/>
      <c r="F28" s="3"/>
      <c r="G28" s="3"/>
      <c r="H28" s="3"/>
      <c r="I28" s="43"/>
      <c r="J28" s="31"/>
      <c r="K28" s="3"/>
      <c r="L28" s="3"/>
      <c r="M28" s="3"/>
      <c r="N28" s="19"/>
      <c r="O28" s="3"/>
      <c r="P28" s="3"/>
      <c r="Q28" s="3"/>
      <c r="R28" s="3"/>
    </row>
    <row r="29" spans="1:18" x14ac:dyDescent="0.3">
      <c r="A29" s="3"/>
      <c r="B29" s="16"/>
      <c r="C29" s="20" t="s">
        <v>199</v>
      </c>
      <c r="D29" s="3"/>
      <c r="E29" s="3"/>
      <c r="F29" s="3"/>
      <c r="G29" s="3"/>
      <c r="H29" s="3"/>
      <c r="I29" s="46"/>
      <c r="J29" s="31" t="str">
        <f>IF(HLOOKUP('Tipo Vehículo'!$E$10,DE!$D$1:$AI$300,51,0)="","",HLOOKUP('Tipo Vehículo'!$E$10,DE!$D$1:$AI$300,51,0))</f>
        <v/>
      </c>
      <c r="K29" s="3"/>
      <c r="L29" s="35"/>
      <c r="M29" s="3"/>
      <c r="N29" s="19"/>
      <c r="O29" s="33"/>
      <c r="P29" s="33"/>
      <c r="Q29" s="3"/>
      <c r="R29" s="33"/>
    </row>
    <row customHeight="1" ht="3.75" r="30" spans="1:18" x14ac:dyDescent="0.3">
      <c r="A30" s="3"/>
      <c r="B30" s="16"/>
      <c r="C30" s="3"/>
      <c r="D30" s="3"/>
      <c r="E30" s="3"/>
      <c r="F30" s="3"/>
      <c r="G30" s="3"/>
      <c r="H30" s="3"/>
      <c r="I30" s="43"/>
      <c r="J30" s="43"/>
      <c r="K30" s="3"/>
      <c r="L30" s="3"/>
      <c r="M30" s="3"/>
      <c r="N30" s="19"/>
      <c r="O30" s="3"/>
      <c r="P30" s="3"/>
      <c r="Q30" s="3"/>
      <c r="R30" s="33"/>
    </row>
    <row r="31" spans="1:18" x14ac:dyDescent="0.3">
      <c r="A31" s="3"/>
      <c r="B31" s="16"/>
      <c r="C31" s="20" t="s">
        <v>200</v>
      </c>
      <c r="D31" s="3"/>
      <c r="E31" s="3"/>
      <c r="F31" s="3"/>
      <c r="G31" s="3"/>
      <c r="H31" s="10" t="s">
        <v>54</v>
      </c>
      <c r="I31" s="47">
        <f>IFERROR(HLOOKUP('Tipo Vehículo'!$E$10,DE!$D$1:$AI$300,54,0)+(HLOOKUP('Tipo Vehículo'!$E$10,DE!$D$1:$AI$300,55,0)*'Cálculo Simplificado'!I11),0)</f>
        <v>0</v>
      </c>
      <c r="J31" s="31">
        <f>IF(HLOOKUP('Tipo Vehículo'!$E$10,DE!$D$1:$AI$300,123,0)="","",HLOOKUP('Tipo Vehículo'!$E$10,DE!$D$1:$AI$300,123,0))</f>
        <v>0</v>
      </c>
      <c r="K31" s="3"/>
      <c r="L31" s="3"/>
      <c r="M31" s="3"/>
      <c r="N31" s="19"/>
      <c r="O31" s="33"/>
      <c r="P31" s="3"/>
      <c r="Q31" s="3"/>
      <c r="R31" s="3"/>
    </row>
    <row customHeight="1" ht="3.75" r="32" spans="1:18" x14ac:dyDescent="0.3">
      <c r="A32" s="3"/>
      <c r="B32" s="16"/>
      <c r="C32" s="3"/>
      <c r="D32" s="3"/>
      <c r="E32" s="3"/>
      <c r="F32" s="3"/>
      <c r="G32" s="3"/>
      <c r="H32" s="3"/>
      <c r="I32" s="43"/>
      <c r="J32" s="43"/>
      <c r="K32" s="3"/>
      <c r="L32" s="3"/>
      <c r="M32" s="3"/>
      <c r="N32" s="19"/>
      <c r="O32" s="3"/>
      <c r="P32" s="3"/>
      <c r="Q32" s="3"/>
      <c r="R32" s="3"/>
    </row>
    <row r="33" spans="1:18" x14ac:dyDescent="0.3">
      <c r="A33" s="3"/>
      <c r="B33" s="16"/>
      <c r="C33" s="20" t="s">
        <v>55</v>
      </c>
      <c r="D33" s="3"/>
      <c r="E33" s="3"/>
      <c r="F33" s="3"/>
      <c r="G33" s="3"/>
      <c r="H33" s="3"/>
      <c r="I33" s="46"/>
      <c r="J33" s="31">
        <f>IF(HLOOKUP('Tipo Vehículo'!$E$10,DE!$D$1:$AI$300,66,0)="","",HLOOKUP('Tipo Vehículo'!$E$10,DE!$D$1:$AI$300,66,0))</f>
        <v>0</v>
      </c>
      <c r="K33" s="3"/>
      <c r="L33" s="3"/>
      <c r="M33" s="3"/>
      <c r="N33" s="19"/>
      <c r="O33" s="33"/>
      <c r="P33" s="33"/>
      <c r="Q33" s="3"/>
      <c r="R33" s="33"/>
    </row>
    <row customHeight="1" ht="3.75" r="34" spans="1:18" x14ac:dyDescent="0.3">
      <c r="A34" s="3"/>
      <c r="B34" s="16"/>
      <c r="C34" s="3"/>
      <c r="D34" s="3"/>
      <c r="E34" s="3"/>
      <c r="F34" s="3"/>
      <c r="G34" s="3"/>
      <c r="H34" s="3"/>
      <c r="I34" s="43"/>
      <c r="J34" s="43"/>
      <c r="K34" s="3"/>
      <c r="L34" s="3"/>
      <c r="M34" s="3"/>
      <c r="N34" s="19"/>
      <c r="O34" s="3"/>
      <c r="P34" s="3"/>
      <c r="Q34" s="3"/>
      <c r="R34" s="3"/>
    </row>
    <row r="35" spans="1:18" x14ac:dyDescent="0.3">
      <c r="A35" s="3"/>
      <c r="B35" s="16"/>
      <c r="C35" s="20" t="s">
        <v>56</v>
      </c>
      <c r="D35" s="3"/>
      <c r="E35" s="3"/>
      <c r="F35" s="3"/>
      <c r="G35" s="3"/>
      <c r="H35" s="3"/>
      <c r="I35" s="46"/>
      <c r="J35" s="31">
        <f>IF(HLOOKUP('Tipo Vehículo'!$E$10,DE!$D$1:$AI$300,75,0)="","",HLOOKUP('Tipo Vehículo'!$E$10,DE!$D$1:$AI$300,75,0))</f>
        <v>0</v>
      </c>
      <c r="K35" s="3"/>
      <c r="L35" s="3"/>
      <c r="M35" s="3"/>
      <c r="N35" s="19"/>
      <c r="O35" s="33"/>
      <c r="P35" s="3"/>
      <c r="Q35" s="3"/>
      <c r="R35" s="3"/>
    </row>
    <row customHeight="1" ht="3.75" r="36" spans="1:18" x14ac:dyDescent="0.3">
      <c r="A36" s="3"/>
      <c r="B36" s="16"/>
      <c r="C36" s="3"/>
      <c r="D36" s="3"/>
      <c r="E36" s="3"/>
      <c r="F36" s="3"/>
      <c r="G36" s="3"/>
      <c r="H36" s="3"/>
      <c r="I36" s="43"/>
      <c r="J36" s="43"/>
      <c r="K36" s="3"/>
      <c r="L36" s="3"/>
      <c r="M36" s="3"/>
      <c r="N36" s="19"/>
      <c r="O36" s="3"/>
      <c r="P36" s="3"/>
      <c r="Q36" s="3"/>
      <c r="R36" s="3"/>
    </row>
    <row r="37" spans="1:18" x14ac:dyDescent="0.3">
      <c r="A37" s="3"/>
      <c r="B37" s="16"/>
      <c r="C37" s="20" t="s">
        <v>37</v>
      </c>
      <c r="D37" s="3"/>
      <c r="E37" s="3"/>
      <c r="F37" s="3"/>
      <c r="G37" s="3"/>
      <c r="H37" s="3"/>
      <c r="I37" s="46"/>
      <c r="J37" s="31">
        <f>IF(HLOOKUP('Tipo Vehículo'!$E$10,DE!$D$1:$AI$300,80,0)="","",HLOOKUP('Tipo Vehículo'!$E$10,DE!$D$1:$AI$300,80,0))</f>
        <v>0</v>
      </c>
      <c r="K37" s="3"/>
      <c r="L37" s="3"/>
      <c r="M37" s="3"/>
      <c r="N37" s="19"/>
      <c r="O37" s="33"/>
      <c r="P37" s="3"/>
      <c r="Q37" s="3"/>
      <c r="R37" s="3"/>
    </row>
    <row customHeight="1" ht="3.75" r="38" spans="1:18" x14ac:dyDescent="0.3">
      <c r="A38" s="3"/>
      <c r="B38" s="16"/>
      <c r="C38" s="3"/>
      <c r="D38" s="3"/>
      <c r="E38" s="3"/>
      <c r="F38" s="3"/>
      <c r="G38" s="3"/>
      <c r="H38" s="3"/>
      <c r="I38" s="43"/>
      <c r="J38" s="43"/>
      <c r="K38" s="3"/>
      <c r="L38" s="3"/>
      <c r="M38" s="3"/>
      <c r="N38" s="19"/>
      <c r="O38" s="3"/>
      <c r="P38" s="3"/>
      <c r="Q38" s="3"/>
      <c r="R38" s="3"/>
    </row>
    <row r="39" spans="1:18" x14ac:dyDescent="0.3">
      <c r="A39" s="3"/>
      <c r="B39" s="16"/>
      <c r="C39" s="20" t="s">
        <v>14</v>
      </c>
      <c r="D39" s="3"/>
      <c r="E39" s="3"/>
      <c r="F39" s="3"/>
      <c r="G39" s="3"/>
      <c r="H39" s="3"/>
      <c r="I39" s="46"/>
      <c r="J39" s="31" t="str">
        <f>IF(HLOOKUP('Tipo Vehículo'!$E$10,DE!$D$1:$AI$300,12,0)="","",HLOOKUP('Tipo Vehículo'!$E$10,DE!$D$1:$AI$300,12,0))</f>
        <v/>
      </c>
      <c r="K39" s="3"/>
      <c r="L39" s="3"/>
      <c r="M39" s="3"/>
      <c r="N39" s="19"/>
      <c r="O39" s="33"/>
      <c r="P39" s="3"/>
      <c r="Q39" s="3"/>
      <c r="R39" s="3"/>
    </row>
    <row customHeight="1" ht="3.75" r="40" spans="1:18" x14ac:dyDescent="0.3">
      <c r="A40" s="3"/>
      <c r="B40" s="16"/>
      <c r="C40" s="3"/>
      <c r="D40" s="3"/>
      <c r="E40" s="3"/>
      <c r="F40" s="3"/>
      <c r="G40" s="3"/>
      <c r="H40" s="3"/>
      <c r="I40" s="43"/>
      <c r="J40" s="43"/>
      <c r="K40" s="3"/>
      <c r="L40" s="3"/>
      <c r="M40" s="3"/>
      <c r="N40" s="19"/>
      <c r="O40" s="3"/>
      <c r="P40" s="3"/>
      <c r="Q40" s="3"/>
      <c r="R40" s="3"/>
    </row>
    <row r="41" spans="1:18" x14ac:dyDescent="0.3">
      <c r="A41" s="3"/>
      <c r="B41" s="16"/>
      <c r="C41" s="20" t="s">
        <v>57</v>
      </c>
      <c r="D41" s="3"/>
      <c r="E41" s="72"/>
      <c r="F41" s="3"/>
      <c r="G41" s="3"/>
      <c r="H41" s="10" t="s">
        <v>54</v>
      </c>
      <c r="I41" s="47">
        <f>IFERROR(ROUND(I11/100*I39*I37,0),"")</f>
        <v>0</v>
      </c>
      <c r="J41" s="31">
        <f>IF(HLOOKUP('Tipo Vehículo'!$E$10,DE!$D$1:$AI$300,81,0)="","",HLOOKUP('Tipo Vehículo'!$E$10,DE!$D$1:$AI$300,81,0))</f>
        <v>0</v>
      </c>
      <c r="K41" s="3"/>
      <c r="L41" s="3"/>
      <c r="M41" s="3"/>
      <c r="N41" s="19"/>
      <c r="O41" s="33"/>
      <c r="P41" s="33"/>
      <c r="Q41" s="3"/>
      <c r="R41" s="33"/>
    </row>
    <row customHeight="1" ht="3.75" r="42" spans="1:18" x14ac:dyDescent="0.3">
      <c r="A42" s="3"/>
      <c r="B42" s="16"/>
      <c r="C42" s="3"/>
      <c r="D42" s="3"/>
      <c r="E42" s="3"/>
      <c r="F42" s="3"/>
      <c r="G42" s="3"/>
      <c r="H42" s="3"/>
      <c r="I42" s="43"/>
      <c r="J42" s="31"/>
      <c r="K42" s="3"/>
      <c r="L42" s="3"/>
      <c r="M42" s="3"/>
      <c r="N42" s="19"/>
      <c r="O42" s="3"/>
      <c r="P42" s="3"/>
      <c r="Q42" s="3"/>
      <c r="R42" s="3"/>
    </row>
    <row r="43" spans="1:18" x14ac:dyDescent="0.3">
      <c r="A43" s="3"/>
      <c r="B43" s="16"/>
      <c r="C43" s="20" t="s">
        <v>201</v>
      </c>
      <c r="D43" s="3"/>
      <c r="E43" s="3"/>
      <c r="F43" s="3"/>
      <c r="G43" s="3"/>
      <c r="H43" s="10" t="s">
        <v>54</v>
      </c>
      <c r="I43" s="47">
        <f>ROUND(HLOOKUP('Tipo Vehículo'!$E$10,DE!$D$1:$AI$300,125,0)*'Cálculo Simplificado'!I11,0)</f>
        <v>0</v>
      </c>
      <c r="J43" s="31">
        <f>IF(HLOOKUP('Tipo Vehículo'!$E$10,DE!$D$1:$AI$300,102,0)="","",HLOOKUP('Tipo Vehículo'!$E$10,DE!$D$1:$AI$300,102,0))</f>
        <v>0</v>
      </c>
      <c r="K43" s="3"/>
      <c r="L43" s="3"/>
      <c r="M43" s="3"/>
      <c r="N43" s="19"/>
      <c r="O43" s="3"/>
      <c r="P43" s="3"/>
      <c r="Q43" s="3"/>
      <c r="R43" s="3"/>
    </row>
    <row customHeight="1" ht="3.75" r="44" spans="1:18" x14ac:dyDescent="0.3">
      <c r="A44" s="3"/>
      <c r="B44" s="16"/>
      <c r="C44" s="3"/>
      <c r="D44" s="3"/>
      <c r="E44" s="3"/>
      <c r="F44" s="3"/>
      <c r="G44" s="3"/>
      <c r="H44" s="3"/>
      <c r="I44" s="43"/>
      <c r="J44" s="31"/>
      <c r="K44" s="3"/>
      <c r="L44" s="3"/>
      <c r="M44" s="3"/>
      <c r="N44" s="19"/>
      <c r="O44" s="3"/>
      <c r="P44" s="3"/>
      <c r="Q44" s="3"/>
      <c r="R44" s="3"/>
    </row>
    <row r="45" spans="1:18" x14ac:dyDescent="0.3">
      <c r="A45" s="3"/>
      <c r="B45" s="16"/>
      <c r="C45" s="20" t="s">
        <v>215</v>
      </c>
      <c r="D45" s="3"/>
      <c r="E45" s="3"/>
      <c r="F45" s="3"/>
      <c r="G45" s="3"/>
      <c r="H45" s="10" t="s">
        <v>54</v>
      </c>
      <c r="I45" s="47">
        <f>I11*HLOOKUP('Tipo Vehículo'!$E$10,DE!$D$1:$AI$300,103,0)+I11*HLOOKUP('Tipo Vehículo'!$E$10,DE!$D$1:$AI$300,105,0)</f>
        <v>0</v>
      </c>
      <c r="J45" s="31">
        <f>IF(HLOOKUP('Tipo Vehículo'!$E$10,DE!$D$1:$AI$300,104,0)="","",HLOOKUP('Tipo Vehículo'!$E$10,DE!$D$1:$AI$300,104,0))+IF(HLOOKUP('Tipo Vehículo'!$E$10,DE!$D$1:$AI$300,106,0)="","",HLOOKUP('Tipo Vehículo'!$E$10,DE!$D$1:$AI$300,106,0))</f>
        <v>0</v>
      </c>
      <c r="K45" s="3"/>
      <c r="L45" s="3"/>
      <c r="M45" s="3"/>
      <c r="N45" s="19"/>
      <c r="O45" s="3"/>
      <c r="P45" s="3"/>
      <c r="Q45" s="3"/>
      <c r="R45" s="3"/>
    </row>
    <row customHeight="1" ht="3.75" r="46" spans="1:18" x14ac:dyDescent="0.3">
      <c r="A46" s="3"/>
      <c r="B46" s="16"/>
      <c r="C46" s="3"/>
      <c r="D46" s="3"/>
      <c r="E46" s="3"/>
      <c r="F46" s="3"/>
      <c r="G46" s="3"/>
      <c r="H46" s="3"/>
      <c r="J46" s="43"/>
      <c r="K46" s="3"/>
      <c r="L46" s="3"/>
      <c r="M46" s="3"/>
      <c r="N46" s="19"/>
      <c r="O46" s="3"/>
      <c r="P46" s="3"/>
      <c r="Q46" s="3"/>
      <c r="R46" s="3"/>
    </row>
    <row r="47" spans="1:18" x14ac:dyDescent="0.3">
      <c r="A47" s="3"/>
      <c r="B47" s="16"/>
      <c r="C47" s="20" t="s">
        <v>203</v>
      </c>
      <c r="D47" s="3"/>
      <c r="E47" s="3"/>
      <c r="F47" s="3"/>
      <c r="G47" s="3"/>
      <c r="H47" s="3"/>
      <c r="I47" s="46"/>
      <c r="J47" s="31" t="str">
        <f>IF(HLOOKUP('Tipo Vehículo'!$E$10,DE!$D$1:$AI$300,107,0)="","",HLOOKUP('Tipo Vehículo'!$E$10,DE!$D$1:$AI$300,107,0))</f>
        <v/>
      </c>
      <c r="K47" s="3"/>
      <c r="L47" s="3"/>
      <c r="M47" s="3"/>
      <c r="N47" s="19"/>
      <c r="O47" s="3"/>
      <c r="P47" s="3"/>
      <c r="Q47" s="3"/>
      <c r="R47" s="3"/>
    </row>
    <row customHeight="1" ht="3.75" r="48" spans="1:18" x14ac:dyDescent="0.3">
      <c r="A48" s="3"/>
      <c r="B48" s="16"/>
      <c r="C48" s="3"/>
      <c r="D48" s="3"/>
      <c r="E48" s="3"/>
      <c r="F48" s="3"/>
      <c r="G48" s="3"/>
      <c r="H48" s="3"/>
      <c r="I48" s="43"/>
      <c r="J48" s="43"/>
      <c r="K48" s="3"/>
      <c r="L48" s="3"/>
      <c r="M48" s="3"/>
      <c r="N48" s="19"/>
      <c r="O48" s="3"/>
      <c r="P48" s="3"/>
      <c r="Q48" s="3"/>
      <c r="R48" s="3"/>
    </row>
    <row r="49" spans="1:18" x14ac:dyDescent="0.3">
      <c r="A49" s="3"/>
      <c r="B49" s="16"/>
      <c r="C49" s="20" t="s">
        <v>204</v>
      </c>
      <c r="D49" s="3"/>
      <c r="E49" s="3"/>
      <c r="F49" s="3"/>
      <c r="G49" s="3"/>
      <c r="H49" s="10"/>
      <c r="I49" s="46"/>
      <c r="J49" s="31">
        <f>IF(HLOOKUP('Tipo Vehículo'!$E$10,DE!$D$1:$AI$300,112,0)="","",HLOOKUP('Tipo Vehículo'!$E$10,DE!$D$1:$AI$300,112,0))</f>
        <v>0</v>
      </c>
      <c r="K49" s="3"/>
      <c r="L49" s="3"/>
      <c r="M49" s="3"/>
      <c r="N49" s="19"/>
      <c r="O49" s="3"/>
      <c r="P49" s="33"/>
      <c r="Q49" s="3"/>
      <c r="R49" s="3"/>
    </row>
    <row customHeight="1" ht="3.75" r="50" spans="1:18" x14ac:dyDescent="0.3">
      <c r="A50" s="3"/>
      <c r="B50" s="16"/>
      <c r="C50" s="3"/>
      <c r="D50" s="3"/>
      <c r="E50" s="3"/>
      <c r="F50" s="3"/>
      <c r="G50" s="3"/>
      <c r="H50" s="3"/>
      <c r="I50" s="43"/>
      <c r="J50" s="43"/>
      <c r="K50" s="3"/>
      <c r="L50" s="3"/>
      <c r="M50" s="3"/>
      <c r="N50" s="19"/>
      <c r="O50" s="3"/>
      <c r="P50" s="3"/>
      <c r="Q50" s="3"/>
      <c r="R50" s="3"/>
    </row>
    <row r="51" spans="1:18" x14ac:dyDescent="0.3">
      <c r="A51" s="3"/>
      <c r="B51" s="16"/>
      <c r="C51" s="3"/>
      <c r="D51" s="3"/>
      <c r="E51" s="3"/>
      <c r="F51" s="3"/>
      <c r="G51" s="3"/>
      <c r="H51" s="3"/>
      <c r="I51" s="43"/>
      <c r="J51" s="43"/>
      <c r="K51" s="3"/>
      <c r="L51" s="3"/>
      <c r="M51" s="3"/>
      <c r="N51" s="19"/>
      <c r="O51" s="3"/>
      <c r="P51" s="3"/>
      <c r="Q51" s="3"/>
      <c r="R51" s="3"/>
    </row>
    <row r="52" spans="1:18" x14ac:dyDescent="0.3">
      <c r="A52" s="3"/>
      <c r="B52" s="16"/>
      <c r="C52" t="s">
        <v>58</v>
      </c>
      <c r="D52" s="3"/>
      <c r="E52" s="3"/>
      <c r="F52" s="3"/>
      <c r="G52" s="3"/>
      <c r="H52" s="3"/>
      <c r="I52" s="43"/>
      <c r="J52" s="43"/>
      <c r="K52" s="3"/>
      <c r="L52" s="3"/>
      <c r="M52" s="3"/>
      <c r="N52" s="19"/>
      <c r="O52" s="3"/>
      <c r="P52" s="3"/>
      <c r="Q52" s="3"/>
      <c r="R52" s="3"/>
    </row>
    <row r="53" spans="1:18" x14ac:dyDescent="0.3">
      <c r="A53" s="3"/>
      <c r="B53" s="22"/>
      <c r="C53" s="23"/>
      <c r="D53" s="23"/>
      <c r="E53" s="23"/>
      <c r="F53" s="23"/>
      <c r="G53" s="23"/>
      <c r="H53" s="23"/>
      <c r="I53" s="48"/>
      <c r="J53" s="48"/>
      <c r="K53" s="23"/>
      <c r="L53" s="23"/>
      <c r="M53" s="23"/>
      <c r="N53" s="24"/>
      <c r="O53" s="3"/>
      <c r="P53" s="3"/>
      <c r="Q53" s="3"/>
      <c r="R53" s="3"/>
    </row>
    <row r="54" spans="1:18" x14ac:dyDescent="0.3">
      <c r="A54" s="3"/>
      <c r="B54" s="3"/>
      <c r="C54" s="3"/>
      <c r="D54" s="3"/>
      <c r="E54" s="3"/>
      <c r="F54" s="3"/>
      <c r="G54" s="3"/>
      <c r="H54" s="3"/>
      <c r="I54" s="43"/>
      <c r="J54" s="43"/>
      <c r="K54" s="3"/>
      <c r="L54" s="3"/>
      <c r="M54" s="3"/>
      <c r="N54" s="3"/>
      <c r="O54" s="3"/>
      <c r="P54" s="3"/>
      <c r="Q54" s="3"/>
      <c r="R54" s="3"/>
    </row>
    <row r="55" spans="1:18" x14ac:dyDescent="0.3">
      <c r="A55" s="3"/>
      <c r="B55" s="3"/>
      <c r="C55" s="3"/>
      <c r="D55" s="3"/>
      <c r="E55" s="3"/>
      <c r="F55" s="3"/>
      <c r="G55" s="3"/>
      <c r="H55" s="3"/>
      <c r="I55" s="43"/>
      <c r="J55" s="43"/>
      <c r="K55" s="3"/>
      <c r="L55" s="3"/>
      <c r="M55" s="3"/>
      <c r="N55" s="3"/>
      <c r="O55" s="3"/>
      <c r="P55" s="3"/>
      <c r="Q55" s="3"/>
      <c r="R55" s="3"/>
    </row>
    <row r="56" spans="1:18" x14ac:dyDescent="0.3">
      <c r="A56" s="3"/>
      <c r="B56" s="3"/>
      <c r="C56" s="3"/>
      <c r="D56" s="3"/>
      <c r="E56" s="3"/>
      <c r="F56" s="3"/>
      <c r="G56" s="3"/>
      <c r="H56" s="3"/>
      <c r="I56" s="43"/>
      <c r="J56" s="43"/>
      <c r="K56" s="3"/>
      <c r="L56" s="3"/>
      <c r="M56" s="3"/>
      <c r="N56" s="3"/>
      <c r="O56" s="3"/>
      <c r="P56" s="3"/>
      <c r="Q56" s="3"/>
      <c r="R56" s="3"/>
    </row>
    <row r="57" spans="1:18" x14ac:dyDescent="0.3">
      <c r="A57" s="3"/>
      <c r="B57" s="3"/>
      <c r="C57" s="3"/>
      <c r="D57" s="3"/>
      <c r="E57" s="3"/>
      <c r="F57" s="3"/>
      <c r="G57" s="3"/>
      <c r="H57" s="3"/>
      <c r="I57" s="43"/>
      <c r="J57" s="43"/>
      <c r="K57" s="3"/>
      <c r="L57" s="3"/>
      <c r="M57" s="3"/>
      <c r="N57" s="3"/>
      <c r="O57" s="3"/>
      <c r="P57" s="3"/>
      <c r="Q57" s="3"/>
      <c r="R57" s="3"/>
    </row>
    <row r="58" spans="1:18" x14ac:dyDescent="0.3">
      <c r="A58" s="3"/>
      <c r="B58" s="3"/>
      <c r="C58" s="3"/>
      <c r="D58" s="3"/>
      <c r="E58" s="3"/>
      <c r="F58" s="3"/>
      <c r="G58" s="3"/>
      <c r="H58" s="3"/>
      <c r="I58" s="43"/>
      <c r="J58" s="43"/>
      <c r="K58" s="3"/>
      <c r="L58" s="3"/>
      <c r="M58" s="3"/>
      <c r="N58" s="3"/>
      <c r="O58" s="3"/>
      <c r="P58" s="3"/>
      <c r="Q58" s="3"/>
      <c r="R58" s="3"/>
    </row>
    <row r="59" spans="1:18" x14ac:dyDescent="0.3">
      <c r="A59" s="3"/>
      <c r="B59" s="3"/>
      <c r="C59" s="3"/>
      <c r="D59" s="3"/>
      <c r="E59" s="3"/>
      <c r="F59" s="3"/>
      <c r="G59" s="3"/>
      <c r="H59" s="3"/>
      <c r="I59" s="43"/>
      <c r="J59" s="43"/>
      <c r="K59" s="3"/>
      <c r="L59" s="3"/>
      <c r="M59" s="3"/>
      <c r="N59" s="3"/>
      <c r="O59" s="3"/>
      <c r="P59" s="3"/>
      <c r="Q59" s="3"/>
      <c r="R59" s="3"/>
    </row>
    <row r="60" spans="1:18" x14ac:dyDescent="0.3">
      <c r="A60" s="3"/>
      <c r="B60" s="3"/>
      <c r="C60" s="3"/>
      <c r="D60" s="3"/>
      <c r="E60" s="3"/>
      <c r="F60" s="3"/>
      <c r="G60" s="3"/>
      <c r="H60" s="3"/>
      <c r="I60" s="43"/>
      <c r="J60" s="43"/>
      <c r="K60" s="3"/>
      <c r="L60" s="3"/>
      <c r="M60" s="3"/>
      <c r="N60" s="3"/>
      <c r="O60" s="3"/>
      <c r="P60" s="3"/>
      <c r="Q60" s="3"/>
      <c r="R60" s="3"/>
    </row>
    <row r="61" spans="1:18" x14ac:dyDescent="0.3">
      <c r="A61" s="3"/>
      <c r="B61" s="3"/>
      <c r="C61" s="3"/>
      <c r="D61" s="3"/>
      <c r="E61" s="3"/>
      <c r="F61" s="3"/>
      <c r="G61" s="3"/>
      <c r="H61" s="3"/>
      <c r="I61" s="43"/>
      <c r="J61" s="43"/>
      <c r="K61" s="3"/>
      <c r="L61" s="3"/>
      <c r="M61" s="3"/>
      <c r="N61" s="3"/>
      <c r="O61" s="3"/>
      <c r="P61" s="3"/>
      <c r="Q61" s="3"/>
      <c r="R61" s="3"/>
    </row>
    <row r="62" spans="1:18" x14ac:dyDescent="0.3">
      <c r="A62" s="3"/>
      <c r="B62" s="3"/>
      <c r="C62" s="3"/>
      <c r="D62" s="3"/>
      <c r="E62" s="3"/>
      <c r="F62" s="3"/>
      <c r="G62" s="3"/>
      <c r="H62" s="3"/>
      <c r="I62" s="43"/>
      <c r="J62" s="43"/>
      <c r="K62" s="3"/>
      <c r="L62" s="3"/>
      <c r="M62" s="3"/>
      <c r="N62" s="3"/>
      <c r="O62" s="3"/>
      <c r="P62" s="3"/>
      <c r="Q62" s="3"/>
      <c r="R62" s="3"/>
    </row>
    <row r="63" spans="1:18" x14ac:dyDescent="0.3">
      <c r="A63" s="3"/>
      <c r="B63" s="3"/>
      <c r="C63" s="3"/>
      <c r="D63" s="3"/>
      <c r="E63" s="3"/>
      <c r="F63" s="3"/>
      <c r="G63" s="3"/>
      <c r="H63" s="3"/>
      <c r="I63" s="43"/>
      <c r="J63" s="43"/>
      <c r="K63" s="3"/>
      <c r="L63" s="3"/>
      <c r="M63" s="3"/>
      <c r="N63" s="3"/>
      <c r="O63" s="3"/>
      <c r="P63" s="3"/>
      <c r="Q63" s="3"/>
      <c r="R63" s="3"/>
    </row>
    <row r="64" spans="1:18" x14ac:dyDescent="0.3">
      <c r="A64" s="3"/>
      <c r="B64" s="3"/>
      <c r="C64" s="3"/>
      <c r="D64" s="3"/>
      <c r="E64" s="3"/>
      <c r="F64" s="3"/>
      <c r="G64" s="3"/>
      <c r="H64" s="3"/>
      <c r="I64" s="43"/>
      <c r="J64" s="43"/>
      <c r="K64" s="3"/>
      <c r="L64" s="3"/>
      <c r="M64" s="3"/>
      <c r="N64" s="3"/>
      <c r="O64" s="3"/>
      <c r="P64" s="3"/>
      <c r="Q64" s="3"/>
      <c r="R64" s="3"/>
    </row>
    <row r="65" spans="1:18" x14ac:dyDescent="0.3">
      <c r="A65" s="3"/>
      <c r="B65" s="3"/>
      <c r="C65" s="3"/>
      <c r="D65" s="3"/>
      <c r="E65" s="3"/>
      <c r="F65" s="3"/>
      <c r="G65" s="3"/>
      <c r="H65" s="3"/>
      <c r="I65" s="43"/>
      <c r="J65" s="43"/>
      <c r="K65" s="3"/>
      <c r="L65" s="3"/>
      <c r="M65" s="3"/>
      <c r="N65" s="3"/>
      <c r="O65" s="3"/>
      <c r="P65" s="3"/>
      <c r="Q65" s="3"/>
      <c r="R65" s="3"/>
    </row>
    <row r="66" spans="1:18" x14ac:dyDescent="0.3">
      <c r="A66" s="3"/>
      <c r="B66" s="3"/>
      <c r="C66" s="3"/>
      <c r="D66" s="3"/>
      <c r="E66" s="3"/>
      <c r="F66" s="3"/>
      <c r="G66" s="3"/>
      <c r="H66" s="3"/>
      <c r="I66" s="43"/>
      <c r="J66" s="43"/>
      <c r="K66" s="3"/>
      <c r="L66" s="3"/>
      <c r="M66" s="3"/>
      <c r="N66" s="3"/>
      <c r="O66" s="3"/>
      <c r="P66" s="3"/>
      <c r="Q66" s="3"/>
      <c r="R66" s="3"/>
    </row>
    <row r="67" spans="1:18" x14ac:dyDescent="0.3">
      <c r="A67" s="3"/>
      <c r="B67" s="3"/>
      <c r="C67" s="3"/>
      <c r="D67" s="3"/>
      <c r="E67" s="3"/>
      <c r="F67" s="3"/>
      <c r="G67" s="3"/>
      <c r="H67" s="3"/>
      <c r="I67" s="43"/>
      <c r="J67" s="43"/>
      <c r="K67" s="3"/>
      <c r="L67" s="3"/>
      <c r="M67" s="3"/>
      <c r="N67" s="3"/>
      <c r="O67" s="3"/>
      <c r="P67" s="3"/>
      <c r="Q67" s="3"/>
      <c r="R67" s="3"/>
    </row>
    <row r="68" spans="1:18" x14ac:dyDescent="0.3">
      <c r="A68" s="3"/>
      <c r="B68" s="3"/>
      <c r="C68" s="3"/>
      <c r="D68" s="3"/>
      <c r="E68" s="3"/>
      <c r="F68" s="3"/>
      <c r="G68" s="3"/>
      <c r="H68" s="3"/>
      <c r="I68" s="43"/>
      <c r="J68" s="43"/>
      <c r="K68" s="3"/>
      <c r="L68" s="3"/>
      <c r="M68" s="3"/>
      <c r="N68" s="3"/>
      <c r="O68" s="3"/>
      <c r="P68" s="3"/>
      <c r="Q68" s="3"/>
      <c r="R68" s="3"/>
    </row>
    <row r="69" spans="1:18" x14ac:dyDescent="0.3">
      <c r="A69" s="3"/>
      <c r="B69" s="3"/>
      <c r="C69" s="3"/>
      <c r="D69" s="3"/>
      <c r="E69" s="3"/>
      <c r="F69" s="3"/>
      <c r="G69" s="3"/>
      <c r="H69" s="3"/>
      <c r="I69" s="43"/>
      <c r="J69" s="43"/>
      <c r="K69" s="3"/>
      <c r="L69" s="3"/>
      <c r="M69" s="3"/>
      <c r="N69" s="3"/>
      <c r="O69" s="3"/>
      <c r="P69" s="3"/>
      <c r="Q69" s="3"/>
      <c r="R69" s="3"/>
    </row>
    <row r="70" spans="1:18" x14ac:dyDescent="0.3">
      <c r="A70" s="3"/>
      <c r="B70" s="3"/>
      <c r="C70" s="3"/>
      <c r="D70" s="3"/>
      <c r="E70" s="3"/>
      <c r="F70" s="3"/>
      <c r="G70" s="3"/>
      <c r="H70" s="3"/>
      <c r="I70" s="43"/>
      <c r="J70" s="43"/>
      <c r="K70" s="3"/>
      <c r="L70" s="3"/>
      <c r="M70" s="3"/>
      <c r="N70" s="3"/>
      <c r="O70" s="3"/>
      <c r="P70" s="3"/>
      <c r="Q70" s="3"/>
      <c r="R70" s="3"/>
    </row>
    <row r="71" spans="1:18" x14ac:dyDescent="0.3">
      <c r="A71" s="3"/>
      <c r="B71" s="3"/>
      <c r="C71" s="3"/>
      <c r="D71" s="3"/>
      <c r="E71" s="3"/>
      <c r="F71" s="3"/>
      <c r="G71" s="3"/>
      <c r="H71" s="3"/>
      <c r="I71" s="43"/>
      <c r="J71" s="43"/>
      <c r="K71" s="3"/>
      <c r="L71" s="3"/>
      <c r="M71" s="3"/>
      <c r="N71" s="3"/>
      <c r="O71" s="3"/>
      <c r="P71" s="3"/>
      <c r="Q71" s="3"/>
      <c r="R71" s="3"/>
    </row>
    <row r="72" spans="1:18" x14ac:dyDescent="0.3">
      <c r="A72" s="3"/>
      <c r="B72" s="3"/>
      <c r="C72" s="3"/>
      <c r="D72" s="3"/>
      <c r="E72" s="3"/>
      <c r="F72" s="3"/>
      <c r="G72" s="3"/>
      <c r="H72" s="3"/>
      <c r="I72" s="43"/>
      <c r="J72" s="43"/>
      <c r="K72" s="3"/>
      <c r="L72" s="3"/>
      <c r="M72" s="3"/>
      <c r="N72" s="3"/>
      <c r="O72" s="3"/>
      <c r="P72" s="3"/>
      <c r="Q72" s="3"/>
      <c r="R72" s="3"/>
    </row>
    <row r="73" spans="1:18" x14ac:dyDescent="0.3">
      <c r="A73" s="3"/>
      <c r="B73" s="3"/>
      <c r="C73" s="3"/>
      <c r="D73" s="3"/>
      <c r="E73" s="3"/>
      <c r="F73" s="3"/>
      <c r="G73" s="3"/>
      <c r="H73" s="3"/>
      <c r="I73" s="43"/>
      <c r="J73" s="43"/>
      <c r="K73" s="3"/>
      <c r="L73" s="3"/>
      <c r="M73" s="3"/>
      <c r="N73" s="3"/>
      <c r="O73" s="3"/>
      <c r="P73" s="3"/>
      <c r="Q73" s="3"/>
      <c r="R73" s="3"/>
    </row>
    <row r="74" spans="1:18" x14ac:dyDescent="0.3">
      <c r="A74" s="3"/>
      <c r="B74" s="3"/>
      <c r="C74" s="3"/>
      <c r="D74" s="3"/>
      <c r="E74" s="3"/>
      <c r="F74" s="3"/>
      <c r="G74" s="3"/>
      <c r="H74" s="3"/>
      <c r="I74" s="43"/>
      <c r="J74" s="43"/>
      <c r="K74" s="3"/>
      <c r="L74" s="3"/>
      <c r="M74" s="3"/>
      <c r="N74" s="3"/>
      <c r="O74" s="3"/>
      <c r="P74" s="3"/>
      <c r="Q74" s="3"/>
      <c r="R74" s="3"/>
    </row>
    <row r="75" spans="1:18" x14ac:dyDescent="0.3">
      <c r="A75" s="3"/>
      <c r="B75" s="3"/>
      <c r="C75" s="3"/>
      <c r="D75" s="3"/>
      <c r="E75" s="3"/>
      <c r="F75" s="3"/>
      <c r="G75" s="3"/>
      <c r="H75" s="3"/>
      <c r="I75" s="43"/>
      <c r="J75" s="43"/>
      <c r="K75" s="3"/>
      <c r="L75" s="3"/>
      <c r="M75" s="3"/>
      <c r="N75" s="3"/>
      <c r="O75" s="3"/>
      <c r="P75" s="3"/>
      <c r="Q75" s="3"/>
      <c r="R75" s="3"/>
    </row>
    <row r="76" spans="1:18" x14ac:dyDescent="0.3">
      <c r="A76" s="3"/>
      <c r="B76" s="3"/>
      <c r="C76" s="3"/>
      <c r="D76" s="3"/>
      <c r="E76" s="3"/>
      <c r="F76" s="3"/>
      <c r="G76" s="3"/>
      <c r="H76" s="3"/>
      <c r="I76" s="43"/>
      <c r="J76" s="43"/>
      <c r="K76" s="3"/>
      <c r="L76" s="3"/>
      <c r="M76" s="3"/>
      <c r="N76" s="3"/>
      <c r="O76" s="3"/>
      <c r="P76" s="3"/>
      <c r="Q76" s="3"/>
      <c r="R76" s="3"/>
    </row>
    <row r="77" spans="1:18" x14ac:dyDescent="0.3">
      <c r="A77" s="3"/>
      <c r="B77" s="3"/>
      <c r="C77" s="3"/>
      <c r="D77" s="3"/>
      <c r="E77" s="3"/>
      <c r="F77" s="3"/>
      <c r="G77" s="3"/>
      <c r="H77" s="3"/>
      <c r="I77" s="43"/>
      <c r="J77" s="43"/>
      <c r="K77" s="3"/>
      <c r="L77" s="3"/>
      <c r="M77" s="3"/>
      <c r="N77" s="3"/>
      <c r="O77" s="3"/>
      <c r="P77" s="3"/>
      <c r="Q77" s="3"/>
      <c r="R77" s="3"/>
    </row>
    <row r="78" spans="1:18" x14ac:dyDescent="0.3">
      <c r="A78" s="3"/>
      <c r="B78" s="3"/>
      <c r="C78" s="3"/>
      <c r="D78" s="3"/>
      <c r="E78" s="3"/>
      <c r="F78" s="3"/>
      <c r="G78" s="3"/>
      <c r="H78" s="3"/>
      <c r="I78" s="43"/>
      <c r="J78" s="43"/>
      <c r="K78" s="3"/>
      <c r="L78" s="3"/>
      <c r="M78" s="3"/>
      <c r="N78" s="3"/>
      <c r="O78" s="3"/>
      <c r="P78" s="3"/>
      <c r="Q78" s="3"/>
      <c r="R78" s="3"/>
    </row>
    <row r="79" spans="1:18" x14ac:dyDescent="0.3">
      <c r="A79" s="3"/>
      <c r="B79" s="3"/>
      <c r="C79" s="3"/>
      <c r="D79" s="3"/>
      <c r="E79" s="3"/>
      <c r="F79" s="3"/>
      <c r="G79" s="3"/>
      <c r="H79" s="3"/>
      <c r="I79" s="43"/>
      <c r="J79" s="43"/>
      <c r="K79" s="3"/>
      <c r="L79" s="3"/>
      <c r="M79" s="3"/>
      <c r="N79" s="3"/>
      <c r="O79" s="3"/>
      <c r="P79" s="3"/>
      <c r="Q79" s="3"/>
      <c r="R79" s="3"/>
    </row>
    <row r="80" spans="1:18" x14ac:dyDescent="0.3">
      <c r="A80" s="3"/>
      <c r="B80" s="3"/>
      <c r="C80" s="3"/>
      <c r="D80" s="3"/>
      <c r="E80" s="3"/>
      <c r="F80" s="3"/>
      <c r="G80" s="3"/>
      <c r="H80" s="3"/>
      <c r="I80" s="43"/>
      <c r="J80" s="43"/>
      <c r="K80" s="3"/>
      <c r="L80" s="3"/>
      <c r="M80" s="3"/>
      <c r="N80" s="3"/>
      <c r="O80" s="3"/>
      <c r="P80" s="3"/>
      <c r="Q80" s="3"/>
      <c r="R80" s="3"/>
    </row>
    <row r="81" spans="1:18" x14ac:dyDescent="0.3">
      <c r="A81" s="3"/>
      <c r="B81" s="3"/>
      <c r="C81" s="3"/>
      <c r="D81" s="3"/>
      <c r="E81" s="3"/>
      <c r="F81" s="3"/>
      <c r="G81" s="3"/>
      <c r="H81" s="3"/>
      <c r="I81" s="43"/>
      <c r="J81" s="43"/>
      <c r="K81" s="3"/>
      <c r="L81" s="3"/>
      <c r="M81" s="3"/>
      <c r="N81" s="3"/>
      <c r="O81" s="3"/>
      <c r="P81" s="3"/>
      <c r="Q81" s="3"/>
      <c r="R81" s="3"/>
    </row>
  </sheetData>
  <sheetProtection selectLockedCells="1"/>
  <pageMargins bottom="0.75" footer="0.3" header="0.3" left="0.7" right="0.7" top="0.75"/>
  <pageSetup orientation="portrait" paperSize="9" r:id="rId1"/>
  <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V94"/>
  <sheetViews>
    <sheetView topLeftCell="A24" workbookViewId="0">
      <selection activeCell="H59" sqref="H59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63.5546875" collapsed="true"/>
    <col min="4" max="4" bestFit="true" customWidth="true" width="2.33203125" collapsed="true"/>
    <col min="5" max="5" customWidth="true" width="20.6640625" collapsed="true"/>
    <col min="6" max="6" customWidth="true" width="10.6640625" collapsed="true"/>
    <col min="7" max="7" customWidth="true" style="58" width="3.109375" collapsed="true"/>
    <col min="8" max="8" customWidth="true" width="20.6640625" collapsed="true"/>
    <col min="9" max="9" customWidth="true" width="10.6640625" collapsed="true"/>
    <col min="10" max="10" customWidth="true" width="1.6640625" collapsed="true"/>
    <col min="11" max="11" customWidth="true" width="2.6640625" collapsed="true"/>
    <col min="12" max="12" customWidth="true" width="1.88671875" collapsed="true"/>
    <col min="13" max="13" customWidth="true" width="1.44140625" collapsed="true"/>
    <col min="14" max="14" bestFit="true" customWidth="true" width="2.33203125" collapsed="true"/>
    <col min="15" max="15" customWidth="true" width="2.109375" collapsed="true"/>
    <col min="16" max="16" customWidth="true" width="1.6640625" collapsed="true"/>
    <col min="17" max="17" customWidth="true" width="2.88671875" collapsed="true"/>
    <col min="18" max="18" customWidth="true" width="1.5546875" collapsed="true"/>
    <col min="19" max="19" customWidth="true" width="5.6640625" collapsed="true"/>
    <col min="21" max="21" customWidth="true" width="120.0" collapsed="true"/>
  </cols>
  <sheetData>
    <row r="1" spans="1:22" x14ac:dyDescent="0.3">
      <c r="A1" s="3"/>
      <c r="B1" s="3"/>
      <c r="C1" s="3"/>
      <c r="D1" s="3"/>
      <c r="E1" s="3"/>
      <c r="F1" s="3"/>
      <c r="G1" s="2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3">
      <c r="A2" s="3"/>
      <c r="B2" s="3"/>
      <c r="C2" s="3"/>
      <c r="D2" s="3"/>
      <c r="E2" s="3"/>
      <c r="F2" s="3"/>
      <c r="G2" s="2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">
      <c r="A3" s="3"/>
      <c r="B3" s="3"/>
      <c r="C3" s="3"/>
      <c r="D3" s="3"/>
      <c r="E3" s="3"/>
      <c r="F3" s="3"/>
      <c r="G3" s="2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3"/>
      <c r="B4" s="3"/>
      <c r="C4" s="3"/>
      <c r="D4" s="3"/>
      <c r="E4" s="3"/>
      <c r="F4" s="3"/>
      <c r="G4" s="2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">
      <c r="A5" s="3"/>
      <c r="B5" s="3"/>
      <c r="C5" s="3"/>
      <c r="D5" s="3"/>
      <c r="E5" s="3"/>
      <c r="F5" s="3"/>
      <c r="G5" s="2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ht="23.4" r="6" spans="1:22" x14ac:dyDescent="0.45">
      <c r="A6" s="3"/>
      <c r="B6" s="3"/>
      <c r="C6" s="4" t="s">
        <v>61</v>
      </c>
      <c r="D6" s="4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customHeight="1" ht="9" r="7" spans="1:22" x14ac:dyDescent="0.3">
      <c r="A7" s="3"/>
      <c r="B7" s="3"/>
      <c r="C7" s="3"/>
      <c r="D7" s="3"/>
      <c r="E7" s="3"/>
      <c r="F7" s="3"/>
      <c r="G7" s="2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">
      <c r="A8" s="3"/>
      <c r="B8" s="14"/>
      <c r="C8" s="6"/>
      <c r="D8" s="6"/>
      <c r="E8" s="6"/>
      <c r="F8" s="6"/>
      <c r="G8" s="54"/>
      <c r="H8" s="6"/>
      <c r="I8" s="6"/>
      <c r="J8" s="6"/>
      <c r="K8" s="6"/>
      <c r="L8" s="6"/>
      <c r="M8" s="6"/>
      <c r="N8" s="6"/>
      <c r="O8" s="6"/>
      <c r="P8" s="6"/>
      <c r="Q8" s="6"/>
      <c r="R8" s="15"/>
      <c r="S8" s="3"/>
      <c r="T8" s="3"/>
      <c r="U8" s="3"/>
      <c r="V8" s="3"/>
    </row>
    <row customHeight="1" ht="20.100000000000001" r="9" spans="1:22" x14ac:dyDescent="0.3">
      <c r="A9" s="3"/>
      <c r="B9" s="16"/>
      <c r="C9" s="17" t="s">
        <v>69</v>
      </c>
      <c r="D9" s="17"/>
      <c r="E9" s="79" t="s">
        <v>62</v>
      </c>
      <c r="F9" s="79"/>
      <c r="G9" s="55"/>
      <c r="H9" s="76" t="s">
        <v>218</v>
      </c>
      <c r="I9" s="78" t="str">
        <f>DE!$AJ$2</f>
        <v>08/01/2024</v>
      </c>
      <c r="J9" s="27"/>
      <c r="K9" s="27"/>
      <c r="L9" s="27"/>
      <c r="M9" s="27"/>
      <c r="N9" s="3"/>
      <c r="O9" s="3"/>
      <c r="P9" s="3"/>
      <c r="Q9" s="3"/>
      <c r="R9" s="19"/>
      <c r="S9" s="3"/>
      <c r="T9" s="3"/>
      <c r="U9" s="3"/>
      <c r="V9" s="3"/>
    </row>
    <row customHeight="1" ht="18" r="10" spans="1:22" x14ac:dyDescent="0.3">
      <c r="A10" s="3"/>
      <c r="B10" s="16"/>
      <c r="C10" s="3"/>
      <c r="D10" s="3"/>
      <c r="E10" s="26" t="s">
        <v>63</v>
      </c>
      <c r="F10" s="26" t="s">
        <v>64</v>
      </c>
      <c r="G10" s="27"/>
      <c r="H10" s="26" t="s">
        <v>63</v>
      </c>
      <c r="I10" s="26" t="s">
        <v>64</v>
      </c>
      <c r="J10" s="27"/>
      <c r="K10" s="27"/>
      <c r="L10" s="27"/>
      <c r="M10" s="27"/>
      <c r="N10" s="3"/>
      <c r="O10" s="3"/>
      <c r="P10" s="3"/>
      <c r="Q10" s="3"/>
      <c r="R10" s="19"/>
      <c r="S10" s="3"/>
      <c r="T10" s="3"/>
      <c r="U10" s="3"/>
      <c r="V10" s="3"/>
    </row>
    <row r="11" spans="1:22" x14ac:dyDescent="0.3">
      <c r="A11" s="3"/>
      <c r="B11" s="16"/>
      <c r="C11" s="10" t="s">
        <v>70</v>
      </c>
      <c r="D11" s="10" t="s">
        <v>65</v>
      </c>
      <c r="E11" s="70">
        <f>IFERROR(('Cálculo Simplificado'!I15-'Cálculo Simplificado'!I19)*(1/'Cálculo Simplificado'!I17)+('Cálculo Simplificado'!I15-'Cálculo Simplificado'!I19)*(-(1/'Cálculo Simplificado'!I17)+'Cálculo Simplificado'!I$10/(1-POWER(1+'Cálculo Simplificado'!I$10,-'Cálculo Simplificado'!I17)))+('Cálculo Simplificado'!I21-'Cálculo Simplificado'!I25)*(1/'Cálculo Simplificado'!I23)+('Cálculo Simplificado'!I21-'Cálculo Simplificado'!I25)*(-(1/'Cálculo Simplificado'!I23)+'Cálculo Simplificado'!I$10/(1-POWER(1+'Cálculo Simplificado'!I$10,-'Cálculo Simplificado'!I23))),0)+'Cálculo Simplificado'!I27</f>
        <v>0</v>
      </c>
      <c r="F11" s="52">
        <f>IFERROR(E11*F$16/E$16,0)</f>
        <v>0</v>
      </c>
      <c r="G11" s="56" t="s">
        <v>65</v>
      </c>
      <c r="H11" s="30" t="e">
        <f>IFERROR(('Cálculo Simplificado'!J15-'Cálculo Simplificado'!J19)*(1/'Cálculo Simplificado'!J17)+('Cálculo Simplificado'!J15-'Cálculo Simplificado'!J19)*(-(1/'Cálculo Simplificado'!J17)+'Cálculo Simplificado'!J$10/(1-POWER(1+'Cálculo Simplificado'!J$10,-'Cálculo Simplificado'!J17)))+('Cálculo Simplificado'!J21-'Cálculo Simplificado'!J25)*(1/'Cálculo Simplificado'!J23)+('Cálculo Simplificado'!J21-'Cálculo Simplificado'!J25)*(-(1/'Cálculo Simplificado'!J23)+'Cálculo Simplificado'!J$10/(1-POWER(1+'Cálculo Simplificado'!J$10,-'Cálculo Simplificado'!J23))),0)+'Cálculo Simplificado'!J27</f>
        <v>#VALUE!</v>
      </c>
      <c r="I11" s="31">
        <f>IFERROR(H11*I$16/H$16,0)</f>
        <v>0</v>
      </c>
      <c r="J11" s="21"/>
      <c r="K11" s="2"/>
      <c r="L11" s="21"/>
      <c r="M11" s="21"/>
      <c r="N11" s="3"/>
      <c r="O11" s="3"/>
      <c r="P11" s="3"/>
      <c r="Q11" s="3"/>
      <c r="R11" s="19"/>
      <c r="S11" s="3"/>
      <c r="T11" s="3"/>
      <c r="U11" s="3"/>
      <c r="V11" s="3"/>
    </row>
    <row r="12" spans="1:22" x14ac:dyDescent="0.3">
      <c r="A12" s="3"/>
      <c r="B12" s="16"/>
      <c r="C12" s="10" t="s">
        <v>71</v>
      </c>
      <c r="D12" s="10" t="s">
        <v>66</v>
      </c>
      <c r="E12" s="70">
        <f>'Cálculo Simplificado'!I29+'Cálculo Simplificado'!I31</f>
        <v>0</v>
      </c>
      <c r="F12" s="52">
        <f>IFERROR(E12*F$16/E$16,0)</f>
        <v>0</v>
      </c>
      <c r="G12" s="56" t="s">
        <v>66</v>
      </c>
      <c r="H12" s="30" t="e">
        <f>'Cálculo Simplificado'!J29+'Cálculo Simplificado'!J31</f>
        <v>#VALUE!</v>
      </c>
      <c r="I12" s="31">
        <f>IFERROR(H12*I$16/H$16,0)</f>
        <v>0</v>
      </c>
      <c r="J12" s="30"/>
      <c r="K12" s="21"/>
      <c r="L12" s="21"/>
      <c r="M12" s="21"/>
      <c r="N12" s="3"/>
      <c r="O12" s="3"/>
      <c r="P12" s="3"/>
      <c r="Q12" s="3"/>
      <c r="R12" s="19"/>
      <c r="S12" s="3"/>
      <c r="T12" s="3"/>
      <c r="U12" s="3"/>
      <c r="V12" s="3"/>
    </row>
    <row r="13" spans="1:22" x14ac:dyDescent="0.3">
      <c r="A13" s="3"/>
      <c r="B13" s="16"/>
      <c r="C13" s="10" t="s">
        <v>72</v>
      </c>
      <c r="D13" s="10" t="s">
        <v>67</v>
      </c>
      <c r="E13" s="70">
        <f>IFERROR('Cálculo Simplificado'!I33+'Cálculo Simplificado'!I35+'Cálculo Simplificado'!I37+'Cálculo Simplificado'!I49,0)</f>
        <v>0</v>
      </c>
      <c r="F13" s="52">
        <f>IFERROR(E13*F$16/E$16,0)</f>
        <v>0</v>
      </c>
      <c r="G13" s="56" t="s">
        <v>67</v>
      </c>
      <c r="H13" s="30">
        <f>IFERROR('Cálculo Simplificado'!J33+'Cálculo Simplificado'!J35+'Cálculo Simplificado'!J37+'Cálculo Simplificado'!J49,0)</f>
        <v>0</v>
      </c>
      <c r="I13" s="31">
        <f>IFERROR(H13*I$16/H$16,0)</f>
        <v>0</v>
      </c>
      <c r="J13" s="21"/>
      <c r="K13" s="21"/>
      <c r="L13" s="21"/>
      <c r="M13" s="21"/>
      <c r="N13" s="3"/>
      <c r="O13" s="3"/>
      <c r="P13" s="3"/>
      <c r="Q13" s="3"/>
      <c r="R13" s="19"/>
      <c r="S13" s="3"/>
      <c r="T13" s="3"/>
      <c r="U13" s="3"/>
      <c r="V13" s="3"/>
    </row>
    <row r="14" spans="1:22" x14ac:dyDescent="0.3">
      <c r="A14" s="3"/>
      <c r="B14" s="16"/>
      <c r="C14" s="10" t="s">
        <v>73</v>
      </c>
      <c r="D14" s="10" t="s">
        <v>68</v>
      </c>
      <c r="E14" s="70">
        <f>IFERROR('Cálculo Simplificado'!I41+'Cálculo Simplificado'!I43+'Cálculo Simplificado'!I45+'Cálculo Simplificado'!I47,0)</f>
        <v>0</v>
      </c>
      <c r="F14" s="52">
        <f>IFERROR(E14*F$16/E$16,0)</f>
        <v>0</v>
      </c>
      <c r="G14" s="56" t="s">
        <v>68</v>
      </c>
      <c r="H14" s="30">
        <f>IFERROR('Cálculo Simplificado'!J41+'Cálculo Simplificado'!J43+'Cálculo Simplificado'!J45+'Cálculo Simplificado'!J47,0)</f>
        <v>0</v>
      </c>
      <c r="I14" s="31">
        <f>IFERROR(H14*I$16/H$16,0)</f>
        <v>0</v>
      </c>
      <c r="J14" s="21"/>
      <c r="K14" s="21"/>
      <c r="L14" s="21"/>
      <c r="M14" s="21"/>
      <c r="N14" s="3"/>
      <c r="O14" s="3"/>
      <c r="P14" s="3"/>
      <c r="Q14" s="3"/>
      <c r="R14" s="19"/>
      <c r="S14" s="3"/>
      <c r="T14" s="3"/>
      <c r="U14" s="3"/>
      <c r="V14" s="3"/>
    </row>
    <row customHeight="1" ht="3.75" r="15" spans="1:22" x14ac:dyDescent="0.3">
      <c r="A15" s="3"/>
      <c r="B15" s="16"/>
      <c r="C15" s="3"/>
      <c r="D15" s="3"/>
      <c r="E15" s="31"/>
      <c r="F15" s="21"/>
      <c r="G15" s="27"/>
      <c r="H15" s="30"/>
      <c r="I15" s="21"/>
      <c r="J15" s="3"/>
      <c r="K15" s="3"/>
      <c r="L15" s="3"/>
      <c r="M15" s="3"/>
      <c r="N15" s="3"/>
      <c r="O15" s="3"/>
      <c r="P15" s="3"/>
      <c r="Q15" s="3"/>
      <c r="R15" s="19"/>
      <c r="S15" s="3"/>
      <c r="T15" s="3"/>
      <c r="U15" s="3"/>
      <c r="V15" s="3"/>
    </row>
    <row r="16" spans="1:22" x14ac:dyDescent="0.3">
      <c r="A16" s="3"/>
      <c r="B16" s="16"/>
      <c r="C16" s="28" t="s">
        <v>50</v>
      </c>
      <c r="D16" s="10"/>
      <c r="E16" s="29">
        <f>SUM(E11:E14)</f>
        <v>0</v>
      </c>
      <c r="F16" s="36">
        <v>100</v>
      </c>
      <c r="G16" s="27"/>
      <c r="H16" s="71" t="e">
        <f>SUM(H11:H14)</f>
        <v>#VALUE!</v>
      </c>
      <c r="I16" s="51">
        <v>100</v>
      </c>
      <c r="J16" s="21"/>
      <c r="K16" s="21"/>
      <c r="L16" s="21"/>
      <c r="M16" s="21"/>
      <c r="N16" s="3"/>
      <c r="O16" s="3"/>
      <c r="P16" s="3"/>
      <c r="Q16" s="3"/>
      <c r="R16" s="19"/>
      <c r="S16" s="3"/>
      <c r="T16" s="3"/>
      <c r="U16" s="3"/>
      <c r="V16" s="3"/>
    </row>
    <row customHeight="1" ht="3.75" r="17" spans="1:22" x14ac:dyDescent="0.3">
      <c r="A17" s="3"/>
      <c r="B17" s="16"/>
      <c r="C17" s="3"/>
      <c r="D17" s="3"/>
      <c r="E17" s="3"/>
      <c r="F17" s="3"/>
      <c r="G17" s="27"/>
      <c r="H17" s="3"/>
      <c r="I17" s="3"/>
      <c r="J17" s="3"/>
      <c r="K17" s="3"/>
      <c r="L17" s="3"/>
      <c r="M17" s="3"/>
      <c r="N17" s="3"/>
      <c r="O17" s="3"/>
      <c r="P17" s="3"/>
      <c r="Q17" s="3"/>
      <c r="R17" s="19"/>
      <c r="S17" s="3"/>
      <c r="T17" s="3"/>
      <c r="U17" s="3"/>
      <c r="V17" s="3"/>
    </row>
    <row r="18" spans="1:22" x14ac:dyDescent="0.3">
      <c r="A18" s="3"/>
      <c r="B18" s="16"/>
      <c r="C18" s="20"/>
      <c r="D18" s="10"/>
      <c r="E18" s="3"/>
      <c r="F18" s="3"/>
      <c r="G18" s="27"/>
      <c r="H18" s="3"/>
      <c r="I18" s="3"/>
      <c r="J18" s="21"/>
      <c r="K18" s="21"/>
      <c r="L18" s="21"/>
      <c r="M18" s="21"/>
      <c r="N18" s="3"/>
      <c r="O18" s="3"/>
      <c r="P18" s="3"/>
      <c r="Q18" s="3"/>
      <c r="R18" s="19"/>
      <c r="S18" s="3"/>
      <c r="T18" s="3"/>
      <c r="U18" s="3"/>
      <c r="V18" s="3"/>
    </row>
    <row customHeight="1" ht="3.75" r="19" spans="1:22" x14ac:dyDescent="0.3">
      <c r="A19" s="3"/>
      <c r="B19" s="16"/>
      <c r="C19" s="3"/>
      <c r="D19" s="3"/>
      <c r="E19" s="3"/>
      <c r="F19" s="3"/>
      <c r="G19" s="27"/>
      <c r="H19" s="3"/>
      <c r="I19" s="3"/>
      <c r="J19" s="3"/>
      <c r="K19" s="3"/>
      <c r="L19" s="3"/>
      <c r="M19" s="3"/>
      <c r="N19" s="3"/>
      <c r="O19" s="3"/>
      <c r="P19" s="3"/>
      <c r="Q19" s="3"/>
      <c r="R19" s="19"/>
      <c r="S19" s="3"/>
      <c r="T19" s="3"/>
      <c r="U19" s="3"/>
      <c r="V19" s="3"/>
    </row>
    <row r="20" spans="1:22" x14ac:dyDescent="0.3">
      <c r="A20" s="3"/>
      <c r="B20" s="16"/>
      <c r="C20" s="20"/>
      <c r="D20" s="10"/>
      <c r="E20" s="3"/>
      <c r="F20" s="3"/>
      <c r="G20" s="27"/>
      <c r="H20" s="3"/>
      <c r="I20" s="3"/>
      <c r="J20" s="21"/>
      <c r="K20" s="21"/>
      <c r="L20" s="21"/>
      <c r="M20" s="21"/>
      <c r="N20" s="3"/>
      <c r="O20" s="3"/>
      <c r="P20" s="3"/>
      <c r="Q20" s="3"/>
      <c r="R20" s="19"/>
      <c r="S20" s="3"/>
      <c r="T20" s="3"/>
      <c r="U20" s="3"/>
      <c r="V20" s="3"/>
    </row>
    <row customHeight="1" ht="3.75" r="21" spans="1:22" x14ac:dyDescent="0.3">
      <c r="A21" s="3"/>
      <c r="B21" s="16"/>
      <c r="C21" s="3"/>
      <c r="D21" s="3"/>
      <c r="E21" s="3"/>
      <c r="F21" s="3"/>
      <c r="G21" s="27"/>
      <c r="H21" s="3"/>
      <c r="I21" s="3"/>
      <c r="J21" s="3"/>
      <c r="K21" s="3"/>
      <c r="L21" s="3"/>
      <c r="M21" s="3"/>
      <c r="N21" s="3"/>
      <c r="O21" s="3"/>
      <c r="P21" s="3"/>
      <c r="Q21" s="3"/>
      <c r="R21" s="19"/>
      <c r="S21" s="3"/>
      <c r="T21" s="3"/>
      <c r="U21" s="3"/>
      <c r="V21" s="3"/>
    </row>
    <row r="22" spans="1:22" x14ac:dyDescent="0.3">
      <c r="A22" s="3"/>
      <c r="B22" s="16"/>
      <c r="C22" s="20"/>
      <c r="D22" s="10"/>
      <c r="E22" s="3"/>
      <c r="F22" s="3"/>
      <c r="G22" s="27"/>
      <c r="H22" s="3"/>
      <c r="I22" s="3"/>
      <c r="J22" s="21"/>
      <c r="K22" s="21"/>
      <c r="L22" s="21"/>
      <c r="M22" s="21"/>
      <c r="N22" s="3"/>
      <c r="O22" s="3"/>
      <c r="P22" s="3"/>
      <c r="Q22" s="3"/>
      <c r="R22" s="19"/>
      <c r="S22" s="3"/>
      <c r="T22" s="3"/>
      <c r="U22" s="3"/>
      <c r="V22" s="3"/>
    </row>
    <row customHeight="1" ht="3.75" r="23" spans="1:22" x14ac:dyDescent="0.3">
      <c r="A23" s="3"/>
      <c r="B23" s="16"/>
      <c r="C23" s="3"/>
      <c r="D23" s="3"/>
      <c r="E23" s="3"/>
      <c r="F23" s="3"/>
      <c r="G23" s="27"/>
      <c r="H23" s="3"/>
      <c r="I23" s="3"/>
      <c r="J23" s="3"/>
      <c r="K23" s="3"/>
      <c r="L23" s="3"/>
      <c r="M23" s="3"/>
      <c r="N23" s="3"/>
      <c r="O23" s="3"/>
      <c r="P23" s="3"/>
      <c r="Q23" s="3"/>
      <c r="R23" s="19"/>
      <c r="S23" s="3"/>
      <c r="T23" s="3"/>
      <c r="U23" s="3"/>
      <c r="V23" s="3"/>
    </row>
    <row r="24" spans="1:22" x14ac:dyDescent="0.3">
      <c r="A24" s="3"/>
      <c r="B24" s="16"/>
      <c r="C24" s="20"/>
      <c r="D24" s="10"/>
      <c r="E24" s="3"/>
      <c r="F24" s="3"/>
      <c r="G24" s="27"/>
      <c r="H24" s="3"/>
      <c r="I24" s="3"/>
      <c r="J24" s="21"/>
      <c r="K24" s="21"/>
      <c r="L24" s="21"/>
      <c r="M24" s="21"/>
      <c r="N24" s="3"/>
      <c r="O24" s="3"/>
      <c r="P24" s="3"/>
      <c r="Q24" s="3"/>
      <c r="R24" s="19"/>
      <c r="S24" s="3"/>
      <c r="T24" s="3"/>
      <c r="U24" s="3"/>
      <c r="V24" s="3"/>
    </row>
    <row customHeight="1" ht="3.75" r="25" spans="1:22" x14ac:dyDescent="0.3">
      <c r="A25" s="3"/>
      <c r="B25" s="16"/>
      <c r="C25" s="3"/>
      <c r="D25" s="3"/>
      <c r="E25" s="3"/>
      <c r="F25" s="3"/>
      <c r="G25" s="27"/>
      <c r="H25" s="3"/>
      <c r="I25" s="3"/>
      <c r="J25" s="3"/>
      <c r="K25" s="3"/>
      <c r="L25" s="3"/>
      <c r="M25" s="3"/>
      <c r="N25" s="3"/>
      <c r="O25" s="3"/>
      <c r="P25" s="3"/>
      <c r="Q25" s="3"/>
      <c r="R25" s="19"/>
      <c r="S25" s="3"/>
      <c r="T25" s="3"/>
      <c r="U25" s="3"/>
      <c r="V25" s="3"/>
    </row>
    <row r="26" spans="1:22" x14ac:dyDescent="0.3">
      <c r="A26" s="3"/>
      <c r="B26" s="16"/>
      <c r="C26" s="20"/>
      <c r="D26" s="10"/>
      <c r="E26" s="3"/>
      <c r="F26" s="3"/>
      <c r="G26" s="27"/>
      <c r="H26" s="3"/>
      <c r="I26" s="3"/>
      <c r="J26" s="21"/>
      <c r="K26" s="21"/>
      <c r="L26" s="21"/>
      <c r="M26" s="21"/>
      <c r="N26" s="3"/>
      <c r="O26" s="3"/>
      <c r="P26" s="3"/>
      <c r="Q26" s="3"/>
      <c r="R26" s="19"/>
      <c r="S26" s="3"/>
      <c r="T26" s="3"/>
      <c r="U26" s="3"/>
      <c r="V26" s="3"/>
    </row>
    <row customHeight="1" ht="3.75" r="27" spans="1:22" x14ac:dyDescent="0.3">
      <c r="A27" s="3"/>
      <c r="B27" s="16"/>
      <c r="C27" s="3"/>
      <c r="D27" s="3"/>
      <c r="E27" s="3"/>
      <c r="F27" s="3"/>
      <c r="G27" s="27"/>
      <c r="H27" s="3"/>
      <c r="I27" s="3"/>
      <c r="J27" s="3"/>
      <c r="K27" s="3"/>
      <c r="L27" s="3"/>
      <c r="M27" s="3"/>
      <c r="N27" s="3"/>
      <c r="O27" s="3"/>
      <c r="P27" s="3"/>
      <c r="Q27" s="3"/>
      <c r="R27" s="19"/>
      <c r="S27" s="3"/>
      <c r="T27" s="3"/>
      <c r="U27" s="3"/>
      <c r="V27" s="3"/>
    </row>
    <row r="28" spans="1:22" x14ac:dyDescent="0.3">
      <c r="A28" s="3"/>
      <c r="B28" s="16"/>
      <c r="C28" s="20"/>
      <c r="D28" s="10"/>
      <c r="E28" s="3"/>
      <c r="F28" s="3"/>
      <c r="G28" s="27"/>
      <c r="H28" s="3"/>
      <c r="I28" s="3"/>
      <c r="J28" s="21"/>
      <c r="K28" s="21"/>
      <c r="L28" s="21"/>
      <c r="M28" s="21"/>
      <c r="N28" s="3"/>
      <c r="O28" s="3"/>
      <c r="P28" s="3"/>
      <c r="Q28" s="3"/>
      <c r="R28" s="19"/>
      <c r="S28" s="3"/>
      <c r="T28" s="3"/>
      <c r="U28" s="3"/>
      <c r="V28" s="3"/>
    </row>
    <row customHeight="1" ht="3.75" r="29" spans="1:22" x14ac:dyDescent="0.3">
      <c r="A29" s="3"/>
      <c r="B29" s="16"/>
      <c r="C29" s="3"/>
      <c r="D29" s="3"/>
      <c r="E29" s="3"/>
      <c r="F29" s="3"/>
      <c r="G29" s="27"/>
      <c r="H29" s="3"/>
      <c r="I29" s="3"/>
      <c r="J29" s="3"/>
      <c r="K29" s="3"/>
      <c r="L29" s="3"/>
      <c r="M29" s="3"/>
      <c r="N29" s="3"/>
      <c r="O29" s="3"/>
      <c r="P29" s="3"/>
      <c r="Q29" s="3"/>
      <c r="R29" s="19"/>
      <c r="S29" s="3"/>
      <c r="T29" s="3"/>
      <c r="U29" s="3"/>
      <c r="V29" s="3"/>
    </row>
    <row r="30" spans="1:22" x14ac:dyDescent="0.3">
      <c r="A30" s="3"/>
      <c r="B30" s="16"/>
      <c r="C30" s="20"/>
      <c r="D30" s="10"/>
      <c r="E30" s="3"/>
      <c r="F30" s="3"/>
      <c r="G30" s="27"/>
      <c r="H30" s="3"/>
      <c r="I30" s="3"/>
      <c r="J30" s="21"/>
      <c r="K30" s="21"/>
      <c r="L30" s="21"/>
      <c r="M30" s="21"/>
      <c r="N30" s="3"/>
      <c r="O30" s="3"/>
      <c r="P30" s="3"/>
      <c r="Q30" s="3"/>
      <c r="R30" s="19"/>
      <c r="S30" s="3"/>
      <c r="T30" s="3"/>
      <c r="U30" s="3"/>
      <c r="V30" s="3"/>
    </row>
    <row customHeight="1" ht="3.75" r="31" spans="1:22" x14ac:dyDescent="0.3">
      <c r="A31" s="3"/>
      <c r="B31" s="16"/>
      <c r="C31" s="3"/>
      <c r="D31" s="3"/>
      <c r="E31" s="3"/>
      <c r="F31" s="3"/>
      <c r="G31" s="27"/>
      <c r="H31" s="3"/>
      <c r="I31" s="3"/>
      <c r="J31" s="3"/>
      <c r="K31" s="3"/>
      <c r="L31" s="3"/>
      <c r="M31" s="3"/>
      <c r="N31" s="3"/>
      <c r="O31" s="3"/>
      <c r="P31" s="3"/>
      <c r="Q31" s="3"/>
      <c r="R31" s="19"/>
      <c r="S31" s="3"/>
      <c r="T31" s="3"/>
      <c r="U31" s="3"/>
      <c r="V31" s="3"/>
    </row>
    <row r="32" spans="1:22" x14ac:dyDescent="0.3">
      <c r="A32" s="3"/>
      <c r="B32" s="16"/>
      <c r="C32" s="20"/>
      <c r="D32" s="10"/>
      <c r="E32" s="3"/>
      <c r="F32" s="3"/>
      <c r="G32" s="27"/>
      <c r="H32" s="3"/>
      <c r="I32" s="3"/>
      <c r="J32" s="21"/>
      <c r="K32" s="21"/>
      <c r="L32" s="21"/>
      <c r="M32" s="21"/>
      <c r="N32" s="3"/>
      <c r="O32" s="3"/>
      <c r="P32" s="3"/>
      <c r="Q32" s="3"/>
      <c r="R32" s="19"/>
      <c r="S32" s="3"/>
      <c r="T32" s="3"/>
      <c r="U32" s="3"/>
      <c r="V32" s="3"/>
    </row>
    <row customHeight="1" ht="3.75" r="33" spans="1:22" x14ac:dyDescent="0.3">
      <c r="A33" s="3"/>
      <c r="B33" s="16"/>
      <c r="C33" s="3"/>
      <c r="D33" s="3"/>
      <c r="E33" s="3"/>
      <c r="F33" s="3"/>
      <c r="G33" s="27"/>
      <c r="H33" s="3"/>
      <c r="I33" s="3"/>
      <c r="J33" s="3"/>
      <c r="K33" s="3"/>
      <c r="L33" s="3"/>
      <c r="M33" s="3"/>
      <c r="N33" s="3"/>
      <c r="O33" s="3"/>
      <c r="P33" s="3"/>
      <c r="Q33" s="3"/>
      <c r="R33" s="19"/>
      <c r="S33" s="3"/>
      <c r="T33" s="3"/>
      <c r="U33" s="3"/>
      <c r="V33" s="3"/>
    </row>
    <row r="34" spans="1:22" x14ac:dyDescent="0.3">
      <c r="A34" s="3"/>
      <c r="B34" s="16"/>
      <c r="C34" s="20"/>
      <c r="D34" s="10"/>
      <c r="E34" s="3"/>
      <c r="F34" s="3"/>
      <c r="G34" s="27"/>
      <c r="H34" s="3"/>
      <c r="I34" s="3"/>
      <c r="J34" s="21"/>
      <c r="K34" s="21"/>
      <c r="L34" s="21"/>
      <c r="M34" s="21"/>
      <c r="N34" s="3"/>
      <c r="O34" s="3"/>
      <c r="P34" s="3"/>
      <c r="Q34" s="3"/>
      <c r="R34" s="19"/>
      <c r="S34" s="3"/>
      <c r="T34" s="3"/>
      <c r="U34" s="3"/>
      <c r="V34" s="3"/>
    </row>
    <row customHeight="1" ht="3.75" r="35" spans="1:22" x14ac:dyDescent="0.3">
      <c r="A35" s="3"/>
      <c r="B35" s="16"/>
      <c r="C35" s="3"/>
      <c r="D35" s="3"/>
      <c r="E35" s="3"/>
      <c r="F35" s="3"/>
      <c r="G35" s="27"/>
      <c r="H35" s="3"/>
      <c r="I35" s="3"/>
      <c r="J35" s="3"/>
      <c r="K35" s="3"/>
      <c r="L35" s="3"/>
      <c r="M35" s="3"/>
      <c r="N35" s="3"/>
      <c r="O35" s="3"/>
      <c r="P35" s="3"/>
      <c r="Q35" s="3"/>
      <c r="R35" s="19"/>
      <c r="S35" s="3"/>
      <c r="T35" s="3"/>
      <c r="U35" s="3"/>
      <c r="V35" s="3"/>
    </row>
    <row customHeight="1" ht="20.100000000000001" r="36" spans="1:22" x14ac:dyDescent="0.3">
      <c r="A36" s="3"/>
      <c r="B36" s="16"/>
      <c r="C36" s="17" t="s">
        <v>74</v>
      </c>
      <c r="D36" s="17"/>
      <c r="E36" s="79" t="s">
        <v>62</v>
      </c>
      <c r="F36" s="79"/>
      <c r="G36" s="55"/>
      <c r="H36" s="76" t="s">
        <v>218</v>
      </c>
      <c r="I36" s="78" t="str">
        <f>DE!$AJ$2</f>
        <v>08/01/2024</v>
      </c>
      <c r="J36" s="27"/>
      <c r="K36" s="27"/>
      <c r="L36" s="27"/>
      <c r="M36" s="27"/>
      <c r="N36" s="3"/>
      <c r="O36" s="3"/>
      <c r="P36" s="3"/>
      <c r="Q36" s="3"/>
      <c r="R36" s="19"/>
      <c r="S36" s="3"/>
      <c r="T36" s="3"/>
      <c r="U36" s="3"/>
      <c r="V36" s="3"/>
    </row>
    <row customHeight="1" ht="3.75" r="37" spans="1:22" x14ac:dyDescent="0.3">
      <c r="A37" s="3"/>
      <c r="B37" s="16"/>
      <c r="C37" s="3"/>
      <c r="D37" s="3"/>
      <c r="E37" s="3"/>
      <c r="F37" s="3"/>
      <c r="G37" s="27"/>
      <c r="H37" s="3"/>
      <c r="I37" s="3"/>
      <c r="J37" s="3"/>
      <c r="K37" s="3"/>
      <c r="L37" s="3"/>
      <c r="M37" s="3"/>
      <c r="N37" s="3"/>
      <c r="O37" s="3"/>
      <c r="P37" s="3"/>
      <c r="Q37" s="3"/>
      <c r="R37" s="19"/>
      <c r="S37" s="3"/>
      <c r="T37" s="3"/>
      <c r="U37" s="3"/>
      <c r="V37" s="3"/>
    </row>
    <row r="38" spans="1:22" x14ac:dyDescent="0.3">
      <c r="A38" s="3"/>
      <c r="B38" s="16"/>
      <c r="C38" s="20"/>
      <c r="D38" s="10"/>
      <c r="E38" s="26" t="s">
        <v>63</v>
      </c>
      <c r="F38" s="26" t="s">
        <v>64</v>
      </c>
      <c r="G38" s="27"/>
      <c r="H38" s="26" t="s">
        <v>63</v>
      </c>
      <c r="I38" s="26" t="s">
        <v>64</v>
      </c>
      <c r="J38" s="21"/>
      <c r="K38" s="21"/>
      <c r="L38" s="21"/>
      <c r="M38" s="21"/>
      <c r="N38" s="3"/>
      <c r="O38" s="3"/>
      <c r="P38" s="3"/>
      <c r="Q38" s="3"/>
      <c r="R38" s="19"/>
      <c r="S38" s="3"/>
      <c r="T38" s="3"/>
      <c r="U38" s="3"/>
      <c r="V38" s="3"/>
    </row>
    <row customHeight="1" ht="3.75" r="39" spans="1:22" x14ac:dyDescent="0.3">
      <c r="A39" s="3"/>
      <c r="B39" s="16"/>
      <c r="C39" s="3"/>
      <c r="D39" s="3"/>
      <c r="E39" s="3"/>
      <c r="F39" s="3"/>
      <c r="G39" s="27"/>
      <c r="H39" s="3"/>
      <c r="I39" s="3"/>
      <c r="J39" s="3"/>
      <c r="K39" s="3"/>
      <c r="L39" s="3"/>
      <c r="M39" s="3"/>
      <c r="N39" s="3"/>
      <c r="O39" s="3"/>
      <c r="P39" s="3"/>
      <c r="Q39" s="3"/>
      <c r="R39" s="19"/>
      <c r="S39" s="3"/>
      <c r="T39" s="3"/>
      <c r="U39" s="3"/>
      <c r="V39" s="3"/>
    </row>
    <row r="40" spans="1:22" x14ac:dyDescent="0.3">
      <c r="A40" s="3"/>
      <c r="B40" s="16"/>
      <c r="C40" s="10" t="s">
        <v>75</v>
      </c>
      <c r="D40" s="10" t="s">
        <v>65</v>
      </c>
      <c r="E40" s="70">
        <f>E11+E12+E13</f>
        <v>0</v>
      </c>
      <c r="F40" s="52">
        <f>IFERROR(E40*F$16/E$16,0)</f>
        <v>0</v>
      </c>
      <c r="G40" s="56" t="s">
        <v>65</v>
      </c>
      <c r="H40" s="30" t="e">
        <f>H11+H12+H13</f>
        <v>#VALUE!</v>
      </c>
      <c r="I40" s="31">
        <f>IFERROR(H40*I$16/H$16,0)</f>
        <v>0</v>
      </c>
      <c r="J40" s="21"/>
      <c r="K40" s="21"/>
      <c r="L40" s="21"/>
      <c r="M40" s="21"/>
      <c r="N40" s="3"/>
      <c r="O40" s="3"/>
      <c r="P40" s="3"/>
      <c r="Q40" s="3"/>
      <c r="R40" s="19"/>
      <c r="S40" s="3"/>
      <c r="T40" s="3"/>
      <c r="U40" s="3"/>
      <c r="V40" s="3"/>
    </row>
    <row r="41" spans="1:22" x14ac:dyDescent="0.3">
      <c r="A41" s="3"/>
      <c r="B41" s="16"/>
      <c r="C41" s="10" t="s">
        <v>76</v>
      </c>
      <c r="D41" s="10" t="s">
        <v>66</v>
      </c>
      <c r="E41" s="70">
        <f>E14</f>
        <v>0</v>
      </c>
      <c r="F41" s="52">
        <f>IFERROR(E41*F$16/E$16,0)</f>
        <v>0</v>
      </c>
      <c r="G41" s="56" t="s">
        <v>66</v>
      </c>
      <c r="H41" s="30">
        <f>H14</f>
        <v>0</v>
      </c>
      <c r="I41" s="31">
        <f>IFERROR(H41*I$16/H$16,0)</f>
        <v>0</v>
      </c>
      <c r="J41" s="21"/>
      <c r="K41" s="21"/>
      <c r="L41" s="21"/>
      <c r="M41" s="21"/>
      <c r="N41" s="3"/>
      <c r="O41" s="3"/>
      <c r="P41" s="3"/>
      <c r="Q41" s="3"/>
      <c r="R41" s="19"/>
      <c r="S41" s="3"/>
      <c r="T41" s="3"/>
      <c r="U41" s="3"/>
      <c r="V41" s="3"/>
    </row>
    <row customHeight="1" ht="3.75" r="42" spans="1:22" x14ac:dyDescent="0.3">
      <c r="A42" s="3"/>
      <c r="B42" s="16"/>
      <c r="C42" s="3"/>
      <c r="D42" s="3"/>
      <c r="E42" s="3"/>
      <c r="F42" s="3"/>
      <c r="G42" s="27"/>
      <c r="H42" s="3"/>
      <c r="I42" s="3"/>
      <c r="J42" s="3"/>
      <c r="K42" s="3"/>
      <c r="L42" s="3"/>
      <c r="M42" s="3"/>
      <c r="N42" s="3"/>
      <c r="O42" s="3"/>
      <c r="P42" s="3"/>
      <c r="Q42" s="3"/>
      <c r="R42" s="19"/>
      <c r="S42" s="3"/>
      <c r="T42" s="3"/>
      <c r="U42" s="3"/>
      <c r="V42" s="3"/>
    </row>
    <row r="43" spans="1:22" x14ac:dyDescent="0.3">
      <c r="A43" s="3"/>
      <c r="B43" s="16"/>
      <c r="C43" s="28" t="s">
        <v>50</v>
      </c>
      <c r="D43" s="10"/>
      <c r="E43" s="29">
        <f>SUM(E40:E41)</f>
        <v>0</v>
      </c>
      <c r="F43" s="36">
        <v>100</v>
      </c>
      <c r="G43" s="27"/>
      <c r="H43" s="71" t="e">
        <f>SUM(H40:H41)</f>
        <v>#VALUE!</v>
      </c>
      <c r="I43" s="51">
        <v>100</v>
      </c>
      <c r="J43" s="21"/>
      <c r="K43" s="21"/>
      <c r="L43" s="21"/>
      <c r="M43" s="21"/>
      <c r="N43" s="3"/>
      <c r="O43" s="3"/>
      <c r="P43" s="3"/>
      <c r="Q43" s="3"/>
      <c r="R43" s="19"/>
      <c r="S43" s="3"/>
      <c r="T43" s="3"/>
      <c r="U43" s="3"/>
      <c r="V43" s="3"/>
    </row>
    <row customHeight="1" ht="3.75" r="44" spans="1:22" x14ac:dyDescent="0.3">
      <c r="A44" s="3"/>
      <c r="B44" s="16"/>
      <c r="C44" s="3"/>
      <c r="D44" s="3"/>
      <c r="E44" s="3"/>
      <c r="F44" s="3"/>
      <c r="G44" s="27"/>
      <c r="H44" s="3"/>
      <c r="I44" s="3"/>
      <c r="J44" s="3"/>
      <c r="K44" s="3"/>
      <c r="L44" s="3"/>
      <c r="M44" s="3"/>
      <c r="N44" s="3"/>
      <c r="O44" s="3"/>
      <c r="P44" s="3"/>
      <c r="Q44" s="3"/>
      <c r="R44" s="19"/>
      <c r="S44" s="3"/>
      <c r="T44" s="3"/>
      <c r="U44" s="3"/>
      <c r="V44" s="3"/>
    </row>
    <row r="45" spans="1:22" x14ac:dyDescent="0.3">
      <c r="A45" s="3"/>
      <c r="B45" s="16"/>
      <c r="C45" s="20"/>
      <c r="D45" s="10"/>
      <c r="E45" s="3"/>
      <c r="F45" s="3"/>
      <c r="G45" s="27"/>
      <c r="H45" s="3"/>
      <c r="I45" s="3"/>
      <c r="J45" s="21"/>
      <c r="K45" s="21"/>
      <c r="L45" s="21"/>
      <c r="M45" s="21"/>
      <c r="N45" s="3"/>
      <c r="O45" s="3"/>
      <c r="P45" s="3"/>
      <c r="Q45" s="3"/>
      <c r="R45" s="19"/>
      <c r="S45" s="3"/>
      <c r="T45" s="3"/>
      <c r="U45" s="3"/>
      <c r="V45" s="3"/>
    </row>
    <row customHeight="1" ht="3.75" r="46" spans="1:22" x14ac:dyDescent="0.3">
      <c r="A46" s="3"/>
      <c r="B46" s="16"/>
      <c r="C46" s="3"/>
      <c r="D46" s="3"/>
      <c r="E46" s="3"/>
      <c r="F46" s="3"/>
      <c r="G46" s="27"/>
      <c r="H46" s="3"/>
      <c r="I46" s="3"/>
      <c r="J46" s="3"/>
      <c r="K46" s="3"/>
      <c r="L46" s="3"/>
      <c r="M46" s="3"/>
      <c r="N46" s="3"/>
      <c r="O46" s="3"/>
      <c r="P46" s="3"/>
      <c r="Q46" s="3"/>
      <c r="R46" s="19"/>
      <c r="S46" s="3"/>
      <c r="T46" s="3"/>
      <c r="U46" s="3"/>
      <c r="V46" s="3"/>
    </row>
    <row r="47" spans="1:22" x14ac:dyDescent="0.3">
      <c r="A47" s="3"/>
      <c r="B47" s="16"/>
      <c r="C47" s="20"/>
      <c r="D47" s="10"/>
      <c r="E47" s="3"/>
      <c r="F47" s="3"/>
      <c r="G47" s="27"/>
      <c r="H47" s="3"/>
      <c r="I47" s="3"/>
      <c r="J47" s="21"/>
      <c r="K47" s="21"/>
      <c r="L47" s="21"/>
      <c r="M47" s="21"/>
      <c r="N47" s="3"/>
      <c r="O47" s="3"/>
      <c r="P47" s="3"/>
      <c r="Q47" s="3"/>
      <c r="R47" s="19"/>
      <c r="S47" s="3"/>
      <c r="T47" s="3"/>
      <c r="U47" s="3"/>
      <c r="V47" s="3"/>
    </row>
    <row customHeight="1" ht="3.75" r="48" spans="1:22" x14ac:dyDescent="0.3">
      <c r="A48" s="3"/>
      <c r="B48" s="16"/>
      <c r="C48" s="3"/>
      <c r="D48" s="3"/>
      <c r="E48" s="3"/>
      <c r="F48" s="3"/>
      <c r="G48" s="27"/>
      <c r="H48" s="3"/>
      <c r="I48" s="3"/>
      <c r="J48" s="3"/>
      <c r="K48" s="3"/>
      <c r="L48" s="3"/>
      <c r="M48" s="3"/>
      <c r="N48" s="3"/>
      <c r="O48" s="3"/>
      <c r="P48" s="3"/>
      <c r="Q48" s="3"/>
      <c r="R48" s="19"/>
      <c r="S48" s="3"/>
      <c r="T48" s="3"/>
      <c r="U48" s="3"/>
      <c r="V48" s="3"/>
    </row>
    <row r="49" spans="1:22" x14ac:dyDescent="0.3">
      <c r="A49" s="3"/>
      <c r="B49" s="16"/>
      <c r="C49" s="20"/>
      <c r="D49" s="10"/>
      <c r="E49" s="3"/>
      <c r="F49" s="3"/>
      <c r="G49" s="27"/>
      <c r="H49" s="3"/>
      <c r="I49" s="3"/>
      <c r="J49" s="21"/>
      <c r="K49" s="21"/>
      <c r="L49" s="21"/>
      <c r="M49" s="21"/>
      <c r="N49" s="3"/>
      <c r="O49" s="3"/>
      <c r="P49" s="3"/>
      <c r="Q49" s="3"/>
      <c r="R49" s="19"/>
      <c r="S49" s="3"/>
      <c r="T49" s="3"/>
      <c r="U49" s="3"/>
      <c r="V49" s="3"/>
    </row>
    <row customHeight="1" ht="3.75" r="50" spans="1:22" x14ac:dyDescent="0.3">
      <c r="A50" s="3"/>
      <c r="B50" s="16"/>
      <c r="C50" s="3"/>
      <c r="D50" s="3"/>
      <c r="E50" s="3"/>
      <c r="F50" s="3"/>
      <c r="G50" s="27"/>
      <c r="H50" s="3"/>
      <c r="I50" s="3"/>
      <c r="J50" s="3"/>
      <c r="K50" s="3"/>
      <c r="L50" s="3"/>
      <c r="M50" s="3"/>
      <c r="N50" s="3"/>
      <c r="O50" s="3"/>
      <c r="P50" s="3"/>
      <c r="Q50" s="3"/>
      <c r="R50" s="19"/>
      <c r="S50" s="3"/>
      <c r="T50" s="3"/>
      <c r="U50" s="3"/>
      <c r="V50" s="3"/>
    </row>
    <row r="51" spans="1:22" x14ac:dyDescent="0.3">
      <c r="A51" s="3"/>
      <c r="B51" s="16"/>
      <c r="C51" s="20"/>
      <c r="D51" s="10"/>
      <c r="E51" s="3"/>
      <c r="F51" s="3"/>
      <c r="G51" s="27"/>
      <c r="H51" s="3"/>
      <c r="I51" s="3"/>
      <c r="J51" s="21"/>
      <c r="K51" s="21"/>
      <c r="L51" s="21"/>
      <c r="M51" s="21"/>
      <c r="N51" s="3"/>
      <c r="O51" s="3"/>
      <c r="P51" s="3"/>
      <c r="Q51" s="3"/>
      <c r="R51" s="19"/>
      <c r="S51" s="3"/>
      <c r="T51" s="3"/>
      <c r="U51" s="3"/>
      <c r="V51" s="3"/>
    </row>
    <row customHeight="1" ht="3.75" r="52" spans="1:22" x14ac:dyDescent="0.3">
      <c r="A52" s="3"/>
      <c r="B52" s="16"/>
      <c r="C52" s="3"/>
      <c r="D52" s="3"/>
      <c r="E52" s="3"/>
      <c r="F52" s="3"/>
      <c r="G52" s="27"/>
      <c r="H52" s="3"/>
      <c r="I52" s="3"/>
      <c r="J52" s="3"/>
      <c r="K52" s="3"/>
      <c r="L52" s="3"/>
      <c r="M52" s="3"/>
      <c r="N52" s="3"/>
      <c r="O52" s="3"/>
      <c r="P52" s="3"/>
      <c r="Q52" s="3"/>
      <c r="R52" s="19"/>
      <c r="S52" s="3"/>
      <c r="T52" s="3"/>
      <c r="U52" s="3"/>
      <c r="V52" s="3"/>
    </row>
    <row r="53" spans="1:22" x14ac:dyDescent="0.3">
      <c r="A53" s="3"/>
      <c r="B53" s="16"/>
      <c r="C53" s="20"/>
      <c r="D53" s="10"/>
      <c r="E53" s="3"/>
      <c r="F53" s="3"/>
      <c r="G53" s="27"/>
      <c r="H53" s="3"/>
      <c r="I53" s="3"/>
      <c r="J53" s="21"/>
      <c r="K53" s="21"/>
      <c r="L53" s="21"/>
      <c r="M53" s="21"/>
      <c r="N53" s="3"/>
      <c r="O53" s="3"/>
      <c r="P53" s="3"/>
      <c r="Q53" s="3"/>
      <c r="R53" s="19"/>
      <c r="S53" s="3"/>
      <c r="T53" s="3"/>
      <c r="U53" s="3"/>
      <c r="V53" s="3"/>
    </row>
    <row customHeight="1" ht="3.75" r="54" spans="1:22" x14ac:dyDescent="0.3">
      <c r="A54" s="3"/>
      <c r="B54" s="16"/>
      <c r="C54" s="3"/>
      <c r="D54" s="3"/>
      <c r="E54" s="3"/>
      <c r="F54" s="3"/>
      <c r="G54" s="27"/>
      <c r="H54" s="3"/>
      <c r="I54" s="3"/>
      <c r="J54" s="3"/>
      <c r="K54" s="3"/>
      <c r="L54" s="3"/>
      <c r="M54" s="3"/>
      <c r="N54" s="3"/>
      <c r="O54" s="3"/>
      <c r="P54" s="3"/>
      <c r="Q54" s="3"/>
      <c r="R54" s="19"/>
      <c r="S54" s="3"/>
      <c r="T54" s="3"/>
      <c r="U54" s="3"/>
      <c r="V54" s="3"/>
    </row>
    <row r="55" spans="1:22" x14ac:dyDescent="0.3">
      <c r="A55" s="3"/>
      <c r="B55" s="16"/>
      <c r="C55" s="20"/>
      <c r="D55" s="10"/>
      <c r="E55" s="3"/>
      <c r="F55" s="3"/>
      <c r="G55" s="27"/>
      <c r="H55" s="3"/>
      <c r="I55" s="3"/>
      <c r="J55" s="21"/>
      <c r="K55" s="21"/>
      <c r="L55" s="21"/>
      <c r="M55" s="21"/>
      <c r="N55" s="3"/>
      <c r="O55" s="3"/>
      <c r="P55" s="3"/>
      <c r="Q55" s="3"/>
      <c r="R55" s="19"/>
      <c r="S55" s="3"/>
      <c r="T55" s="3"/>
      <c r="U55" s="3"/>
      <c r="V55" s="3"/>
    </row>
    <row r="56" spans="1:22" x14ac:dyDescent="0.3">
      <c r="A56" s="3"/>
      <c r="B56" s="16"/>
      <c r="C56" s="3"/>
      <c r="D56" s="3"/>
      <c r="E56" s="3"/>
      <c r="F56" s="3"/>
      <c r="G56" s="27"/>
      <c r="H56" s="3"/>
      <c r="I56" s="3"/>
      <c r="J56" s="3"/>
      <c r="K56" s="3"/>
      <c r="L56" s="3"/>
      <c r="M56" s="3"/>
      <c r="N56" s="3"/>
      <c r="O56" s="3"/>
      <c r="P56" s="3"/>
      <c r="Q56" s="3"/>
      <c r="R56" s="19"/>
      <c r="S56" s="3"/>
      <c r="T56" s="3"/>
      <c r="U56" s="3"/>
      <c r="V56" s="3"/>
    </row>
    <row r="57" spans="1:22" x14ac:dyDescent="0.3">
      <c r="A57" s="3"/>
      <c r="B57" s="16"/>
      <c r="D57" s="3"/>
      <c r="E57" s="3"/>
      <c r="F57" s="3"/>
      <c r="G57" s="27"/>
      <c r="H57" s="3"/>
      <c r="I57" s="3"/>
      <c r="J57" s="3"/>
      <c r="K57" s="3"/>
      <c r="L57" s="3"/>
      <c r="M57" s="3"/>
      <c r="N57" s="3"/>
      <c r="O57" s="3"/>
      <c r="P57" s="3"/>
      <c r="Q57" s="3"/>
      <c r="R57" s="19"/>
      <c r="S57" s="3"/>
      <c r="T57" s="3"/>
      <c r="U57" s="3"/>
      <c r="V57" s="3"/>
    </row>
    <row r="58" spans="1:22" x14ac:dyDescent="0.3">
      <c r="A58" s="3"/>
      <c r="B58" s="16"/>
      <c r="C58" s="3"/>
      <c r="D58" s="3"/>
      <c r="E58" s="3"/>
      <c r="F58" s="3"/>
      <c r="G58" s="27"/>
      <c r="H58" s="3"/>
      <c r="I58" s="3"/>
      <c r="J58" s="3"/>
      <c r="K58" s="3"/>
      <c r="L58" s="3"/>
      <c r="M58" s="3"/>
      <c r="N58" s="3"/>
      <c r="O58" s="3"/>
      <c r="P58" s="3"/>
      <c r="Q58" s="3"/>
      <c r="R58" s="19"/>
      <c r="S58" s="3"/>
      <c r="T58" s="3"/>
      <c r="U58" s="3"/>
      <c r="V58" s="3"/>
    </row>
    <row customHeight="1" ht="20.100000000000001" r="59" spans="1:22" x14ac:dyDescent="0.3">
      <c r="A59" s="3"/>
      <c r="B59" s="16"/>
      <c r="C59" s="17" t="s">
        <v>77</v>
      </c>
      <c r="D59" s="17"/>
      <c r="E59" s="79" t="s">
        <v>62</v>
      </c>
      <c r="F59" s="79"/>
      <c r="G59" s="55"/>
      <c r="H59" s="76" t="s">
        <v>218</v>
      </c>
      <c r="I59" s="78" t="str">
        <f>DE!$AJ$2</f>
        <v>08/01/2024</v>
      </c>
      <c r="J59" s="27"/>
      <c r="K59" s="27"/>
      <c r="L59" s="27"/>
      <c r="M59" s="27"/>
      <c r="N59" s="3"/>
      <c r="O59" s="3"/>
      <c r="P59" s="3"/>
      <c r="Q59" s="3"/>
      <c r="R59" s="19"/>
      <c r="S59" s="3"/>
      <c r="T59" s="3"/>
      <c r="U59" s="3"/>
      <c r="V59" s="3"/>
    </row>
    <row r="60" spans="1:22" x14ac:dyDescent="0.3">
      <c r="A60" s="3"/>
      <c r="B60" s="16"/>
      <c r="C60" s="3"/>
      <c r="D60" s="3"/>
      <c r="E60" s="32"/>
      <c r="F60" s="32"/>
      <c r="G60" s="27"/>
      <c r="H60" s="32"/>
      <c r="I60" s="32"/>
      <c r="J60" s="3"/>
      <c r="K60" s="3"/>
      <c r="L60" s="3"/>
      <c r="M60" s="3"/>
      <c r="N60" s="3"/>
      <c r="O60" s="3"/>
      <c r="P60" s="3"/>
      <c r="Q60" s="3"/>
      <c r="R60" s="19"/>
      <c r="S60" s="3"/>
      <c r="T60" s="3"/>
      <c r="U60" s="3"/>
      <c r="V60" s="3"/>
    </row>
    <row r="61" spans="1:22" x14ac:dyDescent="0.3">
      <c r="A61" s="3"/>
      <c r="B61" s="16"/>
      <c r="C61" s="3" t="s">
        <v>78</v>
      </c>
      <c r="D61" s="3"/>
      <c r="E61" s="43">
        <f>IFERROR(E43/'Cálculo Simplificado'!I11,0)</f>
        <v>0</v>
      </c>
      <c r="F61" s="3"/>
      <c r="G61" s="27"/>
      <c r="H61" s="31">
        <f>IFERROR(H43/'Cálculo Simplificado'!J11,0)</f>
        <v>0</v>
      </c>
      <c r="I61" s="3"/>
      <c r="J61" s="3"/>
      <c r="K61" s="3"/>
      <c r="L61" s="3"/>
      <c r="M61" s="3"/>
      <c r="N61" s="3"/>
      <c r="O61" s="3"/>
      <c r="P61" s="3"/>
      <c r="Q61" s="3"/>
      <c r="R61" s="19"/>
      <c r="S61" s="3"/>
      <c r="T61" s="3"/>
      <c r="U61" s="3"/>
      <c r="V61" s="3"/>
    </row>
    <row r="62" spans="1:22" x14ac:dyDescent="0.3">
      <c r="A62" s="3"/>
      <c r="B62" s="16"/>
      <c r="C62" s="3" t="s">
        <v>79</v>
      </c>
      <c r="D62" s="3"/>
      <c r="E62" s="43">
        <f>IFERROR(E43/'Cálculo Simplificado'!I13,0)</f>
        <v>0</v>
      </c>
      <c r="F62" s="32"/>
      <c r="G62" s="27"/>
      <c r="H62" s="31">
        <f>IFERROR(H43/'Cálculo Simplificado'!J13,0)</f>
        <v>0</v>
      </c>
      <c r="I62" s="32"/>
      <c r="J62" s="3"/>
      <c r="K62" s="3"/>
      <c r="L62" s="3"/>
      <c r="M62" s="3"/>
      <c r="N62" s="3"/>
      <c r="O62" s="3"/>
      <c r="P62" s="3"/>
      <c r="Q62" s="3"/>
      <c r="R62" s="19"/>
      <c r="S62" s="3"/>
      <c r="T62" s="3"/>
      <c r="U62" s="3"/>
      <c r="V62" s="3"/>
    </row>
    <row r="63" spans="1:22" x14ac:dyDescent="0.3">
      <c r="A63" s="3"/>
      <c r="B63" s="16"/>
      <c r="C63" s="3" t="s">
        <v>83</v>
      </c>
      <c r="D63" s="3"/>
      <c r="E63" s="42">
        <f>IFERROR(E41,0)</f>
        <v>0</v>
      </c>
      <c r="F63" s="3"/>
      <c r="G63" s="27"/>
      <c r="H63" s="69">
        <f>IFERROR(H41,0)</f>
        <v>0</v>
      </c>
      <c r="I63" s="3"/>
      <c r="J63" s="3"/>
      <c r="K63" s="3"/>
      <c r="L63" s="3"/>
      <c r="M63" s="3"/>
      <c r="N63" s="3"/>
      <c r="O63" s="3"/>
      <c r="P63" s="3"/>
      <c r="Q63" s="3"/>
      <c r="R63" s="19"/>
      <c r="S63" s="3"/>
      <c r="T63" s="3"/>
      <c r="U63" s="3"/>
      <c r="V63" s="3"/>
    </row>
    <row r="64" spans="1:22" x14ac:dyDescent="0.3">
      <c r="A64" s="3"/>
      <c r="B64" s="16"/>
      <c r="C64" s="3" t="s">
        <v>84</v>
      </c>
      <c r="D64" s="3"/>
      <c r="E64" s="43">
        <f>IFERROR(E63/'Cálculo Simplificado'!I13,0)</f>
        <v>0</v>
      </c>
      <c r="F64" s="3"/>
      <c r="G64" s="27"/>
      <c r="H64" s="31">
        <f>IFERROR(H63/'Cálculo Simplificado'!J13,0)</f>
        <v>0</v>
      </c>
      <c r="I64" s="3"/>
      <c r="J64" s="3"/>
      <c r="K64" s="3"/>
      <c r="L64" s="3"/>
      <c r="M64" s="3"/>
      <c r="N64" s="3"/>
      <c r="O64" s="3"/>
      <c r="P64" s="3"/>
      <c r="Q64" s="3"/>
      <c r="R64" s="19"/>
      <c r="S64" s="3"/>
      <c r="T64" s="3"/>
      <c r="U64" s="3"/>
      <c r="V64" s="3"/>
    </row>
    <row r="65" spans="1:22" x14ac:dyDescent="0.3">
      <c r="A65" s="3"/>
      <c r="B65" s="16"/>
      <c r="C65" s="3" t="s">
        <v>82</v>
      </c>
      <c r="D65" s="3"/>
      <c r="E65" s="43">
        <f>IFERROR(E40,0)</f>
        <v>0</v>
      </c>
      <c r="F65" s="32"/>
      <c r="G65" s="27"/>
      <c r="H65" s="31">
        <f>IFERROR(H40,0)</f>
        <v>0</v>
      </c>
      <c r="I65" s="32"/>
      <c r="J65" s="3"/>
      <c r="K65" s="3"/>
      <c r="L65" s="3"/>
      <c r="M65" s="3"/>
      <c r="N65" s="3"/>
      <c r="O65" s="3"/>
      <c r="P65" s="3"/>
      <c r="Q65" s="3"/>
      <c r="R65" s="19"/>
      <c r="S65" s="3"/>
      <c r="T65" s="3"/>
      <c r="U65" s="3"/>
      <c r="V65" s="3"/>
    </row>
    <row r="66" spans="1:22" x14ac:dyDescent="0.3">
      <c r="A66" s="3"/>
      <c r="B66" s="16"/>
      <c r="C66" s="3" t="s">
        <v>80</v>
      </c>
      <c r="D66" s="3"/>
      <c r="E66" s="43">
        <f>IFERROR(E65/'Cálculo Simplificado'!I19,0)</f>
        <v>0</v>
      </c>
      <c r="F66" s="32"/>
      <c r="G66" s="27"/>
      <c r="H66" s="31">
        <f>IFERROR(H65/'Cálculo Simplificado'!J19,0)</f>
        <v>0</v>
      </c>
      <c r="I66" s="32"/>
      <c r="J66" s="3"/>
      <c r="K66" s="3"/>
      <c r="L66" s="3"/>
      <c r="M66" s="3"/>
      <c r="N66" s="3"/>
      <c r="O66" s="3"/>
      <c r="P66" s="3"/>
      <c r="Q66" s="3"/>
      <c r="R66" s="19"/>
      <c r="S66" s="3"/>
      <c r="T66" s="3"/>
      <c r="U66" s="3"/>
      <c r="V66" s="3"/>
    </row>
    <row r="67" spans="1:22" x14ac:dyDescent="0.3">
      <c r="A67" s="3"/>
      <c r="B67" s="16"/>
      <c r="C67" s="3" t="s">
        <v>81</v>
      </c>
      <c r="D67" s="3"/>
      <c r="E67" s="43">
        <f>IFERROR(E43/'Cálculo Simplificado'!I11/'Cálculo Simplificado'!I15,0)</f>
        <v>0</v>
      </c>
      <c r="F67" s="3"/>
      <c r="G67" s="27"/>
      <c r="H67" s="31">
        <f>IFERROR(H43/'Cálculo Simplificado'!J11/'Cálculo Simplificado'!J15,0)</f>
        <v>0</v>
      </c>
      <c r="I67" s="3"/>
      <c r="J67" s="3"/>
      <c r="K67" s="3"/>
      <c r="L67" s="3"/>
      <c r="M67" s="3"/>
      <c r="N67" s="3"/>
      <c r="O67" s="3"/>
      <c r="P67" s="3"/>
      <c r="Q67" s="3"/>
      <c r="R67" s="19"/>
      <c r="S67" s="3"/>
      <c r="T67" s="3"/>
      <c r="U67" s="3"/>
      <c r="V67" s="3"/>
    </row>
    <row r="68" spans="1:22" x14ac:dyDescent="0.3">
      <c r="A68" s="3"/>
      <c r="B68" s="16"/>
      <c r="C68" s="3"/>
      <c r="D68" s="3"/>
      <c r="E68" s="3"/>
      <c r="F68" s="3"/>
      <c r="G68" s="27"/>
      <c r="H68" s="3"/>
      <c r="I68" s="3"/>
      <c r="J68" s="3"/>
      <c r="K68" s="3"/>
      <c r="L68" s="3"/>
      <c r="M68" s="3"/>
      <c r="N68" s="3"/>
      <c r="O68" s="3"/>
      <c r="P68" s="3"/>
      <c r="Q68" s="3"/>
      <c r="R68" s="19"/>
      <c r="S68" s="3"/>
      <c r="T68" s="3"/>
      <c r="U68" s="3"/>
      <c r="V68" s="3"/>
    </row>
    <row r="69" spans="1:22" x14ac:dyDescent="0.3">
      <c r="A69" s="3"/>
      <c r="B69" s="22"/>
      <c r="C69" s="23"/>
      <c r="D69" s="23"/>
      <c r="E69" s="23"/>
      <c r="F69" s="23"/>
      <c r="G69" s="5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3"/>
      <c r="T69" s="3"/>
      <c r="U69" s="3"/>
      <c r="V69" s="3"/>
    </row>
    <row r="70" spans="1:22" x14ac:dyDescent="0.3">
      <c r="A70" s="3"/>
      <c r="B70" s="3"/>
      <c r="C70" s="3"/>
      <c r="D70" s="3"/>
      <c r="E70" s="3"/>
      <c r="F70" s="3"/>
      <c r="G70" s="2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3">
      <c r="A71" s="3"/>
      <c r="B71" s="3"/>
      <c r="C71" s="3"/>
      <c r="D71" s="3"/>
      <c r="E71" s="3"/>
      <c r="F71" s="3"/>
      <c r="G71" s="2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3">
      <c r="A72" s="3"/>
      <c r="B72" s="3"/>
      <c r="C72" s="3"/>
      <c r="D72" s="3"/>
      <c r="E72" s="3"/>
      <c r="F72" s="3"/>
      <c r="G72" s="2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3">
      <c r="A73" s="3"/>
      <c r="B73" s="3"/>
      <c r="C73" s="3"/>
      <c r="D73" s="3"/>
      <c r="E73" s="3"/>
      <c r="F73" s="3"/>
      <c r="G73" s="2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3">
      <c r="A74" s="3"/>
      <c r="B74" s="3"/>
      <c r="C74" s="3"/>
      <c r="D74" s="3"/>
      <c r="E74" s="3"/>
      <c r="F74" s="3"/>
      <c r="G74" s="2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3">
      <c r="A75" s="3"/>
      <c r="B75" s="3"/>
      <c r="C75" s="3"/>
      <c r="D75" s="3"/>
      <c r="E75" s="3"/>
      <c r="F75" s="3"/>
      <c r="G75" s="2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3">
      <c r="A76" s="3"/>
      <c r="B76" s="3"/>
      <c r="C76" s="3"/>
      <c r="D76" s="3"/>
      <c r="E76" s="3"/>
      <c r="F76" s="3"/>
      <c r="G76" s="2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3">
      <c r="A77" s="3"/>
      <c r="B77" s="3"/>
      <c r="C77" s="3"/>
      <c r="D77" s="3"/>
      <c r="E77" s="3"/>
      <c r="F77" s="3"/>
      <c r="G77" s="2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3">
      <c r="A78" s="3"/>
      <c r="B78" s="3"/>
      <c r="C78" s="3"/>
      <c r="D78" s="3"/>
      <c r="E78" s="3"/>
      <c r="F78" s="3"/>
      <c r="G78" s="2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3">
      <c r="A79" s="3"/>
      <c r="B79" s="3"/>
      <c r="C79" s="3"/>
      <c r="D79" s="3"/>
      <c r="E79" s="3"/>
      <c r="F79" s="3"/>
      <c r="G79" s="2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3">
      <c r="A80" s="3"/>
      <c r="B80" s="3"/>
      <c r="C80" s="3"/>
      <c r="D80" s="3"/>
      <c r="E80" s="3"/>
      <c r="F80" s="3"/>
      <c r="G80" s="2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3">
      <c r="A81" s="3"/>
      <c r="B81" s="3"/>
      <c r="C81" s="3"/>
      <c r="D81" s="3"/>
      <c r="E81" s="3"/>
      <c r="F81" s="3"/>
      <c r="G81" s="2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3">
      <c r="A82" s="3"/>
      <c r="B82" s="3"/>
      <c r="C82" s="3"/>
      <c r="D82" s="3"/>
      <c r="E82" s="3"/>
      <c r="F82" s="3"/>
      <c r="G82" s="2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3">
      <c r="A83" s="3"/>
      <c r="B83" s="3"/>
      <c r="C83" s="3"/>
      <c r="D83" s="3"/>
      <c r="E83" s="3"/>
      <c r="F83" s="3"/>
      <c r="G83" s="2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3">
      <c r="A84" s="3"/>
      <c r="B84" s="3"/>
      <c r="C84" s="3"/>
      <c r="D84" s="3"/>
      <c r="E84" s="3"/>
      <c r="F84" s="3"/>
      <c r="G84" s="2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3">
      <c r="A85" s="3"/>
      <c r="B85" s="3"/>
      <c r="C85" s="3"/>
      <c r="D85" s="3"/>
      <c r="E85" s="3"/>
      <c r="F85" s="3"/>
      <c r="G85" s="2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3">
      <c r="A86" s="3"/>
      <c r="B86" s="3"/>
      <c r="C86" s="3"/>
      <c r="D86" s="3"/>
      <c r="E86" s="3"/>
      <c r="F86" s="3"/>
      <c r="G86" s="2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3">
      <c r="A87" s="3"/>
      <c r="B87" s="3"/>
      <c r="C87" s="3"/>
      <c r="D87" s="3"/>
      <c r="E87" s="3"/>
      <c r="F87" s="3"/>
      <c r="G87" s="2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3">
      <c r="A88" s="3"/>
      <c r="B88" s="3"/>
      <c r="C88" s="3"/>
      <c r="D88" s="3"/>
      <c r="E88" s="3"/>
      <c r="F88" s="3"/>
      <c r="G88" s="2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3">
      <c r="A89" s="3"/>
      <c r="B89" s="3"/>
      <c r="C89" s="3"/>
      <c r="D89" s="3"/>
      <c r="E89" s="3"/>
      <c r="F89" s="3"/>
      <c r="G89" s="2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3">
      <c r="A90" s="3"/>
      <c r="B90" s="3"/>
      <c r="C90" s="3"/>
      <c r="D90" s="3"/>
      <c r="E90" s="3"/>
      <c r="F90" s="3"/>
      <c r="G90" s="2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3">
      <c r="A91" s="3"/>
      <c r="B91" s="3"/>
      <c r="C91" s="3"/>
      <c r="D91" s="3"/>
      <c r="E91" s="3"/>
      <c r="F91" s="3"/>
      <c r="G91" s="2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3">
      <c r="A92" s="3"/>
      <c r="B92" s="3"/>
      <c r="C92" s="3"/>
      <c r="D92" s="3"/>
      <c r="E92" s="3"/>
      <c r="F92" s="3"/>
      <c r="G92" s="2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3">
      <c r="A93" s="3"/>
      <c r="B93" s="3"/>
      <c r="C93" s="3"/>
      <c r="D93" s="3"/>
      <c r="E93" s="3"/>
      <c r="F93" s="3"/>
      <c r="G93" s="2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3">
      <c r="A94" s="3"/>
      <c r="B94" s="3"/>
      <c r="C94" s="3"/>
      <c r="D94" s="3"/>
      <c r="E94" s="3"/>
      <c r="F94" s="3"/>
      <c r="G94" s="2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</sheetData>
  <sheetProtection selectLockedCells="1"/>
  <mergeCells count="3">
    <mergeCell ref="E59:F59"/>
    <mergeCell ref="E9:F9"/>
    <mergeCell ref="E36:F36"/>
  </mergeCells>
  <pageMargins bottom="0.75" footer="0.3" header="0.3" left="0.7" right="0.7" top="0.75"/>
  <pageSetup orientation="portrait" paperSize="9" r:id="rId1"/>
  <drawing r:id="rId2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S60"/>
  <sheetViews>
    <sheetView workbookViewId="0">
      <selection activeCell="H21" sqref="H2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36.33203125" collapsed="true"/>
    <col min="5" max="5" customWidth="true" width="6.88671875" collapsed="true"/>
    <col min="6" max="6" customWidth="true" width="4.44140625" collapsed="true"/>
    <col min="7" max="7" customWidth="true" width="4.33203125" collapsed="true"/>
    <col min="8" max="8" customWidth="true" width="15.6640625" collapsed="true"/>
    <col min="9" max="9" customWidth="true" width="6.109375" collapsed="true"/>
    <col min="10" max="10" customWidth="true" width="11.44140625" collapsed="true"/>
    <col min="12" max="12" customWidth="true" width="5.88671875" collapsed="true"/>
    <col min="13" max="14" customWidth="true" width="5.6640625" collapsed="true"/>
  </cols>
  <sheetData>
    <row r="1" spans="1:19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3">
      <c r="A5" s="3"/>
      <c r="B5" s="3"/>
      <c r="C5" s="2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ht="23.4" r="6" spans="1:19" x14ac:dyDescent="0.45">
      <c r="A6" s="3"/>
      <c r="B6" s="3"/>
      <c r="C6" s="4" t="s">
        <v>59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customHeight="1" ht="9" r="7" spans="1:19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3">
      <c r="A8" s="3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15"/>
      <c r="N8" s="3"/>
      <c r="O8" s="3"/>
      <c r="P8" s="3"/>
      <c r="Q8" s="3"/>
      <c r="R8" s="3"/>
      <c r="S8" s="3"/>
    </row>
    <row customHeight="1" ht="21.75" r="9" spans="1:19" x14ac:dyDescent="0.3">
      <c r="A9" s="3"/>
      <c r="B9" s="16"/>
      <c r="C9" s="17" t="s">
        <v>59</v>
      </c>
      <c r="D9" s="18"/>
      <c r="E9" s="18"/>
      <c r="F9" s="18"/>
      <c r="G9" s="18"/>
      <c r="H9" s="17"/>
      <c r="I9" s="18"/>
      <c r="J9" s="17"/>
      <c r="K9" s="18"/>
      <c r="L9" s="18"/>
      <c r="M9" s="19"/>
      <c r="N9" s="3"/>
      <c r="O9" s="3"/>
      <c r="P9" s="3"/>
      <c r="Q9" s="3"/>
      <c r="R9" s="3"/>
      <c r="S9" s="3"/>
    </row>
    <row customHeight="1" ht="18" r="10" spans="1:19" x14ac:dyDescent="0.3">
      <c r="A10" s="3"/>
      <c r="B10" s="16"/>
      <c r="C10" s="3"/>
      <c r="D10" s="3"/>
      <c r="E10" s="3"/>
      <c r="F10" s="3"/>
      <c r="G10" s="3"/>
      <c r="H10" s="3"/>
      <c r="I10" s="3"/>
      <c r="J10" s="3"/>
      <c r="K10" s="3"/>
      <c r="L10" s="3"/>
      <c r="M10" s="19"/>
      <c r="N10" s="3"/>
      <c r="O10" s="3"/>
      <c r="P10" s="3"/>
      <c r="Q10" s="3"/>
      <c r="R10" s="3"/>
      <c r="S10" s="3"/>
    </row>
    <row r="11" spans="1:19" x14ac:dyDescent="0.3">
      <c r="A11" s="3"/>
      <c r="B11" s="16"/>
      <c r="C11" s="20" t="s">
        <v>60</v>
      </c>
      <c r="D11" s="3"/>
      <c r="E11" s="3"/>
      <c r="F11" s="3"/>
      <c r="G11" s="3"/>
      <c r="H11" s="80"/>
      <c r="I11" s="80"/>
      <c r="J11" s="80"/>
      <c r="K11" s="80"/>
      <c r="L11" s="3"/>
      <c r="M11" s="19"/>
      <c r="N11" s="3"/>
      <c r="O11" s="3"/>
      <c r="P11" s="3"/>
      <c r="Q11" s="3"/>
      <c r="R11" s="3"/>
      <c r="S11" s="3"/>
    </row>
    <row customHeight="1" ht="3.75" r="12" spans="1:19" x14ac:dyDescent="0.3">
      <c r="A12" s="3"/>
      <c r="B12" s="16"/>
      <c r="C12" s="10"/>
      <c r="D12" s="3"/>
      <c r="E12" s="3"/>
      <c r="F12" s="3"/>
      <c r="G12" s="3"/>
      <c r="H12" s="3"/>
      <c r="I12" s="3"/>
      <c r="J12" s="21"/>
      <c r="K12" s="3"/>
      <c r="L12" s="3"/>
      <c r="M12" s="19"/>
      <c r="N12" s="3"/>
      <c r="O12" s="3"/>
      <c r="P12" s="3"/>
      <c r="Q12" s="3"/>
      <c r="R12" s="3"/>
      <c r="S12" s="3"/>
    </row>
    <row r="13" spans="1:19" x14ac:dyDescent="0.3">
      <c r="A13" s="3"/>
      <c r="B13" s="16"/>
      <c r="C13" s="20" t="s">
        <v>85</v>
      </c>
      <c r="D13" s="3"/>
      <c r="E13" s="3"/>
      <c r="F13" s="3"/>
      <c r="G13" s="3"/>
      <c r="H13" s="47">
        <f>H15+H17</f>
        <v>0</v>
      </c>
      <c r="I13" s="3"/>
      <c r="J13" s="21"/>
      <c r="K13" s="3"/>
      <c r="L13" s="3"/>
      <c r="M13" s="19"/>
      <c r="N13" s="3"/>
      <c r="O13" s="3"/>
      <c r="P13" s="3"/>
      <c r="Q13" s="3"/>
      <c r="R13" s="3"/>
      <c r="S13" s="3"/>
    </row>
    <row customHeight="1" ht="3.75" r="14" spans="1:19" x14ac:dyDescent="0.3">
      <c r="A14" s="3"/>
      <c r="B14" s="16"/>
      <c r="C14" s="10"/>
      <c r="D14" s="3"/>
      <c r="E14" s="3"/>
      <c r="F14" s="3"/>
      <c r="G14" s="3"/>
      <c r="H14" s="3"/>
      <c r="I14" s="3"/>
      <c r="J14" s="21"/>
      <c r="K14" s="3"/>
      <c r="L14" s="3"/>
      <c r="M14" s="19"/>
      <c r="N14" s="3"/>
      <c r="O14" s="3"/>
      <c r="P14" s="3"/>
      <c r="Q14" s="3"/>
      <c r="R14" s="3"/>
      <c r="S14" s="3"/>
    </row>
    <row r="15" spans="1:19" x14ac:dyDescent="0.3">
      <c r="A15" s="3"/>
      <c r="B15" s="16"/>
      <c r="C15" t="s">
        <v>206</v>
      </c>
      <c r="D15" s="3"/>
      <c r="E15" s="3"/>
      <c r="F15" s="3"/>
      <c r="G15" s="3"/>
      <c r="H15" s="46"/>
      <c r="I15" s="3"/>
      <c r="J15" s="21"/>
      <c r="K15" s="3"/>
      <c r="L15" s="3"/>
      <c r="M15" s="19"/>
      <c r="N15" s="3"/>
      <c r="O15" s="3"/>
      <c r="P15" s="3"/>
      <c r="Q15" s="3"/>
      <c r="R15" s="3"/>
      <c r="S15" s="3"/>
    </row>
    <row customHeight="1" ht="3.75" r="16" spans="1:19" x14ac:dyDescent="0.3">
      <c r="A16" s="3"/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19"/>
      <c r="N16" s="3"/>
      <c r="O16" s="3"/>
      <c r="P16" s="3"/>
      <c r="Q16" s="3"/>
      <c r="R16" s="3"/>
      <c r="S16" s="3"/>
    </row>
    <row r="17" spans="1:19" x14ac:dyDescent="0.3">
      <c r="A17" s="3"/>
      <c r="B17" s="16"/>
      <c r="C17" t="s">
        <v>207</v>
      </c>
      <c r="D17" s="3"/>
      <c r="E17" s="3"/>
      <c r="F17" s="3"/>
      <c r="G17" s="3"/>
      <c r="H17" s="46"/>
      <c r="I17" s="3"/>
      <c r="J17" s="21"/>
      <c r="K17" s="3"/>
      <c r="L17" s="3"/>
      <c r="M17" s="19"/>
      <c r="N17" s="3"/>
      <c r="O17" s="3"/>
      <c r="P17" s="3"/>
      <c r="Q17" s="3"/>
      <c r="R17" s="3"/>
      <c r="S17" s="3"/>
    </row>
    <row customHeight="1" ht="3.75" r="18" spans="1:19" x14ac:dyDescent="0.3">
      <c r="A18" s="3"/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19"/>
      <c r="N18" s="3"/>
      <c r="O18" s="3"/>
      <c r="P18" s="3"/>
      <c r="Q18" s="3"/>
      <c r="R18" s="3"/>
      <c r="S18" s="3"/>
    </row>
    <row r="19" spans="1:19" x14ac:dyDescent="0.3">
      <c r="A19" s="3"/>
      <c r="B19" s="16"/>
      <c r="C19" s="20" t="s">
        <v>208</v>
      </c>
      <c r="D19" s="3"/>
      <c r="E19" s="3"/>
      <c r="F19" s="3"/>
      <c r="G19" s="3"/>
      <c r="H19" s="46"/>
      <c r="I19" s="3"/>
      <c r="J19" s="21"/>
      <c r="K19" s="3"/>
      <c r="L19" s="3"/>
      <c r="M19" s="19"/>
      <c r="N19" s="3"/>
      <c r="O19" s="3"/>
      <c r="P19" s="3"/>
      <c r="Q19" s="3"/>
      <c r="R19" s="3"/>
      <c r="S19" s="3"/>
    </row>
    <row customHeight="1" ht="3.75" r="20" spans="1:19" x14ac:dyDescent="0.3">
      <c r="A20" s="3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19"/>
      <c r="N20" s="3"/>
      <c r="O20" s="3"/>
      <c r="P20" s="3"/>
      <c r="Q20" s="3"/>
      <c r="R20" s="3"/>
      <c r="S20" s="3"/>
    </row>
    <row r="21" spans="1:19" x14ac:dyDescent="0.3">
      <c r="A21" s="3"/>
      <c r="B21" s="16"/>
      <c r="C21" s="20" t="s">
        <v>209</v>
      </c>
      <c r="D21" s="3"/>
      <c r="E21" s="3"/>
      <c r="F21" s="3"/>
      <c r="G21" s="3"/>
      <c r="H21" s="47">
        <f>H23+H25+H27</f>
        <v>0</v>
      </c>
      <c r="I21" s="3"/>
      <c r="J21" s="21"/>
      <c r="K21" s="3"/>
      <c r="L21" s="3"/>
      <c r="M21" s="19"/>
      <c r="N21" s="3"/>
      <c r="O21" s="3"/>
      <c r="P21" s="3"/>
      <c r="Q21" s="3"/>
      <c r="R21" s="3"/>
      <c r="S21" s="3"/>
    </row>
    <row customHeight="1" ht="3.75" r="22" spans="1:19" x14ac:dyDescent="0.3">
      <c r="A22" s="3"/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19"/>
      <c r="N22" s="3"/>
      <c r="O22" s="3"/>
      <c r="P22" s="3"/>
      <c r="Q22" s="3"/>
      <c r="R22" s="3"/>
      <c r="S22" s="3"/>
    </row>
    <row r="23" spans="1:19" x14ac:dyDescent="0.3">
      <c r="A23" s="3"/>
      <c r="B23" s="16"/>
      <c r="C23" t="s">
        <v>210</v>
      </c>
      <c r="D23" s="3"/>
      <c r="E23" s="3"/>
      <c r="F23" s="3"/>
      <c r="G23" s="3"/>
      <c r="H23" s="46"/>
      <c r="I23" s="3"/>
      <c r="J23" s="21"/>
      <c r="K23" s="3"/>
      <c r="L23" s="3"/>
      <c r="M23" s="19"/>
      <c r="N23" s="3"/>
      <c r="O23" s="3"/>
      <c r="P23" s="3"/>
      <c r="Q23" s="3"/>
      <c r="R23" s="3"/>
      <c r="S23" s="3"/>
    </row>
    <row customHeight="1" ht="3.75" r="24" spans="1:19" x14ac:dyDescent="0.3">
      <c r="A24" s="3"/>
      <c r="B24" s="16"/>
      <c r="C24" s="3"/>
      <c r="D24" s="3"/>
      <c r="E24" s="3"/>
      <c r="F24" s="3"/>
      <c r="G24" s="3"/>
      <c r="H24" s="3"/>
      <c r="I24" s="3"/>
      <c r="J24" s="3"/>
      <c r="K24" s="3"/>
      <c r="L24" s="3"/>
      <c r="M24" s="19"/>
      <c r="N24" s="3"/>
      <c r="O24" s="3"/>
      <c r="P24" s="3"/>
      <c r="Q24" s="3"/>
      <c r="R24" s="3"/>
      <c r="S24" s="3"/>
    </row>
    <row r="25" spans="1:19" x14ac:dyDescent="0.3">
      <c r="A25" s="3"/>
      <c r="B25" s="16"/>
      <c r="C25" t="s">
        <v>211</v>
      </c>
      <c r="D25" s="3"/>
      <c r="E25" s="3"/>
      <c r="F25" s="3"/>
      <c r="G25" s="3"/>
      <c r="H25" s="46"/>
      <c r="I25" s="3"/>
      <c r="J25" s="21"/>
      <c r="K25" s="3"/>
      <c r="L25" s="3"/>
      <c r="M25" s="19"/>
      <c r="N25" s="3"/>
      <c r="O25" s="3"/>
      <c r="P25" s="3"/>
      <c r="Q25" s="3"/>
      <c r="R25" s="3"/>
      <c r="S25" s="3"/>
    </row>
    <row customHeight="1" ht="3.75" r="26" spans="1:19" x14ac:dyDescent="0.3">
      <c r="A26" s="3"/>
      <c r="B26" s="16"/>
      <c r="C26" s="3"/>
      <c r="D26" s="3"/>
      <c r="E26" s="3"/>
      <c r="F26" s="3"/>
      <c r="G26" s="3"/>
      <c r="H26" s="3">
        <v>6</v>
      </c>
      <c r="I26" s="3"/>
      <c r="J26" s="3"/>
      <c r="K26" s="3"/>
      <c r="L26" s="3"/>
      <c r="M26" s="19"/>
      <c r="N26" s="3"/>
      <c r="O26" s="3"/>
      <c r="P26" s="3"/>
      <c r="Q26" s="3"/>
      <c r="R26" s="3"/>
      <c r="S26" s="3"/>
    </row>
    <row r="27" spans="1:19" x14ac:dyDescent="0.3">
      <c r="A27" s="3"/>
      <c r="B27" s="16"/>
      <c r="C27" t="s">
        <v>212</v>
      </c>
      <c r="D27" s="3"/>
      <c r="E27" s="3"/>
      <c r="F27" s="3"/>
      <c r="G27" s="3"/>
      <c r="H27" s="46"/>
      <c r="I27" s="3"/>
      <c r="J27" s="21"/>
      <c r="K27" s="3"/>
      <c r="L27" s="3"/>
      <c r="M27" s="19"/>
      <c r="N27" s="3"/>
      <c r="O27" s="3"/>
      <c r="P27" s="3"/>
      <c r="Q27" s="3"/>
      <c r="R27" s="3"/>
      <c r="S27" s="3"/>
    </row>
    <row customHeight="1" ht="3.75" r="28" spans="1:19" x14ac:dyDescent="0.3">
      <c r="A28" s="3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19"/>
      <c r="N28" s="3"/>
      <c r="O28" s="3"/>
      <c r="P28" s="3"/>
      <c r="Q28" s="3"/>
      <c r="R28" s="3"/>
      <c r="S28" s="3"/>
    </row>
    <row r="29" spans="1:19" x14ac:dyDescent="0.3">
      <c r="A29" s="3"/>
      <c r="B29" s="16"/>
      <c r="C29" t="s">
        <v>213</v>
      </c>
      <c r="D29" s="3"/>
      <c r="E29" s="3"/>
      <c r="F29" s="3"/>
      <c r="G29" s="3"/>
      <c r="H29" s="46"/>
      <c r="I29" s="3"/>
      <c r="J29" s="21"/>
      <c r="K29" s="3"/>
      <c r="L29" s="3"/>
      <c r="M29" s="19"/>
      <c r="N29" s="3"/>
      <c r="O29" s="3"/>
      <c r="P29" s="3"/>
      <c r="Q29" s="3"/>
      <c r="R29" s="3"/>
      <c r="S29" s="3"/>
    </row>
    <row customHeight="1" ht="3.75" r="30" spans="1:19" x14ac:dyDescent="0.3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  <c r="L30" s="3"/>
      <c r="M30" s="19"/>
      <c r="N30" s="3"/>
      <c r="O30" s="3"/>
      <c r="P30" s="3"/>
      <c r="Q30" s="3"/>
      <c r="R30" s="3"/>
      <c r="S30" s="3"/>
    </row>
    <row r="31" spans="1:19" x14ac:dyDescent="0.3">
      <c r="A31" s="3"/>
      <c r="B31" s="16"/>
      <c r="C31" s="39" t="s">
        <v>86</v>
      </c>
      <c r="D31" s="3"/>
      <c r="E31" s="3"/>
      <c r="F31" s="3"/>
      <c r="G31" s="3"/>
      <c r="H31" s="47">
        <f>IFERROR(ROUND(H13*(H19/100)*'Cálculo Simplificado'!I37+H13*(('Cálculo Simplificado'!I43+'Cálculo Simplificado'!I45)/'Cálculo Simplificado'!I11)+H29,2),0)</f>
        <v>0</v>
      </c>
      <c r="I31" s="3"/>
      <c r="J31" s="25"/>
      <c r="K31" s="3"/>
      <c r="L31" s="3"/>
      <c r="M31" s="19"/>
      <c r="N31" s="3"/>
      <c r="O31" s="3"/>
      <c r="P31" s="3"/>
      <c r="Q31" s="3"/>
      <c r="R31" s="3"/>
      <c r="S31" s="3"/>
    </row>
    <row customHeight="1" ht="3.75" r="32" spans="1:19" x14ac:dyDescent="0.3">
      <c r="A32" s="3"/>
      <c r="B32" s="16"/>
      <c r="C32" s="3"/>
      <c r="D32" s="3"/>
      <c r="E32" s="3"/>
      <c r="F32" s="3"/>
      <c r="G32" s="3"/>
      <c r="H32" s="3"/>
      <c r="I32" s="3"/>
      <c r="J32" s="3"/>
      <c r="K32" s="3"/>
      <c r="L32" s="3"/>
      <c r="M32" s="19"/>
      <c r="N32" s="3"/>
      <c r="O32" s="3"/>
      <c r="P32" s="3"/>
      <c r="Q32" s="3"/>
      <c r="R32" s="3"/>
      <c r="S32" s="3"/>
    </row>
    <row r="33" spans="1:19" x14ac:dyDescent="0.3">
      <c r="A33" s="3"/>
      <c r="B33" s="16"/>
      <c r="C33" t="s">
        <v>87</v>
      </c>
      <c r="D33" s="3"/>
      <c r="E33" s="3"/>
      <c r="F33" s="3"/>
      <c r="G33" s="3"/>
      <c r="H33" s="47">
        <f>IFERROR(H21*((Resultados!E11+Resultados!E12+Resultados!E13)/'Cálculo Simplificado'!I13),0)</f>
        <v>0</v>
      </c>
      <c r="I33" s="3"/>
      <c r="J33" s="21"/>
      <c r="K33" s="3"/>
      <c r="L33" s="3"/>
      <c r="M33" s="19"/>
      <c r="N33" s="3"/>
      <c r="O33" s="33"/>
      <c r="P33" s="3"/>
      <c r="Q33" s="3"/>
      <c r="R33" s="3"/>
      <c r="S33" s="3"/>
    </row>
    <row customHeight="1" ht="3.75" r="34" spans="1:19" x14ac:dyDescent="0.3">
      <c r="A34" s="3"/>
      <c r="B34" s="16"/>
      <c r="C34" s="3"/>
      <c r="D34" s="3"/>
      <c r="E34" s="3"/>
      <c r="F34" s="3"/>
      <c r="G34" s="3"/>
      <c r="H34" s="3"/>
      <c r="I34" s="3"/>
      <c r="J34" s="3"/>
      <c r="K34" s="3"/>
      <c r="L34" s="3"/>
      <c r="M34" s="19"/>
      <c r="N34" s="3"/>
      <c r="O34" s="3"/>
      <c r="P34" s="3"/>
      <c r="Q34" s="3"/>
      <c r="R34" s="3"/>
      <c r="S34" s="3"/>
    </row>
    <row r="35" spans="1:19" x14ac:dyDescent="0.3">
      <c r="A35" s="3"/>
      <c r="B35" s="16"/>
      <c r="C35" t="s">
        <v>88</v>
      </c>
      <c r="D35" s="3"/>
      <c r="E35" s="3"/>
      <c r="F35" s="3"/>
      <c r="G35" s="3"/>
      <c r="H35" s="46"/>
      <c r="I35" s="3"/>
      <c r="J35" s="21"/>
      <c r="K35" s="3"/>
      <c r="L35" s="3"/>
      <c r="M35" s="19"/>
      <c r="N35" s="3"/>
      <c r="O35" s="33"/>
      <c r="P35" s="3"/>
      <c r="Q35" s="33"/>
      <c r="R35" s="3"/>
      <c r="S35" s="3"/>
    </row>
    <row customHeight="1" ht="3.75" r="36" spans="1:19" x14ac:dyDescent="0.3">
      <c r="A36" s="3"/>
      <c r="B36" s="16"/>
      <c r="C36" s="3"/>
      <c r="D36" s="3"/>
      <c r="E36" s="3"/>
      <c r="F36" s="3"/>
      <c r="G36" s="3"/>
      <c r="H36" s="3"/>
      <c r="I36" s="3"/>
      <c r="J36" s="3"/>
      <c r="K36" s="3"/>
      <c r="L36" s="3"/>
      <c r="M36" s="19"/>
      <c r="N36" s="3"/>
      <c r="O36" s="3"/>
      <c r="P36" s="3"/>
      <c r="Q36" s="33"/>
      <c r="R36" s="3"/>
      <c r="S36" s="3"/>
    </row>
    <row r="37" spans="1:19" x14ac:dyDescent="0.3">
      <c r="A37" s="3"/>
      <c r="B37" s="16"/>
      <c r="C37" s="41" t="s">
        <v>89</v>
      </c>
      <c r="D37" s="3"/>
      <c r="E37" s="3"/>
      <c r="F37" s="3"/>
      <c r="G37" s="3"/>
      <c r="H37" s="47">
        <f>IFERROR(H31+H33+H35,0)</f>
        <v>0</v>
      </c>
      <c r="I37" s="3"/>
      <c r="J37" s="21"/>
      <c r="K37" s="3"/>
      <c r="L37" s="3"/>
      <c r="M37" s="19"/>
      <c r="N37" s="3"/>
      <c r="O37" s="3"/>
      <c r="P37" s="3"/>
      <c r="Q37" s="3"/>
      <c r="R37" s="3"/>
      <c r="S37" s="3"/>
    </row>
    <row customHeight="1" ht="3.75" r="38" spans="1:19" x14ac:dyDescent="0.3">
      <c r="A38" s="3"/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19"/>
      <c r="N38" s="3"/>
      <c r="O38" s="3"/>
      <c r="P38" s="3"/>
      <c r="Q38" s="3"/>
      <c r="R38" s="3"/>
      <c r="S38" s="3"/>
    </row>
    <row r="39" spans="1:19" x14ac:dyDescent="0.3">
      <c r="A39" s="3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3"/>
      <c r="O39" s="3"/>
      <c r="P39" s="3"/>
      <c r="Q39" s="3"/>
      <c r="R39" s="3"/>
      <c r="S39" s="3"/>
    </row>
    <row r="40" spans="1:19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</sheetData>
  <sheetProtection selectLockedCells="1"/>
  <mergeCells count="1">
    <mergeCell ref="H11:K11"/>
  </mergeCells>
  <pageMargins bottom="0.75" footer="0.3" header="0.3" left="0.7" right="0.7" top="0.75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baseType="lpstr" size="9">
      <vt:lpstr>T</vt:lpstr>
      <vt:lpstr>DE</vt:lpstr>
      <vt:lpstr>Tipo Vehículo</vt:lpstr>
      <vt:lpstr>Cálculo Simplificado</vt:lpstr>
      <vt:lpstr>Resultados</vt:lpstr>
      <vt:lpstr>Coste Servicio</vt:lpstr>
      <vt:lpstr>Pregunta</vt:lpstr>
      <vt:lpstr>PreguntaSN</vt:lpstr>
      <vt:lpstr>TVehiculo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2024-01-22T15:29:04Z</dcterms:modified>
</cp:coreProperties>
</file>