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lkarlan-my.sharepoint.com/personal/j-barrios_euskadi_eus/Documents/DRI/2026-02/WEB/"/>
    </mc:Choice>
  </mc:AlternateContent>
  <xr:revisionPtr revIDLastSave="0" documentId="8_{E1BAF3C1-E6F7-4650-92B1-F4D45B31CB1F}" xr6:coauthVersionLast="47" xr6:coauthVersionMax="47" xr10:uidLastSave="{00000000-0000-0000-0000-000000000000}"/>
  <bookViews>
    <workbookView xWindow="-120" yWindow="-120" windowWidth="29040" windowHeight="15720" xr2:uid="{B2A48052-D344-44BF-9AC1-F62E95E206F5}"/>
  </bookViews>
  <sheets>
    <sheet name="CAPV-Acumulado" sheetId="1" r:id="rId1"/>
    <sheet name="DATOS" sheetId="2" state="veryHidden" r:id="rId2"/>
  </sheets>
  <definedNames>
    <definedName name="Print_Area" localSheetId="0">'CAPV-Acumulado'!$A$1:$K$101</definedName>
    <definedName name="RANGO_TOTAL" localSheetId="0">#REF!</definedName>
    <definedName name="RANGO_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1" l="1"/>
  <c r="I95" i="1"/>
  <c r="I3" i="1"/>
  <c r="J55" i="1"/>
  <c r="J54" i="1"/>
  <c r="J56" i="1"/>
  <c r="J153" i="1"/>
  <c r="K153" i="1"/>
  <c r="J53" i="1"/>
  <c r="J139" i="1"/>
  <c r="J52" i="1"/>
  <c r="J135" i="1"/>
  <c r="J51" i="1"/>
  <c r="J131" i="1"/>
  <c r="J50" i="1"/>
  <c r="J128" i="1"/>
  <c r="J49" i="1"/>
  <c r="J125" i="1"/>
  <c r="J48" i="1"/>
  <c r="J47" i="1"/>
  <c r="J44" i="1"/>
  <c r="J110" i="1"/>
  <c r="J37" i="1"/>
  <c r="J20" i="1"/>
  <c r="H61" i="1"/>
  <c r="B13" i="1"/>
  <c r="B169" i="1"/>
  <c r="D169" i="1"/>
  <c r="D106" i="1"/>
  <c r="B106" i="1"/>
  <c r="J169" i="1"/>
  <c r="I169" i="1"/>
  <c r="H169" i="1"/>
  <c r="G169" i="1"/>
  <c r="F169" i="1"/>
  <c r="J106" i="1"/>
  <c r="I106" i="1"/>
  <c r="H106" i="1"/>
  <c r="G106" i="1"/>
  <c r="F106" i="1"/>
  <c r="J206" i="1"/>
  <c r="J205" i="1"/>
  <c r="J200" i="1"/>
  <c r="J199" i="1"/>
  <c r="J198" i="1"/>
  <c r="J195" i="1"/>
  <c r="J194" i="1"/>
  <c r="K194" i="1"/>
  <c r="J191" i="1"/>
  <c r="J190" i="1"/>
  <c r="J188" i="1"/>
  <c r="J187" i="1"/>
  <c r="J184" i="1"/>
  <c r="J183" i="1"/>
  <c r="J179" i="1"/>
  <c r="H206" i="1"/>
  <c r="H205" i="1"/>
  <c r="H200" i="1"/>
  <c r="H199" i="1"/>
  <c r="H195" i="1"/>
  <c r="H193" i="1"/>
  <c r="H194" i="1"/>
  <c r="H191" i="1"/>
  <c r="H190" i="1"/>
  <c r="H188" i="1"/>
  <c r="H187" i="1"/>
  <c r="H184" i="1"/>
  <c r="H183" i="1"/>
  <c r="G206" i="1"/>
  <c r="G205" i="1"/>
  <c r="G200" i="1"/>
  <c r="G199" i="1"/>
  <c r="G195" i="1"/>
  <c r="G194" i="1"/>
  <c r="G191" i="1"/>
  <c r="G190" i="1"/>
  <c r="G188" i="1"/>
  <c r="G186" i="1"/>
  <c r="G187" i="1"/>
  <c r="G184" i="1"/>
  <c r="G183" i="1"/>
  <c r="J180" i="1"/>
  <c r="H180" i="1"/>
  <c r="H179" i="1"/>
  <c r="G180" i="1"/>
  <c r="G179" i="1"/>
  <c r="F206" i="1"/>
  <c r="F205" i="1"/>
  <c r="F207" i="1"/>
  <c r="F87" i="1"/>
  <c r="F200" i="1"/>
  <c r="F199" i="1"/>
  <c r="F195" i="1"/>
  <c r="F194" i="1"/>
  <c r="F191" i="1"/>
  <c r="F190" i="1"/>
  <c r="F188" i="1"/>
  <c r="F187" i="1"/>
  <c r="I187" i="1"/>
  <c r="F184" i="1"/>
  <c r="F183" i="1"/>
  <c r="F180" i="1"/>
  <c r="F179" i="1"/>
  <c r="J173" i="1"/>
  <c r="J174" i="1"/>
  <c r="J172" i="1"/>
  <c r="H173" i="1"/>
  <c r="H174" i="1"/>
  <c r="H172" i="1"/>
  <c r="G173" i="1"/>
  <c r="G172" i="1"/>
  <c r="F173" i="1"/>
  <c r="F174" i="1"/>
  <c r="F172" i="1"/>
  <c r="H152" i="1"/>
  <c r="G152" i="1"/>
  <c r="H148" i="1"/>
  <c r="G148" i="1"/>
  <c r="H145" i="1"/>
  <c r="G145" i="1"/>
  <c r="H141" i="1"/>
  <c r="H140" i="1"/>
  <c r="G141" i="1"/>
  <c r="H137" i="1"/>
  <c r="G137" i="1"/>
  <c r="H133" i="1"/>
  <c r="G133" i="1"/>
  <c r="H130" i="1"/>
  <c r="H113" i="1"/>
  <c r="G130" i="1"/>
  <c r="H127" i="1"/>
  <c r="G127" i="1"/>
  <c r="H124" i="1"/>
  <c r="G124" i="1"/>
  <c r="H121" i="1"/>
  <c r="G121" i="1"/>
  <c r="G120" i="1"/>
  <c r="H118" i="1"/>
  <c r="H117" i="1"/>
  <c r="F152" i="1"/>
  <c r="F148" i="1"/>
  <c r="F145" i="1"/>
  <c r="F141" i="1"/>
  <c r="F137" i="1"/>
  <c r="F133" i="1"/>
  <c r="F130" i="1"/>
  <c r="F127" i="1"/>
  <c r="F124" i="1"/>
  <c r="F121" i="1"/>
  <c r="F118" i="1"/>
  <c r="G118" i="1"/>
  <c r="G113" i="1"/>
  <c r="I109" i="1"/>
  <c r="J109" i="1"/>
  <c r="H109" i="1"/>
  <c r="G109" i="1"/>
  <c r="F109" i="1"/>
  <c r="J78" i="1"/>
  <c r="J79" i="1"/>
  <c r="H78" i="1"/>
  <c r="G78" i="1"/>
  <c r="F78" i="1"/>
  <c r="I78" i="1"/>
  <c r="K78" i="1"/>
  <c r="E78" i="1"/>
  <c r="C78" i="1"/>
  <c r="J77" i="1"/>
  <c r="H77" i="1"/>
  <c r="H79" i="1"/>
  <c r="G77" i="1"/>
  <c r="F77" i="1"/>
  <c r="I77" i="1"/>
  <c r="K77" i="1"/>
  <c r="E77" i="1"/>
  <c r="C77" i="1"/>
  <c r="J76" i="1"/>
  <c r="H76" i="1"/>
  <c r="I76" i="1"/>
  <c r="G76" i="1"/>
  <c r="F76" i="1"/>
  <c r="E76" i="1"/>
  <c r="C76" i="1"/>
  <c r="J74" i="1"/>
  <c r="H74" i="1"/>
  <c r="G74" i="1"/>
  <c r="F74" i="1"/>
  <c r="I74" i="1"/>
  <c r="K74" i="1"/>
  <c r="E74" i="1"/>
  <c r="C74" i="1"/>
  <c r="J73" i="1"/>
  <c r="H73" i="1"/>
  <c r="G73" i="1"/>
  <c r="F73" i="1"/>
  <c r="I73" i="1"/>
  <c r="E73" i="1"/>
  <c r="C73" i="1"/>
  <c r="J72" i="1"/>
  <c r="H72" i="1"/>
  <c r="G72" i="1"/>
  <c r="F72" i="1"/>
  <c r="E72" i="1"/>
  <c r="C72" i="1"/>
  <c r="J66" i="1"/>
  <c r="H66" i="1"/>
  <c r="I66" i="1"/>
  <c r="K66" i="1"/>
  <c r="G66" i="1"/>
  <c r="F66" i="1"/>
  <c r="E66" i="1"/>
  <c r="C66" i="1"/>
  <c r="J65" i="1"/>
  <c r="H65" i="1"/>
  <c r="G65" i="1"/>
  <c r="I65" i="1"/>
  <c r="K65" i="1"/>
  <c r="F65" i="1"/>
  <c r="E65" i="1"/>
  <c r="C65" i="1"/>
  <c r="J64" i="1"/>
  <c r="H64" i="1"/>
  <c r="G64" i="1"/>
  <c r="F64" i="1"/>
  <c r="I64" i="1"/>
  <c r="K64" i="1"/>
  <c r="E64" i="1"/>
  <c r="C64" i="1"/>
  <c r="J63" i="1"/>
  <c r="H63" i="1"/>
  <c r="I63" i="1"/>
  <c r="K63" i="1"/>
  <c r="G63" i="1"/>
  <c r="F63" i="1"/>
  <c r="E63" i="1"/>
  <c r="C63" i="1"/>
  <c r="J62" i="1"/>
  <c r="H62" i="1"/>
  <c r="G62" i="1"/>
  <c r="F62" i="1"/>
  <c r="F68" i="1"/>
  <c r="E62" i="1"/>
  <c r="C62" i="1"/>
  <c r="J61" i="1"/>
  <c r="G61" i="1"/>
  <c r="F61" i="1"/>
  <c r="E61" i="1"/>
  <c r="C61" i="1"/>
  <c r="J60" i="1"/>
  <c r="H60" i="1"/>
  <c r="I60" i="1"/>
  <c r="G60" i="1"/>
  <c r="F60" i="1"/>
  <c r="E60" i="1"/>
  <c r="C60" i="1"/>
  <c r="E25" i="1"/>
  <c r="H56" i="1"/>
  <c r="H151" i="1"/>
  <c r="H153" i="1"/>
  <c r="G56" i="1"/>
  <c r="F56" i="1"/>
  <c r="E56" i="1"/>
  <c r="C56" i="1"/>
  <c r="H55" i="1"/>
  <c r="G55" i="1"/>
  <c r="F55" i="1"/>
  <c r="E55" i="1"/>
  <c r="C55" i="1"/>
  <c r="H54" i="1"/>
  <c r="H144" i="1"/>
  <c r="H143" i="1"/>
  <c r="G54" i="1"/>
  <c r="F54" i="1"/>
  <c r="F144" i="1"/>
  <c r="F143" i="1"/>
  <c r="E54" i="1"/>
  <c r="C54" i="1"/>
  <c r="H53" i="1"/>
  <c r="H139" i="1"/>
  <c r="G53" i="1"/>
  <c r="G139" i="1"/>
  <c r="F53" i="1"/>
  <c r="I53" i="1"/>
  <c r="E53" i="1"/>
  <c r="C53" i="1"/>
  <c r="H52" i="1"/>
  <c r="H135" i="1"/>
  <c r="G52" i="1"/>
  <c r="I52" i="1"/>
  <c r="F52" i="1"/>
  <c r="E52" i="1"/>
  <c r="C52" i="1"/>
  <c r="H51" i="1"/>
  <c r="G51" i="1"/>
  <c r="F51" i="1"/>
  <c r="F132" i="1"/>
  <c r="F131" i="1"/>
  <c r="E51" i="1"/>
  <c r="C51" i="1"/>
  <c r="H50" i="1"/>
  <c r="H129" i="1"/>
  <c r="H128" i="1"/>
  <c r="G50" i="1"/>
  <c r="G129" i="1"/>
  <c r="F50" i="1"/>
  <c r="E50" i="1"/>
  <c r="C50" i="1"/>
  <c r="H49" i="1"/>
  <c r="H125" i="1"/>
  <c r="G49" i="1"/>
  <c r="G126" i="1"/>
  <c r="F49" i="1"/>
  <c r="E49" i="1"/>
  <c r="C49" i="1"/>
  <c r="H48" i="1"/>
  <c r="H123" i="1"/>
  <c r="G48" i="1"/>
  <c r="G122" i="1"/>
  <c r="F48" i="1"/>
  <c r="I48" i="1"/>
  <c r="E48" i="1"/>
  <c r="C48" i="1"/>
  <c r="H47" i="1"/>
  <c r="H119" i="1"/>
  <c r="G47" i="1"/>
  <c r="F47" i="1"/>
  <c r="F120" i="1"/>
  <c r="F119" i="1"/>
  <c r="E47" i="1"/>
  <c r="C47" i="1"/>
  <c r="J46" i="1"/>
  <c r="J58" i="1"/>
  <c r="J70" i="1"/>
  <c r="H46" i="1"/>
  <c r="H58" i="1"/>
  <c r="H70" i="1"/>
  <c r="G46" i="1"/>
  <c r="G58" i="1"/>
  <c r="G70" i="1"/>
  <c r="F46" i="1"/>
  <c r="I46" i="1"/>
  <c r="F116" i="1"/>
  <c r="E46" i="1"/>
  <c r="C46" i="1"/>
  <c r="H44" i="1"/>
  <c r="H110" i="1"/>
  <c r="G44" i="1"/>
  <c r="F44" i="1"/>
  <c r="I44" i="1"/>
  <c r="E44" i="1"/>
  <c r="C44" i="1"/>
  <c r="J38" i="1"/>
  <c r="H38" i="1"/>
  <c r="G38" i="1"/>
  <c r="J36" i="1"/>
  <c r="J35" i="1"/>
  <c r="J34" i="1"/>
  <c r="J33" i="1"/>
  <c r="J40" i="1"/>
  <c r="H37" i="1"/>
  <c r="H36" i="1"/>
  <c r="H35" i="1"/>
  <c r="H34" i="1"/>
  <c r="H33" i="1"/>
  <c r="G37" i="1"/>
  <c r="I37" i="1"/>
  <c r="K37" i="1"/>
  <c r="G36" i="1"/>
  <c r="G35" i="1"/>
  <c r="I35" i="1"/>
  <c r="K35" i="1"/>
  <c r="G34" i="1"/>
  <c r="G33" i="1"/>
  <c r="G40" i="1"/>
  <c r="G29" i="1"/>
  <c r="I29" i="1"/>
  <c r="K29" i="1"/>
  <c r="G28" i="1"/>
  <c r="I28" i="1"/>
  <c r="K28" i="1"/>
  <c r="G27" i="1"/>
  <c r="G26" i="1"/>
  <c r="I26" i="1"/>
  <c r="K26" i="1"/>
  <c r="G25" i="1"/>
  <c r="F38" i="1"/>
  <c r="F37" i="1"/>
  <c r="F36" i="1"/>
  <c r="F35" i="1"/>
  <c r="F34" i="1"/>
  <c r="I34" i="1"/>
  <c r="K34" i="1"/>
  <c r="F33" i="1"/>
  <c r="F40" i="1"/>
  <c r="E38" i="1"/>
  <c r="C38" i="1"/>
  <c r="E37" i="1"/>
  <c r="C37" i="1"/>
  <c r="E36" i="1"/>
  <c r="C36" i="1"/>
  <c r="E35" i="1"/>
  <c r="C35" i="1"/>
  <c r="E34" i="1"/>
  <c r="C34" i="1"/>
  <c r="E33" i="1"/>
  <c r="C33" i="1"/>
  <c r="J29" i="1"/>
  <c r="J28" i="1"/>
  <c r="J27" i="1"/>
  <c r="J26" i="1"/>
  <c r="J25" i="1"/>
  <c r="J31" i="1"/>
  <c r="H25" i="1"/>
  <c r="H31" i="1"/>
  <c r="H29" i="1"/>
  <c r="H28" i="1"/>
  <c r="H27" i="1"/>
  <c r="H26" i="1"/>
  <c r="F29" i="1"/>
  <c r="F28" i="1"/>
  <c r="F27" i="1"/>
  <c r="I27" i="1"/>
  <c r="K27" i="1"/>
  <c r="F26" i="1"/>
  <c r="E29" i="1"/>
  <c r="C29" i="1"/>
  <c r="E28" i="1"/>
  <c r="C28" i="1"/>
  <c r="E27" i="1"/>
  <c r="C27" i="1"/>
  <c r="E26" i="1"/>
  <c r="C26" i="1"/>
  <c r="C25" i="1"/>
  <c r="F25" i="1"/>
  <c r="F31" i="1"/>
  <c r="H21" i="1"/>
  <c r="H20" i="1"/>
  <c r="H19" i="1"/>
  <c r="J18" i="1"/>
  <c r="H18" i="1"/>
  <c r="J16" i="1"/>
  <c r="J23" i="1"/>
  <c r="J21" i="1"/>
  <c r="J19" i="1"/>
  <c r="J17" i="1"/>
  <c r="H17" i="1"/>
  <c r="H16" i="1"/>
  <c r="H23" i="1"/>
  <c r="J15" i="1"/>
  <c r="G16" i="1"/>
  <c r="G23" i="1"/>
  <c r="H15" i="1"/>
  <c r="D13" i="1"/>
  <c r="J13" i="1"/>
  <c r="I13" i="1"/>
  <c r="H13" i="1"/>
  <c r="G13" i="1"/>
  <c r="F13" i="1"/>
  <c r="G21" i="1"/>
  <c r="G20" i="1"/>
  <c r="G19" i="1"/>
  <c r="G18" i="1"/>
  <c r="G17" i="1"/>
  <c r="I17" i="1"/>
  <c r="K17" i="1"/>
  <c r="G15" i="1"/>
  <c r="F21" i="1"/>
  <c r="I21" i="1"/>
  <c r="K21" i="1"/>
  <c r="E21" i="1"/>
  <c r="F20" i="1"/>
  <c r="E20" i="1"/>
  <c r="F19" i="1"/>
  <c r="F18" i="1"/>
  <c r="I18" i="1"/>
  <c r="K18" i="1"/>
  <c r="F17" i="1"/>
  <c r="F16" i="1"/>
  <c r="I16" i="1"/>
  <c r="K16" i="1"/>
  <c r="E19" i="1"/>
  <c r="C19" i="1"/>
  <c r="E18" i="1"/>
  <c r="E17" i="1"/>
  <c r="E16" i="1"/>
  <c r="C16" i="1"/>
  <c r="C21" i="1"/>
  <c r="C20" i="1"/>
  <c r="C18" i="1"/>
  <c r="C17" i="1"/>
  <c r="F15" i="1"/>
  <c r="I15" i="1"/>
  <c r="E15" i="1"/>
  <c r="C15" i="1"/>
  <c r="J149" i="1"/>
  <c r="J143" i="1"/>
  <c r="G143" i="1"/>
  <c r="J122" i="1"/>
  <c r="G119" i="1"/>
  <c r="J116" i="1"/>
  <c r="J119" i="1"/>
  <c r="I36" i="1"/>
  <c r="K36" i="1"/>
  <c r="I20" i="1"/>
  <c r="K20" i="1"/>
  <c r="H182" i="1"/>
  <c r="H202" i="1"/>
  <c r="H86" i="1"/>
  <c r="I199" i="1"/>
  <c r="K199" i="1"/>
  <c r="F151" i="1"/>
  <c r="F153" i="1"/>
  <c r="G144" i="1"/>
  <c r="G174" i="1"/>
  <c r="G85" i="1"/>
  <c r="F182" i="1"/>
  <c r="G182" i="1"/>
  <c r="J207" i="1"/>
  <c r="J87" i="1"/>
  <c r="H147" i="1"/>
  <c r="H149" i="1"/>
  <c r="I194" i="1"/>
  <c r="I172" i="1"/>
  <c r="K172" i="1"/>
  <c r="G198" i="1"/>
  <c r="I56" i="1"/>
  <c r="K56" i="1"/>
  <c r="K187" i="1"/>
  <c r="I205" i="1"/>
  <c r="I207" i="1"/>
  <c r="G207" i="1"/>
  <c r="G87" i="1"/>
  <c r="J186" i="1"/>
  <c r="F126" i="1"/>
  <c r="F125" i="1"/>
  <c r="J75" i="1"/>
  <c r="G79" i="1"/>
  <c r="G81" i="1"/>
  <c r="J182" i="1"/>
  <c r="I50" i="1"/>
  <c r="I128" i="1"/>
  <c r="K128" i="1"/>
  <c r="I184" i="1"/>
  <c r="K184" i="1"/>
  <c r="G110" i="1"/>
  <c r="G108" i="1"/>
  <c r="F193" i="1"/>
  <c r="F129" i="1"/>
  <c r="F128" i="1"/>
  <c r="I206" i="1"/>
  <c r="K206" i="1"/>
  <c r="I19" i="1"/>
  <c r="K19" i="1"/>
  <c r="H207" i="1"/>
  <c r="H87" i="1"/>
  <c r="G140" i="1"/>
  <c r="H178" i="1"/>
  <c r="G193" i="1"/>
  <c r="H186" i="1"/>
  <c r="I49" i="1"/>
  <c r="K49" i="1"/>
  <c r="I38" i="1"/>
  <c r="F117" i="1"/>
  <c r="I47" i="1"/>
  <c r="H40" i="1"/>
  <c r="I153" i="1"/>
  <c r="I61" i="1"/>
  <c r="K61" i="1"/>
  <c r="H120" i="1"/>
  <c r="I188" i="1"/>
  <c r="I186" i="1"/>
  <c r="K186" i="1"/>
  <c r="K188" i="1"/>
  <c r="I179" i="1"/>
  <c r="K179" i="1"/>
  <c r="I183" i="1"/>
  <c r="H198" i="1"/>
  <c r="G68" i="1"/>
  <c r="H75" i="1"/>
  <c r="H81" i="1"/>
  <c r="F79" i="1"/>
  <c r="G151" i="1"/>
  <c r="G153" i="1"/>
  <c r="G147" i="1"/>
  <c r="G149" i="1"/>
  <c r="I200" i="1"/>
  <c r="K200" i="1"/>
  <c r="F136" i="1"/>
  <c r="F135" i="1"/>
  <c r="G123" i="1"/>
  <c r="G178" i="1"/>
  <c r="J178" i="1"/>
  <c r="F186" i="1"/>
  <c r="H132" i="1"/>
  <c r="H131" i="1"/>
  <c r="J68" i="1"/>
  <c r="G75" i="1"/>
  <c r="F147" i="1"/>
  <c r="F149" i="1"/>
  <c r="H126" i="1"/>
  <c r="I173" i="1"/>
  <c r="K173" i="1"/>
  <c r="I180" i="1"/>
  <c r="K180" i="1"/>
  <c r="G116" i="1"/>
  <c r="K205" i="1"/>
  <c r="I72" i="1"/>
  <c r="K72" i="1"/>
  <c r="F198" i="1"/>
  <c r="F113" i="1"/>
  <c r="F178" i="1"/>
  <c r="F202" i="1"/>
  <c r="F86" i="1"/>
  <c r="H68" i="1"/>
  <c r="I55" i="1"/>
  <c r="I149" i="1"/>
  <c r="K149" i="1"/>
  <c r="G132" i="1"/>
  <c r="G131" i="1"/>
  <c r="I182" i="1"/>
  <c r="K182" i="1"/>
  <c r="K183" i="1"/>
  <c r="K55" i="1"/>
  <c r="J42" i="1"/>
  <c r="I135" i="1"/>
  <c r="K135" i="1"/>
  <c r="K52" i="1"/>
  <c r="J108" i="1"/>
  <c r="I110" i="1"/>
  <c r="K44" i="1"/>
  <c r="K207" i="1"/>
  <c r="I87" i="1"/>
  <c r="K87" i="1"/>
  <c r="K15" i="1"/>
  <c r="I23" i="1"/>
  <c r="K60" i="1"/>
  <c r="H108" i="1"/>
  <c r="K53" i="1"/>
  <c r="I139" i="1"/>
  <c r="K139" i="1"/>
  <c r="F85" i="1"/>
  <c r="F89" i="1"/>
  <c r="F209" i="1"/>
  <c r="K48" i="1"/>
  <c r="I122" i="1"/>
  <c r="K122" i="1"/>
  <c r="I75" i="1"/>
  <c r="K73" i="1"/>
  <c r="I79" i="1"/>
  <c r="K79" i="1"/>
  <c r="K76" i="1"/>
  <c r="I116" i="1"/>
  <c r="H85" i="1"/>
  <c r="H89" i="1"/>
  <c r="H209" i="1"/>
  <c r="G202" i="1"/>
  <c r="G86" i="1"/>
  <c r="G89" i="1"/>
  <c r="H42" i="1"/>
  <c r="H83" i="1"/>
  <c r="H91" i="1"/>
  <c r="H112" i="1"/>
  <c r="J85" i="1"/>
  <c r="J81" i="1"/>
  <c r="J114" i="1"/>
  <c r="J155" i="1"/>
  <c r="I198" i="1"/>
  <c r="K198" i="1"/>
  <c r="G117" i="1"/>
  <c r="G135" i="1"/>
  <c r="I62" i="1"/>
  <c r="K62" i="1"/>
  <c r="I178" i="1"/>
  <c r="F75" i="1"/>
  <c r="F81" i="1"/>
  <c r="I33" i="1"/>
  <c r="K50" i="1"/>
  <c r="G31" i="1"/>
  <c r="G42" i="1"/>
  <c r="G83" i="1"/>
  <c r="G91" i="1"/>
  <c r="F123" i="1"/>
  <c r="F122" i="1"/>
  <c r="F114" i="1"/>
  <c r="H116" i="1"/>
  <c r="H114" i="1"/>
  <c r="H155" i="1"/>
  <c r="H122" i="1"/>
  <c r="F58" i="1"/>
  <c r="F70" i="1"/>
  <c r="I195" i="1"/>
  <c r="K195" i="1"/>
  <c r="F140" i="1"/>
  <c r="F139" i="1"/>
  <c r="F23" i="1"/>
  <c r="F42" i="1"/>
  <c r="G128" i="1"/>
  <c r="G125" i="1"/>
  <c r="G114" i="1"/>
  <c r="G155" i="1"/>
  <c r="I119" i="1"/>
  <c r="K119" i="1"/>
  <c r="H136" i="1"/>
  <c r="G209" i="1"/>
  <c r="I125" i="1"/>
  <c r="K125" i="1"/>
  <c r="I51" i="1"/>
  <c r="I54" i="1"/>
  <c r="J193" i="1"/>
  <c r="J202" i="1"/>
  <c r="F110" i="1"/>
  <c r="I191" i="1"/>
  <c r="I25" i="1"/>
  <c r="G136" i="1"/>
  <c r="I174" i="1"/>
  <c r="J86" i="1"/>
  <c r="J209" i="1"/>
  <c r="K23" i="1"/>
  <c r="I131" i="1"/>
  <c r="F155" i="1"/>
  <c r="F108" i="1"/>
  <c r="I143" i="1"/>
  <c r="K143" i="1"/>
  <c r="I81" i="1"/>
  <c r="K81" i="1"/>
  <c r="K75" i="1"/>
  <c r="K178" i="1"/>
  <c r="I58" i="1"/>
  <c r="J89" i="1"/>
  <c r="I40" i="1"/>
  <c r="K40" i="1"/>
  <c r="K33" i="1"/>
  <c r="F83" i="1"/>
  <c r="F91" i="1"/>
  <c r="G112" i="1"/>
  <c r="K116" i="1"/>
  <c r="F112" i="1"/>
  <c r="I68" i="1"/>
  <c r="K68" i="1"/>
  <c r="J83" i="1"/>
  <c r="J91" i="1"/>
  <c r="K110" i="1"/>
  <c r="I108" i="1"/>
  <c r="K174" i="1"/>
  <c r="I85" i="1"/>
  <c r="I31" i="1"/>
  <c r="K31" i="1"/>
  <c r="K25" i="1"/>
  <c r="K191" i="1"/>
  <c r="I190" i="1"/>
  <c r="K190" i="1"/>
  <c r="I193" i="1"/>
  <c r="K193" i="1"/>
  <c r="I202" i="1"/>
  <c r="I114" i="1"/>
  <c r="I42" i="1"/>
  <c r="K85" i="1"/>
  <c r="I70" i="1"/>
  <c r="K70" i="1"/>
  <c r="K58" i="1"/>
  <c r="K114" i="1"/>
  <c r="I155" i="1"/>
  <c r="K155" i="1"/>
  <c r="K42" i="1"/>
  <c r="I83" i="1"/>
  <c r="I86" i="1"/>
  <c r="K202" i="1"/>
  <c r="I209" i="1"/>
  <c r="K209" i="1"/>
  <c r="K86" i="1"/>
  <c r="I89" i="1"/>
  <c r="K89" i="1"/>
  <c r="K83" i="1"/>
  <c r="I91" i="1"/>
  <c r="K91" i="1"/>
</calcChain>
</file>

<file path=xl/sharedStrings.xml><?xml version="1.0" encoding="utf-8"?>
<sst xmlns="http://schemas.openxmlformats.org/spreadsheetml/2006/main" count="781" uniqueCount="524">
  <si>
    <t>(eurotan / en euros)</t>
  </si>
  <si>
    <r>
      <rPr>
        <b/>
        <sz val="10"/>
        <rFont val="Arial"/>
        <family val="2"/>
      </rPr>
      <t>%</t>
    </r>
    <r>
      <rPr>
        <b/>
        <sz val="8"/>
        <rFont val="Arial"/>
        <family val="2"/>
      </rPr>
      <t xml:space="preserve">
Aldaketa
Variación</t>
    </r>
  </si>
  <si>
    <t>PERTSONA FISIKOEN ERRENTAREN G/ ZERGA</t>
  </si>
  <si>
    <t>IMPUESTO S/ RENTA PERSONAS FÍSICAS</t>
  </si>
  <si>
    <t>SOZIETATEEN G/ ZERGA</t>
  </si>
  <si>
    <t>IMPUESTO S/ SOCIEDADES</t>
  </si>
  <si>
    <t>GAINERAKO ZUZENEKO ZERGAK</t>
  </si>
  <si>
    <t>RESTO IMPUESTOS DIRECTOS</t>
  </si>
  <si>
    <t>ZUZENEKO ZERGAK</t>
  </si>
  <si>
    <t>IMPUESTOS DIRECTOS</t>
  </si>
  <si>
    <t>BEZ</t>
  </si>
  <si>
    <t>IVA</t>
  </si>
  <si>
    <t>FABRIKAZIO ZZBB</t>
  </si>
  <si>
    <t>IIEE DE FABRICACIÓN</t>
  </si>
  <si>
    <t>ALKOHOLA ETA EDARI ERATORRIAK</t>
  </si>
  <si>
    <t>ALCOHOL Y BEBIDAS DERIVADAS</t>
  </si>
  <si>
    <t>BITARTEKO PRODUKTUAK</t>
  </si>
  <si>
    <t>PRODUCTOS INTERMEDIOS</t>
  </si>
  <si>
    <t>GARAGARDOA</t>
  </si>
  <si>
    <t>CERVEZA</t>
  </si>
  <si>
    <t>HIDROKARBUROAK</t>
  </si>
  <si>
    <t>HIDROCARBUROS</t>
  </si>
  <si>
    <t>TABAKO LABOREAK</t>
  </si>
  <si>
    <t>LABORES DEL TABACO</t>
  </si>
  <si>
    <t>ZIGARRETA ELEKTRONIKOETARAKO LIKIDOAK</t>
  </si>
  <si>
    <t>LÍQUIDOS CIGARRILLOS ELECTRÓNICOS</t>
  </si>
  <si>
    <t>ZEHARKAKO ZERGAK DOIKUNTZEI LOTUTAKOAK
(Doikuntzak Foru Aldundien artekoak) (I Eranskina)</t>
  </si>
  <si>
    <t>IMPUESTOS INDIRECTOS SUJETOS A AJUSTES
(Ajustes entre Diputaciones Forales) (Anexo I)</t>
  </si>
  <si>
    <t>GAINERAKO ZEHARKAKO ZERGAK</t>
  </si>
  <si>
    <t>RESTO IMPUESTOS INDIRECTOS</t>
  </si>
  <si>
    <t>ZEHARKAKO ZERGAK</t>
  </si>
  <si>
    <t>IMPUESTOS INDIRECTOS</t>
  </si>
  <si>
    <t>JOKOAREN GAINEKO TASAK</t>
  </si>
  <si>
    <t>TASAS DE JUEGO</t>
  </si>
  <si>
    <t>BESTELAKO SARRERAK</t>
  </si>
  <si>
    <t>OTROS INGRESOS</t>
  </si>
  <si>
    <t>TASAK ETA BESTELAKO SARRERAK</t>
  </si>
  <si>
    <t>TASAS Y OTROS INGRESOS</t>
  </si>
  <si>
    <t>GUZTIRA TRIBUTU ITUNDUAK
 BEREZKO KUDEAKETA</t>
  </si>
  <si>
    <t>TOTAL TRIBUTOS CONCERTADOS
 GESTIÓN PROPIA</t>
  </si>
  <si>
    <t>BEZ. DOIKUNTZA</t>
  </si>
  <si>
    <t>IVA. AJUSTE</t>
  </si>
  <si>
    <t>ZERGA BEREZIAK. DOIKUNTZA</t>
  </si>
  <si>
    <t>IMPUESTOS ESPECIALES. AJUSTE</t>
  </si>
  <si>
    <t>GAS FLUORDUNEN ZERGA. DOIKUNTZA</t>
  </si>
  <si>
    <t>IMPUESTO GASES FLUORADOS. AJUSTE</t>
  </si>
  <si>
    <t>DOIKUNTZAK ESTATUAREKIN
(II Eranskina)</t>
  </si>
  <si>
    <t>AJUSTES CON EL ESTADO
(Anexo II)</t>
  </si>
  <si>
    <t xml:space="preserve">GUZTIRA
TRIBUTU ITUNDUAK </t>
  </si>
  <si>
    <t xml:space="preserve">TOTAL
TRIBUTOS CONCERTADOS </t>
  </si>
  <si>
    <t>I ERANSKINA. DOIKUNTZAK FORU ALDUNDIEN ARTEKOAK
ANEXO I. AJUSTES ENTRE DIPUTACIONES FORALES</t>
  </si>
  <si>
    <t>BEZ. BEREZKO BILKETA</t>
  </si>
  <si>
    <t>IVA. RECAUDACIÓN PROPIA</t>
  </si>
  <si>
    <t>IVA. DOIKUNTZA FFAA</t>
  </si>
  <si>
    <t>IVA. AJUSTE DDFF</t>
  </si>
  <si>
    <t>BEZ. BEREZKO KUDEAKETA</t>
  </si>
  <si>
    <t>IVA. GESTIÓN PROPIA</t>
  </si>
  <si>
    <t>ZZBB. BEREZKO BILKETA</t>
  </si>
  <si>
    <t>IIEE. RECAUDACIÓN PROPIA</t>
  </si>
  <si>
    <t>ZZBB. DOIKUNTZA FFAA</t>
  </si>
  <si>
    <t>IIEE. AJUSTE DDFF</t>
  </si>
  <si>
    <t>ZZBB. BEREZKO KUDEAKETA</t>
  </si>
  <si>
    <t>IIEE. GESTIÓN PROPIA</t>
  </si>
  <si>
    <t>BEREZKO BILKETA</t>
  </si>
  <si>
    <t>RECAUDACIÓN PROPIA</t>
  </si>
  <si>
    <t>DOIKUNTZA FFAA</t>
  </si>
  <si>
    <t>AJUSTE DDFF</t>
  </si>
  <si>
    <t>BERRER EZIN DIREN PLASTIKOZKO ONTZIAK</t>
  </si>
  <si>
    <t>ENVASES PLÁSTICO NO REUTILIZABLES</t>
  </si>
  <si>
    <t>ELEKTRIZITATEA</t>
  </si>
  <si>
    <t>ELECTRICIDAD</t>
  </si>
  <si>
    <t>TXIKIZKAKO HIDROKARBUROAK</t>
  </si>
  <si>
    <t>MINORISTAS HIDROCARBUROS</t>
  </si>
  <si>
    <t>BEGFZ. BEREZKO BILKETA</t>
  </si>
  <si>
    <t>IGFEI. RECAUDACIÓN PROPIA</t>
  </si>
  <si>
    <t>BEGFZ. DOIKUNTZA FFAA</t>
  </si>
  <si>
    <t>IGFEI. AJUSTE DDFF</t>
  </si>
  <si>
    <t>BEGFZ. BEREZKO KUDEAKETA</t>
  </si>
  <si>
    <t>IGFEI. GESTIÓN PROPIA</t>
  </si>
  <si>
    <t>FTZ. BEREZKO BILKETA</t>
  </si>
  <si>
    <t>ITF. RECAUDACIÓN PROPIA</t>
  </si>
  <si>
    <t>FTZ. DOIKUNTZA FFAA</t>
  </si>
  <si>
    <t>ITF. AJUSTE DDFF</t>
  </si>
  <si>
    <t>FTZ. BEREZKO KUDEAKETA</t>
  </si>
  <si>
    <t>ITF. GESTIÓN PROPIA</t>
  </si>
  <si>
    <t xml:space="preserve">ZEHARKAKO ZERGAK DOIKUNTZEI LOTUTAKOAK
(Doikuntzak Foru Aldundien artekoak) </t>
  </si>
  <si>
    <t xml:space="preserve">IMPUESTOS INDIRECTOS SUJETOS A AJUSTES
(Ajustes entre Diputaciones Forales) </t>
  </si>
  <si>
    <t>ZERGA BEREZIAK: FABRIKAZIOA, ONTZIAK, ELEKTRIZITATEA, TXIKIZKAKO HIDROKARB. // IMPUESTOS ESPECIALES: FABRICACIÓN, ENVASES, ELECTRICIDAD, MINORISTAS HIDROCARB.</t>
  </si>
  <si>
    <t>BEGFZ: BEROTEGI-EFEKTUKO GAS FLUORDUNEN G/Z. // IGFEI: I. S/ GASES FLUORADOS EFECTO INVERNADERO</t>
  </si>
  <si>
    <t>FTZ: FINANTZA TRANSAKZIOEN G/Z // ITF: I. S/ TRANSACCIONES FINANCIERAS</t>
  </si>
  <si>
    <t>II ERANSKINA. DOIKUNTZAK ESTATUAREKIN
ANEXO II. AJUSTES CON EL ESTADO</t>
  </si>
  <si>
    <t xml:space="preserve">INPORTAZIOAK </t>
  </si>
  <si>
    <t>IMPORTACIONES</t>
  </si>
  <si>
    <t>BARNE ERAGIKETAK</t>
  </si>
  <si>
    <t>OPERACIONES INTERIORES</t>
  </si>
  <si>
    <t>ZERGA BEREZIAK</t>
  </si>
  <si>
    <t>IMPUESTOS ESPECIALES</t>
  </si>
  <si>
    <t>ALKOHOLA, ERATORRIAK ETA BITARTEKOAK</t>
  </si>
  <si>
    <t>ALCOHOL, DERIVADAS E INTERMEDIOS</t>
  </si>
  <si>
    <t>GAS FLUORDUNEN ZERGA</t>
  </si>
  <si>
    <t>IMPUESTO GASES FLUORADOS</t>
  </si>
  <si>
    <t>DOIKUNTZAK ESTATUAREKIN</t>
  </si>
  <si>
    <t>AJUSTES CON EL ESTADO</t>
  </si>
  <si>
    <t>eko</t>
  </si>
  <si>
    <t>95</t>
  </si>
  <si>
    <t>90</t>
  </si>
  <si>
    <t>85</t>
  </si>
  <si>
    <t>75</t>
  </si>
  <si>
    <t>70</t>
  </si>
  <si>
    <t>65</t>
  </si>
  <si>
    <t>55</t>
  </si>
  <si>
    <t>50</t>
  </si>
  <si>
    <t>45</t>
  </si>
  <si>
    <t>35</t>
  </si>
  <si>
    <t>30</t>
  </si>
  <si>
    <t>25</t>
  </si>
  <si>
    <t>15</t>
  </si>
  <si>
    <t>10</t>
  </si>
  <si>
    <t>05</t>
  </si>
  <si>
    <t>01</t>
  </si>
  <si>
    <t>TOTAL2</t>
  </si>
  <si>
    <t>TOTAL</t>
  </si>
  <si>
    <t>GIPUZKOA</t>
  </si>
  <si>
    <t>BIZKAIA</t>
  </si>
  <si>
    <t>ARABA</t>
  </si>
  <si>
    <t>DENOMINACIONEUS</t>
  </si>
  <si>
    <t>DENOMINACION</t>
  </si>
  <si>
    <t>ESTRUCT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</si>
  <si>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</si>
  <si>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</si>
  <si>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</si>
  <si>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</si>
  <si>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</si>
  <si>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</si>
  <si>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</si>
  <si>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</si>
  <si>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</si>
  <si>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</si>
  <si>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</si>
  <si>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</si>
  <si>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</si>
  <si>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</si>
  <si>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</si>
  <si>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</si>
  <si>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</si>
  <si>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</si>
  <si>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</si>
  <si>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</si>
  <si>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</si>
  <si>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</si>
  <si>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</si>
  <si>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</si>
  <si>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FORU ALDUNDIEN DIRU-BILKETA ITUNDUTAKO TRIBUTUENGATIK
RECAUDACIÓN POR TRIBUTOS CONCERTADOS DE LAS DIPUTACIONES FORALES</t>
  </si>
  <si>
    <t>1</t>
  </si>
  <si>
    <t>11</t>
  </si>
  <si>
    <t>Impto. s/Renta Personas Físicas</t>
  </si>
  <si>
    <t>Pertsona Fisikoen Errentaren g/Zerga</t>
  </si>
  <si>
    <t>111</t>
  </si>
  <si>
    <t xml:space="preserve"> </t>
  </si>
  <si>
    <t>1111</t>
  </si>
  <si>
    <t>11111</t>
  </si>
  <si>
    <t>RETENCIONES: RDTOS TRABAJO Y ACT PROF</t>
  </si>
  <si>
    <t>ATXIKIPENAK: LAN ETA JARD PROF ETEKINAK</t>
  </si>
  <si>
    <t>1112</t>
  </si>
  <si>
    <t>11121</t>
  </si>
  <si>
    <t>RETENCIONES: RDTOS CAPITAL MOBILIARIO</t>
  </si>
  <si>
    <t>ATXIKIPENAK: KAPITAL HIGIGARRIAREN ETEKINAK</t>
  </si>
  <si>
    <t>1113</t>
  </si>
  <si>
    <t>11131</t>
  </si>
  <si>
    <t>RETENCIONES: RDTOS CAPITAL INMOBILIARIO</t>
  </si>
  <si>
    <t>ATXIKIPENAK: KAPITAL HIGIEZINAREN ETEKINAK</t>
  </si>
  <si>
    <t>1114</t>
  </si>
  <si>
    <t>11141</t>
  </si>
  <si>
    <t>RETENCIONES: GANANCIAS PATRIMONIALES</t>
  </si>
  <si>
    <t>ATXIKIPENAK: ONDARE IRABAZIAK</t>
  </si>
  <si>
    <t>1115</t>
  </si>
  <si>
    <t>PAGOS FRACCIONADOS</t>
  </si>
  <si>
    <t>ORDAINKETA ZATIKATUAK</t>
  </si>
  <si>
    <t>11151</t>
  </si>
  <si>
    <t>Profesionales y Artistas</t>
  </si>
  <si>
    <t>Profesionalak eta Artistak</t>
  </si>
  <si>
    <t>11152</t>
  </si>
  <si>
    <t>PAGOS FRACCIONADOS: ACTIV ECONÓMICAS</t>
  </si>
  <si>
    <t>ORDAINKETA ZATIKATUAK: JARD EKONOMIKOAK</t>
  </si>
  <si>
    <t>1116</t>
  </si>
  <si>
    <t>11161</t>
  </si>
  <si>
    <t>CUOTA DIFERENCIAL NETA (IRPF)</t>
  </si>
  <si>
    <t>KUOTA DIFERENTZIAL GARBIA (PFEZ)</t>
  </si>
  <si>
    <t>1117</t>
  </si>
  <si>
    <t>GRAVAMEN ESPECIAL</t>
  </si>
  <si>
    <t>KARGA BEREZIA</t>
  </si>
  <si>
    <t>11171</t>
  </si>
  <si>
    <t>GRAVAMEN ESPECIAL: PREMIOS</t>
  </si>
  <si>
    <t>KARGA BEREZIA: SARIAK</t>
  </si>
  <si>
    <t>12</t>
  </si>
  <si>
    <t>121</t>
  </si>
  <si>
    <t>1211</t>
  </si>
  <si>
    <t>12111</t>
  </si>
  <si>
    <t>12112</t>
  </si>
  <si>
    <t>12113</t>
  </si>
  <si>
    <t>12114</t>
  </si>
  <si>
    <t>CUOTA DIFERENCIAL NETA (SOCIEDADES)</t>
  </si>
  <si>
    <t>KUOTA DIFERENTZIAL GARBIA (SOZIETATEAK)</t>
  </si>
  <si>
    <t>12115</t>
  </si>
  <si>
    <t>Gravamen Esp. s/Premios Det.Loterias</t>
  </si>
  <si>
    <t>Loteria eta Apostu Jakin Batzuen g/Z Ber.</t>
  </si>
  <si>
    <t>12116</t>
  </si>
  <si>
    <t>CUOTA IMPUESTO COMPLEMENTARIO</t>
  </si>
  <si>
    <t>KUOTA ZERGA OSAGARRIA</t>
  </si>
  <si>
    <t>13</t>
  </si>
  <si>
    <t>131</t>
  </si>
  <si>
    <t>1311</t>
  </si>
  <si>
    <t>13111</t>
  </si>
  <si>
    <t>I. S/ RENTA NO RESIDENTES</t>
  </si>
  <si>
    <t>EZ-EGOILIARREN ERRENTAREN G/Z</t>
  </si>
  <si>
    <t>14</t>
  </si>
  <si>
    <t>141</t>
  </si>
  <si>
    <t>1411</t>
  </si>
  <si>
    <t>14111</t>
  </si>
  <si>
    <t>I. S/ SUCESIONES Y DONACIONES</t>
  </si>
  <si>
    <t>OINORDETZA ETA DOHAINTZEN G/Z</t>
  </si>
  <si>
    <t>151</t>
  </si>
  <si>
    <t>1511</t>
  </si>
  <si>
    <t>15111</t>
  </si>
  <si>
    <t>I. S/ PATRIMONIO / TEMPORAL FORTUNAS</t>
  </si>
  <si>
    <t>ONDAREAREN G/Z / FORTUNEN ALDI BATERAK</t>
  </si>
  <si>
    <t>15114</t>
  </si>
  <si>
    <t>I. S/ DEPÓSITOS EN ENTIDADES DE CRÉDITO</t>
  </si>
  <si>
    <t>KREDITU ERAKUNDEETAKO GORDAILUEN G/Z</t>
  </si>
  <si>
    <t>15115</t>
  </si>
  <si>
    <t>I. S/ PRODUCCIÓN DE ENERGÍA ELÉCTRICA</t>
  </si>
  <si>
    <t>ENERGIA ELEKTRIKOAREN EKOIZPENAREN G/Z</t>
  </si>
  <si>
    <t>15116</t>
  </si>
  <si>
    <t>I.s/Prod. residuos generados energia nucle.</t>
  </si>
  <si>
    <t>Energia nukleoel. sortzearen hondakinen g/Z</t>
  </si>
  <si>
    <t>15117</t>
  </si>
  <si>
    <t>I.s/Almacen. combustible/residuos radiactivos</t>
  </si>
  <si>
    <t>Erregai/hondakin erradio. biltegiratzearen gZ</t>
  </si>
  <si>
    <t>15118</t>
  </si>
  <si>
    <t xml:space="preserve">I.s/Producción de energía eléctrica Ajuste DDFF </t>
  </si>
  <si>
    <t>Energia elektrikoaren ekoizpenaren g/Z FFAA Egokitzapena</t>
  </si>
  <si>
    <t>15119</t>
  </si>
  <si>
    <t>I. S/ INTERESES Y COMISIONES ENT FINANC</t>
  </si>
  <si>
    <t>FINANTZA ERAK INTERESEN ETA KOMISIOEN G/Z</t>
  </si>
  <si>
    <t>16</t>
  </si>
  <si>
    <t>161</t>
  </si>
  <si>
    <t>1611</t>
  </si>
  <si>
    <t>16111</t>
  </si>
  <si>
    <t>Impuestos Extinguidos</t>
  </si>
  <si>
    <t>Iraungitako Zergak</t>
  </si>
  <si>
    <t>2</t>
  </si>
  <si>
    <t>21</t>
  </si>
  <si>
    <t>211</t>
  </si>
  <si>
    <t>2111</t>
  </si>
  <si>
    <t>IVA. Gestión Propia</t>
  </si>
  <si>
    <t>BEZ. Berezko Kudeaketa</t>
  </si>
  <si>
    <t>21111</t>
  </si>
  <si>
    <t>21112</t>
  </si>
  <si>
    <t>BEZ. FFAA EGOKITZAPENA</t>
  </si>
  <si>
    <t>2112</t>
  </si>
  <si>
    <t>IVA. Ajustes Estado</t>
  </si>
  <si>
    <t>BEZ. Estatuarekiko Egokitzapenak</t>
  </si>
  <si>
    <t>21121</t>
  </si>
  <si>
    <t>IVA. IMPORTACIONES</t>
  </si>
  <si>
    <t>BEZ. INPORTAZIOAK</t>
  </si>
  <si>
    <t>21122</t>
  </si>
  <si>
    <t>IVA. OPERACIONES INTERIORES</t>
  </si>
  <si>
    <t>BEZ. BARNE ERAGIKETAK</t>
  </si>
  <si>
    <t>22</t>
  </si>
  <si>
    <t>221</t>
  </si>
  <si>
    <t>2211</t>
  </si>
  <si>
    <t>22111</t>
  </si>
  <si>
    <t>I. S/ TRANSMISIONES PATRIMONIALES</t>
  </si>
  <si>
    <t>ONDARE ESKUALDAKETEN G/Z</t>
  </si>
  <si>
    <t>23</t>
  </si>
  <si>
    <t>231</t>
  </si>
  <si>
    <t>2311</t>
  </si>
  <si>
    <t>23111</t>
  </si>
  <si>
    <t>I. S/ ACTOS JURÍDICOS DOCUMENTADOS</t>
  </si>
  <si>
    <t>EGINTZA JURIDIKO DOKUMENTATUEN G/Z</t>
  </si>
  <si>
    <t>24</t>
  </si>
  <si>
    <t>241</t>
  </si>
  <si>
    <t>2411</t>
  </si>
  <si>
    <t>24111</t>
  </si>
  <si>
    <t>IE S/ DETERMINADOS MEDIOS TRANSPORTE</t>
  </si>
  <si>
    <t>ZENBAIT GARRAIOBIDEREN G/ZB</t>
  </si>
  <si>
    <t>Alcohol y Bebidas Derivadas</t>
  </si>
  <si>
    <t>Alkohola eta Edari Deribatuak</t>
  </si>
  <si>
    <t>251</t>
  </si>
  <si>
    <t>2511</t>
  </si>
  <si>
    <t>Alcohol y Bebidas Derivadas. Gestión Propia</t>
  </si>
  <si>
    <t>Alkohola eta Edari Deribatuak. Berezko Kudeaketa</t>
  </si>
  <si>
    <t>25111</t>
  </si>
  <si>
    <t>25112</t>
  </si>
  <si>
    <t>ALCOHOL Y BEBIDAS DERIVADAS. AJUSTE DDFF</t>
  </si>
  <si>
    <t xml:space="preserve">ALKOHOLA ETA EDARI ERATORRIAK. DOIKUNTZA FFAA
</t>
  </si>
  <si>
    <t>2512</t>
  </si>
  <si>
    <t>Alcohol, Derivadas e Intermedios. Ajustes Estado</t>
  </si>
  <si>
    <t>Alkohola, Deribatuak eta Bitartekoak. Estat. Egok.</t>
  </si>
  <si>
    <t>25121</t>
  </si>
  <si>
    <t>ALCOHOL, DERIVADAS E INTERMEDIOS. IMPORTACIONES</t>
  </si>
  <si>
    <t xml:space="preserve">ALKOHOLA, ERATORRIAK ETA BITARTEKOAK. INPORTAZIOAK </t>
  </si>
  <si>
    <t>25122</t>
  </si>
  <si>
    <t>ALCOHOL, DERIVADAS E INTERMEDIOS. OPERACIONES INTERIORES</t>
  </si>
  <si>
    <t>ALKOHOLA, ERATORRIAK ETA BITARTEKOAK. BARNE ERAGIKETAK</t>
  </si>
  <si>
    <t>26</t>
  </si>
  <si>
    <t>Productos Intermedios</t>
  </si>
  <si>
    <t>Bitarteko Produktuak</t>
  </si>
  <si>
    <t>261</t>
  </si>
  <si>
    <t>2611</t>
  </si>
  <si>
    <t>Productos Intermedios. Gestión Propia</t>
  </si>
  <si>
    <t>Bitarteko Produktuak. Berezko Kudeaketa</t>
  </si>
  <si>
    <t>26111</t>
  </si>
  <si>
    <t>26112</t>
  </si>
  <si>
    <t>PRODUCTOS INTERMEDIOS. AJUSTE DDFF</t>
  </si>
  <si>
    <t>BITARTEKO PRODUKTUAK. DOIKUNTZA FFAA</t>
  </si>
  <si>
    <t>27</t>
  </si>
  <si>
    <t>Hidrocarburos</t>
  </si>
  <si>
    <t>Hidrokarburoak</t>
  </si>
  <si>
    <t>271</t>
  </si>
  <si>
    <t>2711</t>
  </si>
  <si>
    <t>Hidrocarburos. Gestión Propia</t>
  </si>
  <si>
    <t>Hidrokarburoak. Berezko Kudeaketa</t>
  </si>
  <si>
    <t>27111</t>
  </si>
  <si>
    <t>27112</t>
  </si>
  <si>
    <t>HIDROCARBUROS. AJUSTE  DDFF</t>
  </si>
  <si>
    <t>HIDROKARBUROAK. DOIKUNTZA FFAA</t>
  </si>
  <si>
    <t>27113</t>
  </si>
  <si>
    <t>Hidrocarburos. Gestión DF tipo autonómico</t>
  </si>
  <si>
    <t>Hidrokarburoak. FA kudeaketa tasa autonomikoa</t>
  </si>
  <si>
    <t>27114</t>
  </si>
  <si>
    <t>Hidrocarburos. Ajuste DDFF tipo autonómico</t>
  </si>
  <si>
    <t>Hidrokarburoak. FFAA Egokitzapena tasa autonomikoa</t>
  </si>
  <si>
    <t>2712</t>
  </si>
  <si>
    <t>Hidrocarburos. Ajustes Estado</t>
  </si>
  <si>
    <t>Hidrokarburoak. Estatuarekiko Egokitzapenak</t>
  </si>
  <si>
    <t>27121</t>
  </si>
  <si>
    <t>HIDROCARBUROS. IMPORTACIONES</t>
  </si>
  <si>
    <t>HIDROKARBUROAK. INPORTAZIOAK</t>
  </si>
  <si>
    <t>27122</t>
  </si>
  <si>
    <t>HIDROCARBUROS. OPERACIONES INTERIORES</t>
  </si>
  <si>
    <t>HIDROKARBUROAK. BARNE ERAGIKETAK</t>
  </si>
  <si>
    <t>27123</t>
  </si>
  <si>
    <t>Hidrocarburos.Ajuste Tipo autonómico</t>
  </si>
  <si>
    <t>Hidrocarburoak.Tasa autonomikoaren moldaketa</t>
  </si>
  <si>
    <t>28</t>
  </si>
  <si>
    <t>Labores Tabaco</t>
  </si>
  <si>
    <t>Tabako-motak</t>
  </si>
  <si>
    <t>281</t>
  </si>
  <si>
    <t>2811</t>
  </si>
  <si>
    <t>Labores Tabaco. Gestión Propia</t>
  </si>
  <si>
    <t>Tabako-motak. Berezko Kudeaketa</t>
  </si>
  <si>
    <t>28111</t>
  </si>
  <si>
    <t>28112</t>
  </si>
  <si>
    <t>LABORES DEL TABACO. AJUSTE DDFF</t>
  </si>
  <si>
    <t>TABAKO LABOREAK. DOIKUNTZA FFAA</t>
  </si>
  <si>
    <t>2812</t>
  </si>
  <si>
    <t>Labores Tabaco. Ajustes Estado</t>
  </si>
  <si>
    <t>Tabako-motak. Estatuarekiko Egokitzapenak</t>
  </si>
  <si>
    <t>28121</t>
  </si>
  <si>
    <t>LABORES DEL TABACO. OPERACIONES INTERIORES</t>
  </si>
  <si>
    <t xml:space="preserve">TABAKO LABOREAK. BARNE ERAGIKETAK </t>
  </si>
  <si>
    <t>29</t>
  </si>
  <si>
    <t>Cerveza</t>
  </si>
  <si>
    <t>Garagardoa</t>
  </si>
  <si>
    <t>291</t>
  </si>
  <si>
    <t>2911</t>
  </si>
  <si>
    <t>Cerveza. Gestión Propia</t>
  </si>
  <si>
    <t>Garagardoa. Berezko Kudeaketa</t>
  </si>
  <si>
    <t>29111</t>
  </si>
  <si>
    <t>29112</t>
  </si>
  <si>
    <t>CERVEZA. AJUSTE DDFF</t>
  </si>
  <si>
    <t>GARAGARDOA. DOIKUNTZA FFAA</t>
  </si>
  <si>
    <t>2912</t>
  </si>
  <si>
    <t>Cerveza. Ajustes Estado</t>
  </si>
  <si>
    <t>Garagardoa. Estatuarekiko Egokitzapenak</t>
  </si>
  <si>
    <t>29121</t>
  </si>
  <si>
    <t>CERVEZA. IMPORTACIONES</t>
  </si>
  <si>
    <t>GARAGARDOA. INPORTAZIOAK</t>
  </si>
  <si>
    <t>29122</t>
  </si>
  <si>
    <t>CERVEZA. OPERACIONES INTERIORES</t>
  </si>
  <si>
    <t>GARAGARDOA. BARNE ERAGIKETAK</t>
  </si>
  <si>
    <t>2a</t>
  </si>
  <si>
    <t>Electricidad</t>
  </si>
  <si>
    <t>Elektrizitatea</t>
  </si>
  <si>
    <t>2a1</t>
  </si>
  <si>
    <t>2a11</t>
  </si>
  <si>
    <t>Electricidad. Gestión Propia</t>
  </si>
  <si>
    <t>Elektrizitatea. Berezko Kudeaketa</t>
  </si>
  <si>
    <t>2a111</t>
  </si>
  <si>
    <t>IE S/ ELECTRICIDAD</t>
  </si>
  <si>
    <t>ELEKTRIZITATEAREN G/ ZB</t>
  </si>
  <si>
    <t>2a112</t>
  </si>
  <si>
    <t>ELECTRICIDAD. AJUSTE DDFF</t>
  </si>
  <si>
    <t>ELEKTRIZITATEA. DOIKUNTZA FFAA</t>
  </si>
  <si>
    <t>2b</t>
  </si>
  <si>
    <t>Impto. s/Ventas Minor. Det. Hidroc.</t>
  </si>
  <si>
    <t>Hidr. Batz. Txik. Salm. g/Zerga</t>
  </si>
  <si>
    <t>2b1</t>
  </si>
  <si>
    <t>2b11</t>
  </si>
  <si>
    <t>Impto. s/Ventas Minor. Det. Hidroc. Gestión Propia</t>
  </si>
  <si>
    <t>Hidr. Batz. Txik. Salm. g/Zerga. Berezko Kudeaketa</t>
  </si>
  <si>
    <t>2b111</t>
  </si>
  <si>
    <t>IE S/ MINORISTAS HIDROCARBUROS</t>
  </si>
  <si>
    <t xml:space="preserve">TXIKIZKAKO HIDROKARBUROEN G/ZB </t>
  </si>
  <si>
    <t>2b112</t>
  </si>
  <si>
    <t>MINORISTAS HIDROCARBUROS. AJUSTE DDFF</t>
  </si>
  <si>
    <t>TXIKIZKAKO HIDROKARBUROAK. DOIKUNTZA FFAA</t>
  </si>
  <si>
    <t>2c</t>
  </si>
  <si>
    <t>2c1</t>
  </si>
  <si>
    <t>2c11</t>
  </si>
  <si>
    <t>2c111</t>
  </si>
  <si>
    <t>I.E. s/Carbón</t>
  </si>
  <si>
    <t>Ikatzaren g/Z.B.</t>
  </si>
  <si>
    <t>2d</t>
  </si>
  <si>
    <t>2d1</t>
  </si>
  <si>
    <t>2d100</t>
  </si>
  <si>
    <t>IE S/ ENVASES PLÁSTICO NO REUTILIZABLES</t>
  </si>
  <si>
    <t>BERRER EZIN DIREN PLASTIKOZKO ONTZIEN G/ZB</t>
  </si>
  <si>
    <t>2d11</t>
  </si>
  <si>
    <t>2d110</t>
  </si>
  <si>
    <t>ENVASES PLÁSTICO NO REUTILIZABLES. AJUSTE DDFF</t>
  </si>
  <si>
    <t>BERRER EZIN DIREN PLASTIKOZKO ONTZIAK. DOIKUNTZA FFAA</t>
  </si>
  <si>
    <t>2d111</t>
  </si>
  <si>
    <t>I. S/ PRIMAS DE SEGUROS</t>
  </si>
  <si>
    <t>ASEGURU PRIMEN G/Z</t>
  </si>
  <si>
    <t>2d113</t>
  </si>
  <si>
    <t>ENVASES PLÁSTICO NO REUTILIZABLES. IMPORTACIONES</t>
  </si>
  <si>
    <t>BERRER EZIN DIREN PLASTIKOZKO ONTZIAK. INPORTAZIOAK</t>
  </si>
  <si>
    <t>2d114</t>
  </si>
  <si>
    <t>ENVASES PLÁSTICO NO REUTILIZABLES. OPERACIONES INTERIORES</t>
  </si>
  <si>
    <t>BERRER EZIN DIREN PLASTIKOZKO ONTZIAK. BARNE ERAGIKETAK</t>
  </si>
  <si>
    <t>2d12</t>
  </si>
  <si>
    <t>Envases de Plástico no Reutilizables. Ajuste Estado</t>
  </si>
  <si>
    <t>Berrerabili ezin diren plastikozko ontziak. Estatuar. Egok.</t>
  </si>
  <si>
    <t>2d2</t>
  </si>
  <si>
    <t>2d21</t>
  </si>
  <si>
    <t>2d211</t>
  </si>
  <si>
    <t>I. S/ ACTIVIDADES DE JUEGO</t>
  </si>
  <si>
    <t>JOKU JARDUERAREN G/Z</t>
  </si>
  <si>
    <t>2e</t>
  </si>
  <si>
    <t>2e1</t>
  </si>
  <si>
    <t>2e11</t>
  </si>
  <si>
    <t>2e111</t>
  </si>
  <si>
    <t>Otros Impuestos Extinguidos</t>
  </si>
  <si>
    <t>Bestelako Zerga Iraungiak</t>
  </si>
  <si>
    <t>2f</t>
  </si>
  <si>
    <t>Gases fluorados</t>
  </si>
  <si>
    <t>2f1</t>
  </si>
  <si>
    <t>gases fluorados</t>
  </si>
  <si>
    <t>gas fluordunak</t>
  </si>
  <si>
    <t>2f11</t>
  </si>
  <si>
    <t>2f110</t>
  </si>
  <si>
    <t>2f111</t>
  </si>
  <si>
    <t>I. S/ GASES FLUORADOS EFECTO INVERNADERO</t>
  </si>
  <si>
    <t>BEROTEGI-EFEKTUKO GAS FLUORDUNEN G/Z</t>
  </si>
  <si>
    <t>2f112</t>
  </si>
  <si>
    <t>IMPUESTO GASES FLUORADOS. IMPORTACIONES</t>
  </si>
  <si>
    <t>GAS FLUORDUNEN ZERGA. INPORTAZIOAK</t>
  </si>
  <si>
    <t>2f113</t>
  </si>
  <si>
    <t>IMPUESTO GASES FLUORADOS. OPERACIONES INTERIORES</t>
  </si>
  <si>
    <t>GAS FLUORDUNEN ZERGA. BARNE ERAGIKETAK</t>
  </si>
  <si>
    <t>2g11</t>
  </si>
  <si>
    <t>Impto. s/ Transacciones Financieras. Gestión Propia</t>
  </si>
  <si>
    <t>Finantza-transakzioen g/Zerga. Berezko Kudeaketa</t>
  </si>
  <si>
    <t>2g111</t>
  </si>
  <si>
    <t>I. S/ TRANSACCIONES FINANCIERAS</t>
  </si>
  <si>
    <t>FINANTZA TRANSAKZIOEN G/Z</t>
  </si>
  <si>
    <t>2g112</t>
  </si>
  <si>
    <t>2h111</t>
  </si>
  <si>
    <t>I. S/ DETERMINADOS SERVICIOS DIGITALES</t>
  </si>
  <si>
    <t>ZENBAIT ZERBITZU DIGITALEN G/Z</t>
  </si>
  <si>
    <t>2i000</t>
  </si>
  <si>
    <t>I. S/ DEPÓSITO RESIDUOS EN VERTEDEROS</t>
  </si>
  <si>
    <t>ZABORTEGIETAN HONDAKINAK UZTEAREN G/Z</t>
  </si>
  <si>
    <t>2j</t>
  </si>
  <si>
    <t>Líquidos cigarrillos electrónicos</t>
  </si>
  <si>
    <t>Zigarreta elektronikoetarako likidoak</t>
  </si>
  <si>
    <t>2j1</t>
  </si>
  <si>
    <t>2j11</t>
  </si>
  <si>
    <t>2j111</t>
  </si>
  <si>
    <t>2j112</t>
  </si>
  <si>
    <t>LÍQUIDOS CIGARRILLOS ELECTRÓNICOS. AJUSTE DDFF</t>
  </si>
  <si>
    <t>ZIGARRETA ELEKTRONIKOETARAKO LIKIDOAK.. DOIKUNTZA FFAA</t>
  </si>
  <si>
    <t>2j113</t>
  </si>
  <si>
    <t>LÍQUIDOS CIGARRILLOS ELECTRÓNICOS. IMPORTACIONES</t>
  </si>
  <si>
    <t>ZIGARRETA ELEKTRONIKOETARAKO LIKIDOAK. INPORTAZIOAK</t>
  </si>
  <si>
    <t>2j114</t>
  </si>
  <si>
    <t>LÍQUIDOS CIGARRILLOS ELECTRÓNICOS. OPERACIONES INTERIORES</t>
  </si>
  <si>
    <t>ZIGARRETA ELEKTRONIKOETARAKO LIKIDOAK. BARNE ERAGIKETAK</t>
  </si>
  <si>
    <t>3</t>
  </si>
  <si>
    <t>31</t>
  </si>
  <si>
    <t>311</t>
  </si>
  <si>
    <t>3111</t>
  </si>
  <si>
    <t>Tasa de Juego</t>
  </si>
  <si>
    <t>Jokoaren g/Tasa</t>
  </si>
  <si>
    <t>31111</t>
  </si>
  <si>
    <t>BINGO</t>
  </si>
  <si>
    <t>BINGOA</t>
  </si>
  <si>
    <t>31112</t>
  </si>
  <si>
    <t>MÁQUINAS Y APARATOS AUTOMÁTICOS</t>
  </si>
  <si>
    <t>MAKINAK ETA APARATU AUTOMATIKOAK</t>
  </si>
  <si>
    <t>31113</t>
  </si>
  <si>
    <t>CASINOS Y OTROS</t>
  </si>
  <si>
    <t>KASINOAK ETA BESTELAKOAK</t>
  </si>
  <si>
    <t>32</t>
  </si>
  <si>
    <t>321</t>
  </si>
  <si>
    <t>3211</t>
  </si>
  <si>
    <t>32111</t>
  </si>
  <si>
    <t>RECARGOS</t>
  </si>
  <si>
    <t>ERREKARGUAK</t>
  </si>
  <si>
    <t>33</t>
  </si>
  <si>
    <t>331</t>
  </si>
  <si>
    <t>3311</t>
  </si>
  <si>
    <t>33111</t>
  </si>
  <si>
    <t>INTERESES DE DEMORA</t>
  </si>
  <si>
    <t>BERANDUTZA INTERESAK</t>
  </si>
  <si>
    <t>34</t>
  </si>
  <si>
    <t>341</t>
  </si>
  <si>
    <t>3411</t>
  </si>
  <si>
    <t>34111</t>
  </si>
  <si>
    <t>SANCIONES</t>
  </si>
  <si>
    <t>ISUNAK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</si>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</sst>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0.0%"/>
    <numFmt numFmtId="166" formatCode="#,##0_);\(#,##0\)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Dialog"/>
    </font>
    <font>
      <b/>
      <sz val="34"/>
      <name val="Arial"/>
      <family val="2"/>
    </font>
    <font>
      <b/>
      <sz val="12"/>
      <color rgb="FF0000FF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3333FF"/>
      <name val="Arial"/>
      <family val="2"/>
    </font>
    <font>
      <sz val="9"/>
      <color rgb="FF3333FF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2">
    <xf numFmtId="0" fontId="0" fillId="0" borderId="0" xfId="0"/>
    <xf numFmtId="3" fontId="1" fillId="0" borderId="0" xfId="1" applyNumberFormat="1" applyAlignment="1">
      <alignment vertical="center"/>
    </xf>
    <xf numFmtId="3" fontId="9" fillId="0" borderId="0" xfId="1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164" fontId="3" fillId="0" borderId="5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164" fontId="16" fillId="0" borderId="6" xfId="1" applyNumberFormat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164" fontId="1" fillId="0" borderId="6" xfId="1" applyNumberFormat="1" applyFont="1" applyBorder="1" applyAlignment="1">
      <alignment horizontal="left" vertical="center"/>
    </xf>
    <xf numFmtId="164" fontId="1" fillId="0" borderId="0" xfId="1" applyNumberFormat="1" applyFont="1" applyBorder="1" applyAlignment="1">
      <alignment horizontal="left" vertical="center"/>
    </xf>
    <xf numFmtId="3" fontId="1" fillId="0" borderId="5" xfId="1" applyNumberFormat="1" applyFont="1" applyBorder="1" applyAlignment="1">
      <alignment horizontal="right" vertical="center"/>
    </xf>
    <xf numFmtId="3" fontId="1" fillId="0" borderId="0" xfId="1" applyNumberFormat="1" applyFont="1" applyBorder="1" applyAlignment="1">
      <alignment horizontal="right" vertical="center"/>
    </xf>
    <xf numFmtId="3" fontId="1" fillId="0" borderId="6" xfId="1" applyNumberFormat="1" applyFont="1" applyBorder="1" applyAlignment="1">
      <alignment horizontal="right" vertical="center"/>
    </xf>
    <xf numFmtId="165" fontId="1" fillId="0" borderId="7" xfId="1" applyNumberFormat="1" applyFont="1" applyBorder="1" applyAlignment="1">
      <alignment horizontal="right" vertical="center"/>
    </xf>
    <xf numFmtId="0" fontId="1" fillId="0" borderId="0" xfId="1" applyFont="1" applyAlignment="1">
      <alignment vertical="center"/>
    </xf>
    <xf numFmtId="3" fontId="1" fillId="0" borderId="0" xfId="1" applyNumberFormat="1" applyFont="1" applyAlignment="1">
      <alignment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horizontal="right" vertical="center"/>
    </xf>
    <xf numFmtId="165" fontId="3" fillId="0" borderId="11" xfId="1" applyNumberFormat="1" applyFont="1" applyBorder="1" applyAlignment="1">
      <alignment horizontal="right" vertical="center"/>
    </xf>
    <xf numFmtId="164" fontId="1" fillId="0" borderId="6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3" fontId="1" fillId="0" borderId="5" xfId="1" applyNumberFormat="1" applyFont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17" fillId="0" borderId="6" xfId="1" applyNumberFormat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17" fillId="0" borderId="6" xfId="1" applyNumberFormat="1" applyFont="1" applyBorder="1" applyAlignment="1">
      <alignment horizontal="right" vertical="center"/>
    </xf>
    <xf numFmtId="164" fontId="1" fillId="0" borderId="5" xfId="1" applyNumberFormat="1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66" fontId="3" fillId="0" borderId="10" xfId="1" applyNumberFormat="1" applyFont="1" applyBorder="1" applyAlignment="1">
      <alignment horizontal="center" vertical="center"/>
    </xf>
    <xf numFmtId="166" fontId="3" fillId="0" borderId="9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166" fontId="3" fillId="0" borderId="6" xfId="1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/>
    </xf>
    <xf numFmtId="3" fontId="3" fillId="0" borderId="5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16" fillId="0" borderId="6" xfId="1" applyNumberFormat="1" applyFont="1" applyBorder="1" applyAlignment="1">
      <alignment vertical="center"/>
    </xf>
    <xf numFmtId="165" fontId="3" fillId="0" borderId="7" xfId="1" applyNumberFormat="1" applyFont="1" applyBorder="1" applyAlignment="1">
      <alignment horizontal="right" vertical="center"/>
    </xf>
    <xf numFmtId="164" fontId="1" fillId="0" borderId="12" xfId="1" applyNumberFormat="1" applyFont="1" applyBorder="1" applyAlignment="1">
      <alignment horizontal="left" vertical="center"/>
    </xf>
    <xf numFmtId="164" fontId="1" fillId="0" borderId="6" xfId="1" applyNumberFormat="1" applyFont="1" applyBorder="1" applyAlignment="1">
      <alignment horizontal="left" vertical="center" indent="1"/>
    </xf>
    <xf numFmtId="164" fontId="1" fillId="0" borderId="0" xfId="1" applyNumberFormat="1" applyFont="1" applyBorder="1" applyAlignment="1">
      <alignment horizontal="left" vertical="center" indent="1"/>
    </xf>
    <xf numFmtId="0" fontId="1" fillId="0" borderId="12" xfId="1" applyFont="1" applyBorder="1" applyAlignment="1">
      <alignment horizontal="left" vertical="center"/>
    </xf>
    <xf numFmtId="0" fontId="1" fillId="0" borderId="6" xfId="1" applyFont="1" applyBorder="1" applyAlignment="1">
      <alignment vertical="center"/>
    </xf>
    <xf numFmtId="166" fontId="3" fillId="0" borderId="6" xfId="1" applyNumberFormat="1" applyFont="1" applyBorder="1" applyAlignment="1">
      <alignment horizontal="center" vertical="center" wrapText="1"/>
    </xf>
    <xf numFmtId="166" fontId="3" fillId="0" borderId="12" xfId="1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 wrapText="1"/>
    </xf>
    <xf numFmtId="166" fontId="3" fillId="0" borderId="13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6" fontId="3" fillId="0" borderId="12" xfId="1" applyNumberFormat="1" applyFont="1" applyBorder="1" applyAlignment="1">
      <alignment horizontal="right" vertical="center"/>
    </xf>
    <xf numFmtId="166" fontId="3" fillId="0" borderId="0" xfId="1" applyNumberFormat="1" applyFont="1" applyBorder="1" applyAlignment="1">
      <alignment horizontal="right" vertical="center"/>
    </xf>
    <xf numFmtId="3" fontId="3" fillId="0" borderId="5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3" fontId="16" fillId="0" borderId="6" xfId="1" applyNumberFormat="1" applyFont="1" applyBorder="1" applyAlignment="1">
      <alignment horizontal="right" vertical="center"/>
    </xf>
    <xf numFmtId="3" fontId="1" fillId="0" borderId="0" xfId="1" applyNumberFormat="1" applyFont="1" applyFill="1" applyBorder="1" applyAlignment="1">
      <alignment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6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0" borderId="3" xfId="1" applyNumberFormat="1" applyFont="1" applyBorder="1" applyAlignment="1">
      <alignment vertical="center"/>
    </xf>
    <xf numFmtId="165" fontId="3" fillId="0" borderId="4" xfId="1" applyNumberFormat="1" applyFont="1" applyBorder="1" applyAlignment="1">
      <alignment horizontal="right" vertical="center"/>
    </xf>
    <xf numFmtId="0" fontId="3" fillId="0" borderId="12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164" fontId="3" fillId="0" borderId="10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3" fontId="1" fillId="0" borderId="0" xfId="1" applyNumberFormat="1" applyAlignment="1">
      <alignment horizontal="left" vertical="center"/>
    </xf>
    <xf numFmtId="164" fontId="3" fillId="0" borderId="14" xfId="1" applyNumberFormat="1" applyFont="1" applyBorder="1" applyAlignment="1">
      <alignment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3" fontId="16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3" fontId="17" fillId="0" borderId="0" xfId="1" applyNumberFormat="1" applyFont="1" applyAlignment="1">
      <alignment vertical="center"/>
    </xf>
    <xf numFmtId="0" fontId="17" fillId="0" borderId="15" xfId="1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0" fontId="1" fillId="0" borderId="16" xfId="1" applyFont="1" applyBorder="1" applyAlignment="1">
      <alignment vertical="center"/>
    </xf>
    <xf numFmtId="0" fontId="1" fillId="0" borderId="17" xfId="1" applyFont="1" applyBorder="1" applyAlignment="1">
      <alignment vertical="center"/>
    </xf>
    <xf numFmtId="0" fontId="17" fillId="0" borderId="6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0" fontId="17" fillId="0" borderId="5" xfId="1" applyFont="1" applyBorder="1" applyAlignment="1">
      <alignment vertical="center"/>
    </xf>
    <xf numFmtId="164" fontId="1" fillId="0" borderId="7" xfId="1" applyNumberFormat="1" applyFont="1" applyBorder="1" applyAlignment="1">
      <alignment horizontal="left" vertical="center"/>
    </xf>
    <xf numFmtId="3" fontId="1" fillId="0" borderId="0" xfId="1" applyNumberFormat="1" applyFont="1" applyAlignment="1">
      <alignment horizontal="right" vertical="center"/>
    </xf>
    <xf numFmtId="166" fontId="1" fillId="0" borderId="0" xfId="1" applyNumberFormat="1" applyFont="1" applyBorder="1" applyAlignment="1">
      <alignment horizontal="left" vertical="center"/>
    </xf>
    <xf numFmtId="166" fontId="1" fillId="0" borderId="12" xfId="1" applyNumberFormat="1" applyFont="1" applyBorder="1" applyAlignment="1">
      <alignment horizontal="left" vertical="center"/>
    </xf>
    <xf numFmtId="166" fontId="1" fillId="0" borderId="7" xfId="1" applyNumberFormat="1" applyFont="1" applyBorder="1" applyAlignment="1">
      <alignment horizontal="left" vertical="center"/>
    </xf>
    <xf numFmtId="3" fontId="1" fillId="0" borderId="6" xfId="1" applyNumberFormat="1" applyFont="1" applyBorder="1" applyAlignment="1">
      <alignment vertical="center"/>
    </xf>
    <xf numFmtId="0" fontId="17" fillId="0" borderId="5" xfId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right" vertical="center" indent="1"/>
    </xf>
    <xf numFmtId="164" fontId="3" fillId="0" borderId="7" xfId="1" applyNumberFormat="1" applyFont="1" applyBorder="1" applyAlignment="1">
      <alignment horizontal="right" vertical="center" indent="1"/>
    </xf>
    <xf numFmtId="0" fontId="17" fillId="0" borderId="0" xfId="1" applyFont="1" applyAlignment="1">
      <alignment horizontal="center" vertical="center"/>
    </xf>
    <xf numFmtId="3" fontId="17" fillId="0" borderId="0" xfId="1" applyNumberFormat="1" applyFont="1" applyAlignment="1">
      <alignment horizontal="center" vertical="center"/>
    </xf>
    <xf numFmtId="166" fontId="3" fillId="0" borderId="7" xfId="1" applyNumberFormat="1" applyFont="1" applyBorder="1" applyAlignment="1">
      <alignment horizontal="center" vertical="center"/>
    </xf>
    <xf numFmtId="3" fontId="1" fillId="0" borderId="0" xfId="1" applyNumberFormat="1" applyFont="1" applyAlignment="1">
      <alignment horizontal="center" vertical="center"/>
    </xf>
    <xf numFmtId="3" fontId="1" fillId="0" borderId="6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right" vertical="center"/>
    </xf>
    <xf numFmtId="3" fontId="1" fillId="0" borderId="0" xfId="1" applyNumberFormat="1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right" vertical="center"/>
    </xf>
    <xf numFmtId="164" fontId="1" fillId="0" borderId="0" xfId="1" applyNumberFormat="1" applyFont="1" applyAlignment="1">
      <alignment vertical="center"/>
    </xf>
    <xf numFmtId="164" fontId="1" fillId="0" borderId="12" xfId="1" applyNumberFormat="1" applyFont="1" applyBorder="1" applyAlignment="1">
      <alignment vertical="center"/>
    </xf>
    <xf numFmtId="164" fontId="1" fillId="0" borderId="7" xfId="1" applyNumberFormat="1" applyFont="1" applyBorder="1" applyAlignment="1">
      <alignment vertical="center"/>
    </xf>
    <xf numFmtId="164" fontId="1" fillId="0" borderId="12" xfId="1" applyNumberFormat="1" applyFont="1" applyBorder="1" applyAlignment="1">
      <alignment horizontal="center" vertical="center"/>
    </xf>
    <xf numFmtId="0" fontId="17" fillId="0" borderId="5" xfId="1" applyFont="1" applyBorder="1" applyAlignment="1">
      <alignment horizontal="left" vertical="center"/>
    </xf>
    <xf numFmtId="164" fontId="18" fillId="0" borderId="0" xfId="1" applyNumberFormat="1" applyFont="1" applyBorder="1" applyAlignment="1">
      <alignment horizontal="left" vertical="center" indent="1"/>
    </xf>
    <xf numFmtId="164" fontId="18" fillId="0" borderId="12" xfId="1" applyNumberFormat="1" applyFont="1" applyBorder="1" applyAlignment="1">
      <alignment horizontal="left" vertical="center"/>
    </xf>
    <xf numFmtId="164" fontId="18" fillId="0" borderId="7" xfId="1" applyNumberFormat="1" applyFont="1" applyBorder="1" applyAlignment="1">
      <alignment horizontal="left" vertical="center" indent="1"/>
    </xf>
    <xf numFmtId="3" fontId="18" fillId="0" borderId="5" xfId="1" applyNumberFormat="1" applyFont="1" applyBorder="1" applyAlignment="1">
      <alignment horizontal="right" vertical="center"/>
    </xf>
    <xf numFmtId="3" fontId="18" fillId="0" borderId="0" xfId="1" applyNumberFormat="1" applyFont="1" applyBorder="1" applyAlignment="1">
      <alignment horizontal="right" vertical="center"/>
    </xf>
    <xf numFmtId="3" fontId="18" fillId="0" borderId="6" xfId="1" applyNumberFormat="1" applyFont="1" applyBorder="1" applyAlignment="1">
      <alignment horizontal="right" vertical="center"/>
    </xf>
    <xf numFmtId="3" fontId="18" fillId="0" borderId="0" xfId="1" applyNumberFormat="1" applyFont="1" applyBorder="1" applyAlignment="1">
      <alignment vertical="center"/>
    </xf>
    <xf numFmtId="165" fontId="18" fillId="0" borderId="7" xfId="1" applyNumberFormat="1" applyFont="1" applyBorder="1" applyAlignment="1">
      <alignment horizontal="right" vertical="center"/>
    </xf>
    <xf numFmtId="0" fontId="17" fillId="0" borderId="0" xfId="1" applyFont="1" applyAlignment="1">
      <alignment horizontal="left" vertical="center"/>
    </xf>
    <xf numFmtId="3" fontId="17" fillId="0" borderId="0" xfId="1" applyNumberFormat="1" applyFont="1" applyAlignment="1">
      <alignment horizontal="left" vertical="center"/>
    </xf>
    <xf numFmtId="164" fontId="19" fillId="0" borderId="0" xfId="1" applyNumberFormat="1" applyFont="1" applyBorder="1" applyAlignment="1">
      <alignment horizontal="left" vertical="center" indent="3"/>
    </xf>
    <xf numFmtId="0" fontId="19" fillId="0" borderId="12" xfId="1" applyFont="1" applyBorder="1" applyAlignment="1">
      <alignment horizontal="left" vertical="center"/>
    </xf>
    <xf numFmtId="164" fontId="19" fillId="0" borderId="7" xfId="1" applyNumberFormat="1" applyFont="1" applyBorder="1" applyAlignment="1">
      <alignment horizontal="left" vertical="center" indent="3"/>
    </xf>
    <xf numFmtId="3" fontId="19" fillId="0" borderId="5" xfId="1" applyNumberFormat="1" applyFont="1" applyBorder="1" applyAlignment="1">
      <alignment vertical="center"/>
    </xf>
    <xf numFmtId="3" fontId="19" fillId="0" borderId="0" xfId="1" applyNumberFormat="1" applyFont="1" applyBorder="1" applyAlignment="1">
      <alignment vertical="center"/>
    </xf>
    <xf numFmtId="3" fontId="19" fillId="0" borderId="6" xfId="1" applyNumberFormat="1" applyFont="1" applyBorder="1" applyAlignment="1">
      <alignment vertical="center"/>
    </xf>
    <xf numFmtId="165" fontId="19" fillId="0" borderId="7" xfId="1" applyNumberFormat="1" applyFont="1" applyBorder="1" applyAlignment="1">
      <alignment horizontal="right" vertical="center"/>
    </xf>
    <xf numFmtId="166" fontId="19" fillId="0" borderId="0" xfId="1" applyNumberFormat="1" applyFont="1" applyBorder="1" applyAlignment="1">
      <alignment horizontal="left" vertical="center" indent="3"/>
    </xf>
    <xf numFmtId="166" fontId="19" fillId="0" borderId="7" xfId="1" applyNumberFormat="1" applyFont="1" applyBorder="1" applyAlignment="1">
      <alignment horizontal="left" vertical="center" indent="3"/>
    </xf>
    <xf numFmtId="3" fontId="19" fillId="0" borderId="0" xfId="1" applyNumberFormat="1" applyFont="1" applyBorder="1" applyAlignment="1">
      <alignment horizontal="right" vertical="center"/>
    </xf>
    <xf numFmtId="3" fontId="18" fillId="0" borderId="5" xfId="1" applyNumberFormat="1" applyFont="1" applyBorder="1" applyAlignment="1">
      <alignment vertical="center"/>
    </xf>
    <xf numFmtId="164" fontId="19" fillId="0" borderId="12" xfId="1" applyNumberFormat="1" applyFont="1" applyBorder="1" applyAlignment="1">
      <alignment horizontal="left" vertical="center"/>
    </xf>
    <xf numFmtId="165" fontId="19" fillId="0" borderId="0" xfId="1" applyNumberFormat="1" applyFont="1" applyBorder="1" applyAlignment="1">
      <alignment horizontal="right" vertical="center"/>
    </xf>
    <xf numFmtId="166" fontId="19" fillId="0" borderId="0" xfId="1" applyNumberFormat="1" applyFont="1" applyBorder="1" applyAlignment="1">
      <alignment horizontal="left" vertical="center" indent="4"/>
    </xf>
    <xf numFmtId="166" fontId="19" fillId="0" borderId="7" xfId="1" applyNumberFormat="1" applyFont="1" applyBorder="1" applyAlignment="1">
      <alignment horizontal="left" vertical="center" indent="4"/>
    </xf>
    <xf numFmtId="3" fontId="1" fillId="0" borderId="5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right" vertical="center"/>
    </xf>
    <xf numFmtId="165" fontId="16" fillId="0" borderId="7" xfId="1" applyNumberFormat="1" applyFont="1" applyBorder="1" applyAlignment="1">
      <alignment horizontal="right" vertical="center"/>
    </xf>
    <xf numFmtId="3" fontId="1" fillId="0" borderId="18" xfId="1" applyNumberFormat="1" applyFont="1" applyBorder="1" applyAlignment="1">
      <alignment horizontal="center" vertical="center"/>
    </xf>
    <xf numFmtId="164" fontId="3" fillId="0" borderId="19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/>
    </xf>
    <xf numFmtId="0" fontId="1" fillId="0" borderId="0" xfId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" fillId="0" borderId="15" xfId="1" applyFont="1" applyBorder="1" applyAlignment="1">
      <alignment vertical="center"/>
    </xf>
    <xf numFmtId="0" fontId="1" fillId="0" borderId="12" xfId="1" applyFont="1" applyBorder="1" applyAlignment="1">
      <alignment vertical="center"/>
    </xf>
    <xf numFmtId="3" fontId="1" fillId="0" borderId="12" xfId="1" applyNumberFormat="1" applyFont="1" applyBorder="1" applyAlignment="1">
      <alignment vertical="center"/>
    </xf>
    <xf numFmtId="164" fontId="1" fillId="0" borderId="6" xfId="1" applyNumberFormat="1" applyFont="1" applyBorder="1" applyAlignment="1">
      <alignment horizontal="left" vertical="center" indent="3"/>
    </xf>
    <xf numFmtId="164" fontId="1" fillId="0" borderId="0" xfId="1" applyNumberFormat="1" applyFont="1" applyAlignment="1">
      <alignment horizontal="left" vertical="center"/>
    </xf>
    <xf numFmtId="164" fontId="1" fillId="0" borderId="7" xfId="1" applyNumberFormat="1" applyFont="1" applyBorder="1" applyAlignment="1">
      <alignment horizontal="left" vertical="center" indent="3"/>
    </xf>
    <xf numFmtId="166" fontId="1" fillId="0" borderId="6" xfId="1" applyNumberFormat="1" applyFont="1" applyBorder="1" applyAlignment="1">
      <alignment horizontal="left" vertical="center" indent="3"/>
    </xf>
    <xf numFmtId="166" fontId="1" fillId="0" borderId="0" xfId="1" applyNumberFormat="1" applyFont="1" applyAlignment="1">
      <alignment horizontal="left" vertical="center"/>
    </xf>
    <xf numFmtId="166" fontId="1" fillId="0" borderId="7" xfId="1" applyNumberFormat="1" applyFont="1" applyBorder="1" applyAlignment="1">
      <alignment horizontal="left" vertical="center" indent="3"/>
    </xf>
    <xf numFmtId="0" fontId="1" fillId="0" borderId="8" xfId="1" applyFont="1" applyBorder="1" applyAlignment="1">
      <alignment horizontal="center" vertical="center"/>
    </xf>
    <xf numFmtId="166" fontId="3" fillId="0" borderId="11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vertical="center"/>
    </xf>
    <xf numFmtId="0" fontId="1" fillId="0" borderId="0" xfId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3" fontId="1" fillId="0" borderId="12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center"/>
    </xf>
    <xf numFmtId="164" fontId="1" fillId="0" borderId="7" xfId="1" applyNumberFormat="1" applyFont="1" applyBorder="1" applyAlignment="1">
      <alignment horizontal="left" vertical="center" indent="1"/>
    </xf>
    <xf numFmtId="3" fontId="3" fillId="0" borderId="12" xfId="1" applyNumberFormat="1" applyFont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166" fontId="1" fillId="0" borderId="6" xfId="1" applyNumberFormat="1" applyFont="1" applyBorder="1" applyAlignment="1">
      <alignment horizontal="left" vertical="center" indent="4"/>
    </xf>
    <xf numFmtId="166" fontId="1" fillId="0" borderId="7" xfId="1" applyNumberFormat="1" applyFont="1" applyBorder="1" applyAlignment="1">
      <alignment horizontal="left" vertical="center" indent="4"/>
    </xf>
    <xf numFmtId="3" fontId="3" fillId="0" borderId="12" xfId="1" applyNumberFormat="1" applyFont="1" applyBorder="1" applyAlignment="1">
      <alignment vertical="center"/>
    </xf>
    <xf numFmtId="0" fontId="1" fillId="0" borderId="6" xfId="1" applyFont="1" applyBorder="1" applyAlignment="1">
      <alignment horizontal="left" vertical="center" indent="4"/>
    </xf>
    <xf numFmtId="0" fontId="1" fillId="0" borderId="7" xfId="1" applyFont="1" applyBorder="1" applyAlignment="1">
      <alignment horizontal="left" vertical="center" indent="4"/>
    </xf>
    <xf numFmtId="164" fontId="3" fillId="0" borderId="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3" xfId="1" applyNumberFormat="1" applyFont="1" applyBorder="1" applyAlignment="1">
      <alignment horizontal="right" vertical="center"/>
    </xf>
    <xf numFmtId="3" fontId="1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right"/>
    </xf>
    <xf numFmtId="0" fontId="0" fillId="2" borderId="0" xfId="0" applyFill="1"/>
    <xf numFmtId="0" fontId="0" fillId="2" borderId="0" xfId="0" quotePrefix="1" applyFill="1"/>
    <xf numFmtId="0" fontId="0" fillId="3" borderId="0" xfId="0" applyFill="1"/>
    <xf numFmtId="0" fontId="7" fillId="3" borderId="0" xfId="0" applyFont="1" applyFill="1" applyAlignment="1">
      <alignment horizontal="right"/>
    </xf>
    <xf numFmtId="165" fontId="3" fillId="0" borderId="17" xfId="1" applyNumberFormat="1" applyFont="1" applyBorder="1" applyAlignment="1">
      <alignment horizontal="right" vertical="center"/>
    </xf>
    <xf numFmtId="165" fontId="1" fillId="0" borderId="17" xfId="1" applyNumberFormat="1" applyFont="1" applyBorder="1" applyAlignment="1">
      <alignment horizontal="right" vertical="center"/>
    </xf>
    <xf numFmtId="165" fontId="3" fillId="0" borderId="14" xfId="1" applyNumberFormat="1" applyFont="1" applyBorder="1" applyAlignment="1">
      <alignment horizontal="right" vertical="center"/>
    </xf>
    <xf numFmtId="3" fontId="18" fillId="0" borderId="6" xfId="1" applyNumberFormat="1" applyFont="1" applyBorder="1" applyAlignment="1">
      <alignment vertical="center"/>
    </xf>
    <xf numFmtId="0" fontId="3" fillId="0" borderId="1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164" fontId="3" fillId="0" borderId="8" xfId="1" applyNumberFormat="1" applyFont="1" applyBorder="1" applyAlignment="1">
      <alignment vertical="center"/>
    </xf>
    <xf numFmtId="165" fontId="1" fillId="0" borderId="7" xfId="1" applyNumberForma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right" vertical="center" wrapText="1"/>
    </xf>
    <xf numFmtId="0" fontId="2" fillId="0" borderId="18" xfId="1" applyFont="1" applyBorder="1" applyAlignment="1">
      <alignment horizontal="right" vertical="center" wrapText="1"/>
    </xf>
    <xf numFmtId="0" fontId="2" fillId="0" borderId="21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right" vertical="center"/>
    </xf>
    <xf numFmtId="164" fontId="3" fillId="0" borderId="6" xfId="1" applyNumberFormat="1" applyFont="1" applyBorder="1" applyAlignment="1">
      <alignment horizontal="right" vertical="center"/>
    </xf>
    <xf numFmtId="0" fontId="2" fillId="4" borderId="15" xfId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164" fontId="3" fillId="0" borderId="2" xfId="1" applyNumberFormat="1" applyFont="1" applyBorder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" fillId="4" borderId="20" xfId="0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right" vertical="center" wrapText="1"/>
    </xf>
    <xf numFmtId="3" fontId="9" fillId="0" borderId="0" xfId="1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4" borderId="20" xfId="1" applyFont="1" applyFill="1" applyBorder="1" applyAlignment="1">
      <alignment horizontal="right" vertical="center" wrapText="1"/>
    </xf>
    <xf numFmtId="0" fontId="20" fillId="4" borderId="18" xfId="0" applyFont="1" applyFill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1" xfId="0" applyFont="1" applyBorder="1" applyAlignment="1">
      <alignment horizontal="right" vertical="center" wrapText="1"/>
    </xf>
    <xf numFmtId="0" fontId="2" fillId="4" borderId="14" xfId="1" applyFont="1" applyFill="1" applyBorder="1" applyAlignment="1">
      <alignment horizontal="center" vertical="center" wrapText="1"/>
    </xf>
    <xf numFmtId="0" fontId="2" fillId="4" borderId="17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 2 2" xfId="1" xr:uid="{B923338C-002F-4505-91E6-8FA9587A4B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4</xdr:row>
      <xdr:rowOff>114300</xdr:rowOff>
    </xdr:to>
    <xdr:sp macro="" textlink="">
      <xdr:nvSpPr>
        <xdr:cNvPr id="1382" name="AutoShape 1" descr="GOBIERNO-VASCO-LOGO - Puntodis">
          <a:extLst>
            <a:ext uri="{FF2B5EF4-FFF2-40B4-BE49-F238E27FC236}">
              <a16:creationId xmlns:a16="http://schemas.microsoft.com/office/drawing/2014/main" id="{89042A79-B405-C2FD-7E16-6E195D3C8D8A}"/>
            </a:ext>
          </a:extLst>
        </xdr:cNvPr>
        <xdr:cNvSpPr>
          <a:spLocks noChangeAspect="1" noChangeArrowheads="1"/>
        </xdr:cNvSpPr>
      </xdr:nvSpPr>
      <xdr:spPr bwMode="auto">
        <a:xfrm>
          <a:off x="552450" y="571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304800</xdr:colOff>
      <xdr:row>99</xdr:row>
      <xdr:rowOff>304800</xdr:rowOff>
    </xdr:to>
    <xdr:sp macro="" textlink="">
      <xdr:nvSpPr>
        <xdr:cNvPr id="1383" name="AutoShape 1" descr="GOBIERNO-VASCO-LOGO - Puntodis">
          <a:extLst>
            <a:ext uri="{FF2B5EF4-FFF2-40B4-BE49-F238E27FC236}">
              <a16:creationId xmlns:a16="http://schemas.microsoft.com/office/drawing/2014/main" id="{DB9EFD56-A183-64D0-DE55-E49AD41FDEFA}"/>
            </a:ext>
          </a:extLst>
        </xdr:cNvPr>
        <xdr:cNvSpPr>
          <a:spLocks noChangeAspect="1" noChangeArrowheads="1"/>
        </xdr:cNvSpPr>
      </xdr:nvSpPr>
      <xdr:spPr bwMode="auto">
        <a:xfrm>
          <a:off x="552450" y="1976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304800</xdr:colOff>
      <xdr:row>99</xdr:row>
      <xdr:rowOff>304800</xdr:rowOff>
    </xdr:to>
    <xdr:sp macro="" textlink="">
      <xdr:nvSpPr>
        <xdr:cNvPr id="1384" name="AutoShape 1" descr="GOBIERNO-VASCO-LOGO - Puntodis">
          <a:extLst>
            <a:ext uri="{FF2B5EF4-FFF2-40B4-BE49-F238E27FC236}">
              <a16:creationId xmlns:a16="http://schemas.microsoft.com/office/drawing/2014/main" id="{C741C2F4-3A65-D99D-B3D7-F4677115AE15}"/>
            </a:ext>
          </a:extLst>
        </xdr:cNvPr>
        <xdr:cNvSpPr>
          <a:spLocks noChangeAspect="1" noChangeArrowheads="1"/>
        </xdr:cNvSpPr>
      </xdr:nvSpPr>
      <xdr:spPr bwMode="auto">
        <a:xfrm>
          <a:off x="552450" y="1976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2971800</xdr:colOff>
      <xdr:row>1</xdr:row>
      <xdr:rowOff>76200</xdr:rowOff>
    </xdr:from>
    <xdr:to>
      <xdr:col>6</xdr:col>
      <xdr:colOff>428625</xdr:colOff>
      <xdr:row>6</xdr:row>
      <xdr:rowOff>19050</xdr:rowOff>
    </xdr:to>
    <xdr:pic>
      <xdr:nvPicPr>
        <xdr:cNvPr id="1385" name="Imagen 10">
          <a:extLst>
            <a:ext uri="{FF2B5EF4-FFF2-40B4-BE49-F238E27FC236}">
              <a16:creationId xmlns:a16="http://schemas.microsoft.com/office/drawing/2014/main" id="{DA12661D-551A-F5A5-8FC0-7BBDD88C2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266700"/>
          <a:ext cx="47244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2971800</xdr:colOff>
      <xdr:row>93</xdr:row>
      <xdr:rowOff>85725</xdr:rowOff>
    </xdr:from>
    <xdr:to>
      <xdr:col>6</xdr:col>
      <xdr:colOff>428625</xdr:colOff>
      <xdr:row>98</xdr:row>
      <xdr:rowOff>28575</xdr:rowOff>
    </xdr:to>
    <xdr:pic>
      <xdr:nvPicPr>
        <xdr:cNvPr id="1386" name="Imagen 11">
          <a:extLst>
            <a:ext uri="{FF2B5EF4-FFF2-40B4-BE49-F238E27FC236}">
              <a16:creationId xmlns:a16="http://schemas.microsoft.com/office/drawing/2014/main" id="{D5ABB3C4-F4AD-F8EF-8281-C3C22CAA9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8707100"/>
          <a:ext cx="47244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EF1BD-4087-401C-8572-5F73A8B7FF79}">
  <sheetPr codeName="Hoja1"/>
  <dimension ref="B1:R209"/>
  <sheetViews>
    <sheetView tabSelected="1" zoomScaleNormal="100" workbookViewId="0">
      <selection activeCell="B11" sqref="B11:K11"/>
    </sheetView>
  </sheetViews>
  <sheetFormatPr baseColWidth="10" defaultColWidth="10.42578125" defaultRowHeight="12.75"/>
  <cols>
    <col min="1" max="1" width="5.28515625" style="7" customWidth="1"/>
    <col min="2" max="2" width="3" style="7" customWidth="1"/>
    <col min="3" max="3" width="46.42578125" style="30" customWidth="1"/>
    <col min="4" max="4" width="3" style="30" customWidth="1"/>
    <col min="5" max="5" width="45.7109375" style="30" customWidth="1"/>
    <col min="6" max="6" width="13.85546875" style="30" customWidth="1"/>
    <col min="7" max="8" width="13.85546875" style="101" customWidth="1"/>
    <col min="9" max="10" width="13.85546875" style="30" customWidth="1"/>
    <col min="11" max="11" width="8.7109375" style="7" customWidth="1"/>
    <col min="12" max="12" width="5.28515625" style="7" customWidth="1"/>
    <col min="13" max="13" width="14.140625" style="7" customWidth="1"/>
    <col min="14" max="14" width="13.42578125" style="7" bestFit="1" customWidth="1"/>
    <col min="15" max="15" width="12.7109375" style="1" bestFit="1" customWidth="1"/>
    <col min="16" max="16" width="12.140625" style="7" customWidth="1"/>
    <col min="17" max="18" width="12.7109375" style="7" bestFit="1" customWidth="1"/>
    <col min="19" max="16384" width="10.42578125" style="7"/>
  </cols>
  <sheetData>
    <row r="1" spans="2:15" s="1" customFormat="1" ht="15" customHeight="1">
      <c r="B1" s="2"/>
      <c r="C1" s="3"/>
      <c r="D1" s="3"/>
      <c r="E1" s="3"/>
      <c r="F1" s="3"/>
      <c r="G1" s="4"/>
      <c r="H1" s="4"/>
      <c r="I1" s="3"/>
      <c r="J1" s="3"/>
      <c r="K1" s="5"/>
    </row>
    <row r="2" spans="2:15" s="1" customFormat="1" ht="15" customHeight="1">
      <c r="B2" s="2"/>
      <c r="C2" s="6"/>
      <c r="D2" s="3"/>
      <c r="E2" s="3"/>
      <c r="F2" s="3"/>
      <c r="G2" s="4"/>
      <c r="H2" s="4"/>
      <c r="I2" s="3"/>
      <c r="J2" s="3"/>
      <c r="K2" s="5"/>
    </row>
    <row r="3" spans="2:15" s="1" customFormat="1" ht="15" customHeight="1">
      <c r="B3" s="239"/>
      <c r="C3" s="239"/>
      <c r="D3" s="239"/>
      <c r="E3" s="239"/>
      <c r="F3" s="239"/>
      <c r="G3" s="239"/>
      <c r="H3" s="239"/>
      <c r="I3" s="240">
        <f>DATOS!J1</f>
        <v>2026</v>
      </c>
      <c r="J3" s="240"/>
      <c r="K3" s="240"/>
    </row>
    <row r="4" spans="2:15" s="1" customFormat="1" ht="15" customHeight="1">
      <c r="B4" s="239"/>
      <c r="C4" s="239"/>
      <c r="D4" s="239"/>
      <c r="E4" s="239"/>
      <c r="F4" s="239"/>
      <c r="G4" s="239"/>
      <c r="H4" s="239"/>
      <c r="I4" s="240"/>
      <c r="J4" s="240"/>
      <c r="K4" s="240"/>
    </row>
    <row r="5" spans="2:15" s="1" customFormat="1" ht="15" customHeight="1">
      <c r="B5" s="239"/>
      <c r="C5" s="239"/>
      <c r="D5" s="239"/>
      <c r="E5" s="239"/>
      <c r="F5" s="239"/>
      <c r="G5" s="239"/>
      <c r="H5" s="239"/>
      <c r="I5" s="240"/>
      <c r="J5" s="240"/>
      <c r="K5" s="240"/>
    </row>
    <row r="6" spans="2:15" s="1" customFormat="1" ht="15" customHeight="1">
      <c r="B6" s="239"/>
      <c r="C6" s="239"/>
      <c r="D6" s="239"/>
      <c r="E6" s="239"/>
      <c r="F6" s="239"/>
      <c r="G6" s="239"/>
      <c r="H6" s="239"/>
      <c r="I6" s="240"/>
      <c r="J6" s="240"/>
      <c r="K6" s="240"/>
    </row>
    <row r="7" spans="2:15" s="1" customFormat="1" ht="15" customHeight="1">
      <c r="B7" s="239"/>
      <c r="C7" s="239"/>
      <c r="D7" s="239"/>
      <c r="E7" s="239"/>
      <c r="F7" s="239"/>
      <c r="G7" s="239"/>
      <c r="H7" s="239"/>
      <c r="I7" s="240"/>
      <c r="J7" s="240"/>
      <c r="K7" s="240"/>
    </row>
    <row r="8" spans="2:15" s="1" customFormat="1" ht="15" customHeight="1">
      <c r="B8" s="2"/>
      <c r="C8" s="3"/>
      <c r="D8" s="3"/>
      <c r="E8" s="3"/>
      <c r="F8" s="3"/>
      <c r="G8" s="4"/>
      <c r="H8" s="4"/>
      <c r="I8" s="3"/>
      <c r="J8" s="3"/>
      <c r="K8" s="5"/>
    </row>
    <row r="9" spans="2:15" s="1" customFormat="1" ht="15" customHeight="1">
      <c r="B9" s="2"/>
      <c r="C9" s="3"/>
      <c r="D9" s="3"/>
      <c r="F9" s="3"/>
      <c r="G9" s="4"/>
      <c r="H9" s="4"/>
      <c r="I9" s="3"/>
      <c r="J9" s="3"/>
      <c r="K9" s="5"/>
    </row>
    <row r="10" spans="2:15" ht="16.5" customHeight="1" thickBot="1">
      <c r="B10" s="8"/>
      <c r="C10" s="9"/>
      <c r="D10" s="9"/>
      <c r="E10" s="9"/>
      <c r="F10" s="9"/>
      <c r="G10" s="10"/>
      <c r="H10" s="10"/>
      <c r="I10" s="9"/>
      <c r="J10" s="9"/>
      <c r="K10" s="9"/>
    </row>
    <row r="11" spans="2:15" ht="45.75" customHeight="1">
      <c r="B11" s="211" t="s">
        <v>152</v>
      </c>
      <c r="C11" s="212"/>
      <c r="D11" s="212"/>
      <c r="E11" s="212"/>
      <c r="F11" s="212"/>
      <c r="G11" s="212"/>
      <c r="H11" s="212"/>
      <c r="I11" s="212"/>
      <c r="J11" s="212"/>
      <c r="K11" s="213"/>
    </row>
    <row r="12" spans="2:15" ht="14.1" customHeight="1" thickBot="1">
      <c r="B12" s="214" t="s">
        <v>0</v>
      </c>
      <c r="C12" s="215"/>
      <c r="D12" s="215"/>
      <c r="E12" s="215"/>
      <c r="F12" s="215"/>
      <c r="G12" s="215"/>
      <c r="H12" s="215"/>
      <c r="I12" s="215"/>
      <c r="J12" s="215"/>
      <c r="K12" s="216"/>
    </row>
    <row r="13" spans="2:15" s="15" customFormat="1" ht="41.25" customHeight="1" thickBot="1">
      <c r="B13" s="217" t="str">
        <f>"DIRU-BILKETA METATUA"&amp;CHAR(10)&amp;  VLOOKUP(DATOS!J2,DATOS!K1:M12,2)&amp;IF(ISBLANK(DATOS!J3),"","-"&amp;VLOOKUP(DATOS!J3,DATOS!K1:M12,2))&amp;"  "&amp;DATOS!J1</f>
        <v>DIRU-BILKETA METATUA
URTARRILA-OTSAILA  2026</v>
      </c>
      <c r="C13" s="250"/>
      <c r="D13" s="219" t="str">
        <f>"RECAUDACIÓN ACUMULADA"&amp;CHAR(10)&amp;  VLOOKUP(DATOS!J2,DATOS!K1:M12,3)&amp;IF(ISBLANK(DATOS!J3),"","-"&amp;VLOOKUP(DATOS!J3,DATOS!K1:M12,3))&amp;"  "&amp;DATOS!J1</f>
        <v>RECAUDACIÓN ACUMULADA
ENERO-FEBRERO  2026</v>
      </c>
      <c r="E13" s="251"/>
      <c r="F13" s="11" t="str">
        <f>DATOS!J1 &amp; CHAR(10) &amp; "ARABA" &amp; CHAR(10) &amp; "Garbia/Neta"</f>
        <v>2026
ARABA
Garbia/Neta</v>
      </c>
      <c r="G13" s="12" t="str">
        <f>DATOS!J1 &amp; CHAR(10) &amp; "BIZKAIA" &amp; CHAR(10) &amp; "Garbia/Neta"</f>
        <v>2026
BIZKAIA
Garbia/Neta</v>
      </c>
      <c r="H13" s="12" t="str">
        <f>DATOS!J1 &amp; CHAR(10) &amp; "GIPUZKOA" &amp; CHAR(10) &amp; "Garbia/Neta"</f>
        <v>2026
GIPUZKOA
Garbia/Neta</v>
      </c>
      <c r="I13" s="207" t="str">
        <f>DATOS!J1 &amp; CHAR(10) &amp; "EAE/CAPV" &amp; CHAR(10) &amp; "Garbia/Neta"</f>
        <v>2026
EAE/CAPV
Garbia/Neta</v>
      </c>
      <c r="J13" s="12" t="str">
        <f>DATOS!J1-1 &amp; CHAR(10) &amp; "EAE/CAPV" &amp; CHAR(10) &amp; "Garbia/Neta"</f>
        <v>2025
EAE/CAPV
Garbia/Neta</v>
      </c>
      <c r="K13" s="14" t="s">
        <v>1</v>
      </c>
      <c r="O13" s="16"/>
    </row>
    <row r="14" spans="2:15" ht="15" customHeight="1">
      <c r="B14" s="17"/>
      <c r="C14" s="18"/>
      <c r="D14" s="19"/>
      <c r="E14" s="19"/>
      <c r="F14" s="20"/>
      <c r="G14" s="19"/>
      <c r="H14" s="21"/>
      <c r="I14" s="22"/>
      <c r="J14" s="19"/>
      <c r="K14" s="23"/>
    </row>
    <row r="15" spans="2:15">
      <c r="B15" s="20"/>
      <c r="C15" s="24" t="str">
        <f>VLOOKUP("11111",DATOS!$A$2:$H$205,3,FALSE)</f>
        <v>ATXIKIPENAK: LAN ETA JARD PROF ETEKINAK</v>
      </c>
      <c r="D15" s="25"/>
      <c r="E15" s="25" t="str">
        <f>VLOOKUP("11111",DATOS!$A$2:$H$205,2,FALSE)</f>
        <v>RETENCIONES: RDTOS TRABAJO Y ACT PROF</v>
      </c>
      <c r="F15" s="26">
        <f>IF(ISERROR(VLOOKUP("11111",DATOS!$A$2:$H$205,4,FALSE)),0,VLOOKUP("11111",DATOS!$A$2:$H$205,4,FALSE))</f>
        <v>240782270.88999999</v>
      </c>
      <c r="G15" s="27">
        <f>IF(ISERROR(VLOOKUP("11111",DATOS!$A$2:$H$205,5,FALSE)),0,VLOOKUP("11111",DATOS!$A$2:$H$205,5,FALSE))</f>
        <v>976055112.95000005</v>
      </c>
      <c r="H15" s="28">
        <f>IF(ISERROR(VLOOKUP("11111",DATOS!$A$2:$H$205,6,FALSE)),0,VLOOKUP("11111",DATOS!$A$2:$H$205,6,FALSE))</f>
        <v>503350718.13999999</v>
      </c>
      <c r="I15" s="27">
        <f t="shared" ref="I15:I21" si="0">SUM(F15:H15)</f>
        <v>1720188101.98</v>
      </c>
      <c r="J15" s="27">
        <f>IF(ISERROR(VLOOKUP("11111",DATOS!$A$2:$H$205,8,FALSE)),0,VLOOKUP("11111",DATOS!$A$2:$H$205,8,FALSE))</f>
        <v>1566604531</v>
      </c>
      <c r="K15" s="29">
        <f>IF(ISERROR((I15/J15)-1),"",((I15/J15)-1))</f>
        <v>9.8035954793239455E-2</v>
      </c>
    </row>
    <row r="16" spans="2:15">
      <c r="B16" s="20"/>
      <c r="C16" s="24" t="str">
        <f>VLOOKUP("11121",DATOS!$A$2:$H$205,3,FALSE)</f>
        <v>ATXIKIPENAK: KAPITAL HIGIGARRIAREN ETEKINAK</v>
      </c>
      <c r="D16" s="25"/>
      <c r="E16" s="25" t="str">
        <f>VLOOKUP("11121",DATOS!$A$2:$H$205,2,FALSE)</f>
        <v>RETENCIONES: RDTOS CAPITAL MOBILIARIO</v>
      </c>
      <c r="F16" s="26">
        <f>IF(ISERROR(VLOOKUP("11121",DATOS!$A$2:$H$205,4,FALSE)),0,VLOOKUP("11121",DATOS!$A$2:$H$205,4,FALSE))</f>
        <v>11711862.050000001</v>
      </c>
      <c r="G16" s="27">
        <f>IF(ISERROR(VLOOKUP("11121",DATOS!$A$2:$H$205,5,FALSE)),0,VLOOKUP("11121",DATOS!$A$2:$H$205,5,FALSE))</f>
        <v>57431958.189999998</v>
      </c>
      <c r="H16" s="28">
        <f>IF(ISERROR(VLOOKUP("11121",DATOS!$A$2:$H$205,6,FALSE)),0,VLOOKUP("11121",DATOS!$A$2:$H$205,6,FALSE))</f>
        <v>24529737.859999999</v>
      </c>
      <c r="I16" s="27">
        <f t="shared" si="0"/>
        <v>93673558.099999994</v>
      </c>
      <c r="J16" s="27">
        <f>IF(ISERROR(VLOOKUP("11121",DATOS!$A$2:$H$205,8,FALSE)),0,VLOOKUP("11121",DATOS!$A$2:$H$205,8,FALSE))</f>
        <v>110554531</v>
      </c>
      <c r="K16" s="29">
        <f t="shared" ref="K16:K21" si="1">IF(ISERROR((I16/J16)-1),"",((I16/J16)-1))</f>
        <v>-0.15269363224922916</v>
      </c>
    </row>
    <row r="17" spans="2:15">
      <c r="B17" s="20"/>
      <c r="C17" s="24" t="str">
        <f>VLOOKUP("11131",DATOS!$A$2:$H$205,3,FALSE)</f>
        <v>ATXIKIPENAK: KAPITAL HIGIEZINAREN ETEKINAK</v>
      </c>
      <c r="D17" s="25"/>
      <c r="E17" s="25" t="str">
        <f>VLOOKUP("11131",DATOS!$A$2:$H$205,2,FALSE)</f>
        <v>RETENCIONES: RDTOS CAPITAL INMOBILIARIO</v>
      </c>
      <c r="F17" s="26">
        <f>IF(ISERROR(VLOOKUP("11131",DATOS!$A$2:$H$205,4,FALSE)),0,VLOOKUP("11131",DATOS!$A$2:$H$205,4,FALSE))</f>
        <v>2592165.69</v>
      </c>
      <c r="G17" s="27">
        <f>IF(ISERROR(VLOOKUP("11131",DATOS!$A$2:$H$205,5,FALSE)),0,VLOOKUP("11131",DATOS!$A$2:$H$205,5,FALSE))</f>
        <v>10953351.390000001</v>
      </c>
      <c r="H17" s="28">
        <f>IF(ISERROR(VLOOKUP("11131",DATOS!$A$2:$H$205,6,FALSE)),0,VLOOKUP("11131",DATOS!$A$2:$H$205,6,FALSE))</f>
        <v>6604120.46</v>
      </c>
      <c r="I17" s="27">
        <f t="shared" si="0"/>
        <v>20149637.539999999</v>
      </c>
      <c r="J17" s="27">
        <f>IF(ISERROR(VLOOKUP("11131",DATOS!$A$2:$H$205,8,FALSE)),0,VLOOKUP("11131",DATOS!$A$2:$H$205,8,FALSE))</f>
        <v>19409714</v>
      </c>
      <c r="K17" s="29">
        <f t="shared" si="1"/>
        <v>3.8121300499327271E-2</v>
      </c>
    </row>
    <row r="18" spans="2:15">
      <c r="B18" s="20"/>
      <c r="C18" s="24" t="str">
        <f>VLOOKUP("11141",DATOS!$A$2:$H$205,3,FALSE)</f>
        <v>ATXIKIPENAK: ONDARE IRABAZIAK</v>
      </c>
      <c r="D18" s="25"/>
      <c r="E18" s="25" t="str">
        <f>VLOOKUP("11141",DATOS!$A$2:$H$205,2,FALSE)</f>
        <v>RETENCIONES: GANANCIAS PATRIMONIALES</v>
      </c>
      <c r="F18" s="26">
        <f>IF(ISERROR(VLOOKUP("11141",DATOS!$A$2:$H$205,4,FALSE)),0,VLOOKUP("11141",DATOS!$A$2:$H$205,4,FALSE))</f>
        <v>401399.63</v>
      </c>
      <c r="G18" s="27">
        <f>IF(ISERROR(VLOOKUP("11141",DATOS!$A$2:$H$205,5,FALSE)),0,VLOOKUP("11141",DATOS!$A$2:$H$205,5,FALSE))</f>
        <v>2389744.66</v>
      </c>
      <c r="H18" s="28">
        <f>IF(ISERROR(VLOOKUP("11141",DATOS!$A$2:$H$205,6,FALSE)),0,VLOOKUP("11141",DATOS!$A$2:$H$205,6,FALSE))</f>
        <v>4483962.5999999996</v>
      </c>
      <c r="I18" s="27">
        <f t="shared" si="0"/>
        <v>7275106.8899999997</v>
      </c>
      <c r="J18" s="27">
        <f>IF(ISERROR(VLOOKUP("11141",DATOS!$A$2:$H$205,8,FALSE)),0,VLOOKUP("11141",DATOS!$A$2:$H$205,8,FALSE))</f>
        <v>4209812</v>
      </c>
      <c r="K18" s="29">
        <f t="shared" si="1"/>
        <v>0.72813106380997539</v>
      </c>
    </row>
    <row r="19" spans="2:15">
      <c r="B19" s="20"/>
      <c r="C19" s="24" t="str">
        <f>VLOOKUP("11171",DATOS!$A$2:$H$205,3,FALSE)</f>
        <v>KARGA BEREZIA: SARIAK</v>
      </c>
      <c r="D19" s="25"/>
      <c r="E19" s="25" t="str">
        <f>VLOOKUP("11171",DATOS!$A$2:$H$205,2,FALSE)</f>
        <v>GRAVAMEN ESPECIAL: PREMIOS</v>
      </c>
      <c r="F19" s="26">
        <f>IF(ISERROR(VLOOKUP("11171",DATOS!$A$2:$H$205,4,FALSE)),0,VLOOKUP("11171",DATOS!$A$2:$H$205,4,FALSE))</f>
        <v>1803664.25</v>
      </c>
      <c r="G19" s="27">
        <f>IF(ISERROR(VLOOKUP("11171",DATOS!$A$2:$H$205,5,FALSE)),0,VLOOKUP("11171",DATOS!$A$2:$H$205,5,FALSE))</f>
        <v>3649379.55</v>
      </c>
      <c r="H19" s="28">
        <f>IF(ISERROR(VLOOKUP("11171",DATOS!$A$2:$H$205,6,FALSE)),0,VLOOKUP("11171",DATOS!$A$2:$H$205,6,FALSE))</f>
        <v>788233.19</v>
      </c>
      <c r="I19" s="27">
        <f t="shared" si="0"/>
        <v>6241276.9900000002</v>
      </c>
      <c r="J19" s="27">
        <f>IF(ISERROR(VLOOKUP("11171",DATOS!$A$2:$H$205,8,FALSE)),0,VLOOKUP("11171",DATOS!$A$2:$H$205,8,FALSE))</f>
        <v>35039033</v>
      </c>
      <c r="K19" s="29">
        <f t="shared" si="1"/>
        <v>-0.82187644875930221</v>
      </c>
    </row>
    <row r="20" spans="2:15" s="30" customFormat="1" ht="12.75" customHeight="1">
      <c r="B20" s="20"/>
      <c r="C20" s="24" t="str">
        <f>VLOOKUP("11152",DATOS!$A$2:$H$205,3,FALSE)</f>
        <v>ORDAINKETA ZATIKATUAK: JARD EKONOMIKOAK</v>
      </c>
      <c r="D20" s="25"/>
      <c r="E20" s="25" t="str">
        <f>VLOOKUP("11152",DATOS!$A$2:$H$205,2,FALSE)</f>
        <v>PAGOS FRACCIONADOS: ACTIV ECONÓMICAS</v>
      </c>
      <c r="F20" s="26">
        <f>IF(ISERROR(VLOOKUP("11152",DATOS!$A$2:$H$205,4,FALSE)),0,VLOOKUP("11152",DATOS!$A$2:$H$205,4,FALSE))</f>
        <v>7458321.0700000003</v>
      </c>
      <c r="G20" s="27">
        <f>IF(ISERROR(VLOOKUP("11152",DATOS!$A$2:$H$205,5,FALSE)),0,VLOOKUP("11152",DATOS!$A$2:$H$205,5,FALSE))</f>
        <v>24337607.27</v>
      </c>
      <c r="H20" s="28">
        <f>IF(ISERROR(VLOOKUP("11152",DATOS!$A$2:$H$205,6,FALSE)),0,VLOOKUP("11152",DATOS!$A$2:$H$205,6,FALSE))</f>
        <v>20365056.550000001</v>
      </c>
      <c r="I20" s="27">
        <f t="shared" si="0"/>
        <v>52160984.890000001</v>
      </c>
      <c r="J20" s="27">
        <f>IF(ISERROR(VLOOKUP("11152",DATOS!$A$2:$H$205,8,FALSE)),0,VLOOKUP("11152",DATOS!$A$2:$H$205,8,FALSE)) + IF(ISERROR(VLOOKUP("11151",DATOS!$A$2:$H$205,8,FALSE)),0,VLOOKUP("11151",DATOS!$A$2:$H$205,8,FALSE))</f>
        <v>49619280</v>
      </c>
      <c r="K20" s="29">
        <f t="shared" si="1"/>
        <v>5.1224138883111614E-2</v>
      </c>
      <c r="O20" s="31"/>
    </row>
    <row r="21" spans="2:15">
      <c r="B21" s="20"/>
      <c r="C21" s="24" t="str">
        <f>VLOOKUP("11161",DATOS!$A$2:$H$205,3,FALSE)</f>
        <v>KUOTA DIFERENTZIAL GARBIA (PFEZ)</v>
      </c>
      <c r="D21" s="25"/>
      <c r="E21" s="25" t="str">
        <f>VLOOKUP("11161",DATOS!$A$2:$H$205,2,FALSE)</f>
        <v>CUOTA DIFERENCIAL NETA (IRPF)</v>
      </c>
      <c r="F21" s="26">
        <f>IF(ISERROR(VLOOKUP("11161",DATOS!$A$2:$H$205,4,FALSE)),0,VLOOKUP("11161",DATOS!$A$2:$H$205,4,FALSE))</f>
        <v>-637213.06999999995</v>
      </c>
      <c r="G21" s="27">
        <f>IF(ISERROR(VLOOKUP("11161",DATOS!$A$2:$H$205,5,FALSE)),0,VLOOKUP("11161",DATOS!$A$2:$H$205,5,FALSE))</f>
        <v>3329465.67</v>
      </c>
      <c r="H21" s="28">
        <f>IF(ISERROR(VLOOKUP("11161",DATOS!$A$2:$H$205,6,FALSE)),0,VLOOKUP("11161",DATOS!$A$2:$H$205,6,FALSE))</f>
        <v>1203845.4099999999</v>
      </c>
      <c r="I21" s="27">
        <f t="shared" si="0"/>
        <v>3896098.01</v>
      </c>
      <c r="J21" s="27">
        <f>IF(ISERROR(VLOOKUP("11161",DATOS!$A$2:$H$205,8,FALSE)),0,VLOOKUP("11161",DATOS!$A$2:$H$205,8,FALSE))</f>
        <v>460868</v>
      </c>
      <c r="K21" s="29">
        <f t="shared" si="1"/>
        <v>7.4538262799760453</v>
      </c>
    </row>
    <row r="22" spans="2:15" ht="12.75" customHeight="1">
      <c r="B22" s="20"/>
      <c r="C22" s="24"/>
      <c r="D22" s="25"/>
      <c r="E22" s="25"/>
      <c r="F22" s="26"/>
      <c r="G22" s="27"/>
      <c r="H22" s="28"/>
      <c r="I22" s="27"/>
      <c r="J22" s="27"/>
      <c r="K22" s="29"/>
    </row>
    <row r="23" spans="2:15" ht="20.100000000000001" customHeight="1">
      <c r="B23" s="20"/>
      <c r="C23" s="32" t="s">
        <v>2</v>
      </c>
      <c r="D23" s="33"/>
      <c r="E23" s="33" t="s">
        <v>3</v>
      </c>
      <c r="F23" s="34">
        <f>SUM(F15:F21)</f>
        <v>264112470.50999999</v>
      </c>
      <c r="G23" s="35">
        <f>SUM(G15:G21)</f>
        <v>1078146619.6800001</v>
      </c>
      <c r="H23" s="36">
        <f>SUM(H15:H21)</f>
        <v>561325674.20999992</v>
      </c>
      <c r="I23" s="37">
        <f>SUM(I15:I21)</f>
        <v>1903584764.4000001</v>
      </c>
      <c r="J23" s="35">
        <f>SUM(J15:J21)</f>
        <v>1785897769</v>
      </c>
      <c r="K23" s="38">
        <f>IF(ISERROR((I23/J23)-1),"",((I23/J23)-1))</f>
        <v>6.5897946367835969E-2</v>
      </c>
    </row>
    <row r="24" spans="2:15" ht="12.75" customHeight="1">
      <c r="B24" s="20"/>
      <c r="C24" s="39"/>
      <c r="D24" s="40"/>
      <c r="E24" s="40"/>
      <c r="F24" s="41"/>
      <c r="G24" s="42"/>
      <c r="H24" s="43"/>
      <c r="I24" s="42"/>
      <c r="J24" s="42"/>
      <c r="K24" s="29"/>
    </row>
    <row r="25" spans="2:15">
      <c r="B25" s="20"/>
      <c r="C25" s="24" t="str">
        <f>VLOOKUP("12111",DATOS!$A$2:$H$205,3,FALSE)</f>
        <v>ATXIKIPENAK: KAPITAL HIGIGARRIAREN ETEKINAK</v>
      </c>
      <c r="D25" s="25"/>
      <c r="E25" s="25" t="str">
        <f>VLOOKUP("12111",DATOS!$A$2:$H$205,2,FALSE)</f>
        <v>RETENCIONES: RDTOS CAPITAL MOBILIARIO</v>
      </c>
      <c r="F25" s="26">
        <f>IF(ISERROR(VLOOKUP("12111",DATOS!$A$2:$H$205,4,FALSE)),0,VLOOKUP("12111",DATOS!$A$2:$H$205,4,FALSE))</f>
        <v>11711862.050000001</v>
      </c>
      <c r="G25" s="42">
        <f>IF(ISERROR(VLOOKUP("12111",DATOS!$A$2:$H$205,5,FALSE)),0,VLOOKUP("12111",DATOS!$A$2:$H$205,5,FALSE))</f>
        <v>57431943.049999997</v>
      </c>
      <c r="H25" s="28">
        <f>IF(ISERROR(VLOOKUP("12111",DATOS!$A$2:$H$205,6,FALSE)),0,VLOOKUP("12111",DATOS!$A$2:$H$205,6,FALSE))</f>
        <v>24529736.98</v>
      </c>
      <c r="I25" s="42">
        <f>SUM(F25:H25)</f>
        <v>93673542.079999998</v>
      </c>
      <c r="J25" s="27">
        <f>IF(ISERROR(VLOOKUP("12111",DATOS!$A$2:$H$205,8,FALSE)),0,VLOOKUP("12111",DATOS!$A$2:$H$205,8,FALSE))</f>
        <v>110554516</v>
      </c>
      <c r="K25" s="29">
        <f>IF(ISERROR((I25/J25)-1),"",((I25/J25)-1))</f>
        <v>-0.15269366219286784</v>
      </c>
    </row>
    <row r="26" spans="2:15">
      <c r="B26" s="20"/>
      <c r="C26" s="24" t="str">
        <f>VLOOKUP("12112",DATOS!$A$2:$H$205,3,FALSE)</f>
        <v>ATXIKIPENAK: KAPITAL HIGIEZINAREN ETEKINAK</v>
      </c>
      <c r="D26" s="25"/>
      <c r="E26" s="25" t="str">
        <f>VLOOKUP("12112",DATOS!$A$2:$H$205,2,FALSE)</f>
        <v>RETENCIONES: RDTOS CAPITAL INMOBILIARIO</v>
      </c>
      <c r="F26" s="26">
        <f>IF(ISERROR(VLOOKUP("12112",DATOS!$A$2:$H$205,4,FALSE)),0,VLOOKUP("12112",DATOS!$A$2:$H$205,4,FALSE))</f>
        <v>2592165.69</v>
      </c>
      <c r="G26" s="42">
        <f>IF(ISERROR(VLOOKUP("12112",DATOS!$A$2:$H$205,5,FALSE)),0,VLOOKUP("12112",DATOS!$A$2:$H$205,5,FALSE))</f>
        <v>10953271.66</v>
      </c>
      <c r="H26" s="28">
        <f>IF(ISERROR(VLOOKUP("12112",DATOS!$A$2:$H$205,6,FALSE)),0,VLOOKUP("12112",DATOS!$A$2:$H$205,6,FALSE))</f>
        <v>6604118.4400000004</v>
      </c>
      <c r="I26" s="42">
        <f>SUM(F26:H26)</f>
        <v>20149555.789999999</v>
      </c>
      <c r="J26" s="27">
        <f>IF(ISERROR(VLOOKUP("12112",DATOS!$A$2:$H$205,8,FALSE)),0,VLOOKUP("12112",DATOS!$A$2:$H$205,8,FALSE))</f>
        <v>19409632</v>
      </c>
      <c r="K26" s="29">
        <f>IF(ISERROR((I26/J26)-1),"",((I26/J26)-1))</f>
        <v>3.8121474430839131E-2</v>
      </c>
    </row>
    <row r="27" spans="2:15">
      <c r="B27" s="20"/>
      <c r="C27" s="24" t="str">
        <f>VLOOKUP("12113",DATOS!$A$2:$H$205,3,FALSE)</f>
        <v>ATXIKIPENAK: ONDARE IRABAZIAK</v>
      </c>
      <c r="D27" s="25"/>
      <c r="E27" s="25" t="str">
        <f>VLOOKUP("12113",DATOS!$A$2:$H$205,2,FALSE)</f>
        <v>RETENCIONES: GANANCIAS PATRIMONIALES</v>
      </c>
      <c r="F27" s="26">
        <f>IF(ISERROR(VLOOKUP("12113",DATOS!$A$2:$H$205,4,FALSE)),0,VLOOKUP("12113",DATOS!$A$2:$H$205,4,FALSE))</f>
        <v>2274597.85</v>
      </c>
      <c r="G27" s="42">
        <f>IF(ISERROR(VLOOKUP("12113",DATOS!$A$2:$H$205,5,FALSE)),0,VLOOKUP("12113",DATOS!$A$2:$H$205,5,FALSE))</f>
        <v>13541885.859999999</v>
      </c>
      <c r="H27" s="28">
        <f>IF(ISERROR(VLOOKUP("12113",DATOS!$A$2:$H$205,6,FALSE)),0,VLOOKUP("12113",DATOS!$A$2:$H$205,6,FALSE))</f>
        <v>25409121.5</v>
      </c>
      <c r="I27" s="42">
        <f>SUM(F27:H27)</f>
        <v>41225605.210000001</v>
      </c>
      <c r="J27" s="27">
        <f>IF(ISERROR(VLOOKUP("12113",DATOS!$A$2:$H$205,8,FALSE)),0,VLOOKUP("12113",DATOS!$A$2:$H$205,8,FALSE))</f>
        <v>23855599</v>
      </c>
      <c r="K27" s="29">
        <f>IF(ISERROR((I27/J27)-1),"",((I27/J27)-1))</f>
        <v>0.72813121188028029</v>
      </c>
    </row>
    <row r="28" spans="2:15">
      <c r="B28" s="20"/>
      <c r="C28" s="24" t="str">
        <f>VLOOKUP("12114",DATOS!$A$2:$H$205,3,FALSE)</f>
        <v>KUOTA DIFERENTZIAL GARBIA (SOZIETATEAK)</v>
      </c>
      <c r="D28" s="25"/>
      <c r="E28" s="25" t="str">
        <f>VLOOKUP("12114",DATOS!$A$2:$H$205,2,FALSE)</f>
        <v>CUOTA DIFERENCIAL NETA (SOCIEDADES)</v>
      </c>
      <c r="F28" s="26">
        <f>IF(ISERROR(VLOOKUP("12114",DATOS!$A$2:$H$205,4,FALSE)),0,VLOOKUP("12114",DATOS!$A$2:$H$205,4,FALSE))</f>
        <v>-622460.4</v>
      </c>
      <c r="G28" s="42">
        <f>IF(ISERROR(VLOOKUP("12114",DATOS!$A$2:$H$205,5,FALSE)),0,VLOOKUP("12114",DATOS!$A$2:$H$205,5,FALSE))</f>
        <v>11372082.07</v>
      </c>
      <c r="H28" s="28">
        <f>IF(ISERROR(VLOOKUP("12114",DATOS!$A$2:$H$205,6,FALSE)),0,VLOOKUP("12114",DATOS!$A$2:$H$205,6,FALSE))</f>
        <v>-7600675.1500000004</v>
      </c>
      <c r="I28" s="42">
        <f>SUM(F28:H28)</f>
        <v>3148946.5199999996</v>
      </c>
      <c r="J28" s="27">
        <f>IF(ISERROR(VLOOKUP("12114",DATOS!$A$2:$H$205,8,FALSE)),0,VLOOKUP("12114",DATOS!$A$2:$H$205,8,FALSE))</f>
        <v>9032437</v>
      </c>
      <c r="K28" s="29">
        <f>IF(ISERROR((I28/J28)-1),"",((I28/J28)-1))</f>
        <v>-0.65137354182486962</v>
      </c>
    </row>
    <row r="29" spans="2:15">
      <c r="B29" s="20"/>
      <c r="C29" s="24" t="str">
        <f>VLOOKUP("12116",DATOS!$A$2:$H$205,3,FALSE)</f>
        <v>KUOTA ZERGA OSAGARRIA</v>
      </c>
      <c r="D29" s="25"/>
      <c r="E29" s="25" t="str">
        <f>VLOOKUP("12116",DATOS!$A$2:$H$205,2,FALSE)</f>
        <v>CUOTA IMPUESTO COMPLEMENTARIO</v>
      </c>
      <c r="F29" s="26">
        <f>IF(ISERROR(VLOOKUP("12116",DATOS!$A$2:$H$205,4,FALSE)),0,VLOOKUP("12116",DATOS!$A$2:$H$205,4,FALSE))</f>
        <v>0</v>
      </c>
      <c r="G29" s="42">
        <f>IF(ISERROR(VLOOKUP("12116",DATOS!$A$2:$H$205,5,FALSE)),0,VLOOKUP("12116",DATOS!$A$2:$H$205,5,FALSE))</f>
        <v>0</v>
      </c>
      <c r="H29" s="28">
        <f>IF(ISERROR(VLOOKUP("12116",DATOS!$A$2:$H$205,6,FALSE)),0,VLOOKUP("12116",DATOS!$A$2:$H$205,6,FALSE))</f>
        <v>0</v>
      </c>
      <c r="I29" s="42">
        <f>SUM(F29:H29)</f>
        <v>0</v>
      </c>
      <c r="J29" s="27">
        <f>IF(ISERROR(VLOOKUP("12116",DATOS!$A$2:$H$205,8,FALSE)),0,VLOOKUP("12116",DATOS!$A$2:$H$205,8,FALSE))</f>
        <v>0</v>
      </c>
      <c r="K29" s="29" t="str">
        <f>IF(ISERROR((I29/J29)-1),"",((I29/J29)-1))</f>
        <v/>
      </c>
    </row>
    <row r="30" spans="2:15">
      <c r="B30" s="20"/>
      <c r="C30" s="24"/>
      <c r="D30" s="25"/>
      <c r="E30" s="25"/>
      <c r="F30" s="41"/>
      <c r="G30" s="27"/>
      <c r="H30" s="28"/>
      <c r="I30" s="42"/>
      <c r="J30" s="27"/>
      <c r="K30" s="29"/>
    </row>
    <row r="31" spans="2:15" s="46" customFormat="1" ht="20.100000000000001" customHeight="1">
      <c r="B31" s="44"/>
      <c r="C31" s="32" t="s">
        <v>4</v>
      </c>
      <c r="D31" s="33"/>
      <c r="E31" s="33" t="s">
        <v>5</v>
      </c>
      <c r="F31" s="45">
        <f>SUM(F25:F29)</f>
        <v>15956165.189999999</v>
      </c>
      <c r="G31" s="35">
        <f>SUM(G25:G29)</f>
        <v>93299182.639999986</v>
      </c>
      <c r="H31" s="36">
        <f>SUM(H25:H29)</f>
        <v>48942301.770000003</v>
      </c>
      <c r="I31" s="35">
        <f>SUM(I25:I29)</f>
        <v>158197649.60000002</v>
      </c>
      <c r="J31" s="35">
        <f>SUM(J25:J29)</f>
        <v>162852184</v>
      </c>
      <c r="K31" s="38">
        <f>IF(ISERROR((I31/J31)-1),"",((I31/J31)-1))</f>
        <v>-2.8581344662838348E-2</v>
      </c>
      <c r="O31" s="47"/>
    </row>
    <row r="32" spans="2:15">
      <c r="B32" s="20"/>
      <c r="C32" s="24"/>
      <c r="D32" s="25"/>
      <c r="E32" s="25"/>
      <c r="F32" s="41"/>
      <c r="G32" s="27"/>
      <c r="H32" s="48"/>
      <c r="I32" s="42"/>
      <c r="J32" s="27"/>
      <c r="K32" s="29"/>
    </row>
    <row r="33" spans="2:15" ht="12.75" customHeight="1">
      <c r="B33" s="20"/>
      <c r="C33" s="24" t="str">
        <f>VLOOKUP("13111",DATOS!$A$2:$H$205,3,FALSE)</f>
        <v>EZ-EGOILIARREN ERRENTAREN G/Z</v>
      </c>
      <c r="D33" s="25"/>
      <c r="E33" s="25" t="str">
        <f>VLOOKUP("13111",DATOS!$A$2:$H$205,2,FALSE)</f>
        <v>I. S/ RENTA NO RESIDENTES</v>
      </c>
      <c r="F33" s="26">
        <f>IF(ISERROR(VLOOKUP("13111",DATOS!$A$2:$H$205,4,FALSE)),0,VLOOKUP("13111",DATOS!$A$2:$H$205,4,FALSE))</f>
        <v>2363515.83</v>
      </c>
      <c r="G33" s="42">
        <f>IF(ISERROR(VLOOKUP("13111",DATOS!$A$2:$H$205,5,FALSE)),0,VLOOKUP("13111",DATOS!$A$2:$H$205,5,FALSE))</f>
        <v>11838796.92</v>
      </c>
      <c r="H33" s="28">
        <f>IF(ISERROR(VLOOKUP("13111",DATOS!$A$2:$H$205,6,FALSE)),0,VLOOKUP("13111",DATOS!$A$2:$H$205,6,FALSE))</f>
        <v>9605976.6300000008</v>
      </c>
      <c r="I33" s="42">
        <f t="shared" ref="I33:I38" si="2">SUM(F33:H33)</f>
        <v>23808289.380000003</v>
      </c>
      <c r="J33" s="27">
        <f>IF(ISERROR(VLOOKUP("13111",DATOS!$A$2:$H$205,8,FALSE)),0,VLOOKUP("13111",DATOS!$A$2:$H$205,8,FALSE))</f>
        <v>61400297</v>
      </c>
      <c r="K33" s="29">
        <f t="shared" ref="K33:K37" si="3">IF(ISERROR((I33/J33)-1),"",((I33/J33)-1))</f>
        <v>-0.61224471959801752</v>
      </c>
    </row>
    <row r="34" spans="2:15" ht="12.75" customHeight="1">
      <c r="B34" s="20"/>
      <c r="C34" s="24" t="str">
        <f>VLOOKUP("14111",DATOS!$A$2:$H$205,3,FALSE)</f>
        <v>OINORDETZA ETA DOHAINTZEN G/Z</v>
      </c>
      <c r="D34" s="25"/>
      <c r="E34" s="25" t="str">
        <f>VLOOKUP("14111",DATOS!$A$2:$H$205,2,FALSE)</f>
        <v>I. S/ SUCESIONES Y DONACIONES</v>
      </c>
      <c r="F34" s="26">
        <f>IF(ISERROR(VLOOKUP("14111",DATOS!$A$2:$H$205,4,FALSE)),0,VLOOKUP("14111",DATOS!$A$2:$H$205,4,FALSE))</f>
        <v>1894729.09</v>
      </c>
      <c r="G34" s="42">
        <f>IF(ISERROR(VLOOKUP("14111",DATOS!$A$2:$H$205,5,FALSE)),0,VLOOKUP("14111",DATOS!$A$2:$H$205,5,FALSE))</f>
        <v>17340687.399999999</v>
      </c>
      <c r="H34" s="28">
        <f>IF(ISERROR(VLOOKUP("14111",DATOS!$A$2:$H$205,6,FALSE)),0,VLOOKUP("14111",DATOS!$A$2:$H$205,6,FALSE))</f>
        <v>8310992.9699999997</v>
      </c>
      <c r="I34" s="42">
        <f t="shared" si="2"/>
        <v>27546409.459999997</v>
      </c>
      <c r="J34" s="27">
        <f>IF(ISERROR(VLOOKUP("14111",DATOS!$A$2:$H$205,8,FALSE)),0,VLOOKUP("14111",DATOS!$A$2:$H$205,8,FALSE))</f>
        <v>34979557</v>
      </c>
      <c r="K34" s="29">
        <f t="shared" si="3"/>
        <v>-0.2124997620753174</v>
      </c>
    </row>
    <row r="35" spans="2:15" ht="12.75" customHeight="1">
      <c r="B35" s="20"/>
      <c r="C35" s="24" t="str">
        <f>VLOOKUP("15111",DATOS!$A$2:$H$205,3,FALSE)</f>
        <v>ONDAREAREN G/Z / FORTUNEN ALDI BATERAK</v>
      </c>
      <c r="D35" s="25"/>
      <c r="E35" s="25" t="str">
        <f>VLOOKUP("15111",DATOS!$A$2:$H$205,2,FALSE)</f>
        <v>I. S/ PATRIMONIO / TEMPORAL FORTUNAS</v>
      </c>
      <c r="F35" s="26">
        <f>IF(ISERROR(VLOOKUP("15111",DATOS!$A$2:$H$205,4,FALSE)),0,VLOOKUP("15111",DATOS!$A$2:$H$205,4,FALSE))</f>
        <v>68202.58</v>
      </c>
      <c r="G35" s="42">
        <f>IF(ISERROR(VLOOKUP("15111",DATOS!$A$2:$H$205,5,FALSE)),0,VLOOKUP("15111",DATOS!$A$2:$H$205,5,FALSE))</f>
        <v>1016465.97</v>
      </c>
      <c r="H35" s="28">
        <f>IF(ISERROR(VLOOKUP("15111",DATOS!$A$2:$H$205,6,FALSE)),0,VLOOKUP("15111",DATOS!$A$2:$H$205,6,FALSE))</f>
        <v>2187737.3199999998</v>
      </c>
      <c r="I35" s="42">
        <f t="shared" si="2"/>
        <v>3272405.87</v>
      </c>
      <c r="J35" s="27">
        <f>IF(ISERROR(VLOOKUP("15111",DATOS!$A$2:$H$205,8,FALSE)),0,VLOOKUP("15111",DATOS!$A$2:$H$205,8,FALSE))</f>
        <v>2963644</v>
      </c>
      <c r="K35" s="29">
        <f t="shared" si="3"/>
        <v>0.10418318462001519</v>
      </c>
    </row>
    <row r="36" spans="2:15" ht="12.75" customHeight="1">
      <c r="B36" s="20"/>
      <c r="C36" s="24" t="str">
        <f>VLOOKUP("15114",DATOS!$A$2:$H$205,3,FALSE)</f>
        <v>KREDITU ERAKUNDEETAKO GORDAILUEN G/Z</v>
      </c>
      <c r="D36" s="25"/>
      <c r="E36" s="25" t="str">
        <f>VLOOKUP("15114",DATOS!$A$2:$H$205,2,FALSE)</f>
        <v>I. S/ DEPÓSITOS EN ENTIDADES DE CRÉDITO</v>
      </c>
      <c r="F36" s="26">
        <f>IF(ISERROR(VLOOKUP("15114",DATOS!$A$2:$H$205,4,FALSE)),0,VLOOKUP("15114",DATOS!$A$2:$H$205,4,FALSE))</f>
        <v>0</v>
      </c>
      <c r="G36" s="42">
        <f>IF(ISERROR(VLOOKUP("15114",DATOS!$A$2:$H$205,5,FALSE)),0,VLOOKUP("15114",DATOS!$A$2:$H$205,5,FALSE))</f>
        <v>0</v>
      </c>
      <c r="H36" s="28">
        <f>IF(ISERROR(VLOOKUP("15114",DATOS!$A$2:$H$205,6,FALSE)),0,VLOOKUP("15114",DATOS!$A$2:$H$205,6,FALSE))</f>
        <v>0</v>
      </c>
      <c r="I36" s="42">
        <f t="shared" si="2"/>
        <v>0</v>
      </c>
      <c r="J36" s="27">
        <f>IF(ISERROR(VLOOKUP("15114",DATOS!$A$2:$H$205,8,FALSE)),0,VLOOKUP("15114",DATOS!$A$2:$H$205,8,FALSE))</f>
        <v>0</v>
      </c>
      <c r="K36" s="29" t="str">
        <f t="shared" si="3"/>
        <v/>
      </c>
    </row>
    <row r="37" spans="2:15" ht="12.75" customHeight="1">
      <c r="B37" s="20"/>
      <c r="C37" s="24" t="str">
        <f>VLOOKUP("15115",DATOS!$A$2:$H$205,3,FALSE)</f>
        <v>ENERGIA ELEKTRIKOAREN EKOIZPENAREN G/Z</v>
      </c>
      <c r="D37" s="25"/>
      <c r="E37" s="25" t="str">
        <f>VLOOKUP("15115",DATOS!$A$2:$H$205,2,FALSE)</f>
        <v>I. S/ PRODUCCIÓN DE ENERGÍA ELÉCTRICA</v>
      </c>
      <c r="F37" s="26">
        <f>IF(ISERROR(VLOOKUP("15115",DATOS!$A$2:$H$205,4,FALSE)),0,VLOOKUP("15115",DATOS!$A$2:$H$205,4,FALSE))</f>
        <v>1624625.75</v>
      </c>
      <c r="G37" s="42">
        <f>IF(ISERROR(VLOOKUP("15115",DATOS!$A$2:$H$205,5,FALSE)),0,VLOOKUP("15115",DATOS!$A$2:$H$205,5,FALSE))</f>
        <v>12052725.949999999</v>
      </c>
      <c r="H37" s="28">
        <f>IF(ISERROR(VLOOKUP("15115",DATOS!$A$2:$H$205,6,FALSE)),0,VLOOKUP("15115",DATOS!$A$2:$H$205,6,FALSE))</f>
        <v>19322.14</v>
      </c>
      <c r="I37" s="42">
        <f t="shared" si="2"/>
        <v>13696673.84</v>
      </c>
      <c r="J37" s="27">
        <f>IF(ISERROR(VLOOKUP("15115",DATOS!$A$2:$H$205,8,FALSE)),0,VLOOKUP("15115",DATOS!$A$2:$H$205,8,FALSE)) + IF(ISERROR(VLOOKUP("15118",DATOS!$A$2:$H$205,8,FALSE)),0,VLOOKUP("15118",DATOS!$A$2:$H$205,8,FALSE))</f>
        <v>14367579</v>
      </c>
      <c r="K37" s="29">
        <f t="shared" si="3"/>
        <v>-4.6695769690913158E-2</v>
      </c>
    </row>
    <row r="38" spans="2:15" ht="12.75" customHeight="1">
      <c r="B38" s="49"/>
      <c r="C38" s="24" t="str">
        <f>VLOOKUP("15119",DATOS!$A$2:$H$205,3,FALSE)</f>
        <v>FINANTZA ERAK INTERESEN ETA KOMISIOEN G/Z</v>
      </c>
      <c r="D38" s="50"/>
      <c r="E38" s="25" t="str">
        <f>VLOOKUP("15119",DATOS!$A$2:$H$205,2,FALSE)</f>
        <v>I. S/ INTERESES Y COMISIONES ENT FINANC</v>
      </c>
      <c r="F38" s="26">
        <f>IF(ISERROR(VLOOKUP("15119",DATOS!$A$2:$H$205,4,FALSE)),0,VLOOKUP("15119",DATOS!$A$2:$H$205,4,FALSE))</f>
        <v>0</v>
      </c>
      <c r="G38" s="42">
        <f>IF(ISERROR(VLOOKUP("15119",DATOS!$A$2:$H$205,5,FALSE)),0,VLOOKUP("15119",DATOS!$A$2:$H$205,5,FALSE))</f>
        <v>13012573.76</v>
      </c>
      <c r="H38" s="28">
        <f>IF(ISERROR(VLOOKUP("15119",DATOS!$A$2:$H$205,6,FALSE)),0,VLOOKUP("15119",DATOS!$A$2:$H$205,6,FALSE))</f>
        <v>1674436.01</v>
      </c>
      <c r="I38" s="42">
        <f t="shared" si="2"/>
        <v>14687009.77</v>
      </c>
      <c r="J38" s="27">
        <f>IF(ISERROR(VLOOKUP("15119",DATOS!$A$2:$H$205,8,FALSE)),0,VLOOKUP("15119",DATOS!$A$2:$H$205,8,FALSE))</f>
        <v>0</v>
      </c>
      <c r="K38" s="210" t="s">
        <v>523</v>
      </c>
    </row>
    <row r="39" spans="2:15" ht="12.75" customHeight="1">
      <c r="B39" s="49"/>
      <c r="C39" s="24"/>
      <c r="D39" s="50"/>
      <c r="E39" s="25"/>
      <c r="F39" s="26"/>
      <c r="G39" s="27"/>
      <c r="H39" s="28"/>
      <c r="I39" s="27"/>
      <c r="J39" s="27"/>
      <c r="K39" s="29"/>
    </row>
    <row r="40" spans="2:15" ht="20.100000000000001" customHeight="1">
      <c r="B40" s="20"/>
      <c r="C40" s="32" t="s">
        <v>6</v>
      </c>
      <c r="D40" s="51"/>
      <c r="E40" s="33" t="s">
        <v>7</v>
      </c>
      <c r="F40" s="45">
        <f>SUM(F33:F38)</f>
        <v>5951073.25</v>
      </c>
      <c r="G40" s="35">
        <f>SUM(G33:G38)</f>
        <v>55261249.999999993</v>
      </c>
      <c r="H40" s="36">
        <f>SUM(H33:H38)</f>
        <v>21798465.070000004</v>
      </c>
      <c r="I40" s="35">
        <f>SUM(I33:I38)</f>
        <v>83010788.319999993</v>
      </c>
      <c r="J40" s="35">
        <f>SUM(J33:J38)</f>
        <v>113711077</v>
      </c>
      <c r="K40" s="38">
        <f>IF(ISERROR((I40/J40)-1),"",((I40/J40)-1))</f>
        <v>-0.2699850312736024</v>
      </c>
    </row>
    <row r="41" spans="2:15">
      <c r="B41" s="20"/>
      <c r="C41" s="24"/>
      <c r="D41" s="25"/>
      <c r="E41" s="25"/>
      <c r="F41" s="41"/>
      <c r="G41" s="27"/>
      <c r="H41" s="28"/>
      <c r="I41" s="42"/>
      <c r="J41" s="27"/>
      <c r="K41" s="29"/>
    </row>
    <row r="42" spans="2:15" s="55" customFormat="1" ht="24.95" customHeight="1">
      <c r="B42" s="208"/>
      <c r="C42" s="53" t="s">
        <v>8</v>
      </c>
      <c r="D42" s="54"/>
      <c r="E42" s="54" t="s">
        <v>9</v>
      </c>
      <c r="F42" s="45">
        <f>F23+F31+F40</f>
        <v>286019708.94999999</v>
      </c>
      <c r="G42" s="35">
        <f>G23+G31+G40</f>
        <v>1226707052.3200002</v>
      </c>
      <c r="H42" s="36">
        <f>H23+H31+H40</f>
        <v>632066441.04999995</v>
      </c>
      <c r="I42" s="35">
        <f>I23+I31+I40</f>
        <v>2144793202.3199999</v>
      </c>
      <c r="J42" s="35">
        <f>J23+J31+J40</f>
        <v>2062461030</v>
      </c>
      <c r="K42" s="38">
        <f>IF(ISERROR((I42/J42)-1),"",((I42/J42)-1))</f>
        <v>3.9919383262237984E-2</v>
      </c>
      <c r="O42" s="56"/>
    </row>
    <row r="43" spans="2:15" s="55" customFormat="1" ht="20.100000000000001" customHeight="1">
      <c r="B43" s="52"/>
      <c r="C43" s="57"/>
      <c r="D43" s="58"/>
      <c r="E43" s="58"/>
      <c r="F43" s="59"/>
      <c r="G43" s="60"/>
      <c r="H43" s="61"/>
      <c r="I43" s="60"/>
      <c r="J43" s="60"/>
      <c r="K43" s="62"/>
      <c r="O43" s="56"/>
    </row>
    <row r="44" spans="2:15" ht="12.75" customHeight="1">
      <c r="B44" s="20"/>
      <c r="C44" s="39" t="str">
        <f>VLOOKUP("21111",DATOS!$A$2:$H$205,3,FALSE)</f>
        <v>BEZ</v>
      </c>
      <c r="D44" s="40"/>
      <c r="E44" s="40" t="str">
        <f>VLOOKUP("21111",DATOS!$A$2:$H$205,2,FALSE)</f>
        <v>IVA</v>
      </c>
      <c r="F44" s="26">
        <f>IF(ISERROR(VLOOKUP("21111",DATOS!$A$2:$H$205,4,FALSE)),0,VLOOKUP("21111",DATOS!$A$2:$H$205,4,FALSE))</f>
        <v>196296620.56</v>
      </c>
      <c r="G44" s="42">
        <f>IF(ISERROR(VLOOKUP("21111",DATOS!$A$2:$H$205,5,FALSE)),0,VLOOKUP("21111",DATOS!$A$2:$H$205,5,FALSE))</f>
        <v>737380534.23000002</v>
      </c>
      <c r="H44" s="28">
        <f>IF(ISERROR(VLOOKUP("21111",DATOS!$A$2:$H$205,6,FALSE)),0,VLOOKUP("21111",DATOS!$A$2:$H$205,6,FALSE))</f>
        <v>343804681.38999999</v>
      </c>
      <c r="I44" s="42">
        <f>SUM(F44:H44)</f>
        <v>1277481836.1799998</v>
      </c>
      <c r="J44" s="27">
        <f>IF(ISERROR(VLOOKUP("21111",DATOS!$A$2:$H$205,8,FALSE)),0,VLOOKUP("21111",DATOS!$A$2:$H$205,8,FALSE)) + IF(ISERROR(VLOOKUP("21112",DATOS!$A$2:$H$205,8,FALSE)),0,VLOOKUP("21112",DATOS!$A$2:$H$205,8,FALSE))</f>
        <v>1190019047</v>
      </c>
      <c r="K44" s="29">
        <f>IF(ISERROR((I44/J44)-1),"",((I44/J44)-1))</f>
        <v>7.3496965784279444E-2</v>
      </c>
    </row>
    <row r="45" spans="2:15" ht="12.75" customHeight="1">
      <c r="B45" s="20"/>
      <c r="C45" s="24" t="s">
        <v>12</v>
      </c>
      <c r="D45" s="63"/>
      <c r="E45" s="25" t="s">
        <v>13</v>
      </c>
      <c r="F45" s="41"/>
      <c r="G45" s="27"/>
      <c r="H45" s="28"/>
      <c r="I45" s="42"/>
      <c r="J45" s="27"/>
      <c r="K45" s="29"/>
    </row>
    <row r="46" spans="2:15" ht="12.75" customHeight="1">
      <c r="B46" s="20"/>
      <c r="C46" s="64" t="str">
        <f>" " &amp; VLOOKUP("25111",DATOS!$A$2:$H$205,3,FALSE)</f>
        <v xml:space="preserve"> ALKOHOLA ETA EDARI ERATORRIAK</v>
      </c>
      <c r="D46" s="63"/>
      <c r="E46" s="65" t="str">
        <f>" " &amp; VLOOKUP("25111",DATOS!$A$2:$H$205,2,FALSE)</f>
        <v xml:space="preserve"> ALCOHOL Y BEBIDAS DERIVADAS</v>
      </c>
      <c r="F46" s="26">
        <f>IF(ISERROR(VLOOKUP("25111",DATOS!$A$2:$H$205,4,FALSE)),0,VLOOKUP("25111",DATOS!$A$2:$H$205,4,FALSE))</f>
        <v>-2694.61</v>
      </c>
      <c r="G46" s="42">
        <f>IF(ISERROR(VLOOKUP("25111",DATOS!$A$2:$H$205,5,FALSE)),0,VLOOKUP("25111",DATOS!$A$2:$H$205,5,FALSE))</f>
        <v>22901.42</v>
      </c>
      <c r="H46" s="28">
        <f>IF(ISERROR(VLOOKUP("25111",DATOS!$A$2:$H$205,6,FALSE)),0,VLOOKUP("25111",DATOS!$A$2:$H$205,6,FALSE))</f>
        <v>-28677.05</v>
      </c>
      <c r="I46" s="42">
        <f>SUM(F46:H46)</f>
        <v>-8470.2400000000016</v>
      </c>
      <c r="J46" s="27">
        <f>IF(ISERROR(VLOOKUP("25111",DATOS!$A$2:$H$205,8,FALSE)),0,VLOOKUP("25111",DATOS!$A$2:$H$205,8,FALSE))</f>
        <v>-12877</v>
      </c>
      <c r="K46" s="29">
        <f>IF(ISERROR((I46/J46)-1),"",-((I46/J46)-1))</f>
        <v>0.34221946105459333</v>
      </c>
      <c r="M46" s="1"/>
      <c r="N46" s="1"/>
    </row>
    <row r="47" spans="2:15">
      <c r="B47" s="20"/>
      <c r="C47" s="64" t="str">
        <f>" " &amp; VLOOKUP("26111",DATOS!$A$2:$H$205,3,FALSE)</f>
        <v xml:space="preserve"> BITARTEKO PRODUKTUAK</v>
      </c>
      <c r="D47" s="63"/>
      <c r="E47" s="65" t="str">
        <f>" " &amp; VLOOKUP("26111",DATOS!$A$2:$H$205,2,FALSE)</f>
        <v xml:space="preserve"> PRODUCTOS INTERMEDIOS</v>
      </c>
      <c r="F47" s="26">
        <f>IF(ISERROR(VLOOKUP("26111",DATOS!$A$2:$H$205,4,FALSE)),0,VLOOKUP("26111",DATOS!$A$2:$H$205,4,FALSE))</f>
        <v>253.96</v>
      </c>
      <c r="G47" s="42">
        <f>IF(ISERROR(VLOOKUP("26111",DATOS!$A$2:$H$205,5,FALSE)),0,VLOOKUP("26111",DATOS!$A$2:$H$205,5,FALSE))</f>
        <v>294.37</v>
      </c>
      <c r="H47" s="28">
        <f>IF(ISERROR(VLOOKUP("26111",DATOS!$A$2:$H$205,6,FALSE)),0,VLOOKUP("26111",DATOS!$A$2:$H$205,6,FALSE))</f>
        <v>30595.79</v>
      </c>
      <c r="I47" s="42">
        <f>SUM(F47:H47)</f>
        <v>31144.120000000003</v>
      </c>
      <c r="J47" s="27">
        <f>IF(ISERROR(VLOOKUP("26111",DATOS!$A$2:$H$205,8,FALSE)),0,VLOOKUP("26111",DATOS!$A$2:$H$205,8,FALSE)) + IF(ISERROR(VLOOKUP("26112",DATOS!$A$2:$H$205,8,FALSE)),0,VLOOKUP("26112",DATOS!$A$2:$H$205,8,FALSE))</f>
        <v>2298</v>
      </c>
      <c r="K47" s="210" t="s">
        <v>523</v>
      </c>
      <c r="M47" s="1"/>
      <c r="N47" s="1"/>
    </row>
    <row r="48" spans="2:15">
      <c r="B48" s="20"/>
      <c r="C48" s="64" t="str">
        <f>" " &amp; VLOOKUP("29111",DATOS!$A$2:$H$205,3,FALSE)</f>
        <v xml:space="preserve"> GARAGARDOA</v>
      </c>
      <c r="D48" s="63"/>
      <c r="E48" s="65" t="str">
        <f>" " &amp; VLOOKUP("29111",DATOS!$A$2:$H$205,2,FALSE)</f>
        <v xml:space="preserve"> CERVEZA</v>
      </c>
      <c r="F48" s="26">
        <f>IF(ISERROR(VLOOKUP("29111",DATOS!$A$2:$H$205,4,FALSE)),0,VLOOKUP("29111",DATOS!$A$2:$H$205,4,FALSE))</f>
        <v>57789.64</v>
      </c>
      <c r="G48" s="42">
        <f>IF(ISERROR(VLOOKUP("29111",DATOS!$A$2:$H$205,5,FALSE)),0,VLOOKUP("29111",DATOS!$A$2:$H$205,5,FALSE))</f>
        <v>94149.79</v>
      </c>
      <c r="H48" s="28">
        <f>IF(ISERROR(VLOOKUP("29111",DATOS!$A$2:$H$205,6,FALSE)),0,VLOOKUP("29111",DATOS!$A$2:$H$205,6,FALSE))</f>
        <v>192.18</v>
      </c>
      <c r="I48" s="42">
        <f t="shared" ref="I48:I55" si="4">SUM(F48:H48)</f>
        <v>152131.60999999999</v>
      </c>
      <c r="J48" s="27">
        <f>IF(ISERROR(VLOOKUP("29111",DATOS!$A$2:$H$205,8,FALSE)),0,VLOOKUP("29111",DATOS!$A$2:$H$205,8,FALSE)) + IF(ISERROR(VLOOKUP("29112",DATOS!$A$2:$H$205,8,FALSE)),0,VLOOKUP("29112",DATOS!$A$2:$H$205,8,FALSE))</f>
        <v>185331</v>
      </c>
      <c r="K48" s="29">
        <f t="shared" ref="K48:K56" si="5">IF(ISERROR((I48/J48)-1),"",((I48/J48)-1))</f>
        <v>-0.17913565458557934</v>
      </c>
      <c r="M48" s="1"/>
    </row>
    <row r="49" spans="2:15">
      <c r="B49" s="20"/>
      <c r="C49" s="64" t="str">
        <f>" " &amp; VLOOKUP("27111",DATOS!$A$2:$H$205,3,FALSE)</f>
        <v xml:space="preserve"> HIDROKARBUROAK</v>
      </c>
      <c r="D49" s="63"/>
      <c r="E49" s="65" t="str">
        <f>" " &amp; VLOOKUP("27111",DATOS!$A$2:$H$205,2,FALSE)</f>
        <v xml:space="preserve"> HIDROCARBUROS</v>
      </c>
      <c r="F49" s="26">
        <f>IF(ISERROR(VLOOKUP("27111",DATOS!$A$2:$H$205,4,FALSE)),0,VLOOKUP("27111",DATOS!$A$2:$H$205,4,FALSE))</f>
        <v>32104093.190000001</v>
      </c>
      <c r="G49" s="42">
        <f>IF(ISERROR(VLOOKUP("27111",DATOS!$A$2:$H$205,5,FALSE)),0,VLOOKUP("27111",DATOS!$A$2:$H$205,5,FALSE))</f>
        <v>189449427.5</v>
      </c>
      <c r="H49" s="28">
        <f>IF(ISERROR(VLOOKUP("27111",DATOS!$A$2:$H$205,6,FALSE)),0,VLOOKUP("27111",DATOS!$A$2:$H$205,6,FALSE))</f>
        <v>-642928.5</v>
      </c>
      <c r="I49" s="42">
        <f t="shared" si="4"/>
        <v>220910592.19</v>
      </c>
      <c r="J49" s="27">
        <f>IF(ISERROR(VLOOKUP("27111",DATOS!$A$2:$H$205,8,FALSE)),0,VLOOKUP("27111",DATOS!$A$2:$H$205,8,FALSE)) + IF(ISERROR(VLOOKUP("27112",DATOS!$A$2:$H$205,8,FALSE)),0,VLOOKUP("27112",DATOS!$A$2:$H$205,8,FALSE)) + IF(ISERROR(VLOOKUP("27113",DATOS!$A$2:$H$205,8,FALSE)),0,VLOOKUP("27113",DATOS!$A$2:$H$205,8,FALSE))</f>
        <v>217065021</v>
      </c>
      <c r="K49" s="29">
        <f t="shared" si="5"/>
        <v>1.7716217805539447E-2</v>
      </c>
    </row>
    <row r="50" spans="2:15">
      <c r="B50" s="20"/>
      <c r="C50" s="64" t="str">
        <f>" " &amp; VLOOKUP("28111",DATOS!$A$2:$H$205,3,FALSE)</f>
        <v xml:space="preserve"> TABAKO LABOREAK</v>
      </c>
      <c r="D50" s="63"/>
      <c r="E50" s="65" t="str">
        <f>" " &amp; VLOOKUP("28111",DATOS!$A$2:$H$205,2,FALSE)</f>
        <v xml:space="preserve"> LABORES DEL TABACO</v>
      </c>
      <c r="F50" s="26">
        <f>IF(ISERROR(VLOOKUP("28111",DATOS!$A$2:$H$205,4,FALSE)),0,VLOOKUP("28111",DATOS!$A$2:$H$205,4,FALSE))</f>
        <v>7741052.1500000004</v>
      </c>
      <c r="G50" s="42">
        <f>IF(ISERROR(VLOOKUP("28111",DATOS!$A$2:$H$205,5,FALSE)),0,VLOOKUP("28111",DATOS!$A$2:$H$205,5,FALSE))</f>
        <v>24842755.100000001</v>
      </c>
      <c r="H50" s="28">
        <f>IF(ISERROR(VLOOKUP("28111",DATOS!$A$2:$H$205,6,FALSE)),0,VLOOKUP("28111",DATOS!$A$2:$H$205,6,FALSE))</f>
        <v>15709713.98</v>
      </c>
      <c r="I50" s="42">
        <f t="shared" si="4"/>
        <v>48293521.230000004</v>
      </c>
      <c r="J50" s="27">
        <f>IF(ISERROR(VLOOKUP("28111",DATOS!$A$2:$H$205,8,FALSE)),0,VLOOKUP("28111",DATOS!$A$2:$H$205,8,FALSE)) + IF(ISERROR(VLOOKUP("28112",DATOS!$A$2:$H$205,8,FALSE)),0,VLOOKUP("28112",DATOS!$A$2:$H$205,8,FALSE))</f>
        <v>42895023</v>
      </c>
      <c r="K50" s="29">
        <f t="shared" si="5"/>
        <v>0.12585372037217479</v>
      </c>
    </row>
    <row r="51" spans="2:15">
      <c r="B51" s="20"/>
      <c r="C51" s="64" t="str">
        <f>" " &amp; VLOOKUP("2j111",DATOS!$A$2:$H$205,3,FALSE)</f>
        <v xml:space="preserve"> ZIGARRETA ELEKTRONIKOETARAKO LIKIDOAK</v>
      </c>
      <c r="D51" s="66"/>
      <c r="E51" s="65" t="str">
        <f>" " &amp; VLOOKUP("2j111",DATOS!$A$2:$H$205,2,FALSE)</f>
        <v xml:space="preserve"> LÍQUIDOS CIGARRILLOS ELECTRÓNICOS</v>
      </c>
      <c r="F51" s="26">
        <f>IF(ISERROR(VLOOKUP("2j111",DATOS!$A$2:$H$205,4,FALSE)),0,VLOOKUP("2j111",DATOS!$A$2:$H$205,4,FALSE))</f>
        <v>0</v>
      </c>
      <c r="G51" s="42">
        <f>IF(ISERROR(VLOOKUP("2j111",DATOS!$A$2:$H$205,5,FALSE)),0,VLOOKUP("2j111",DATOS!$A$2:$H$205,5,FALSE))</f>
        <v>132.94999999999999</v>
      </c>
      <c r="H51" s="28">
        <f>IF(ISERROR(VLOOKUP("2j111",DATOS!$A$2:$H$205,6,FALSE)),0,VLOOKUP("2j111",DATOS!$A$2:$H$205,6,FALSE))</f>
        <v>0</v>
      </c>
      <c r="I51" s="42">
        <f t="shared" si="4"/>
        <v>132.94999999999999</v>
      </c>
      <c r="J51" s="27">
        <f>IF(ISERROR(VLOOKUP("2j111",DATOS!$A$2:$H$205,8,FALSE)),0,VLOOKUP("2j111",DATOS!$A$2:$H$205,8,FALSE)) + IF(ISERROR(VLOOKUP("2j112",DATOS!$A$2:$H$205,8,FALSE)),0,VLOOKUP("2j112",DATOS!$A$2:$H$205,8,FALSE))</f>
        <v>0</v>
      </c>
      <c r="K51" s="210" t="s">
        <v>523</v>
      </c>
    </row>
    <row r="52" spans="2:15">
      <c r="B52" s="20"/>
      <c r="C52" s="67" t="str">
        <f>VLOOKUP("2d100",DATOS!$A$2:$H$205,3,FALSE)</f>
        <v>BERRER EZIN DIREN PLASTIKOZKO ONTZIEN G/ZB</v>
      </c>
      <c r="D52" s="66"/>
      <c r="E52" s="25" t="str">
        <f>VLOOKUP("2d100",DATOS!$A$2:$H$205,2,FALSE)</f>
        <v>IE S/ ENVASES PLÁSTICO NO REUTILIZABLES</v>
      </c>
      <c r="F52" s="26">
        <f>IF(ISERROR(VLOOKUP("2d100",DATOS!$A$2:$H$205,4,FALSE)),0,VLOOKUP("2d100",DATOS!$A$2:$H$205,4,FALSE))</f>
        <v>210119.29</v>
      </c>
      <c r="G52" s="42">
        <f>IF(ISERROR(VLOOKUP("2d100",DATOS!$A$2:$H$205,5,FALSE)),0,VLOOKUP("2d100",DATOS!$A$2:$H$205,5,FALSE))</f>
        <v>501314.46</v>
      </c>
      <c r="H52" s="28">
        <f>IF(ISERROR(VLOOKUP("2d100",DATOS!$A$2:$H$205,6,FALSE)),0,VLOOKUP("2d100",DATOS!$A$2:$H$205,6,FALSE))</f>
        <v>595982.51</v>
      </c>
      <c r="I52" s="42">
        <f t="shared" si="4"/>
        <v>1307416.26</v>
      </c>
      <c r="J52" s="27">
        <f>IF(ISERROR(VLOOKUP("2d100",DATOS!$A$2:$H$205,8,FALSE)),0,VLOOKUP("2d100",DATOS!$A$2:$H$205,8,FALSE)) + IF(ISERROR(VLOOKUP("2d110",DATOS!$A$2:$H$205,8,FALSE)),0,VLOOKUP("2d110",DATOS!$A$2:$H$205,8,FALSE))</f>
        <v>1268679</v>
      </c>
      <c r="K52" s="29">
        <f t="shared" si="5"/>
        <v>3.0533539216775818E-2</v>
      </c>
    </row>
    <row r="53" spans="2:15">
      <c r="B53" s="20"/>
      <c r="C53" s="67" t="str">
        <f>VLOOKUP("2a111",DATOS!$A$2:$H$205,3,FALSE)</f>
        <v>ELEKTRIZITATEAREN G/ ZB</v>
      </c>
      <c r="D53" s="63"/>
      <c r="E53" s="25" t="str">
        <f>VLOOKUP("2a111",DATOS!$A$2:$H$205,2,FALSE)</f>
        <v>IE S/ ELECTRICIDAD</v>
      </c>
      <c r="F53" s="26">
        <f>IF(ISERROR(VLOOKUP("2a111",DATOS!$A$2:$H$205,4,FALSE)),0,VLOOKUP("2a111",DATOS!$A$2:$H$205,4,FALSE))</f>
        <v>2381093.64</v>
      </c>
      <c r="G53" s="42">
        <f>IF(ISERROR(VLOOKUP("2a111",DATOS!$A$2:$H$205,5,FALSE)),0,VLOOKUP("2a111",DATOS!$A$2:$H$205,5,FALSE))</f>
        <v>6252976</v>
      </c>
      <c r="H53" s="28">
        <f>IF(ISERROR(VLOOKUP("2a111",DATOS!$A$2:$H$205,6,FALSE)),0,VLOOKUP("2a111",DATOS!$A$2:$H$205,6,FALSE))</f>
        <v>2204102.1800000002</v>
      </c>
      <c r="I53" s="42">
        <f t="shared" si="4"/>
        <v>10838171.82</v>
      </c>
      <c r="J53" s="27">
        <f>IF(ISERROR(VLOOKUP("2a111",DATOS!$A$2:$H$205,8,FALSE)),0,VLOOKUP("2a111",DATOS!$A$2:$H$205,8,FALSE)) + IF(ISERROR(VLOOKUP("2a112",DATOS!$A$2:$H$205,8,FALSE)),0,VLOOKUP("2a112",DATOS!$A$2:$H$205,8,FALSE))</f>
        <v>9644233</v>
      </c>
      <c r="K53" s="29">
        <f t="shared" si="5"/>
        <v>0.12379821391706325</v>
      </c>
    </row>
    <row r="54" spans="2:15" s="30" customFormat="1">
      <c r="B54" s="20"/>
      <c r="C54" s="67" t="str">
        <f>VLOOKUP("2b111",DATOS!$A$2:$H$205,3,FALSE)</f>
        <v xml:space="preserve">TXIKIZKAKO HIDROKARBUROEN G/ZB </v>
      </c>
      <c r="D54" s="63"/>
      <c r="E54" s="25" t="str">
        <f>VLOOKUP("2b111",DATOS!$A$2:$H$205,2,FALSE)</f>
        <v>IE S/ MINORISTAS HIDROCARBUROS</v>
      </c>
      <c r="F54" s="26">
        <f>IF(ISERROR(VLOOKUP("2b111",DATOS!$A$2:$H$205,4,FALSE)),0,VLOOKUP("2b111",DATOS!$A$2:$H$205,4,FALSE))</f>
        <v>0</v>
      </c>
      <c r="G54" s="42">
        <f>IF(ISERROR(VLOOKUP("2b111",DATOS!$A$2:$H$205,5,FALSE)),0,VLOOKUP("2b111",DATOS!$A$2:$H$205,5,FALSE))</f>
        <v>409.38</v>
      </c>
      <c r="H54" s="28">
        <f>IF(ISERROR(VLOOKUP("2b111",DATOS!$A$2:$H$205,6,FALSE)),0,VLOOKUP("2b111",DATOS!$A$2:$H$205,6,FALSE))</f>
        <v>0</v>
      </c>
      <c r="I54" s="42">
        <f t="shared" si="4"/>
        <v>409.38</v>
      </c>
      <c r="J54" s="27">
        <f>IF(ISERROR(VLOOKUP("2b111",DATOS!$A$2:$H$205,8,FALSE)),0,VLOOKUP("2b111",DATOS!$A$2:$H$205,8,FALSE)) + IF(ISERROR(VLOOKUP("2b112",DATOS!$A$2:$H$205,8,FALSE)),0,VLOOKUP("2b112",DATOS!$A$2:$H$205,8,FALSE))</f>
        <v>0</v>
      </c>
      <c r="K54" s="210" t="s">
        <v>523</v>
      </c>
      <c r="O54" s="31"/>
    </row>
    <row r="55" spans="2:15">
      <c r="B55" s="20"/>
      <c r="C55" s="67" t="str">
        <f>VLOOKUP("2f111",DATOS!$A$2:$H$205,3,FALSE)</f>
        <v>BEROTEGI-EFEKTUKO GAS FLUORDUNEN G/Z</v>
      </c>
      <c r="D55" s="63"/>
      <c r="E55" s="25" t="str">
        <f>VLOOKUP("2f111",DATOS!$A$2:$H$205,2,FALSE)</f>
        <v>I. S/ GASES FLUORADOS EFECTO INVERNADERO</v>
      </c>
      <c r="F55" s="26">
        <f>IF(ISERROR(VLOOKUP("2f111",DATOS!$A$2:$H$205,4,FALSE)),0,VLOOKUP("2f111",DATOS!$A$2:$H$205,4,FALSE))</f>
        <v>14795.01</v>
      </c>
      <c r="G55" s="42">
        <f>IF(ISERROR(VLOOKUP("2f111",DATOS!$A$2:$H$205,5,FALSE)),0,VLOOKUP("2f111",DATOS!$A$2:$H$205,5,FALSE))</f>
        <v>2018672.55</v>
      </c>
      <c r="H55" s="28">
        <f>IF(ISERROR(VLOOKUP("2f111",DATOS!$A$2:$H$205,6,FALSE)),0,VLOOKUP("2f111",DATOS!$A$2:$H$205,6,FALSE))</f>
        <v>211215.16</v>
      </c>
      <c r="I55" s="42">
        <f t="shared" si="4"/>
        <v>2244682.7200000002</v>
      </c>
      <c r="J55" s="27">
        <f>IF(ISERROR(VLOOKUP("2f111",DATOS!$A$2:$H$205,8,FALSE)),0,VLOOKUP("2f111",DATOS!$A$2:$H$205,8,FALSE)) + IF(ISERROR(VLOOKUP("2f110",DATOS!$A$2:$H$205,8,FALSE)),0,VLOOKUP("2f110",DATOS!$A$2:$H$205,8,FALSE))</f>
        <v>3233068</v>
      </c>
      <c r="K55" s="29">
        <f t="shared" si="5"/>
        <v>-0.3057112563051565</v>
      </c>
    </row>
    <row r="56" spans="2:15">
      <c r="B56" s="20"/>
      <c r="C56" s="67" t="str">
        <f>VLOOKUP("2g111",DATOS!$A$2:$H$205,3,FALSE)</f>
        <v>FINANTZA TRANSAKZIOEN G/Z</v>
      </c>
      <c r="D56" s="63"/>
      <c r="E56" s="25" t="str">
        <f>VLOOKUP("2g111",DATOS!$A$2:$H$205,2,FALSE)</f>
        <v>I. S/ TRANSACCIONES FINANCIERAS</v>
      </c>
      <c r="F56" s="26">
        <f>IF(ISERROR(VLOOKUP("2g111",DATOS!$A$2:$H$205,4,FALSE)),0,VLOOKUP("2g111",DATOS!$A$2:$H$205,4,FALSE))</f>
        <v>81584.899999999994</v>
      </c>
      <c r="G56" s="42">
        <f>IF(ISERROR(VLOOKUP("2g111",DATOS!$A$2:$H$205,5,FALSE)),0,VLOOKUP("2g111",DATOS!$A$2:$H$205,5,FALSE))</f>
        <v>16254804.050000001</v>
      </c>
      <c r="H56" s="28">
        <f>IF(ISERROR(VLOOKUP("2g111",DATOS!$A$2:$H$205,6,FALSE)),0,VLOOKUP("2g111",DATOS!$A$2:$H$205,6,FALSE))</f>
        <v>66181.850000000006</v>
      </c>
      <c r="I56" s="42">
        <f>SUM(F56:H56)</f>
        <v>16402570.800000001</v>
      </c>
      <c r="J56" s="27">
        <f>IF(ISERROR(VLOOKUP("2g111",DATOS!$A$2:$H$205,8,FALSE)),0,VLOOKUP("2g111",DATOS!$A$2:$H$205,8,FALSE)) + IF(ISERROR(VLOOKUP("2g112",DATOS!$A$2:$H$205,8,FALSE)),0,VLOOKUP("2g112",DATOS!$A$2:$H$205,8,FALSE))</f>
        <v>9865322</v>
      </c>
      <c r="K56" s="29">
        <f t="shared" si="5"/>
        <v>0.66264930835506441</v>
      </c>
    </row>
    <row r="57" spans="2:15">
      <c r="B57" s="20"/>
      <c r="C57" s="67"/>
      <c r="D57" s="63"/>
      <c r="E57" s="22"/>
      <c r="F57" s="41"/>
      <c r="G57" s="27"/>
      <c r="H57" s="28"/>
      <c r="I57" s="42"/>
      <c r="J57" s="27"/>
      <c r="K57" s="29"/>
    </row>
    <row r="58" spans="2:15" s="55" customFormat="1" ht="24.95" customHeight="1">
      <c r="B58" s="52"/>
      <c r="C58" s="68" t="s">
        <v>26</v>
      </c>
      <c r="D58" s="69"/>
      <c r="E58" s="70" t="s">
        <v>27</v>
      </c>
      <c r="F58" s="45">
        <f>SUM(F44:F56)</f>
        <v>238884707.72999996</v>
      </c>
      <c r="G58" s="35">
        <f>SUM(G44:G56)</f>
        <v>976818371.79999995</v>
      </c>
      <c r="H58" s="36">
        <f>SUM(H44:H56)</f>
        <v>361951059.49000007</v>
      </c>
      <c r="I58" s="35">
        <f>SUM(I44:I56)</f>
        <v>1577654139.0199997</v>
      </c>
      <c r="J58" s="35">
        <f>SUM(J44:J56)</f>
        <v>1474165145</v>
      </c>
      <c r="K58" s="38">
        <f>IF(ISERROR((I58/J58)-1),"",((I58/J58)-1))</f>
        <v>7.0201764280622525E-2</v>
      </c>
      <c r="O58" s="56"/>
    </row>
    <row r="59" spans="2:15">
      <c r="B59" s="20"/>
      <c r="C59" s="67"/>
      <c r="D59" s="63"/>
      <c r="E59" s="22"/>
      <c r="F59" s="41"/>
      <c r="G59" s="27"/>
      <c r="H59" s="28"/>
      <c r="I59" s="42"/>
      <c r="J59" s="27"/>
      <c r="K59" s="29"/>
    </row>
    <row r="60" spans="2:15">
      <c r="B60" s="20"/>
      <c r="C60" s="24" t="str">
        <f>VLOOKUP("22111",DATOS!$A$2:$H$205,3,FALSE)</f>
        <v>ONDARE ESKUALDAKETEN G/Z</v>
      </c>
      <c r="D60" s="63"/>
      <c r="E60" s="25" t="str">
        <f>VLOOKUP("22111",DATOS!$A$2:$H$205,2,FALSE)</f>
        <v>I. S/ TRANSMISIONES PATRIMONIALES</v>
      </c>
      <c r="F60" s="26">
        <f>IF(ISERROR(VLOOKUP("22111",DATOS!$A$2:$H$205,4,FALSE)),0,VLOOKUP("22111",DATOS!$A$2:$H$205,4,FALSE))</f>
        <v>5538760.1299999999</v>
      </c>
      <c r="G60" s="42">
        <f>IF(ISERROR(VLOOKUP("22111",DATOS!$A$2:$H$205,5,FALSE)),0,VLOOKUP("22111",DATOS!$A$2:$H$205,5,FALSE))</f>
        <v>18536188.219999999</v>
      </c>
      <c r="H60" s="28">
        <f>IF(ISERROR(VLOOKUP("22111",DATOS!$A$2:$H$205,6,FALSE)),0,VLOOKUP("22111",DATOS!$A$2:$H$205,6,FALSE))</f>
        <v>12781084.01</v>
      </c>
      <c r="I60" s="42">
        <f t="shared" ref="I60:I66" si="6">SUM(F60:H60)</f>
        <v>36856032.359999999</v>
      </c>
      <c r="J60" s="27">
        <f>IF(ISERROR(VLOOKUP("22111",DATOS!$A$2:$H$205,8,FALSE)),0,VLOOKUP("22111",DATOS!$A$2:$H$205,8,FALSE))</f>
        <v>33452413</v>
      </c>
      <c r="K60" s="29">
        <f t="shared" ref="K60:K66" si="7">IF(ISERROR((I60/J60)-1),"",((I60/J60)-1))</f>
        <v>0.10174510759507838</v>
      </c>
    </row>
    <row r="61" spans="2:15">
      <c r="B61" s="20"/>
      <c r="C61" s="24" t="str">
        <f>VLOOKUP("23111",DATOS!$A$2:$H$205,3,FALSE)</f>
        <v>EGINTZA JURIDIKO DOKUMENTATUEN G/Z</v>
      </c>
      <c r="D61" s="63"/>
      <c r="E61" s="25" t="str">
        <f>VLOOKUP("23111",DATOS!$A$2:$H$205,2,FALSE)</f>
        <v>I. S/ ACTOS JURÍDICOS DOCUMENTADOS</v>
      </c>
      <c r="F61" s="26">
        <f>IF(ISERROR(VLOOKUP("23111",DATOS!$A$2:$H$205,4,FALSE)),0,VLOOKUP("23111",DATOS!$A$2:$H$205,4,FALSE))</f>
        <v>1313909.48</v>
      </c>
      <c r="G61" s="42">
        <f>IF(ISERROR(VLOOKUP("23111",DATOS!$A$2:$H$205,5,FALSE)),0,VLOOKUP("23111",DATOS!$A$2:$H$205,5,FALSE))</f>
        <v>4082584.57</v>
      </c>
      <c r="H61" s="28">
        <f>IF(ISERROR(VLOOKUP("23111",DATOS!$A$2:$H$205,6,FALSE)),0,VLOOKUP("23111",DATOS!$A$2:$H$205,6,FALSE))</f>
        <v>2691344.95</v>
      </c>
      <c r="I61" s="42">
        <f t="shared" si="6"/>
        <v>8087839</v>
      </c>
      <c r="J61" s="27">
        <f>IF(ISERROR(VLOOKUP("23111",DATOS!$A$2:$H$205,8,FALSE)),0,VLOOKUP("23111",DATOS!$A$2:$H$205,8,FALSE))</f>
        <v>6758178</v>
      </c>
      <c r="K61" s="29">
        <f t="shared" si="7"/>
        <v>0.1967484431454749</v>
      </c>
    </row>
    <row r="62" spans="2:15">
      <c r="B62" s="20"/>
      <c r="C62" s="24" t="str">
        <f>VLOOKUP("24111",DATOS!$A$2:$H$205,3,FALSE)</f>
        <v>ZENBAIT GARRAIOBIDEREN G/ZB</v>
      </c>
      <c r="D62" s="63"/>
      <c r="E62" s="25" t="str">
        <f>VLOOKUP("24111",DATOS!$A$2:$H$205,2,FALSE)</f>
        <v>IE S/ DETERMINADOS MEDIOS TRANSPORTE</v>
      </c>
      <c r="F62" s="26">
        <f>IF(ISERROR(VLOOKUP("24111",DATOS!$A$2:$H$205,4,FALSE)),0,VLOOKUP("24111",DATOS!$A$2:$H$205,4,FALSE))</f>
        <v>449379.16</v>
      </c>
      <c r="G62" s="42">
        <f>IF(ISERROR(VLOOKUP("24111",DATOS!$A$2:$H$205,5,FALSE)),0,VLOOKUP("24111",DATOS!$A$2:$H$205,5,FALSE))</f>
        <v>2155539.59</v>
      </c>
      <c r="H62" s="28">
        <f>IF(ISERROR(VLOOKUP("24111",DATOS!$A$2:$H$205,6,FALSE)),0,VLOOKUP("24111",DATOS!$A$2:$H$205,6,FALSE))</f>
        <v>737598.15</v>
      </c>
      <c r="I62" s="42">
        <f t="shared" si="6"/>
        <v>3342516.9</v>
      </c>
      <c r="J62" s="27">
        <f>IF(ISERROR(VLOOKUP("24111",DATOS!$A$2:$H$205,8,FALSE)),0,VLOOKUP("24111",DATOS!$A$2:$H$205,8,FALSE))</f>
        <v>3828609</v>
      </c>
      <c r="K62" s="29">
        <f t="shared" si="7"/>
        <v>-0.12696310853367376</v>
      </c>
    </row>
    <row r="63" spans="2:15">
      <c r="B63" s="20"/>
      <c r="C63" s="24" t="str">
        <f>VLOOKUP("2d111",DATOS!$A$2:$H$205,3,FALSE)</f>
        <v>ASEGURU PRIMEN G/Z</v>
      </c>
      <c r="D63" s="63"/>
      <c r="E63" s="25" t="str">
        <f>VLOOKUP("2d111",DATOS!$A$2:$H$205,2,FALSE)</f>
        <v>I. S/ PRIMAS DE SEGUROS</v>
      </c>
      <c r="F63" s="26">
        <f>IF(ISERROR(VLOOKUP("2d111",DATOS!$A$2:$H$205,4,FALSE)),0,VLOOKUP("2d111",DATOS!$A$2:$H$205,4,FALSE))</f>
        <v>4446067.18</v>
      </c>
      <c r="G63" s="42">
        <f>IF(ISERROR(VLOOKUP("2d111",DATOS!$A$2:$H$205,5,FALSE)),0,VLOOKUP("2d111",DATOS!$A$2:$H$205,5,FALSE))</f>
        <v>14389617.84</v>
      </c>
      <c r="H63" s="28">
        <f>IF(ISERROR(VLOOKUP("2d111",DATOS!$A$2:$H$205,6,FALSE)),0,VLOOKUP("2d111",DATOS!$A$2:$H$205,6,FALSE))</f>
        <v>3555369.95</v>
      </c>
      <c r="I63" s="42">
        <f t="shared" si="6"/>
        <v>22391054.969999999</v>
      </c>
      <c r="J63" s="27">
        <f>IF(ISERROR(VLOOKUP("2d111",DATOS!$A$2:$H$205,8,FALSE)),0,VLOOKUP("2d111",DATOS!$A$2:$H$205,8,FALSE))</f>
        <v>18693048</v>
      </c>
      <c r="K63" s="29">
        <f t="shared" si="7"/>
        <v>0.19782792886424927</v>
      </c>
    </row>
    <row r="64" spans="2:15">
      <c r="B64" s="20"/>
      <c r="C64" s="24" t="str">
        <f>VLOOKUP("2d211",DATOS!$A$2:$H$205,3,FALSE)</f>
        <v>JOKU JARDUERAREN G/Z</v>
      </c>
      <c r="D64" s="63"/>
      <c r="E64" s="25" t="str">
        <f>VLOOKUP("2d211",DATOS!$A$2:$H$205,2,FALSE)</f>
        <v>I. S/ ACTIVIDADES DE JUEGO</v>
      </c>
      <c r="F64" s="26">
        <f>IF(ISERROR(VLOOKUP("2d211",DATOS!$A$2:$H$205,4,FALSE)),0,VLOOKUP("2d211",DATOS!$A$2:$H$205,4,FALSE))</f>
        <v>445191.62</v>
      </c>
      <c r="G64" s="42">
        <f>IF(ISERROR(VLOOKUP("2d211",DATOS!$A$2:$H$205,5,FALSE)),0,VLOOKUP("2d211",DATOS!$A$2:$H$205,5,FALSE))</f>
        <v>1204891.68</v>
      </c>
      <c r="H64" s="28">
        <f>IF(ISERROR(VLOOKUP("2d211",DATOS!$A$2:$H$205,6,FALSE)),0,VLOOKUP("2d211",DATOS!$A$2:$H$205,6,FALSE))</f>
        <v>855574.54</v>
      </c>
      <c r="I64" s="42">
        <f t="shared" si="6"/>
        <v>2505657.84</v>
      </c>
      <c r="J64" s="27">
        <f>IF(ISERROR(VLOOKUP("2d211",DATOS!$A$2:$H$205,8,FALSE)),0,VLOOKUP("2d211",DATOS!$A$2:$H$205,8,FALSE))</f>
        <v>2019893</v>
      </c>
      <c r="K64" s="29">
        <f t="shared" si="7"/>
        <v>0.24049038241134557</v>
      </c>
    </row>
    <row r="65" spans="2:15">
      <c r="B65" s="20"/>
      <c r="C65" s="24" t="str">
        <f>VLOOKUP("2h111",DATOS!$A$2:$H$205,3,FALSE)</f>
        <v>ZENBAIT ZERBITZU DIGITALEN G/Z</v>
      </c>
      <c r="D65" s="63"/>
      <c r="E65" s="25" t="str">
        <f>VLOOKUP("2h111",DATOS!$A$2:$H$205,2,FALSE)</f>
        <v>I. S/ DETERMINADOS SERVICIOS DIGITALES</v>
      </c>
      <c r="F65" s="26">
        <f>IF(ISERROR(VLOOKUP("2h111",DATOS!$A$2:$H$205,4,FALSE)),0,VLOOKUP("2h111",DATOS!$A$2:$H$205,4,FALSE))</f>
        <v>566125.81000000006</v>
      </c>
      <c r="G65" s="42">
        <f>IF(ISERROR(VLOOKUP("2h111",DATOS!$A$2:$H$205,5,FALSE)),0,VLOOKUP("2h111",DATOS!$A$2:$H$205,5,FALSE))</f>
        <v>2439669.2599999998</v>
      </c>
      <c r="H65" s="28">
        <f>IF(ISERROR(VLOOKUP("2h111",DATOS!$A$2:$H$205,6,FALSE)),0,VLOOKUP("2h111",DATOS!$A$2:$H$205,6,FALSE))</f>
        <v>1225514.7</v>
      </c>
      <c r="I65" s="42">
        <f t="shared" si="6"/>
        <v>4231309.7699999996</v>
      </c>
      <c r="J65" s="27">
        <f>IF(ISERROR(VLOOKUP("2h111",DATOS!$A$2:$H$205,8,FALSE)),0,VLOOKUP("2h111",DATOS!$A$2:$H$205,8,FALSE))</f>
        <v>3878414</v>
      </c>
      <c r="K65" s="29">
        <f t="shared" si="7"/>
        <v>9.0989711258261607E-2</v>
      </c>
    </row>
    <row r="66" spans="2:15" ht="12.75" customHeight="1">
      <c r="B66" s="20"/>
      <c r="C66" s="24" t="str">
        <f>VLOOKUP("2i000",DATOS!$A$2:$H$205,3,FALSE)</f>
        <v>ZABORTEGIETAN HONDAKINAK UZTEAREN G/Z</v>
      </c>
      <c r="D66" s="63"/>
      <c r="E66" s="25" t="str">
        <f>VLOOKUP("2i000",DATOS!$A$2:$H$205,2,FALSE)</f>
        <v>I. S/ DEPÓSITO RESIDUOS EN VERTEDEROS</v>
      </c>
      <c r="F66" s="26">
        <f>IF(ISERROR(VLOOKUP("2i000",DATOS!$A$2:$H$205,4,FALSE)),0,VLOOKUP("2i000",DATOS!$A$2:$H$205,4,FALSE))</f>
        <v>594485.44999999995</v>
      </c>
      <c r="G66" s="42">
        <f>IF(ISERROR(VLOOKUP("2i000",DATOS!$A$2:$H$205,5,FALSE)),0,VLOOKUP("2i000",DATOS!$A$2:$H$205,5,FALSE))</f>
        <v>3688741.15</v>
      </c>
      <c r="H66" s="28">
        <f>IF(ISERROR(VLOOKUP("2i000",DATOS!$A$2:$H$205,6,FALSE)),0,VLOOKUP("2i000",DATOS!$A$2:$H$205,6,FALSE))</f>
        <v>300590.2</v>
      </c>
      <c r="I66" s="42">
        <f t="shared" si="6"/>
        <v>4583816.8</v>
      </c>
      <c r="J66" s="27">
        <f>IF(ISERROR(VLOOKUP("2i000",DATOS!$A$2:$H$205,8,FALSE)),0,VLOOKUP("2i000",DATOS!$A$2:$H$205,8,FALSE))</f>
        <v>4097280</v>
      </c>
      <c r="K66" s="29">
        <f t="shared" si="7"/>
        <v>0.11874629022180572</v>
      </c>
    </row>
    <row r="67" spans="2:15">
      <c r="B67" s="20"/>
      <c r="C67" s="24"/>
      <c r="D67" s="63"/>
      <c r="E67" s="25"/>
      <c r="F67" s="41"/>
      <c r="G67" s="27"/>
      <c r="H67" s="28"/>
      <c r="I67" s="42"/>
      <c r="J67" s="27"/>
      <c r="K67" s="29"/>
    </row>
    <row r="68" spans="2:15" s="55" customFormat="1" ht="20.100000000000001" customHeight="1">
      <c r="B68" s="52"/>
      <c r="C68" s="57" t="s">
        <v>28</v>
      </c>
      <c r="D68" s="69"/>
      <c r="E68" s="58" t="s">
        <v>29</v>
      </c>
      <c r="F68" s="45">
        <f>SUM(F60:F67)</f>
        <v>13353918.829999998</v>
      </c>
      <c r="G68" s="35">
        <f>SUM(G60:G67)</f>
        <v>46497232.309999995</v>
      </c>
      <c r="H68" s="36">
        <f>SUM(H60:H67)</f>
        <v>22147076.5</v>
      </c>
      <c r="I68" s="35">
        <f>SUM(I60:I67)</f>
        <v>81998227.639999986</v>
      </c>
      <c r="J68" s="35">
        <f>SUM(J60:J67)</f>
        <v>72727835</v>
      </c>
      <c r="K68" s="38">
        <f>IF(ISERROR((I68/J68)-1),"",((I68/J68)-1))</f>
        <v>0.12746691332142612</v>
      </c>
      <c r="O68" s="56"/>
    </row>
    <row r="69" spans="2:15">
      <c r="B69" s="20"/>
      <c r="C69" s="24"/>
      <c r="D69" s="63"/>
      <c r="E69" s="25"/>
      <c r="F69" s="41"/>
      <c r="G69" s="27"/>
      <c r="H69" s="28"/>
      <c r="I69" s="42"/>
      <c r="J69" s="27"/>
      <c r="K69" s="29"/>
    </row>
    <row r="70" spans="2:15" s="55" customFormat="1" ht="24.95" customHeight="1">
      <c r="B70" s="208"/>
      <c r="C70" s="53" t="s">
        <v>30</v>
      </c>
      <c r="D70" s="71"/>
      <c r="E70" s="54" t="s">
        <v>31</v>
      </c>
      <c r="F70" s="34">
        <f>F58+F68</f>
        <v>252238626.55999994</v>
      </c>
      <c r="G70" s="37">
        <f>G58+G68</f>
        <v>1023315604.1099999</v>
      </c>
      <c r="H70" s="72">
        <f>H58+H68</f>
        <v>384098135.99000007</v>
      </c>
      <c r="I70" s="37">
        <f>I58+I68</f>
        <v>1659652366.6599998</v>
      </c>
      <c r="J70" s="37">
        <f>J58+J68</f>
        <v>1546892980</v>
      </c>
      <c r="K70" s="38">
        <f>IF(ISERROR((I70/J70)-1),"",((I70/J70)-1))</f>
        <v>7.2894109752828395E-2</v>
      </c>
      <c r="O70" s="56"/>
    </row>
    <row r="71" spans="2:15" s="55" customFormat="1" ht="12.75" customHeight="1">
      <c r="B71" s="52"/>
      <c r="C71" s="73"/>
      <c r="D71" s="74"/>
      <c r="E71" s="75"/>
      <c r="F71" s="76"/>
      <c r="G71" s="77"/>
      <c r="H71" s="78"/>
      <c r="I71" s="77"/>
      <c r="J71" s="77"/>
      <c r="K71" s="62"/>
      <c r="O71" s="56"/>
    </row>
    <row r="72" spans="2:15" ht="12.75" customHeight="1">
      <c r="B72" s="20"/>
      <c r="C72" s="24" t="str">
        <f>VLOOKUP("31111",DATOS!$A$2:$H$205,3,FALSE)</f>
        <v>BINGOA</v>
      </c>
      <c r="D72" s="40"/>
      <c r="E72" s="25" t="str">
        <f>VLOOKUP("31111",DATOS!$A$2:$H$205,2,FALSE)</f>
        <v>BINGO</v>
      </c>
      <c r="F72" s="26">
        <f>IF(ISERROR(VLOOKUP("31111",DATOS!$A$2:$H$205,4,FALSE)),0,VLOOKUP("31111",DATOS!$A$2:$H$205,4,FALSE))</f>
        <v>15129.12</v>
      </c>
      <c r="G72" s="42">
        <f>IF(ISERROR(VLOOKUP("31111",DATOS!$A$2:$H$205,5,FALSE)),0,VLOOKUP("31111",DATOS!$A$2:$H$205,5,FALSE))</f>
        <v>659112.63</v>
      </c>
      <c r="H72" s="28">
        <f>IF(ISERROR(VLOOKUP("31111",DATOS!$A$2:$H$205,6,FALSE)),0,VLOOKUP("31111",DATOS!$A$2:$H$205,6,FALSE))</f>
        <v>241489.26</v>
      </c>
      <c r="I72" s="42">
        <f>SUM(F72:H72)</f>
        <v>915731.01</v>
      </c>
      <c r="J72" s="27">
        <f>IF(ISERROR(VLOOKUP("31111",DATOS!$A$2:$H$205,8,FALSE)),0,VLOOKUP("31111",DATOS!$A$2:$H$205,8,FALSE))</f>
        <v>938707</v>
      </c>
      <c r="K72" s="29">
        <f t="shared" ref="K72:K79" si="8">IF(ISERROR((I72/J72)-1),"",((I72/J72)-1))</f>
        <v>-2.4476210361699668E-2</v>
      </c>
    </row>
    <row r="73" spans="2:15" ht="12.75" customHeight="1">
      <c r="B73" s="20"/>
      <c r="C73" s="24" t="str">
        <f>VLOOKUP("31112",DATOS!$A$2:$H$205,3,FALSE)</f>
        <v>MAKINAK ETA APARATU AUTOMATIKOAK</v>
      </c>
      <c r="D73" s="25"/>
      <c r="E73" s="25" t="str">
        <f>VLOOKUP("31112",DATOS!$A$2:$H$205,2,FALSE)</f>
        <v>MÁQUINAS Y APARATOS AUTOMÁTICOS</v>
      </c>
      <c r="F73" s="26">
        <f>IF(ISERROR(VLOOKUP("31112",DATOS!$A$2:$H$205,4,FALSE)),0,VLOOKUP("31112",DATOS!$A$2:$H$205,4,FALSE))</f>
        <v>1181468.73</v>
      </c>
      <c r="G73" s="42">
        <f>IF(ISERROR(VLOOKUP("31112",DATOS!$A$2:$H$205,5,FALSE)),0,VLOOKUP("31112",DATOS!$A$2:$H$205,5,FALSE))</f>
        <v>4422269.1399999997</v>
      </c>
      <c r="H73" s="28">
        <f>IF(ISERROR(VLOOKUP("31112",DATOS!$A$2:$H$205,6,FALSE)),0,VLOOKUP("31112",DATOS!$A$2:$H$205,6,FALSE))</f>
        <v>2228483.65</v>
      </c>
      <c r="I73" s="79">
        <f>SUM(F73:H73)</f>
        <v>7832221.5199999996</v>
      </c>
      <c r="J73" s="27">
        <f>IF(ISERROR(VLOOKUP("31112",DATOS!$A$2:$H$205,8,FALSE)),0,VLOOKUP("31112",DATOS!$A$2:$H$205,8,FALSE))</f>
        <v>7910317</v>
      </c>
      <c r="K73" s="29">
        <f t="shared" si="8"/>
        <v>-9.8726106678153069E-3</v>
      </c>
      <c r="M73" s="1"/>
    </row>
    <row r="74" spans="2:15" ht="12.75" customHeight="1">
      <c r="B74" s="20"/>
      <c r="C74" s="24" t="str">
        <f>VLOOKUP("31113",DATOS!$A$2:$H$205,3,FALSE)</f>
        <v>KASINOAK ETA BESTELAKOAK</v>
      </c>
      <c r="D74" s="25"/>
      <c r="E74" s="25" t="str">
        <f>VLOOKUP("31113",DATOS!$A$2:$H$205,2,FALSE)</f>
        <v>CASINOS Y OTROS</v>
      </c>
      <c r="F74" s="26">
        <f>IF(ISERROR(VLOOKUP("31113",DATOS!$A$2:$H$205,4,FALSE)),0,VLOOKUP("31113",DATOS!$A$2:$H$205,4,FALSE))</f>
        <v>213058.3</v>
      </c>
      <c r="G74" s="42">
        <f>IF(ISERROR(VLOOKUP("31113",DATOS!$A$2:$H$205,5,FALSE)),0,VLOOKUP("31113",DATOS!$A$2:$H$205,5,FALSE))</f>
        <v>1076076.5900000001</v>
      </c>
      <c r="H74" s="28">
        <f>IF(ISERROR(VLOOKUP("31113",DATOS!$A$2:$H$205,6,FALSE)),0,VLOOKUP("31113",DATOS!$A$2:$H$205,6,FALSE))</f>
        <v>544949.75</v>
      </c>
      <c r="I74" s="42">
        <f>SUM(F74:H74)</f>
        <v>1834084.6400000001</v>
      </c>
      <c r="J74" s="27">
        <f>IF(ISERROR(VLOOKUP("31113",DATOS!$A$2:$H$205,8,FALSE)),0,VLOOKUP("31113",DATOS!$A$2:$H$205,8,FALSE))</f>
        <v>1888952</v>
      </c>
      <c r="K74" s="29">
        <f t="shared" si="8"/>
        <v>-2.9046455389019843E-2</v>
      </c>
    </row>
    <row r="75" spans="2:15" s="55" customFormat="1" ht="12.75" customHeight="1">
      <c r="B75" s="52"/>
      <c r="C75" s="57" t="s">
        <v>32</v>
      </c>
      <c r="D75" s="69"/>
      <c r="E75" s="58" t="s">
        <v>33</v>
      </c>
      <c r="F75" s="76">
        <f>SUM(F72:F74)</f>
        <v>1409656.1500000001</v>
      </c>
      <c r="G75" s="77">
        <f>SUM(G72:G74)</f>
        <v>6157458.3599999994</v>
      </c>
      <c r="H75" s="80">
        <f>SUM(H72:H74)</f>
        <v>3014922.66</v>
      </c>
      <c r="I75" s="77">
        <f>SUM(I72:I74)</f>
        <v>10582037.17</v>
      </c>
      <c r="J75" s="77">
        <f>SUM(J72:J74)</f>
        <v>10737976</v>
      </c>
      <c r="K75" s="62">
        <f t="shared" si="8"/>
        <v>-1.4522180902620807E-2</v>
      </c>
      <c r="O75" s="56"/>
    </row>
    <row r="76" spans="2:15" ht="12.75" customHeight="1">
      <c r="B76" s="20"/>
      <c r="C76" s="24" t="str">
        <f>VLOOKUP("32111",DATOS!$A$2:$H$205,3,FALSE)</f>
        <v>ERREKARGUAK</v>
      </c>
      <c r="D76" s="40"/>
      <c r="E76" s="25" t="str">
        <f>VLOOKUP("32111",DATOS!$A$2:$H$205,2,FALSE)</f>
        <v>RECARGOS</v>
      </c>
      <c r="F76" s="26">
        <f>IF(ISERROR(VLOOKUP("32111",DATOS!$A$2:$H$205,4,FALSE)),0,VLOOKUP("32111",DATOS!$A$2:$H$205,4,FALSE))</f>
        <v>164674.15</v>
      </c>
      <c r="G76" s="42">
        <f>IF(ISERROR(VLOOKUP("32111",DATOS!$A$2:$H$205,5,FALSE)),0,VLOOKUP("32111",DATOS!$A$2:$H$205,5,FALSE))</f>
        <v>2717865.83</v>
      </c>
      <c r="H76" s="28">
        <f>IF(ISERROR(VLOOKUP("32111",DATOS!$A$2:$H$205,6,FALSE)),0,VLOOKUP("32111",DATOS!$A$2:$H$205,6,FALSE))</f>
        <v>880432.94</v>
      </c>
      <c r="I76" s="42">
        <f>SUM(F76:H76)</f>
        <v>3762972.92</v>
      </c>
      <c r="J76" s="27">
        <f>IF(ISERROR(VLOOKUP("32111",DATOS!$A$2:$H$205,8,FALSE)),0,VLOOKUP("32111",DATOS!$A$2:$H$205,8,FALSE))</f>
        <v>2175065</v>
      </c>
      <c r="K76" s="29">
        <f t="shared" si="8"/>
        <v>0.73005078928675693</v>
      </c>
    </row>
    <row r="77" spans="2:15" ht="12.75" customHeight="1">
      <c r="B77" s="20"/>
      <c r="C77" s="24" t="str">
        <f>VLOOKUP("33111",DATOS!$A$2:$H$205,3,FALSE)</f>
        <v>BERANDUTZA INTERESAK</v>
      </c>
      <c r="D77" s="25"/>
      <c r="E77" s="25" t="str">
        <f>VLOOKUP("33111",DATOS!$A$2:$H$205,2,FALSE)</f>
        <v>INTERESES DE DEMORA</v>
      </c>
      <c r="F77" s="26">
        <f>IF(ISERROR(VLOOKUP("33111",DATOS!$A$2:$H$205,4,FALSE)),0,VLOOKUP("33111",DATOS!$A$2:$H$205,4,FALSE))</f>
        <v>903699.22</v>
      </c>
      <c r="G77" s="42">
        <f>IF(ISERROR(VLOOKUP("33111",DATOS!$A$2:$H$205,5,FALSE)),0,VLOOKUP("33111",DATOS!$A$2:$H$205,5,FALSE))</f>
        <v>3758521.72</v>
      </c>
      <c r="H77" s="28">
        <f>IF(ISERROR(VLOOKUP("33111",DATOS!$A$2:$H$205,6,FALSE)),0,VLOOKUP("33111",DATOS!$A$2:$H$205,6,FALSE))</f>
        <v>720049.83</v>
      </c>
      <c r="I77" s="42">
        <f>SUM(F77:H77)</f>
        <v>5382270.7700000005</v>
      </c>
      <c r="J77" s="27">
        <f>IF(ISERROR(VLOOKUP("33111",DATOS!$A$2:$H$205,8,FALSE)),0,VLOOKUP("33111",DATOS!$A$2:$H$205,8,FALSE))</f>
        <v>5424777</v>
      </c>
      <c r="K77" s="29">
        <f t="shared" si="8"/>
        <v>-7.8355718585297884E-3</v>
      </c>
    </row>
    <row r="78" spans="2:15" ht="12.75" customHeight="1">
      <c r="B78" s="20"/>
      <c r="C78" s="24" t="str">
        <f>VLOOKUP("34111",DATOS!$A$2:$H$205,3,FALSE)</f>
        <v>ISUNAK</v>
      </c>
      <c r="D78" s="22"/>
      <c r="E78" s="25" t="str">
        <f>VLOOKUP("34111",DATOS!$A$2:$H$205,2,FALSE)</f>
        <v>SANCIONES</v>
      </c>
      <c r="F78" s="26">
        <f>IF(ISERROR(VLOOKUP("34111",DATOS!$A$2:$H$205,4,FALSE)),0,VLOOKUP("34111",DATOS!$A$2:$H$205,4,FALSE))</f>
        <v>97626.7</v>
      </c>
      <c r="G78" s="42">
        <f>IF(ISERROR(VLOOKUP("34111",DATOS!$A$2:$H$205,5,FALSE)),0,VLOOKUP("34111",DATOS!$A$2:$H$205,5,FALSE))</f>
        <v>1000696.68</v>
      </c>
      <c r="H78" s="28">
        <f>IF(ISERROR(VLOOKUP("34111",DATOS!$A$2:$H$205,6,FALSE)),0,VLOOKUP("34111",DATOS!$A$2:$H$205,6,FALSE))</f>
        <v>747701.23</v>
      </c>
      <c r="I78" s="42">
        <f>SUM(F78:H78)</f>
        <v>1846024.61</v>
      </c>
      <c r="J78" s="27">
        <f>IF(ISERROR(VLOOKUP("34111",DATOS!$A$2:$H$205,8,FALSE)),0,VLOOKUP("34111",DATOS!$A$2:$H$205,8,FALSE))</f>
        <v>1937091</v>
      </c>
      <c r="K78" s="29">
        <f t="shared" si="8"/>
        <v>-4.7011931809088914E-2</v>
      </c>
    </row>
    <row r="79" spans="2:15" s="55" customFormat="1" ht="12.75" customHeight="1">
      <c r="B79" s="52"/>
      <c r="C79" s="57" t="s">
        <v>34</v>
      </c>
      <c r="D79" s="58"/>
      <c r="E79" s="58" t="s">
        <v>35</v>
      </c>
      <c r="F79" s="76">
        <f>SUM(F76:F78)</f>
        <v>1166000.0699999998</v>
      </c>
      <c r="G79" s="77">
        <f>SUM(G76:G78)</f>
        <v>7477084.2300000004</v>
      </c>
      <c r="H79" s="80">
        <f>SUM(H76:H78)</f>
        <v>2348184</v>
      </c>
      <c r="I79" s="77">
        <f>SUM(I76:I78)</f>
        <v>10991268.300000001</v>
      </c>
      <c r="J79" s="77">
        <f>SUM(J76:J78)</f>
        <v>9536933</v>
      </c>
      <c r="K79" s="62">
        <f t="shared" si="8"/>
        <v>0.15249507362587122</v>
      </c>
      <c r="O79" s="56"/>
    </row>
    <row r="80" spans="2:15">
      <c r="B80" s="20"/>
      <c r="C80" s="24"/>
      <c r="D80" s="63"/>
      <c r="E80" s="25"/>
      <c r="F80" s="41"/>
      <c r="G80" s="27"/>
      <c r="H80" s="28"/>
      <c r="I80" s="42"/>
      <c r="J80" s="27"/>
      <c r="K80" s="29"/>
    </row>
    <row r="81" spans="2:15" s="55" customFormat="1" ht="24.95" customHeight="1">
      <c r="B81" s="208"/>
      <c r="C81" s="53" t="s">
        <v>36</v>
      </c>
      <c r="D81" s="71"/>
      <c r="E81" s="54" t="s">
        <v>37</v>
      </c>
      <c r="F81" s="34">
        <f>F75+F79</f>
        <v>2575656.2199999997</v>
      </c>
      <c r="G81" s="37">
        <f>G75+G79</f>
        <v>13634542.59</v>
      </c>
      <c r="H81" s="72">
        <f>H75+H79</f>
        <v>5363106.66</v>
      </c>
      <c r="I81" s="37">
        <f>I75+I79</f>
        <v>21573305.469999999</v>
      </c>
      <c r="J81" s="37">
        <f>J75+J79</f>
        <v>20274909</v>
      </c>
      <c r="K81" s="38">
        <f>IF(ISERROR((I81/J81)-1),"",((I81/J81)-1))</f>
        <v>6.4039570781797339E-2</v>
      </c>
      <c r="O81" s="56"/>
    </row>
    <row r="82" spans="2:15" ht="24.95" customHeight="1" thickBot="1">
      <c r="B82" s="17"/>
      <c r="C82" s="32"/>
      <c r="D82" s="33"/>
      <c r="E82" s="33"/>
      <c r="F82" s="59"/>
      <c r="G82" s="60"/>
      <c r="H82" s="81"/>
      <c r="I82" s="60"/>
      <c r="J82" s="60"/>
      <c r="K82" s="62"/>
    </row>
    <row r="83" spans="2:15" ht="30" customHeight="1" thickBot="1">
      <c r="B83" s="82"/>
      <c r="C83" s="13" t="s">
        <v>38</v>
      </c>
      <c r="D83" s="83"/>
      <c r="E83" s="12" t="s">
        <v>39</v>
      </c>
      <c r="F83" s="84">
        <f>F42+F70+F81</f>
        <v>540833991.73000002</v>
      </c>
      <c r="G83" s="85">
        <f>G42+G70+G81</f>
        <v>2263657199.0200005</v>
      </c>
      <c r="H83" s="86">
        <f>H42+H70+H81</f>
        <v>1021527683.6999999</v>
      </c>
      <c r="I83" s="85">
        <f>I42+I70+I81</f>
        <v>3826018874.4499993</v>
      </c>
      <c r="J83" s="85">
        <f>J42+J70+J81</f>
        <v>3629628919</v>
      </c>
      <c r="K83" s="203">
        <f>IF(ISERROR((I83/J83)-1),"",((I83/J83)-1))</f>
        <v>5.4107447299077238E-2</v>
      </c>
    </row>
    <row r="84" spans="2:15" ht="30" customHeight="1">
      <c r="B84" s="17"/>
      <c r="C84" s="67"/>
      <c r="D84" s="88"/>
      <c r="E84" s="89"/>
      <c r="F84" s="59"/>
      <c r="G84" s="27"/>
      <c r="H84" s="48"/>
      <c r="I84" s="60"/>
      <c r="J84" s="27"/>
      <c r="K84" s="204"/>
    </row>
    <row r="85" spans="2:15" ht="12.75" customHeight="1">
      <c r="B85" s="20"/>
      <c r="C85" s="39" t="s">
        <v>40</v>
      </c>
      <c r="D85" s="40"/>
      <c r="E85" s="40" t="s">
        <v>41</v>
      </c>
      <c r="F85" s="41">
        <f>F174</f>
        <v>0</v>
      </c>
      <c r="G85" s="27">
        <f>G174</f>
        <v>0</v>
      </c>
      <c r="H85" s="28">
        <f>H174</f>
        <v>0</v>
      </c>
      <c r="I85" s="42">
        <f>I174</f>
        <v>0</v>
      </c>
      <c r="J85" s="27">
        <f>J174</f>
        <v>0</v>
      </c>
      <c r="K85" s="29" t="str">
        <f>IF(ISERROR((I85/J85)-1),"",((I85/J85)-1))</f>
        <v/>
      </c>
    </row>
    <row r="86" spans="2:15" ht="12.75" customHeight="1">
      <c r="B86" s="20"/>
      <c r="C86" s="39" t="s">
        <v>42</v>
      </c>
      <c r="D86" s="40"/>
      <c r="E86" s="40" t="s">
        <v>43</v>
      </c>
      <c r="F86" s="41">
        <f>F202</f>
        <v>0</v>
      </c>
      <c r="G86" s="42">
        <f>G202</f>
        <v>0</v>
      </c>
      <c r="H86" s="28">
        <f>H202</f>
        <v>0</v>
      </c>
      <c r="I86" s="42">
        <f>I202</f>
        <v>0</v>
      </c>
      <c r="J86" s="27">
        <f>J202</f>
        <v>0</v>
      </c>
      <c r="K86" s="29" t="str">
        <f>IF(ISERROR((I86/J86)-1),"",((I86/J86)-1))</f>
        <v/>
      </c>
    </row>
    <row r="87" spans="2:15" ht="12.75" customHeight="1">
      <c r="B87" s="20"/>
      <c r="C87" s="39" t="s">
        <v>44</v>
      </c>
      <c r="D87" s="40"/>
      <c r="E87" s="40" t="s">
        <v>45</v>
      </c>
      <c r="F87" s="41">
        <f>F207</f>
        <v>0</v>
      </c>
      <c r="G87" s="42">
        <f>G207</f>
        <v>0</v>
      </c>
      <c r="H87" s="28">
        <f>H207</f>
        <v>0</v>
      </c>
      <c r="I87" s="42">
        <f>I207</f>
        <v>0</v>
      </c>
      <c r="J87" s="27">
        <f>J207</f>
        <v>0</v>
      </c>
      <c r="K87" s="29" t="str">
        <f>IF(ISERROR((I87/J87)-1),"",((I87/J87)-1))</f>
        <v/>
      </c>
    </row>
    <row r="88" spans="2:15" ht="12.75" customHeight="1">
      <c r="B88" s="20"/>
      <c r="C88" s="39"/>
      <c r="D88" s="40"/>
      <c r="E88" s="40"/>
      <c r="F88" s="41"/>
      <c r="G88" s="27"/>
      <c r="H88" s="28"/>
      <c r="I88" s="42"/>
      <c r="J88" s="27"/>
      <c r="K88" s="29"/>
    </row>
    <row r="89" spans="2:15" ht="24.95" customHeight="1">
      <c r="B89" s="209"/>
      <c r="C89" s="90" t="s">
        <v>46</v>
      </c>
      <c r="D89" s="91"/>
      <c r="E89" s="92" t="s">
        <v>47</v>
      </c>
      <c r="F89" s="45">
        <f>SUM(F85:F87)</f>
        <v>0</v>
      </c>
      <c r="G89" s="35">
        <f>SUM(G85:G87)</f>
        <v>0</v>
      </c>
      <c r="H89" s="36">
        <f>SUM(H85:H87)</f>
        <v>0</v>
      </c>
      <c r="I89" s="35">
        <f>SUM(I85:I87)</f>
        <v>0</v>
      </c>
      <c r="J89" s="35">
        <f>SUM(J85:J87)</f>
        <v>0</v>
      </c>
      <c r="K89" s="38" t="str">
        <f>IF(ISERROR((I89/J89)-1),"",((I89/J89)-1))</f>
        <v/>
      </c>
    </row>
    <row r="90" spans="2:15" s="94" customFormat="1" ht="30" customHeight="1" thickBot="1">
      <c r="B90" s="223"/>
      <c r="C90" s="224"/>
      <c r="D90" s="93"/>
      <c r="E90" s="89"/>
      <c r="F90" s="76"/>
      <c r="G90" s="27"/>
      <c r="H90" s="28"/>
      <c r="I90" s="77"/>
      <c r="J90" s="27"/>
      <c r="K90" s="29"/>
      <c r="O90" s="95"/>
    </row>
    <row r="91" spans="2:15" ht="30" customHeight="1" thickBot="1">
      <c r="B91" s="82"/>
      <c r="C91" s="13" t="s">
        <v>48</v>
      </c>
      <c r="D91" s="83"/>
      <c r="E91" s="12" t="s">
        <v>49</v>
      </c>
      <c r="F91" s="84">
        <f>F83+F89</f>
        <v>540833991.73000002</v>
      </c>
      <c r="G91" s="85">
        <f>G83+G89</f>
        <v>2263657199.0200005</v>
      </c>
      <c r="H91" s="86">
        <f>H83+H89</f>
        <v>1021527683.6999999</v>
      </c>
      <c r="I91" s="85">
        <f>I83+I89</f>
        <v>3826018874.4499993</v>
      </c>
      <c r="J91" s="85">
        <f>J83+J89</f>
        <v>3629628919</v>
      </c>
      <c r="K91" s="203">
        <f>IF(ISERROR((I91/J91)-1),"",((I91/J91)-1))</f>
        <v>5.4107447299077238E-2</v>
      </c>
    </row>
    <row r="92" spans="2:15" ht="27.95" customHeight="1">
      <c r="B92" s="96"/>
      <c r="C92" s="97"/>
      <c r="D92" s="98"/>
      <c r="E92" s="99"/>
      <c r="F92" s="47"/>
      <c r="G92" s="100"/>
      <c r="H92" s="100"/>
      <c r="I92" s="47"/>
      <c r="J92" s="47"/>
      <c r="K92" s="205"/>
    </row>
    <row r="93" spans="2:15" s="1" customFormat="1" ht="15" customHeight="1">
      <c r="B93" s="2"/>
      <c r="C93" s="3"/>
      <c r="D93" s="3"/>
      <c r="E93" s="3"/>
      <c r="F93" s="3"/>
      <c r="G93" s="4"/>
      <c r="H93" s="4"/>
      <c r="I93" s="3"/>
      <c r="J93" s="3"/>
      <c r="K93" s="5"/>
    </row>
    <row r="94" spans="2:15" s="1" customFormat="1" ht="15" customHeight="1">
      <c r="B94" s="2"/>
      <c r="C94" s="6"/>
      <c r="D94" s="3"/>
      <c r="E94" s="3"/>
      <c r="F94" s="3"/>
      <c r="G94" s="4"/>
      <c r="H94" s="4"/>
      <c r="I94" s="3"/>
      <c r="J94" s="3"/>
      <c r="K94" s="5"/>
    </row>
    <row r="95" spans="2:15" s="1" customFormat="1" ht="15" customHeight="1">
      <c r="B95" s="239"/>
      <c r="C95" s="239"/>
      <c r="D95" s="239"/>
      <c r="E95" s="239"/>
      <c r="F95" s="239"/>
      <c r="G95" s="239"/>
      <c r="H95" s="239"/>
      <c r="I95" s="240">
        <f>DATOS!J1</f>
        <v>2026</v>
      </c>
      <c r="J95" s="240"/>
      <c r="K95" s="240"/>
    </row>
    <row r="96" spans="2:15" s="1" customFormat="1" ht="15" customHeight="1">
      <c r="B96" s="239"/>
      <c r="C96" s="239"/>
      <c r="D96" s="239"/>
      <c r="E96" s="239"/>
      <c r="F96" s="239"/>
      <c r="G96" s="239"/>
      <c r="H96" s="239"/>
      <c r="I96" s="240"/>
      <c r="J96" s="240"/>
      <c r="K96" s="240"/>
    </row>
    <row r="97" spans="2:18" s="1" customFormat="1" ht="15" customHeight="1">
      <c r="B97" s="239"/>
      <c r="C97" s="239"/>
      <c r="D97" s="239"/>
      <c r="E97" s="239"/>
      <c r="F97" s="239"/>
      <c r="G97" s="239"/>
      <c r="H97" s="239"/>
      <c r="I97" s="240"/>
      <c r="J97" s="240"/>
      <c r="K97" s="240"/>
    </row>
    <row r="98" spans="2:18" s="1" customFormat="1" ht="15" customHeight="1">
      <c r="B98" s="239"/>
      <c r="C98" s="239"/>
      <c r="D98" s="239"/>
      <c r="E98" s="239"/>
      <c r="F98" s="239"/>
      <c r="G98" s="239"/>
      <c r="H98" s="239"/>
      <c r="I98" s="240"/>
      <c r="J98" s="240"/>
      <c r="K98" s="240"/>
    </row>
    <row r="99" spans="2:18" s="1" customFormat="1" ht="15" customHeight="1">
      <c r="B99" s="239"/>
      <c r="C99" s="239"/>
      <c r="D99" s="239"/>
      <c r="E99" s="239"/>
      <c r="F99" s="239"/>
      <c r="G99" s="239"/>
      <c r="H99" s="239"/>
      <c r="I99" s="240"/>
      <c r="J99" s="240"/>
      <c r="K99" s="240"/>
    </row>
    <row r="100" spans="2:18" s="1" customFormat="1" ht="43.5" customHeight="1">
      <c r="B100" s="2"/>
      <c r="C100" s="3"/>
      <c r="D100" s="3"/>
      <c r="E100" s="3"/>
      <c r="F100" s="3"/>
      <c r="G100" s="4"/>
      <c r="H100" s="4"/>
      <c r="I100" s="3"/>
      <c r="J100" s="3"/>
      <c r="K100" s="5"/>
    </row>
    <row r="101" spans="2:18" ht="15.75">
      <c r="B101" s="2"/>
      <c r="C101" s="3"/>
      <c r="D101" s="3"/>
      <c r="E101" s="3"/>
      <c r="F101" s="3"/>
      <c r="G101" s="4"/>
      <c r="H101" s="4"/>
      <c r="I101" s="3"/>
      <c r="J101" s="3"/>
      <c r="K101" s="5"/>
    </row>
    <row r="102" spans="2:18" ht="13.5" thickBot="1">
      <c r="B102" s="30"/>
      <c r="K102" s="30"/>
    </row>
    <row r="103" spans="2:18" s="101" customFormat="1" ht="35.1" customHeight="1">
      <c r="B103" s="225" t="s">
        <v>50</v>
      </c>
      <c r="C103" s="226"/>
      <c r="D103" s="226"/>
      <c r="E103" s="226"/>
      <c r="F103" s="226"/>
      <c r="G103" s="226"/>
      <c r="H103" s="226"/>
      <c r="I103" s="226"/>
      <c r="J103" s="227"/>
      <c r="K103" s="228"/>
      <c r="O103" s="102"/>
    </row>
    <row r="104" spans="2:18" s="101" customFormat="1" ht="14.1" customHeight="1">
      <c r="B104" s="229"/>
      <c r="C104" s="230"/>
      <c r="D104" s="230"/>
      <c r="E104" s="230"/>
      <c r="F104" s="230"/>
      <c r="G104" s="230"/>
      <c r="H104" s="230"/>
      <c r="I104" s="230"/>
      <c r="J104" s="231"/>
      <c r="K104" s="232"/>
      <c r="O104" s="102"/>
    </row>
    <row r="105" spans="2:18" s="101" customFormat="1" ht="14.1" customHeight="1" thickBot="1">
      <c r="B105" s="241" t="s">
        <v>0</v>
      </c>
      <c r="C105" s="242"/>
      <c r="D105" s="242"/>
      <c r="E105" s="242"/>
      <c r="F105" s="242"/>
      <c r="G105" s="242"/>
      <c r="H105" s="242"/>
      <c r="I105" s="242"/>
      <c r="J105" s="243"/>
      <c r="K105" s="244"/>
      <c r="O105" s="102"/>
    </row>
    <row r="106" spans="2:18" s="15" customFormat="1" ht="41.25" customHeight="1" thickBot="1">
      <c r="B106" s="217" t="str">
        <f>"DIRU-BILKETA METATUA"&amp;CHAR(10)&amp;  VLOOKUP(DATOS!J2,DATOS!K1:M12,3)&amp;IF(ISBLANK(DATOS!J3),"","-"&amp;VLOOKUP(DATOS!J3,DATOS!K1:M12,3))&amp;"  "&amp;DATOS!J1</f>
        <v>DIRU-BILKETA METATUA
ENERO-FEBRERO  2026</v>
      </c>
      <c r="C106" s="218"/>
      <c r="D106" s="219" t="str">
        <f>"RECAUDACIÓN ACUMULADA"&amp;CHAR(10)&amp;  VLOOKUP(DATOS!J2,DATOS!K1:M12,3)&amp;IF(ISBLANK(DATOS!J3),"","-"&amp;VLOOKUP(DATOS!J3,DATOS!K1:M12,3))&amp;"  "&amp;DATOS!J1</f>
        <v>RECAUDACIÓN ACUMULADA
ENERO-FEBRERO  2026</v>
      </c>
      <c r="E106" s="220"/>
      <c r="F106" s="11" t="str">
        <f>DATOS!J1 &amp; CHAR(10) &amp; "ARABA" &amp; CHAR(10) &amp; "Garbia/Neta"</f>
        <v>2026
ARABA
Garbia/Neta</v>
      </c>
      <c r="G106" s="12" t="str">
        <f>DATOS!J1 &amp; CHAR(10) &amp; "BIZKAIA" &amp; CHAR(10) &amp; "Garbia/Neta"</f>
        <v>2026
BIZKAIA
Garbia/Neta</v>
      </c>
      <c r="H106" s="12" t="str">
        <f>DATOS!J1 &amp; CHAR(10) &amp; "GIPUZKOA" &amp; CHAR(10) &amp; "Garbia/Neta"</f>
        <v>2026
GIPUZKOA
Garbia/Neta</v>
      </c>
      <c r="I106" s="207" t="str">
        <f>DATOS!J1 &amp; CHAR(10) &amp; "EAE/CAPV" &amp; CHAR(10) &amp; "Garbia/Neta"</f>
        <v>2026
EAE/CAPV
Garbia/Neta</v>
      </c>
      <c r="J106" s="12" t="str">
        <f>DATOS!J1-1 &amp; CHAR(10) &amp; "EAE/CAPV" &amp; CHAR(10) &amp; "Garbia/Neta"</f>
        <v>2025
EAE/CAPV
Garbia/Neta</v>
      </c>
      <c r="K106" s="14" t="s">
        <v>1</v>
      </c>
      <c r="O106" s="16"/>
    </row>
    <row r="107" spans="2:18" s="101" customFormat="1" ht="12.75" customHeight="1">
      <c r="B107" s="103"/>
      <c r="C107" s="104"/>
      <c r="D107" s="105"/>
      <c r="E107" s="106"/>
      <c r="F107" s="30"/>
      <c r="H107" s="107"/>
      <c r="I107" s="108"/>
      <c r="J107" s="109"/>
      <c r="K107" s="110"/>
      <c r="O107" s="102"/>
    </row>
    <row r="108" spans="2:18" s="101" customFormat="1" ht="12.75" customHeight="1">
      <c r="B108" s="111"/>
      <c r="C108" s="25" t="s">
        <v>51</v>
      </c>
      <c r="D108" s="63"/>
      <c r="E108" s="112" t="s">
        <v>52</v>
      </c>
      <c r="F108" s="41">
        <f>F110-F109</f>
        <v>196296620.56</v>
      </c>
      <c r="G108" s="113">
        <f>G110-G109</f>
        <v>737380534.23000002</v>
      </c>
      <c r="H108" s="28">
        <f>H110-H109</f>
        <v>343804681.38999999</v>
      </c>
      <c r="I108" s="42">
        <f>I110-I109</f>
        <v>1277481836.1799998</v>
      </c>
      <c r="J108" s="42">
        <f>J110-J109</f>
        <v>1190019047</v>
      </c>
      <c r="K108" s="29"/>
      <c r="O108" s="102"/>
    </row>
    <row r="109" spans="2:18" s="101" customFormat="1" ht="12.75" customHeight="1">
      <c r="B109" s="111"/>
      <c r="C109" s="114" t="s">
        <v>53</v>
      </c>
      <c r="D109" s="115"/>
      <c r="E109" s="116" t="s">
        <v>54</v>
      </c>
      <c r="F109" s="41">
        <f>IF(ISERROR(VLOOKUP("21112",DATOS!$A$2:$H$205,4,FALSE)),0,VLOOKUP("21112",DATOS!$A$2:$H$205,4,FALSE))</f>
        <v>0</v>
      </c>
      <c r="G109" s="113">
        <f>IF(ISERROR(VLOOKUP("21112",DATOS!$A$2:$H$205,5,FALSE)),0,VLOOKUP("21112",DATOS!$A$2:$H$205,5,FALSE))</f>
        <v>0</v>
      </c>
      <c r="H109" s="117">
        <f>IF(ISERROR(VLOOKUP("21112",DATOS!$A$2:$H$205,6,FALSE)),0,VLOOKUP("21112",DATOS!$A$2:$H$205,6,FALSE))</f>
        <v>0</v>
      </c>
      <c r="I109" s="42">
        <f>IF(ISERROR(VLOOKUP("21112",DATOS!$A$2:$H$205,7,FALSE)),0,VLOOKUP("21112",DATOS!$A$2:$H$205,7,FALSE))</f>
        <v>0</v>
      </c>
      <c r="J109" s="42">
        <f>IF(ISERROR(VLOOKUP("21112",DATOS!$A$2:$H$205,8,FALSE)),0,VLOOKUP("21112",DATOS!$A$2:$H$205,8,FALSE))</f>
        <v>0</v>
      </c>
      <c r="K109" s="29"/>
      <c r="O109" s="102"/>
    </row>
    <row r="110" spans="2:18" s="121" customFormat="1" ht="20.100000000000001" customHeight="1">
      <c r="B110" s="118"/>
      <c r="C110" s="119" t="s">
        <v>55</v>
      </c>
      <c r="D110" s="74"/>
      <c r="E110" s="120" t="s">
        <v>56</v>
      </c>
      <c r="F110" s="59">
        <f>F44</f>
        <v>196296620.56</v>
      </c>
      <c r="G110" s="60">
        <f>SUM(G44)</f>
        <v>737380534.23000002</v>
      </c>
      <c r="H110" s="81">
        <f>SUM(H44)</f>
        <v>343804681.38999999</v>
      </c>
      <c r="I110" s="60">
        <f>I44</f>
        <v>1277481836.1799998</v>
      </c>
      <c r="J110" s="60">
        <f>J44</f>
        <v>1190019047</v>
      </c>
      <c r="K110" s="62">
        <f>IF(ISERROR((I110/J110)-1),"",((I110/J110)-1))</f>
        <v>7.3496965784279444E-2</v>
      </c>
      <c r="O110" s="122"/>
    </row>
    <row r="111" spans="2:18" s="121" customFormat="1" ht="12.75" customHeight="1">
      <c r="B111" s="118"/>
      <c r="C111" s="58"/>
      <c r="D111" s="69"/>
      <c r="E111" s="123"/>
      <c r="F111" s="124"/>
      <c r="G111" s="113"/>
      <c r="H111" s="125"/>
      <c r="I111" s="126"/>
      <c r="J111" s="127"/>
      <c r="K111" s="128"/>
      <c r="O111" s="122"/>
    </row>
    <row r="112" spans="2:18" s="30" customFormat="1" ht="12.75" customHeight="1">
      <c r="B112" s="20"/>
      <c r="C112" s="129" t="s">
        <v>57</v>
      </c>
      <c r="D112" s="130"/>
      <c r="E112" s="131" t="s">
        <v>58</v>
      </c>
      <c r="F112" s="26">
        <f>F117+F120+F123+F126+F129+F132+F136+F140++F144</f>
        <v>42491707.259999998</v>
      </c>
      <c r="G112" s="27">
        <f>G117+G120+G123+G126+G129+G132+G136+G140++G144</f>
        <v>221164360.97</v>
      </c>
      <c r="H112" s="28">
        <f>H117+H120+H123+H126+H129+H132+H136+H140++H144</f>
        <v>17868981.09</v>
      </c>
      <c r="I112" s="27"/>
      <c r="J112" s="27"/>
      <c r="K112" s="29"/>
      <c r="N112" s="31"/>
      <c r="O112" s="31"/>
      <c r="P112" s="31"/>
      <c r="Q112" s="31"/>
      <c r="R112" s="31"/>
    </row>
    <row r="113" spans="2:18" s="30" customFormat="1" ht="12.75" customHeight="1">
      <c r="B113" s="20"/>
      <c r="C113" s="129" t="s">
        <v>59</v>
      </c>
      <c r="D113" s="130"/>
      <c r="E113" s="131" t="s">
        <v>60</v>
      </c>
      <c r="F113" s="41">
        <f>F118+F121+F124+F127+F130+F133+F137+F141+F145</f>
        <v>0</v>
      </c>
      <c r="G113" s="42">
        <f>G118+G121+G124+G127+G130+G133+G137+G141+G145</f>
        <v>0</v>
      </c>
      <c r="H113" s="117">
        <f>H118+H121+H124+H127+H130+H133+H137+H141+H145</f>
        <v>0</v>
      </c>
      <c r="I113" s="42"/>
      <c r="J113" s="27"/>
      <c r="K113" s="29"/>
      <c r="M113" s="31"/>
      <c r="N113" s="31"/>
      <c r="O113" s="31"/>
      <c r="P113" s="31"/>
      <c r="Q113" s="31"/>
      <c r="R113" s="31"/>
    </row>
    <row r="114" spans="2:18" s="30" customFormat="1" ht="18" customHeight="1">
      <c r="B114" s="20"/>
      <c r="C114" s="119" t="s">
        <v>61</v>
      </c>
      <c r="D114" s="132"/>
      <c r="E114" s="120" t="s">
        <v>62</v>
      </c>
      <c r="F114" s="59">
        <f>F116+F119+F122+F125+F128+F131+F135+F139+F143</f>
        <v>42491707.259999998</v>
      </c>
      <c r="G114" s="60">
        <f>G116+G119+G122+G125+G128+G131+G135+G139+G143</f>
        <v>221164360.97</v>
      </c>
      <c r="H114" s="81">
        <f>H116+H119+H122+H125+H128+H131+H135+H139+H143</f>
        <v>17868981.09</v>
      </c>
      <c r="I114" s="60">
        <f>I116+I119+I122+I125+I128+I131+I135+I139+I143</f>
        <v>281525049.31999999</v>
      </c>
      <c r="J114" s="60">
        <f>J116+J119+J122+J125+J128+J131+J135+J139+J143</f>
        <v>271047708</v>
      </c>
      <c r="K114" s="62">
        <f>IF(ISERROR((I114/J114)-1),"",((I114/J114)-1))</f>
        <v>3.8654971101987678E-2</v>
      </c>
      <c r="N114" s="31"/>
      <c r="O114" s="31"/>
      <c r="P114" s="31"/>
      <c r="Q114" s="31"/>
      <c r="R114" s="31"/>
    </row>
    <row r="115" spans="2:18" s="101" customFormat="1" ht="9.9499999999999993" customHeight="1">
      <c r="B115" s="111"/>
      <c r="C115" s="40"/>
      <c r="D115" s="130"/>
      <c r="E115" s="131"/>
      <c r="F115" s="41"/>
      <c r="G115" s="27"/>
      <c r="H115" s="117"/>
      <c r="I115" s="126"/>
      <c r="J115" s="42"/>
      <c r="K115" s="128"/>
      <c r="O115" s="102"/>
    </row>
    <row r="116" spans="2:18" s="142" customFormat="1" ht="12.75" hidden="1" customHeight="1">
      <c r="B116" s="133"/>
      <c r="C116" s="134" t="s">
        <v>14</v>
      </c>
      <c r="D116" s="135"/>
      <c r="E116" s="136" t="s">
        <v>15</v>
      </c>
      <c r="F116" s="137">
        <f>F46</f>
        <v>-2694.61</v>
      </c>
      <c r="G116" s="138">
        <f>SUM(G46)</f>
        <v>22901.42</v>
      </c>
      <c r="H116" s="139">
        <f>SUM(H46)</f>
        <v>-28677.05</v>
      </c>
      <c r="I116" s="140">
        <f>I46</f>
        <v>-8470.2400000000016</v>
      </c>
      <c r="J116" s="140">
        <f>J46</f>
        <v>-12877</v>
      </c>
      <c r="K116" s="141">
        <f>IF(ISERROR((I116/J116)-1),"",((I116/J116)-1))</f>
        <v>-0.34221946105459333</v>
      </c>
      <c r="O116" s="143"/>
    </row>
    <row r="117" spans="2:18" s="101" customFormat="1" ht="12.75" hidden="1" customHeight="1">
      <c r="B117" s="111"/>
      <c r="C117" s="144" t="s">
        <v>63</v>
      </c>
      <c r="D117" s="145"/>
      <c r="E117" s="146" t="s">
        <v>64</v>
      </c>
      <c r="F117" s="147">
        <f>F46-F118</f>
        <v>-2694.61</v>
      </c>
      <c r="G117" s="148">
        <f>G46-G118</f>
        <v>22901.42</v>
      </c>
      <c r="H117" s="149">
        <f>H46-H118</f>
        <v>-28677.05</v>
      </c>
      <c r="I117" s="148"/>
      <c r="J117" s="148"/>
      <c r="K117" s="150"/>
      <c r="O117" s="102"/>
    </row>
    <row r="118" spans="2:18" s="101" customFormat="1" ht="12.75" hidden="1" customHeight="1">
      <c r="B118" s="111"/>
      <c r="C118" s="151" t="s">
        <v>65</v>
      </c>
      <c r="D118" s="145"/>
      <c r="E118" s="152" t="s">
        <v>66</v>
      </c>
      <c r="F118" s="147">
        <f>IF(ISERROR(VLOOKUP("25112",DATOS!$A$2:$H$205,4,FALSE)),0,VLOOKUP("25112",DATOS!$A$2:$H$205,4,FALSE))</f>
        <v>0</v>
      </c>
      <c r="G118" s="153">
        <f>IF(ISERROR(VLOOKUP("25112",DATOS!$A$2:$H$205,5,FALSE)),0,VLOOKUP("25112",DATOS!$A$2:$H$205,5,FALSE))</f>
        <v>0</v>
      </c>
      <c r="H118" s="149">
        <f>IF(ISERROR(VLOOKUP("25112",DATOS!$A$2:$H$205,6,FALSE)),0,VLOOKUP("25112",DATOS!$A$2:$H$205,6,FALSE))</f>
        <v>0</v>
      </c>
      <c r="I118" s="148"/>
      <c r="J118" s="148"/>
      <c r="K118" s="150"/>
      <c r="M118" s="102"/>
      <c r="O118" s="102"/>
    </row>
    <row r="119" spans="2:18" s="142" customFormat="1" ht="12.75" hidden="1" customHeight="1">
      <c r="B119" s="133"/>
      <c r="C119" s="134" t="s">
        <v>16</v>
      </c>
      <c r="D119" s="135"/>
      <c r="E119" s="136" t="s">
        <v>17</v>
      </c>
      <c r="F119" s="137">
        <f>SUM(F120:F121)</f>
        <v>253.96</v>
      </c>
      <c r="G119" s="138">
        <f>SUM(G47)</f>
        <v>294.37</v>
      </c>
      <c r="H119" s="139">
        <f>SUM(H47)</f>
        <v>30595.79</v>
      </c>
      <c r="I119" s="140">
        <f>I47</f>
        <v>31144.120000000003</v>
      </c>
      <c r="J119" s="140">
        <f>J47</f>
        <v>2298</v>
      </c>
      <c r="K119" s="141">
        <f>IF(ISERROR((I119/J119)-1),"",((I119/J119)-1))</f>
        <v>12.552706701479549</v>
      </c>
      <c r="M119" s="102"/>
      <c r="O119" s="143"/>
    </row>
    <row r="120" spans="2:18" s="101" customFormat="1" ht="12.75" hidden="1" customHeight="1">
      <c r="B120" s="111"/>
      <c r="C120" s="144" t="s">
        <v>63</v>
      </c>
      <c r="D120" s="145"/>
      <c r="E120" s="146" t="s">
        <v>64</v>
      </c>
      <c r="F120" s="147">
        <f>F47-F121</f>
        <v>253.96</v>
      </c>
      <c r="G120" s="148">
        <f>G47-G121</f>
        <v>294.37</v>
      </c>
      <c r="H120" s="149">
        <f>H47-H121</f>
        <v>30595.79</v>
      </c>
      <c r="I120" s="148"/>
      <c r="J120" s="148"/>
      <c r="K120" s="150"/>
      <c r="M120" s="102"/>
      <c r="O120" s="102"/>
    </row>
    <row r="121" spans="2:18" s="101" customFormat="1" ht="12.75" hidden="1" customHeight="1">
      <c r="B121" s="111"/>
      <c r="C121" s="151" t="s">
        <v>65</v>
      </c>
      <c r="D121" s="145"/>
      <c r="E121" s="152" t="s">
        <v>66</v>
      </c>
      <c r="F121" s="147">
        <f>IF(ISERROR(VLOOKUP("26112",DATOS!$A$2:$H$205,4,FALSE)),0,VLOOKUP("26112",DATOS!$A$2:$H$205,4,FALSE))</f>
        <v>0</v>
      </c>
      <c r="G121" s="153">
        <f>IF(ISERROR(VLOOKUP("26112",DATOS!$A$2:$H$205,5,FALSE)),0,VLOOKUP("26112",DATOS!$A$2:$H$205,5,FALSE))</f>
        <v>0</v>
      </c>
      <c r="H121" s="149">
        <f>IF(ISERROR(VLOOKUP("26112",DATOS!$A$2:$H$205,6,FALSE)),0,VLOOKUP("26112",DATOS!$A$2:$H$205,6,FALSE))</f>
        <v>0</v>
      </c>
      <c r="I121" s="148"/>
      <c r="J121" s="148"/>
      <c r="K121" s="150"/>
      <c r="M121" s="102"/>
      <c r="O121" s="102"/>
    </row>
    <row r="122" spans="2:18" s="101" customFormat="1" ht="12.75" hidden="1" customHeight="1">
      <c r="B122" s="111"/>
      <c r="C122" s="134" t="s">
        <v>18</v>
      </c>
      <c r="D122" s="135"/>
      <c r="E122" s="136" t="s">
        <v>19</v>
      </c>
      <c r="F122" s="154">
        <f>SUM(F123:F124)</f>
        <v>57789.64</v>
      </c>
      <c r="G122" s="138">
        <f>G48</f>
        <v>94149.79</v>
      </c>
      <c r="H122" s="139">
        <f>H48</f>
        <v>192.18</v>
      </c>
      <c r="I122" s="140">
        <f>I48</f>
        <v>152131.60999999999</v>
      </c>
      <c r="J122" s="140">
        <f>J48</f>
        <v>185331</v>
      </c>
      <c r="K122" s="141">
        <f>IF(ISERROR((I122/J122)-1),"",((I122/J122)-1))</f>
        <v>-0.17913565458557934</v>
      </c>
      <c r="M122" s="102"/>
      <c r="O122" s="102"/>
    </row>
    <row r="123" spans="2:18" s="101" customFormat="1" ht="12.75" hidden="1" customHeight="1">
      <c r="B123" s="111"/>
      <c r="C123" s="144" t="s">
        <v>63</v>
      </c>
      <c r="D123" s="145"/>
      <c r="E123" s="146" t="s">
        <v>64</v>
      </c>
      <c r="F123" s="147">
        <f>F48-F124</f>
        <v>57789.64</v>
      </c>
      <c r="G123" s="148">
        <f>G48-G124</f>
        <v>94149.79</v>
      </c>
      <c r="H123" s="149">
        <f>H48-H124</f>
        <v>192.18</v>
      </c>
      <c r="I123" s="148"/>
      <c r="J123" s="148"/>
      <c r="K123" s="150"/>
      <c r="M123" s="102"/>
      <c r="O123" s="102"/>
    </row>
    <row r="124" spans="2:18" s="101" customFormat="1" ht="12.75" hidden="1" customHeight="1">
      <c r="B124" s="111"/>
      <c r="C124" s="151" t="s">
        <v>65</v>
      </c>
      <c r="D124" s="145"/>
      <c r="E124" s="152" t="s">
        <v>66</v>
      </c>
      <c r="F124" s="147">
        <f>IF(ISERROR(VLOOKUP("29112",DATOS!$A$2:$H$205,4,FALSE)),0,VLOOKUP("29112",DATOS!$A$2:$H$205,4,FALSE))</f>
        <v>0</v>
      </c>
      <c r="G124" s="153">
        <f>IF(ISERROR(VLOOKUP("29112",DATOS!$A$2:$H$205,5,FALSE)),0,VLOOKUP("29112",DATOS!$A$2:$H$205,5,FALSE))</f>
        <v>0</v>
      </c>
      <c r="H124" s="149">
        <f>IF(ISERROR(VLOOKUP("29112",DATOS!$A$2:$H$205,6,FALSE)),0,VLOOKUP("29112",DATOS!$A$2:$H$205,6,FALSE))</f>
        <v>0</v>
      </c>
      <c r="I124" s="148"/>
      <c r="J124" s="148"/>
      <c r="K124" s="150"/>
      <c r="M124" s="102"/>
      <c r="O124" s="102"/>
    </row>
    <row r="125" spans="2:18" s="101" customFormat="1" ht="12.75" hidden="1" customHeight="1">
      <c r="B125" s="111"/>
      <c r="C125" s="134" t="s">
        <v>20</v>
      </c>
      <c r="D125" s="135"/>
      <c r="E125" s="136" t="s">
        <v>21</v>
      </c>
      <c r="F125" s="154">
        <f>SUM(F126:F127)</f>
        <v>32104093.190000001</v>
      </c>
      <c r="G125" s="138">
        <f>SUM(G49)</f>
        <v>189449427.5</v>
      </c>
      <c r="H125" s="139">
        <f>SUM(H49)</f>
        <v>-642928.5</v>
      </c>
      <c r="I125" s="140">
        <f>I49</f>
        <v>220910592.19</v>
      </c>
      <c r="J125" s="140">
        <f>J49</f>
        <v>217065021</v>
      </c>
      <c r="K125" s="141">
        <f>IF(ISERROR((I125/J125)-1),"",((I125/J125)-1))</f>
        <v>1.7716217805539447E-2</v>
      </c>
      <c r="M125" s="102"/>
      <c r="O125" s="102"/>
    </row>
    <row r="126" spans="2:18" s="101" customFormat="1" ht="12.75" hidden="1" customHeight="1">
      <c r="B126" s="111"/>
      <c r="C126" s="144" t="s">
        <v>63</v>
      </c>
      <c r="D126" s="145"/>
      <c r="E126" s="146" t="s">
        <v>64</v>
      </c>
      <c r="F126" s="147">
        <f>F49-F127</f>
        <v>32104093.190000001</v>
      </c>
      <c r="G126" s="148">
        <f>G49-G127</f>
        <v>189449427.5</v>
      </c>
      <c r="H126" s="149">
        <f>H49-H127</f>
        <v>-642928.5</v>
      </c>
      <c r="I126" s="148"/>
      <c r="J126" s="148"/>
      <c r="K126" s="150"/>
      <c r="M126" s="102"/>
      <c r="O126" s="102"/>
    </row>
    <row r="127" spans="2:18" s="101" customFormat="1" ht="12.75" hidden="1" customHeight="1">
      <c r="B127" s="111"/>
      <c r="C127" s="151" t="s">
        <v>65</v>
      </c>
      <c r="D127" s="145"/>
      <c r="E127" s="152" t="s">
        <v>66</v>
      </c>
      <c r="F127" s="147">
        <f>IF(ISERROR(VLOOKUP("27112",DATOS!$A$2:$H$205,4,FALSE)),0,VLOOKUP("27112",DATOS!$A$2:$H$205,4,FALSE))</f>
        <v>0</v>
      </c>
      <c r="G127" s="153">
        <f>IF(ISERROR(VLOOKUP("27112",DATOS!$A$2:$H$205,5,FALSE)),0,VLOOKUP("27112",DATOS!$A$2:$H$205,5,FALSE))</f>
        <v>0</v>
      </c>
      <c r="H127" s="149">
        <f>IF(ISERROR(VLOOKUP("27112",DATOS!$A$2:$H$205,6,FALSE)),0,VLOOKUP("27112",DATOS!$A$2:$H$205,6,FALSE))</f>
        <v>0</v>
      </c>
      <c r="I127" s="148"/>
      <c r="J127" s="148"/>
      <c r="K127" s="150"/>
      <c r="M127" s="102"/>
      <c r="O127" s="102"/>
    </row>
    <row r="128" spans="2:18" s="101" customFormat="1" ht="12.75" hidden="1" customHeight="1">
      <c r="B128" s="111"/>
      <c r="C128" s="134" t="s">
        <v>22</v>
      </c>
      <c r="D128" s="135"/>
      <c r="E128" s="136" t="s">
        <v>23</v>
      </c>
      <c r="F128" s="154">
        <f>SUM(F129:F130)</f>
        <v>7741052.1500000004</v>
      </c>
      <c r="G128" s="138">
        <f>G50</f>
        <v>24842755.100000001</v>
      </c>
      <c r="H128" s="139">
        <f>H50</f>
        <v>15709713.98</v>
      </c>
      <c r="I128" s="140">
        <f>I50</f>
        <v>48293521.230000004</v>
      </c>
      <c r="J128" s="140">
        <f>J50</f>
        <v>42895023</v>
      </c>
      <c r="K128" s="141">
        <f>IF(ISERROR((I128/J128)-1),"",((I128/J128)-1))</f>
        <v>0.12585372037217479</v>
      </c>
      <c r="M128" s="102"/>
      <c r="O128" s="102"/>
    </row>
    <row r="129" spans="2:15" s="101" customFormat="1" ht="12.75" hidden="1" customHeight="1">
      <c r="B129" s="111"/>
      <c r="C129" s="144" t="s">
        <v>63</v>
      </c>
      <c r="D129" s="155"/>
      <c r="E129" s="146" t="s">
        <v>64</v>
      </c>
      <c r="F129" s="147">
        <f>F50-F130</f>
        <v>7741052.1500000004</v>
      </c>
      <c r="G129" s="148">
        <f>G50-G130</f>
        <v>24842755.100000001</v>
      </c>
      <c r="H129" s="149">
        <f>H50-H130</f>
        <v>15709713.98</v>
      </c>
      <c r="I129" s="148"/>
      <c r="J129" s="148"/>
      <c r="K129" s="150"/>
      <c r="M129" s="102"/>
      <c r="O129" s="102"/>
    </row>
    <row r="130" spans="2:15" s="101" customFormat="1" ht="12.75" hidden="1" customHeight="1">
      <c r="B130" s="111"/>
      <c r="C130" s="151" t="s">
        <v>65</v>
      </c>
      <c r="D130" s="145"/>
      <c r="E130" s="152" t="s">
        <v>66</v>
      </c>
      <c r="F130" s="147">
        <f>IF(ISERROR(VLOOKUP("28112",DATOS!$A$2:$H$205,4,FALSE)),0,VLOOKUP("28112",DATOS!$A$2:$H$205,4,FALSE))</f>
        <v>0</v>
      </c>
      <c r="G130" s="153">
        <f>IF(ISERROR(VLOOKUP("28112",DATOS!$A$2:$H$205,5,FALSE)),0,VLOOKUP("28112",DATOS!$A$2:$H$205,5,FALSE))</f>
        <v>0</v>
      </c>
      <c r="H130" s="149">
        <f>IF(ISERROR(VLOOKUP("28112",DATOS!$A$2:$H$205,6,FALSE)),0,VLOOKUP("28112",DATOS!$A$2:$H$205,6,FALSE))</f>
        <v>0</v>
      </c>
      <c r="I130" s="148"/>
      <c r="J130" s="148"/>
      <c r="K130" s="150"/>
      <c r="M130" s="102"/>
      <c r="O130" s="102"/>
    </row>
    <row r="131" spans="2:15" s="101" customFormat="1" ht="12.75" hidden="1" customHeight="1">
      <c r="B131" s="111"/>
      <c r="C131" s="134" t="s">
        <v>24</v>
      </c>
      <c r="D131" s="135"/>
      <c r="E131" s="136" t="s">
        <v>25</v>
      </c>
      <c r="F131" s="154">
        <f>SUM(F132:F133)</f>
        <v>0</v>
      </c>
      <c r="G131" s="138">
        <f>SUM(G132:G133)</f>
        <v>132.94999999999999</v>
      </c>
      <c r="H131" s="206">
        <f>SUM(H132:H133)</f>
        <v>0</v>
      </c>
      <c r="I131" s="140">
        <f>I51</f>
        <v>132.94999999999999</v>
      </c>
      <c r="J131" s="140">
        <f>J51</f>
        <v>0</v>
      </c>
      <c r="K131" s="150"/>
      <c r="M131" s="102"/>
      <c r="O131" s="102"/>
    </row>
    <row r="132" spans="2:15" s="101" customFormat="1" ht="12.75" hidden="1" customHeight="1">
      <c r="B132" s="111"/>
      <c r="C132" s="144" t="s">
        <v>63</v>
      </c>
      <c r="D132" s="145"/>
      <c r="E132" s="146" t="s">
        <v>64</v>
      </c>
      <c r="F132" s="147">
        <f>F51-F133</f>
        <v>0</v>
      </c>
      <c r="G132" s="153">
        <f>G51-G133</f>
        <v>132.94999999999999</v>
      </c>
      <c r="H132" s="149">
        <f>H51-H133</f>
        <v>0</v>
      </c>
      <c r="I132" s="156"/>
      <c r="J132" s="148"/>
      <c r="K132" s="150"/>
      <c r="M132" s="102"/>
      <c r="O132" s="102"/>
    </row>
    <row r="133" spans="2:15" s="101" customFormat="1" ht="12.75" hidden="1" customHeight="1">
      <c r="B133" s="111"/>
      <c r="C133" s="151" t="s">
        <v>65</v>
      </c>
      <c r="D133" s="145"/>
      <c r="E133" s="152" t="s">
        <v>66</v>
      </c>
      <c r="F133" s="147">
        <f>IF(ISERROR(VLOOKUP("2j112",DATOS!$A$2:$H$205,4,FALSE)),0,VLOOKUP("2j112",DATOS!$A$2:$H$205,4,FALSE))</f>
        <v>0</v>
      </c>
      <c r="G133" s="153">
        <f>IF(ISERROR(VLOOKUP("2j112",DATOS!$A$2:$H$205,5,FALSE)),0,VLOOKUP("2j112",DATOS!$A$2:$H$205,5,FALSE))</f>
        <v>0</v>
      </c>
      <c r="H133" s="149">
        <f>IF(ISERROR(VLOOKUP("2j112",DATOS!$A$2:$H$205,6,FALSE)),0,VLOOKUP("2j112",DATOS!$A$2:$H$205,6,FALSE))</f>
        <v>0</v>
      </c>
      <c r="I133" s="156"/>
      <c r="J133" s="148"/>
      <c r="K133" s="150"/>
      <c r="M133" s="102"/>
      <c r="O133" s="102"/>
    </row>
    <row r="134" spans="2:15" s="101" customFormat="1" ht="9.9499999999999993" hidden="1" customHeight="1">
      <c r="B134" s="111"/>
      <c r="C134" s="157"/>
      <c r="D134" s="145"/>
      <c r="E134" s="158"/>
      <c r="F134" s="147"/>
      <c r="G134" s="153"/>
      <c r="H134" s="149"/>
      <c r="I134" s="156"/>
      <c r="J134" s="148"/>
      <c r="K134" s="150"/>
      <c r="M134" s="102"/>
      <c r="O134" s="102"/>
    </row>
    <row r="135" spans="2:15" s="101" customFormat="1" ht="12.75" hidden="1" customHeight="1">
      <c r="B135" s="111"/>
      <c r="C135" s="134" t="s">
        <v>67</v>
      </c>
      <c r="D135" s="135"/>
      <c r="E135" s="136" t="s">
        <v>68</v>
      </c>
      <c r="F135" s="154">
        <f>SUM(F136:F137)</f>
        <v>210119.29</v>
      </c>
      <c r="G135" s="138">
        <f>G52</f>
        <v>501314.46</v>
      </c>
      <c r="H135" s="139">
        <f>H52</f>
        <v>595982.51</v>
      </c>
      <c r="I135" s="140">
        <f>I52</f>
        <v>1307416.26</v>
      </c>
      <c r="J135" s="140">
        <f>J52</f>
        <v>1268679</v>
      </c>
      <c r="K135" s="141">
        <f>IF(ISERROR((I135/J135)-1),"",((I135/J135)-1))</f>
        <v>3.0533539216775818E-2</v>
      </c>
      <c r="M135" s="102"/>
      <c r="O135" s="102"/>
    </row>
    <row r="136" spans="2:15" s="101" customFormat="1" ht="12.75" hidden="1" customHeight="1">
      <c r="B136" s="111"/>
      <c r="C136" s="144" t="s">
        <v>63</v>
      </c>
      <c r="D136" s="145"/>
      <c r="E136" s="146" t="s">
        <v>64</v>
      </c>
      <c r="F136" s="147">
        <f>F52-F137</f>
        <v>210119.29</v>
      </c>
      <c r="G136" s="148">
        <f>G52-G137</f>
        <v>501314.46</v>
      </c>
      <c r="H136" s="149">
        <f>H52-H137</f>
        <v>595982.51</v>
      </c>
      <c r="I136" s="148"/>
      <c r="J136" s="148"/>
      <c r="K136" s="150"/>
      <c r="M136" s="102"/>
      <c r="O136" s="102"/>
    </row>
    <row r="137" spans="2:15" s="101" customFormat="1" ht="12.75" hidden="1" customHeight="1">
      <c r="B137" s="111"/>
      <c r="C137" s="151" t="s">
        <v>65</v>
      </c>
      <c r="D137" s="145"/>
      <c r="E137" s="152" t="s">
        <v>66</v>
      </c>
      <c r="F137" s="147">
        <f>IF(ISERROR(VLOOKUP("2d110",DATOS!$A$2:$H$205,4,FALSE)),0,VLOOKUP("2d110",DATOS!$A$2:$H$205,4,FALSE))</f>
        <v>0</v>
      </c>
      <c r="G137" s="153">
        <f>IF(ISERROR(VLOOKUP("2d110",DATOS!$A$2:$H$205,5,FALSE)),0,VLOOKUP("2d110",DATOS!$A$2:$H$205,5,FALSE))</f>
        <v>0</v>
      </c>
      <c r="H137" s="149">
        <f>IF(ISERROR(VLOOKUP("2d110",DATOS!$A$2:$H$205,6,FALSE)),0,VLOOKUP("2d110",DATOS!$A$2:$H$205,6,FALSE))</f>
        <v>0</v>
      </c>
      <c r="I137" s="148"/>
      <c r="J137" s="148"/>
      <c r="K137" s="150"/>
      <c r="M137" s="102"/>
      <c r="O137" s="102"/>
    </row>
    <row r="138" spans="2:15" s="101" customFormat="1" ht="9.9499999999999993" hidden="1" customHeight="1">
      <c r="B138" s="111"/>
      <c r="C138" s="157"/>
      <c r="D138" s="145"/>
      <c r="E138" s="158"/>
      <c r="F138" s="147"/>
      <c r="G138" s="153"/>
      <c r="H138" s="149"/>
      <c r="I138" s="140"/>
      <c r="J138" s="148"/>
      <c r="K138" s="150"/>
      <c r="M138" s="102"/>
      <c r="O138" s="102"/>
    </row>
    <row r="139" spans="2:15" s="101" customFormat="1" ht="12.75" hidden="1" customHeight="1">
      <c r="B139" s="111"/>
      <c r="C139" s="134" t="s">
        <v>69</v>
      </c>
      <c r="D139" s="135"/>
      <c r="E139" s="136" t="s">
        <v>70</v>
      </c>
      <c r="F139" s="154">
        <f>SUM(F140:F141)</f>
        <v>2381093.64</v>
      </c>
      <c r="G139" s="138">
        <f>G53</f>
        <v>6252976</v>
      </c>
      <c r="H139" s="139">
        <f>H53</f>
        <v>2204102.1800000002</v>
      </c>
      <c r="I139" s="140">
        <f>I53</f>
        <v>10838171.82</v>
      </c>
      <c r="J139" s="140">
        <f>J53</f>
        <v>9644233</v>
      </c>
      <c r="K139" s="141">
        <f>IF(ISERROR((I139/J139)-1),"",((I139/J139)-1))</f>
        <v>0.12379821391706325</v>
      </c>
      <c r="M139" s="102"/>
      <c r="O139" s="102"/>
    </row>
    <row r="140" spans="2:15" s="101" customFormat="1" ht="12.75" hidden="1" customHeight="1">
      <c r="B140" s="111"/>
      <c r="C140" s="144" t="s">
        <v>63</v>
      </c>
      <c r="D140" s="145"/>
      <c r="E140" s="146" t="s">
        <v>64</v>
      </c>
      <c r="F140" s="147">
        <f>F53-F141</f>
        <v>2381093.64</v>
      </c>
      <c r="G140" s="148">
        <f>G53-G141</f>
        <v>6252976</v>
      </c>
      <c r="H140" s="149">
        <f>H53-H141</f>
        <v>2204102.1800000002</v>
      </c>
      <c r="I140" s="148"/>
      <c r="J140" s="148"/>
      <c r="K140" s="150"/>
      <c r="M140" s="102"/>
      <c r="O140" s="102"/>
    </row>
    <row r="141" spans="2:15" s="101" customFormat="1" ht="12.75" hidden="1" customHeight="1">
      <c r="B141" s="111"/>
      <c r="C141" s="151" t="s">
        <v>65</v>
      </c>
      <c r="D141" s="145"/>
      <c r="E141" s="152" t="s">
        <v>66</v>
      </c>
      <c r="F141" s="147">
        <f>IF(ISERROR(VLOOKUP("2a112",DATOS!$A$2:$H$205,4,FALSE)),0,VLOOKUP("2a112",DATOS!$A$2:$H$205,4,FALSE))</f>
        <v>0</v>
      </c>
      <c r="G141" s="153">
        <f>IF(ISERROR(VLOOKUP("2a112",DATOS!$A$2:$H$205,5,FALSE)),0,VLOOKUP("2a112",DATOS!$A$2:$H$205,5,FALSE))</f>
        <v>0</v>
      </c>
      <c r="H141" s="149">
        <f>IF(ISERROR(VLOOKUP("2a112",DATOS!$A$2:$H$205,6,FALSE)),0,VLOOKUP("2a112",DATOS!$A$2:$H$205,6,FALSE))</f>
        <v>0</v>
      </c>
      <c r="I141" s="148"/>
      <c r="J141" s="148"/>
      <c r="K141" s="150"/>
      <c r="M141" s="102"/>
      <c r="O141" s="102"/>
    </row>
    <row r="142" spans="2:15" s="101" customFormat="1" ht="9.9499999999999993" hidden="1" customHeight="1">
      <c r="B142" s="111"/>
      <c r="C142" s="157"/>
      <c r="D142" s="145"/>
      <c r="E142" s="158"/>
      <c r="F142" s="147"/>
      <c r="G142" s="153"/>
      <c r="H142" s="149"/>
      <c r="I142" s="140"/>
      <c r="J142" s="148"/>
      <c r="K142" s="150"/>
      <c r="M142" s="102"/>
      <c r="O142" s="102"/>
    </row>
    <row r="143" spans="2:15" s="101" customFormat="1" ht="12.75" hidden="1" customHeight="1">
      <c r="B143" s="111"/>
      <c r="C143" s="134" t="s">
        <v>71</v>
      </c>
      <c r="D143" s="135"/>
      <c r="E143" s="136" t="s">
        <v>72</v>
      </c>
      <c r="F143" s="154">
        <f>SUM(F144:F145)</f>
        <v>0</v>
      </c>
      <c r="G143" s="138">
        <f>G54</f>
        <v>409.38</v>
      </c>
      <c r="H143" s="139">
        <f>H54</f>
        <v>0</v>
      </c>
      <c r="I143" s="140">
        <f>I54</f>
        <v>409.38</v>
      </c>
      <c r="J143" s="140">
        <f>J54</f>
        <v>0</v>
      </c>
      <c r="K143" s="141" t="str">
        <f>IF(ISERROR((I143/J143)-1),"",((I143/J143)-1))</f>
        <v/>
      </c>
      <c r="M143" s="102"/>
      <c r="O143" s="102"/>
    </row>
    <row r="144" spans="2:15" s="101" customFormat="1" ht="12.75" hidden="1" customHeight="1">
      <c r="B144" s="111"/>
      <c r="C144" s="144" t="s">
        <v>63</v>
      </c>
      <c r="D144" s="145"/>
      <c r="E144" s="146" t="s">
        <v>64</v>
      </c>
      <c r="F144" s="147">
        <f>F54-F145</f>
        <v>0</v>
      </c>
      <c r="G144" s="148">
        <f>G54-G145</f>
        <v>409.38</v>
      </c>
      <c r="H144" s="149">
        <f>H54-H145</f>
        <v>0</v>
      </c>
      <c r="I144" s="148"/>
      <c r="J144" s="148"/>
      <c r="K144" s="150"/>
      <c r="M144" s="102"/>
      <c r="O144" s="102"/>
    </row>
    <row r="145" spans="2:15" s="101" customFormat="1" ht="12.75" hidden="1" customHeight="1">
      <c r="B145" s="111"/>
      <c r="C145" s="151" t="s">
        <v>65</v>
      </c>
      <c r="D145" s="145"/>
      <c r="E145" s="152" t="s">
        <v>66</v>
      </c>
      <c r="F145" s="147">
        <f>IF(ISERROR(VLOOKUP("2b112",DATOS!$A$2:$H$205,4,FALSE)),0,VLOOKUP("2b112",DATOS!$A$2:$H$205,4,FALSE))</f>
        <v>0</v>
      </c>
      <c r="G145" s="153">
        <f>IF(ISERROR(VLOOKUP("2b112",DATOS!$A$2:$H$205,5,FALSE)),0,VLOOKUP("2b112",DATOS!$A$2:$H$205,5,FALSE))</f>
        <v>0</v>
      </c>
      <c r="H145" s="149">
        <f>IF(ISERROR(VLOOKUP("2b112",DATOS!$A$2:$H$205,6,FALSE)),0,VLOOKUP("2b112",DATOS!$A$2:$H$205,6,FALSE))</f>
        <v>0</v>
      </c>
      <c r="I145" s="148"/>
      <c r="J145" s="148"/>
      <c r="K145" s="150"/>
      <c r="M145" s="102"/>
      <c r="O145" s="102"/>
    </row>
    <row r="146" spans="2:15" s="121" customFormat="1" ht="12.75" customHeight="1">
      <c r="B146" s="118"/>
      <c r="C146" s="58"/>
      <c r="D146" s="69"/>
      <c r="E146" s="123"/>
      <c r="F146" s="159"/>
      <c r="G146" s="27"/>
      <c r="H146" s="125"/>
      <c r="I146" s="126"/>
      <c r="J146" s="127"/>
      <c r="K146" s="128"/>
      <c r="O146" s="122"/>
    </row>
    <row r="147" spans="2:15" s="101" customFormat="1" ht="12.75" customHeight="1">
      <c r="B147" s="111"/>
      <c r="C147" s="129" t="s">
        <v>73</v>
      </c>
      <c r="D147" s="66"/>
      <c r="E147" s="131" t="s">
        <v>74</v>
      </c>
      <c r="F147" s="41">
        <f>F55-F148</f>
        <v>14795.01</v>
      </c>
      <c r="G147" s="42">
        <f>G55-G148</f>
        <v>2018672.55</v>
      </c>
      <c r="H147" s="117">
        <f>H55-H148</f>
        <v>211215.16</v>
      </c>
      <c r="I147" s="42"/>
      <c r="J147" s="42"/>
      <c r="K147" s="29"/>
      <c r="O147" s="102"/>
    </row>
    <row r="148" spans="2:15" s="101" customFormat="1" ht="12.75" customHeight="1">
      <c r="B148" s="111"/>
      <c r="C148" s="129" t="s">
        <v>75</v>
      </c>
      <c r="D148" s="66"/>
      <c r="E148" s="131" t="s">
        <v>76</v>
      </c>
      <c r="F148" s="41">
        <f>IF(ISERROR(VLOOKUP("2f110",DATOS!$A$2:$H$205,4,FALSE)),0,VLOOKUP("2f110",DATOS!$A$2:$H$205,4,FALSE))</f>
        <v>0</v>
      </c>
      <c r="G148" s="27">
        <f>IF(ISERROR(VLOOKUP("2f110",DATOS!$A$2:$H$205,5,FALSE)),0,VLOOKUP("2f110",DATOS!$A$2:$H$205,5,FALSE))</f>
        <v>0</v>
      </c>
      <c r="H148" s="117">
        <f>IF(ISERROR(VLOOKUP("2f110",DATOS!$A$2:$H$205,6,FALSE)),0,VLOOKUP("2f110",DATOS!$A$2:$H$205,6,FALSE))</f>
        <v>0</v>
      </c>
      <c r="I148" s="42"/>
      <c r="J148" s="42"/>
      <c r="K148" s="128"/>
      <c r="O148" s="102"/>
    </row>
    <row r="149" spans="2:15" s="121" customFormat="1" ht="20.100000000000001" customHeight="1">
      <c r="B149" s="118"/>
      <c r="C149" s="119" t="s">
        <v>77</v>
      </c>
      <c r="D149" s="132"/>
      <c r="E149" s="120" t="s">
        <v>78</v>
      </c>
      <c r="F149" s="59">
        <f>SUM(F147:F148)</f>
        <v>14795.01</v>
      </c>
      <c r="G149" s="77">
        <f>SUM(G147:G148)</f>
        <v>2018672.55</v>
      </c>
      <c r="H149" s="80">
        <f>SUM(H147:H148)</f>
        <v>211215.16</v>
      </c>
      <c r="I149" s="60">
        <f>I55</f>
        <v>2244682.7200000002</v>
      </c>
      <c r="J149" s="60">
        <f>J55</f>
        <v>3233068</v>
      </c>
      <c r="K149" s="62">
        <f>IF(ISERROR((I149/J149)-1),"",((I149/J149)-1))</f>
        <v>-0.3057112563051565</v>
      </c>
      <c r="O149" s="122"/>
    </row>
    <row r="150" spans="2:15" s="121" customFormat="1" ht="12.75" customHeight="1">
      <c r="B150" s="118"/>
      <c r="C150" s="58"/>
      <c r="D150" s="69"/>
      <c r="E150" s="123"/>
      <c r="F150" s="59"/>
      <c r="G150" s="77"/>
      <c r="H150" s="81"/>
      <c r="I150" s="160"/>
      <c r="J150" s="60"/>
      <c r="K150" s="161"/>
      <c r="O150" s="122"/>
    </row>
    <row r="151" spans="2:15" s="101" customFormat="1" ht="12.75" customHeight="1">
      <c r="B151" s="111"/>
      <c r="C151" s="129" t="s">
        <v>79</v>
      </c>
      <c r="D151" s="66"/>
      <c r="E151" s="131" t="s">
        <v>80</v>
      </c>
      <c r="F151" s="41">
        <f>F56-F152</f>
        <v>81584.899999999994</v>
      </c>
      <c r="G151" s="42">
        <f>G56-G152</f>
        <v>16254804.050000001</v>
      </c>
      <c r="H151" s="117">
        <f>H56-H152</f>
        <v>66181.850000000006</v>
      </c>
      <c r="I151" s="42"/>
      <c r="J151" s="42"/>
      <c r="K151" s="29"/>
      <c r="O151" s="102"/>
    </row>
    <row r="152" spans="2:15" s="101" customFormat="1" ht="12.75" customHeight="1">
      <c r="B152" s="111"/>
      <c r="C152" s="129" t="s">
        <v>81</v>
      </c>
      <c r="D152" s="66"/>
      <c r="E152" s="131" t="s">
        <v>82</v>
      </c>
      <c r="F152" s="41">
        <f>IF(ISERROR(VLOOKUP("2g112",DATOS!$A$2:$H$205,4,FALSE)),0,VLOOKUP("2g112",DATOS!$A$2:$H$205,4,FALSE))</f>
        <v>0</v>
      </c>
      <c r="G152" s="27">
        <f>IF(ISERROR(VLOOKUP("2g112",DATOS!$A$2:$H$205,5,FALSE)),0,VLOOKUP("2g112",DATOS!$A$2:$H$205,5,FALSE))</f>
        <v>0</v>
      </c>
      <c r="H152" s="117">
        <f>IF(ISERROR(VLOOKUP("2g112",DATOS!$A$2:$H$205,6,FALSE)),0,VLOOKUP("2g112",DATOS!$A$2:$H$205,6,FALSE))</f>
        <v>0</v>
      </c>
      <c r="I152" s="42"/>
      <c r="J152" s="42"/>
      <c r="K152" s="128"/>
      <c r="O152" s="102"/>
    </row>
    <row r="153" spans="2:15" s="121" customFormat="1" ht="20.100000000000001" customHeight="1">
      <c r="B153" s="118"/>
      <c r="C153" s="119" t="s">
        <v>83</v>
      </c>
      <c r="D153" s="132"/>
      <c r="E153" s="120" t="s">
        <v>84</v>
      </c>
      <c r="F153" s="59">
        <f>SUM(F151:F152)</f>
        <v>81584.899999999994</v>
      </c>
      <c r="G153" s="77">
        <f>SUM(G151:G152)</f>
        <v>16254804.050000001</v>
      </c>
      <c r="H153" s="80">
        <f>SUM(H151:H152)</f>
        <v>66181.850000000006</v>
      </c>
      <c r="I153" s="60">
        <f>I56</f>
        <v>16402570.800000001</v>
      </c>
      <c r="J153" s="60">
        <f>J56</f>
        <v>9865322</v>
      </c>
      <c r="K153" s="62">
        <f>IF(ISERROR((I153/J153)-1),"",((I153/J153)-1))</f>
        <v>0.66264930835506441</v>
      </c>
      <c r="M153" s="122"/>
      <c r="O153" s="122"/>
    </row>
    <row r="154" spans="2:15" s="121" customFormat="1" ht="12.75" customHeight="1" thickBot="1">
      <c r="B154" s="118"/>
      <c r="C154" s="58"/>
      <c r="D154" s="69"/>
      <c r="E154" s="123"/>
      <c r="F154" s="124"/>
      <c r="G154" s="113"/>
      <c r="H154" s="125"/>
      <c r="I154" s="126"/>
      <c r="J154" s="162"/>
      <c r="K154" s="128"/>
      <c r="O154" s="122"/>
    </row>
    <row r="155" spans="2:15" s="142" customFormat="1" ht="30" customHeight="1" thickBot="1">
      <c r="B155" s="221" t="s">
        <v>85</v>
      </c>
      <c r="C155" s="233"/>
      <c r="D155" s="163"/>
      <c r="E155" s="164" t="s">
        <v>86</v>
      </c>
      <c r="F155" s="84">
        <f>F110+F114+F149+F153</f>
        <v>238884707.72999999</v>
      </c>
      <c r="G155" s="85">
        <f>G110+G114+G149+G153</f>
        <v>976818371.79999995</v>
      </c>
      <c r="H155" s="86">
        <f>H110+H114+H149+H153</f>
        <v>361951059.49000001</v>
      </c>
      <c r="I155" s="165">
        <f>I110+I114+I149+I153</f>
        <v>1577654139.0199997</v>
      </c>
      <c r="J155" s="85">
        <f>J110+J114+J149+J153</f>
        <v>1474165145</v>
      </c>
      <c r="K155" s="87">
        <f>IF(ISERROR((I155/J155)-1),"",((I155/J155)-1))</f>
        <v>7.0201764280622525E-2</v>
      </c>
      <c r="O155" s="143"/>
    </row>
    <row r="156" spans="2:15" ht="15">
      <c r="B156" s="166"/>
      <c r="C156" s="167"/>
      <c r="D156" s="167"/>
      <c r="E156" s="167"/>
      <c r="F156" s="167"/>
      <c r="G156" s="167"/>
      <c r="H156" s="167"/>
      <c r="I156" s="167"/>
      <c r="J156" s="167"/>
      <c r="K156" s="167"/>
    </row>
    <row r="157" spans="2:15" ht="15">
      <c r="B157" s="234" t="s">
        <v>87</v>
      </c>
      <c r="C157" s="235"/>
      <c r="D157" s="235"/>
      <c r="E157" s="235"/>
      <c r="F157" s="235"/>
      <c r="G157" s="235"/>
      <c r="H157" s="235"/>
      <c r="I157" s="235"/>
      <c r="J157" s="235"/>
      <c r="K157" s="235"/>
    </row>
    <row r="158" spans="2:15" ht="15">
      <c r="B158" s="234" t="s">
        <v>88</v>
      </c>
      <c r="C158" s="235"/>
      <c r="D158" s="235"/>
      <c r="E158" s="235"/>
      <c r="F158" s="235"/>
      <c r="G158" s="235"/>
      <c r="H158" s="235"/>
      <c r="I158" s="235"/>
      <c r="J158" s="235"/>
      <c r="K158" s="235"/>
    </row>
    <row r="159" spans="2:15" ht="15">
      <c r="B159" s="234" t="s">
        <v>89</v>
      </c>
      <c r="C159" s="235"/>
      <c r="D159" s="235"/>
      <c r="E159" s="235"/>
      <c r="F159" s="235"/>
      <c r="G159" s="235"/>
      <c r="H159" s="235"/>
      <c r="I159" s="235"/>
      <c r="J159" s="235"/>
      <c r="K159" s="235"/>
    </row>
    <row r="160" spans="2:15" ht="15">
      <c r="B160" s="166"/>
      <c r="C160" s="167"/>
      <c r="D160" s="167"/>
      <c r="E160" s="167"/>
      <c r="F160" s="167"/>
      <c r="G160" s="167"/>
      <c r="H160" s="167"/>
      <c r="I160" s="167"/>
      <c r="J160" s="167"/>
      <c r="K160" s="167"/>
    </row>
    <row r="161" spans="2:15" ht="15">
      <c r="B161" s="166"/>
      <c r="C161" s="167"/>
      <c r="D161" s="167"/>
      <c r="E161" s="167"/>
      <c r="F161" s="167"/>
      <c r="G161" s="167"/>
      <c r="H161" s="167"/>
      <c r="I161" s="167"/>
      <c r="J161" s="167"/>
      <c r="K161" s="167"/>
    </row>
    <row r="162" spans="2:15" ht="15">
      <c r="B162" s="166"/>
      <c r="C162" s="167"/>
      <c r="D162" s="167"/>
      <c r="E162" s="167"/>
      <c r="F162" s="167"/>
      <c r="G162" s="167"/>
      <c r="H162" s="167"/>
      <c r="I162" s="167"/>
      <c r="J162" s="167"/>
      <c r="K162" s="167"/>
    </row>
    <row r="163" spans="2:15" ht="15">
      <c r="B163" s="166"/>
      <c r="C163" s="167"/>
      <c r="D163" s="167"/>
      <c r="E163" s="167"/>
      <c r="F163" s="167"/>
      <c r="G163" s="167"/>
      <c r="H163" s="167"/>
      <c r="I163" s="167"/>
      <c r="J163" s="167"/>
      <c r="K163" s="167"/>
    </row>
    <row r="164" spans="2:15">
      <c r="B164" s="30"/>
      <c r="K164" s="30"/>
    </row>
    <row r="165" spans="2:15" ht="13.5" thickBot="1">
      <c r="B165" s="30"/>
      <c r="K165" s="30"/>
    </row>
    <row r="166" spans="2:15" s="30" customFormat="1" ht="35.1" customHeight="1">
      <c r="B166" s="225" t="s">
        <v>90</v>
      </c>
      <c r="C166" s="245"/>
      <c r="D166" s="245"/>
      <c r="E166" s="245"/>
      <c r="F166" s="245"/>
      <c r="G166" s="245"/>
      <c r="H166" s="245"/>
      <c r="I166" s="245"/>
      <c r="J166" s="245"/>
      <c r="K166" s="246"/>
      <c r="O166" s="31"/>
    </row>
    <row r="167" spans="2:15" s="30" customFormat="1" ht="12.75" customHeight="1">
      <c r="B167" s="247"/>
      <c r="C167" s="248"/>
      <c r="D167" s="248"/>
      <c r="E167" s="248"/>
      <c r="F167" s="248"/>
      <c r="G167" s="248"/>
      <c r="H167" s="248"/>
      <c r="I167" s="248"/>
      <c r="J167" s="248"/>
      <c r="K167" s="249"/>
      <c r="O167" s="31"/>
    </row>
    <row r="168" spans="2:15" s="30" customFormat="1" ht="14.1" customHeight="1" thickBot="1">
      <c r="B168" s="236" t="s">
        <v>0</v>
      </c>
      <c r="C168" s="237"/>
      <c r="D168" s="237"/>
      <c r="E168" s="237"/>
      <c r="F168" s="237"/>
      <c r="G168" s="237"/>
      <c r="H168" s="237"/>
      <c r="I168" s="237"/>
      <c r="J168" s="237"/>
      <c r="K168" s="238"/>
      <c r="O168" s="31"/>
    </row>
    <row r="169" spans="2:15" s="15" customFormat="1" ht="41.25" customHeight="1" thickBot="1">
      <c r="B169" s="217" t="str">
        <f>"DIRU-BILKETA METATUA"&amp;CHAR(10)&amp;  VLOOKUP(DATOS!J2,DATOS!K1:M12,3)&amp;IF(ISBLANK(DATOS!J3),"","-"&amp;VLOOKUP(DATOS!J3,DATOS!K1:M12,3))&amp;"  "&amp;DATOS!J1</f>
        <v>DIRU-BILKETA METATUA
ENERO-FEBRERO  2026</v>
      </c>
      <c r="C169" s="218"/>
      <c r="D169" s="219" t="str">
        <f>"RECAUDACIÓN ACUMULADA"&amp;CHAR(10)&amp;  VLOOKUP(DATOS!J2,DATOS!K1:M12,3)&amp;IF(ISBLANK(DATOS!J3),"","-"&amp;VLOOKUP(DATOS!J3,DATOS!K1:M12,3))&amp;"  "&amp;DATOS!J1</f>
        <v>RECAUDACIÓN ACUMULADA
ENERO-FEBRERO  2026</v>
      </c>
      <c r="E169" s="220"/>
      <c r="F169" s="11" t="str">
        <f>DATOS!J1 &amp; CHAR(10) &amp; "ARABA" &amp; CHAR(10) &amp; "Garbia/Neta"</f>
        <v>2026
ARABA
Garbia/Neta</v>
      </c>
      <c r="G169" s="12" t="str">
        <f>DATOS!J1 &amp; CHAR(10) &amp; "BIZKAIA" &amp; CHAR(10) &amp; "Garbia/Neta"</f>
        <v>2026
BIZKAIA
Garbia/Neta</v>
      </c>
      <c r="H169" s="12" t="str">
        <f>DATOS!J1 &amp; CHAR(10) &amp; "GIPUZKOA" &amp; CHAR(10) &amp; "Garbia/Neta"</f>
        <v>2026
GIPUZKOA
Garbia/Neta</v>
      </c>
      <c r="I169" s="207" t="str">
        <f>DATOS!J1 &amp; CHAR(10) &amp; "EAE/CAPV" &amp; CHAR(10) &amp; "Garbia/Neta"</f>
        <v>2026
EAE/CAPV
Garbia/Neta</v>
      </c>
      <c r="J169" s="12" t="str">
        <f>DATOS!J1-1 &amp; CHAR(10) &amp; "EAE/CAPV" &amp; CHAR(10) &amp; "Garbia/Neta"</f>
        <v>2025
EAE/CAPV
Garbia/Neta</v>
      </c>
      <c r="K169" s="14" t="s">
        <v>1</v>
      </c>
      <c r="O169" s="16"/>
    </row>
    <row r="170" spans="2:15" ht="12.75" customHeight="1">
      <c r="B170" s="168"/>
      <c r="C170" s="104"/>
      <c r="D170" s="105"/>
      <c r="E170" s="106"/>
      <c r="F170" s="20"/>
      <c r="G170" s="22"/>
      <c r="H170" s="107"/>
      <c r="I170" s="169"/>
      <c r="J170" s="22"/>
      <c r="K170" s="23"/>
    </row>
    <row r="171" spans="2:15" ht="12.75" customHeight="1">
      <c r="B171" s="20"/>
      <c r="C171" s="129" t="s">
        <v>10</v>
      </c>
      <c r="D171" s="130"/>
      <c r="E171" s="131" t="s">
        <v>11</v>
      </c>
      <c r="F171" s="41"/>
      <c r="G171" s="27"/>
      <c r="H171" s="48"/>
      <c r="I171" s="170"/>
      <c r="J171" s="27"/>
      <c r="K171" s="29"/>
    </row>
    <row r="172" spans="2:15" ht="12.75" customHeight="1">
      <c r="B172" s="20"/>
      <c r="C172" s="171" t="s">
        <v>91</v>
      </c>
      <c r="D172" s="172"/>
      <c r="E172" s="173" t="s">
        <v>92</v>
      </c>
      <c r="F172" s="41">
        <f>IF(ISERROR(VLOOKUP("21121",DATOS!$A$2:$H$205,4,FALSE)),0,VLOOKUP("21121",DATOS!$A$2:$H$205,4,FALSE))</f>
        <v>0</v>
      </c>
      <c r="G172" s="27">
        <f>IF(ISERROR(VLOOKUP("21121",DATOS!$A$2:$H$205,5,FALSE)),0,VLOOKUP("21121",DATOS!$A$2:$H$205,5,FALSE))</f>
        <v>0</v>
      </c>
      <c r="H172" s="28">
        <f>IF(ISERROR(VLOOKUP("21121",DATOS!$A$2:$H$205,6,FALSE)),0,VLOOKUP("21121",DATOS!$A$2:$H$205,6,FALSE))</f>
        <v>0</v>
      </c>
      <c r="I172" s="170">
        <f>SUM(F172:H172)</f>
        <v>0</v>
      </c>
      <c r="J172" s="27">
        <f>IF(ISERROR(VLOOKUP("21121",DATOS!$A$2:$H$205,8,FALSE)),0,VLOOKUP("21121",DATOS!$A$2:$H$205,8,FALSE))</f>
        <v>0</v>
      </c>
      <c r="K172" s="29" t="str">
        <f>IF(ISERROR((I172/J172)-1),"",((I172/J172)-1))</f>
        <v/>
      </c>
    </row>
    <row r="173" spans="2:15" ht="12.75" customHeight="1">
      <c r="B173" s="20"/>
      <c r="C173" s="174" t="s">
        <v>93</v>
      </c>
      <c r="D173" s="175"/>
      <c r="E173" s="176" t="s">
        <v>94</v>
      </c>
      <c r="F173" s="41">
        <f>IF(ISERROR(VLOOKUP("21122",DATOS!$A$2:$H$205,4,FALSE)),0,VLOOKUP("21122",DATOS!$A$2:$H$205,4,FALSE))</f>
        <v>0</v>
      </c>
      <c r="G173" s="27">
        <f>IF(ISERROR(VLOOKUP("21122",DATOS!$A$2:$H$205,5,FALSE)),0,VLOOKUP("21122",DATOS!$A$2:$H$205,5,FALSE))</f>
        <v>0</v>
      </c>
      <c r="H173" s="28">
        <f>IF(ISERROR(VLOOKUP("21122",DATOS!$A$2:$H$205,6,FALSE)),0,VLOOKUP("21122",DATOS!$A$2:$H$205,6,FALSE))</f>
        <v>0</v>
      </c>
      <c r="I173" s="170">
        <f>SUM(F173:H173)</f>
        <v>0</v>
      </c>
      <c r="J173" s="27">
        <f>IF(ISERROR(VLOOKUP("21122",DATOS!$A$2:$H$205,8,FALSE)),0,VLOOKUP("21122",DATOS!$A$2:$H$205,8,FALSE))</f>
        <v>0</v>
      </c>
      <c r="K173" s="29" t="str">
        <f>IF(ISERROR((I173/J173)-1),"",((I173/J173)-1))</f>
        <v/>
      </c>
    </row>
    <row r="174" spans="2:15" s="180" customFormat="1" ht="20.100000000000001" customHeight="1">
      <c r="B174" s="177"/>
      <c r="C174" s="53" t="s">
        <v>40</v>
      </c>
      <c r="D174" s="54"/>
      <c r="E174" s="178" t="s">
        <v>41</v>
      </c>
      <c r="F174" s="45">
        <f>SUM(F172:F173)</f>
        <v>0</v>
      </c>
      <c r="G174" s="35">
        <f>SUM(G172:G173)</f>
        <v>0</v>
      </c>
      <c r="H174" s="36">
        <f>SUM(H172:H173)</f>
        <v>0</v>
      </c>
      <c r="I174" s="179">
        <f>SUM(I172:I173)</f>
        <v>0</v>
      </c>
      <c r="J174" s="35">
        <f>SUM(J172:J173)</f>
        <v>0</v>
      </c>
      <c r="K174" s="38" t="str">
        <f>IF(ISERROR((I174/J174)-1),"",((I174/J174)-1))</f>
        <v/>
      </c>
      <c r="O174" s="181"/>
    </row>
    <row r="175" spans="2:15" s="180" customFormat="1" ht="12.75" customHeight="1">
      <c r="B175" s="182"/>
      <c r="C175" s="57"/>
      <c r="D175" s="183"/>
      <c r="E175" s="123"/>
      <c r="F175" s="159"/>
      <c r="G175" s="27"/>
      <c r="H175" s="28"/>
      <c r="I175" s="184"/>
      <c r="J175" s="27"/>
      <c r="K175" s="29"/>
      <c r="O175" s="181"/>
    </row>
    <row r="176" spans="2:15" ht="12.75" customHeight="1">
      <c r="B176" s="20"/>
      <c r="C176" s="39" t="s">
        <v>95</v>
      </c>
      <c r="D176" s="129"/>
      <c r="E176" s="131" t="s">
        <v>96</v>
      </c>
      <c r="F176" s="41"/>
      <c r="G176" s="27"/>
      <c r="H176" s="28"/>
      <c r="I176" s="170"/>
      <c r="J176" s="27"/>
      <c r="K176" s="29"/>
    </row>
    <row r="177" spans="2:15" ht="9.9499999999999993" customHeight="1">
      <c r="B177" s="20"/>
      <c r="C177" s="39"/>
      <c r="D177" s="129"/>
      <c r="E177" s="131"/>
      <c r="F177" s="41"/>
      <c r="G177" s="27"/>
      <c r="H177" s="28"/>
      <c r="I177" s="170"/>
      <c r="J177" s="27"/>
      <c r="K177" s="29"/>
    </row>
    <row r="178" spans="2:15" s="94" customFormat="1" ht="12.75" customHeight="1">
      <c r="B178" s="185"/>
      <c r="C178" s="64" t="s">
        <v>97</v>
      </c>
      <c r="D178" s="172"/>
      <c r="E178" s="186" t="s">
        <v>98</v>
      </c>
      <c r="F178" s="76">
        <f>SUM(F179:F180)</f>
        <v>0</v>
      </c>
      <c r="G178" s="77">
        <f>SUM(G179:G180)</f>
        <v>0</v>
      </c>
      <c r="H178" s="80">
        <f>SUM(H179:H180)</f>
        <v>0</v>
      </c>
      <c r="I178" s="187">
        <f>SUM(I179:I180)</f>
        <v>0</v>
      </c>
      <c r="J178" s="77">
        <f>SUM(J179:J180)</f>
        <v>0</v>
      </c>
      <c r="K178" s="62" t="str">
        <f>IF(ISERROR((I178/J178)-1),"",((I178/J178)-1))</f>
        <v/>
      </c>
      <c r="O178" s="95"/>
    </row>
    <row r="179" spans="2:15" ht="12.75" customHeight="1">
      <c r="B179" s="20"/>
      <c r="C179" s="171" t="s">
        <v>91</v>
      </c>
      <c r="D179" s="188"/>
      <c r="E179" s="173" t="s">
        <v>92</v>
      </c>
      <c r="F179" s="41">
        <f>IF(ISERROR(VLOOKUP("25121",DATOS!$A$2:$H$205,4,FALSE)),0,VLOOKUP("25121",DATOS!$A$2:$H$205,4,FALSE))</f>
        <v>0</v>
      </c>
      <c r="G179" s="27">
        <f>IF(ISERROR(VLOOKUP("25121",DATOS!$A$2:$H$205,5,FALSE)),0,VLOOKUP("25121",DATOS!$A$2:$H$205,5,FALSE))</f>
        <v>0</v>
      </c>
      <c r="H179" s="28">
        <f>IF(ISERROR(VLOOKUP("25121",DATOS!$A$2:$H$205,6,FALSE)),0,VLOOKUP("25121",DATOS!$A$2:$H$205,6,FALSE))</f>
        <v>0</v>
      </c>
      <c r="I179" s="170">
        <f>SUM(F179:H179)</f>
        <v>0</v>
      </c>
      <c r="J179" s="27">
        <f>IF(ISERROR(VLOOKUP("25121",DATOS!$A$2:$H$205,8,FALSE)),0,VLOOKUP("25121",DATOS!$A$2:$H$205,8,FALSE))</f>
        <v>0</v>
      </c>
      <c r="K179" s="29" t="str">
        <f>IF(ISERROR((I179/J179)-1),"",((I179/J179)-1))</f>
        <v/>
      </c>
    </row>
    <row r="180" spans="2:15" ht="12.75" customHeight="1">
      <c r="B180" s="20"/>
      <c r="C180" s="174" t="s">
        <v>93</v>
      </c>
      <c r="D180" s="188"/>
      <c r="E180" s="176" t="s">
        <v>94</v>
      </c>
      <c r="F180" s="41">
        <f>IF(ISERROR(VLOOKUP("25122",DATOS!$A$2:$H$205,4,FALSE)),0,VLOOKUP("25122",DATOS!$A$2:$H$205,4,FALSE))</f>
        <v>0</v>
      </c>
      <c r="G180" s="27">
        <f>IF(ISERROR(VLOOKUP("25122",DATOS!$A$2:$H$205,5,FALSE)),0,VLOOKUP("25122",DATOS!$A$2:$H$205,5,FALSE))</f>
        <v>0</v>
      </c>
      <c r="H180" s="28">
        <f>IF(ISERROR(VLOOKUP("25122",DATOS!$A$2:$H$205,6,FALSE)),0,VLOOKUP("25122",DATOS!$A$2:$H$205,6,FALSE))</f>
        <v>0</v>
      </c>
      <c r="I180" s="170">
        <f>SUM(F180:H180)</f>
        <v>0</v>
      </c>
      <c r="J180" s="27">
        <f>IF(ISERROR(VLOOKUP("25122",DATOS!$A$2:$H$205,8,FALSE)),0,VLOOKUP("25122",DATOS!$A$2:$H$205,8,FALSE))</f>
        <v>0</v>
      </c>
      <c r="K180" s="29" t="str">
        <f>IF(ISERROR((I180/J180)-1),"",((I180/J180)-1))</f>
        <v/>
      </c>
    </row>
    <row r="181" spans="2:15" ht="9.9499999999999993" customHeight="1">
      <c r="B181" s="20"/>
      <c r="C181" s="189"/>
      <c r="D181" s="188"/>
      <c r="E181" s="190"/>
      <c r="F181" s="41"/>
      <c r="G181" s="27"/>
      <c r="H181" s="28"/>
      <c r="I181" s="170"/>
      <c r="J181" s="27"/>
      <c r="K181" s="29"/>
    </row>
    <row r="182" spans="2:15" ht="12.75" customHeight="1">
      <c r="B182" s="20"/>
      <c r="C182" s="64" t="s">
        <v>18</v>
      </c>
      <c r="D182" s="172"/>
      <c r="E182" s="186" t="s">
        <v>19</v>
      </c>
      <c r="F182" s="59">
        <f>SUM(F183:F184)</f>
        <v>0</v>
      </c>
      <c r="G182" s="77">
        <f>SUM(G183:G184)</f>
        <v>0</v>
      </c>
      <c r="H182" s="80">
        <f>SUM(H183:H184)</f>
        <v>0</v>
      </c>
      <c r="I182" s="191">
        <f>SUM(I183:I184)</f>
        <v>0</v>
      </c>
      <c r="J182" s="77">
        <f>SUM(J183:J184)</f>
        <v>0</v>
      </c>
      <c r="K182" s="62" t="str">
        <f>IF(ISERROR((I182/J182)-1),"",((I182/J182)-1))</f>
        <v/>
      </c>
    </row>
    <row r="183" spans="2:15" ht="12.75" customHeight="1">
      <c r="B183" s="20"/>
      <c r="C183" s="171" t="s">
        <v>91</v>
      </c>
      <c r="D183" s="188"/>
      <c r="E183" s="173" t="s">
        <v>92</v>
      </c>
      <c r="F183" s="41">
        <f>IF(ISERROR(VLOOKUP("29121",DATOS!$A$2:$H$205,4,FALSE)),0,VLOOKUP("29121",DATOS!$A$2:$H$205,4,FALSE))</f>
        <v>0</v>
      </c>
      <c r="G183" s="27">
        <f>IF(ISERROR(VLOOKUP("29121",DATOS!$A$2:$H$205,5,FALSE)),0,VLOOKUP("29121",DATOS!$A$2:$H$205,5,FALSE))</f>
        <v>0</v>
      </c>
      <c r="H183" s="28">
        <f>IF(ISERROR(VLOOKUP("29121",DATOS!$A$2:$H$205,6,FALSE)),0,VLOOKUP("29121",DATOS!$A$2:$H$205,6,FALSE))</f>
        <v>0</v>
      </c>
      <c r="I183" s="170">
        <f>SUM(F183:H183)</f>
        <v>0</v>
      </c>
      <c r="J183" s="27">
        <f>IF(ISERROR(VLOOKUP("29121",DATOS!$A$2:$H$205,8,FALSE)),0,VLOOKUP("29121",DATOS!$A$2:$H$205,8,FALSE))</f>
        <v>0</v>
      </c>
      <c r="K183" s="29" t="str">
        <f>IF(ISERROR((I183/J183)-1),"",((I183/J183)-1))</f>
        <v/>
      </c>
    </row>
    <row r="184" spans="2:15" ht="12.75" customHeight="1">
      <c r="B184" s="20"/>
      <c r="C184" s="174" t="s">
        <v>93</v>
      </c>
      <c r="D184" s="188"/>
      <c r="E184" s="176" t="s">
        <v>94</v>
      </c>
      <c r="F184" s="41">
        <f>IF(ISERROR(VLOOKUP("29122",DATOS!$A$2:$H$205,4,FALSE)),0,VLOOKUP("29122",DATOS!$A$2:$H$205,4,FALSE))</f>
        <v>0</v>
      </c>
      <c r="G184" s="27">
        <f>IF(ISERROR(VLOOKUP("29122",DATOS!$A$2:$H$205,5,FALSE)),0,VLOOKUP("29122",DATOS!$A$2:$H$205,5,FALSE))</f>
        <v>0</v>
      </c>
      <c r="H184" s="28">
        <f>IF(ISERROR(VLOOKUP("29122",DATOS!$A$2:$H$205,6,FALSE)),0,VLOOKUP("29122",DATOS!$A$2:$H$205,6,FALSE))</f>
        <v>0</v>
      </c>
      <c r="I184" s="170">
        <f>SUM(F184:H184)</f>
        <v>0</v>
      </c>
      <c r="J184" s="27">
        <f>IF(ISERROR(VLOOKUP("29122",DATOS!$A$2:$H$205,8,FALSE)),0,VLOOKUP("29122",DATOS!$A$2:$H$205,8,FALSE))</f>
        <v>0</v>
      </c>
      <c r="K184" s="29" t="str">
        <f>IF(ISERROR((I184/J184)-1),"",((I184/J184)-1))</f>
        <v/>
      </c>
    </row>
    <row r="185" spans="2:15" ht="9.9499999999999993" customHeight="1">
      <c r="B185" s="20"/>
      <c r="C185" s="189"/>
      <c r="D185" s="188"/>
      <c r="E185" s="190"/>
      <c r="F185" s="41"/>
      <c r="G185" s="27"/>
      <c r="H185" s="28"/>
      <c r="I185" s="170"/>
      <c r="J185" s="27"/>
      <c r="K185" s="29"/>
    </row>
    <row r="186" spans="2:15" ht="12.75" customHeight="1">
      <c r="B186" s="20"/>
      <c r="C186" s="64" t="s">
        <v>20</v>
      </c>
      <c r="D186" s="172"/>
      <c r="E186" s="186" t="s">
        <v>21</v>
      </c>
      <c r="F186" s="59">
        <f>SUM(F187:F188)</f>
        <v>0</v>
      </c>
      <c r="G186" s="77">
        <f>SUM(G187:G188)</f>
        <v>0</v>
      </c>
      <c r="H186" s="80">
        <f>SUM(H187:H188)</f>
        <v>0</v>
      </c>
      <c r="I186" s="191">
        <f>SUM(I187:I188)</f>
        <v>0</v>
      </c>
      <c r="J186" s="77">
        <f>SUM(J187:J188)</f>
        <v>0</v>
      </c>
      <c r="K186" s="62" t="str">
        <f>IF(ISERROR((I186/J186)-1),"",((I186/J186)-1))</f>
        <v/>
      </c>
    </row>
    <row r="187" spans="2:15" ht="12.75" customHeight="1">
      <c r="B187" s="20"/>
      <c r="C187" s="171" t="s">
        <v>91</v>
      </c>
      <c r="D187" s="188"/>
      <c r="E187" s="173" t="s">
        <v>92</v>
      </c>
      <c r="F187" s="41">
        <f>IF(ISERROR(VLOOKUP("27121",DATOS!$A$2:$H$205,4,FALSE)),0,VLOOKUP("27121",DATOS!$A$2:$H$205,4,FALSE))</f>
        <v>0</v>
      </c>
      <c r="G187" s="27">
        <f>IF(ISERROR(VLOOKUP("27121",DATOS!$A$2:$H$205,5,FALSE)),0,VLOOKUP("27121",DATOS!$A$2:$H$205,5,FALSE))</f>
        <v>0</v>
      </c>
      <c r="H187" s="28">
        <f>IF(ISERROR(VLOOKUP("27121",DATOS!$A$2:$H$205,6,FALSE)),0,VLOOKUP("27121",DATOS!$A$2:$H$205,6,FALSE))</f>
        <v>0</v>
      </c>
      <c r="I187" s="170">
        <f>SUM(F187:H187)</f>
        <v>0</v>
      </c>
      <c r="J187" s="27">
        <f>IF(ISERROR(VLOOKUP("27121",DATOS!$A$2:$H$205,8,FALSE)),0,VLOOKUP("27121",DATOS!$A$2:$H$205,8,FALSE))</f>
        <v>0</v>
      </c>
      <c r="K187" s="29" t="str">
        <f>IF(ISERROR((I187/J187)-1),"",((I187/J187)-1))</f>
        <v/>
      </c>
    </row>
    <row r="188" spans="2:15" ht="12.75" customHeight="1">
      <c r="B188" s="20"/>
      <c r="C188" s="174" t="s">
        <v>93</v>
      </c>
      <c r="D188" s="188"/>
      <c r="E188" s="176" t="s">
        <v>94</v>
      </c>
      <c r="F188" s="41">
        <f>IF(ISERROR(VLOOKUP("27122",DATOS!$A$2:$H$205,4,FALSE)),0,VLOOKUP("27122",DATOS!$A$2:$H$205,4,FALSE))</f>
        <v>0</v>
      </c>
      <c r="G188" s="27">
        <f>IF(ISERROR(VLOOKUP("27122",DATOS!$A$2:$H$205,5,FALSE)),0,VLOOKUP("27122",DATOS!$A$2:$H$205,5,FALSE))</f>
        <v>0</v>
      </c>
      <c r="H188" s="28">
        <f>IF(ISERROR(VLOOKUP("27122",DATOS!$A$2:$H$205,6,FALSE)),0,VLOOKUP("27122",DATOS!$A$2:$H$205,6,FALSE))</f>
        <v>0</v>
      </c>
      <c r="I188" s="170">
        <f>SUM(F188:H188)</f>
        <v>0</v>
      </c>
      <c r="J188" s="27">
        <f>IF(ISERROR(VLOOKUP("27122",DATOS!$A$2:$H$205,8,FALSE)),0,VLOOKUP("27122",DATOS!$A$2:$H$205,8,FALSE))</f>
        <v>0</v>
      </c>
      <c r="K188" s="29" t="str">
        <f>IF(ISERROR((I188/J188)-1),"",((I188/J188)-1))</f>
        <v/>
      </c>
    </row>
    <row r="189" spans="2:15" ht="9.9499999999999993" customHeight="1">
      <c r="B189" s="20"/>
      <c r="C189" s="192"/>
      <c r="D189" s="188"/>
      <c r="E189" s="193"/>
      <c r="F189" s="41"/>
      <c r="G189" s="27"/>
      <c r="H189" s="28"/>
      <c r="I189" s="170"/>
      <c r="J189" s="27"/>
      <c r="K189" s="29"/>
    </row>
    <row r="190" spans="2:15" s="30" customFormat="1" ht="12.75" customHeight="1">
      <c r="B190" s="20"/>
      <c r="C190" s="64" t="s">
        <v>22</v>
      </c>
      <c r="D190" s="172"/>
      <c r="E190" s="186" t="s">
        <v>23</v>
      </c>
      <c r="F190" s="59">
        <f>SUM(F191)</f>
        <v>0</v>
      </c>
      <c r="G190" s="77">
        <f>SUM(G191)</f>
        <v>0</v>
      </c>
      <c r="H190" s="80">
        <f>SUM(H191)</f>
        <v>0</v>
      </c>
      <c r="I190" s="191">
        <f>SUM(I191)</f>
        <v>0</v>
      </c>
      <c r="J190" s="77">
        <f>SUM(J191)</f>
        <v>0</v>
      </c>
      <c r="K190" s="62" t="str">
        <f>IF(ISERROR((I190/J190)-1),"",((I190/J190)-1))</f>
        <v/>
      </c>
      <c r="O190" s="31"/>
    </row>
    <row r="191" spans="2:15" s="30" customFormat="1" ht="12.75" customHeight="1">
      <c r="B191" s="20"/>
      <c r="C191" s="174" t="s">
        <v>93</v>
      </c>
      <c r="D191" s="188"/>
      <c r="E191" s="176" t="s">
        <v>94</v>
      </c>
      <c r="F191" s="41">
        <f>IF(ISERROR(VLOOKUP("28121",DATOS!$A$2:$H$205,4,FALSE)),0,VLOOKUP("28121",DATOS!$A$2:$H$205,4,FALSE))</f>
        <v>0</v>
      </c>
      <c r="G191" s="27">
        <f>IF(ISERROR(VLOOKUP("28121",DATOS!$A$2:$H$205,5,FALSE)),0,VLOOKUP("28121",DATOS!$A$2:$H$205,5,FALSE))</f>
        <v>0</v>
      </c>
      <c r="H191" s="28">
        <f>IF(ISERROR(VLOOKUP("28121",DATOS!$A$2:$H$205,6,FALSE)),0,VLOOKUP("28121",DATOS!$A$2:$H$205,6,FALSE))</f>
        <v>0</v>
      </c>
      <c r="I191" s="170">
        <f>SUM(F191:H191)</f>
        <v>0</v>
      </c>
      <c r="J191" s="27">
        <f>IF(ISERROR(VLOOKUP("28121",DATOS!$A$2:$H$205,8,FALSE)),0,VLOOKUP("28121",DATOS!$A$2:$H$205,8,FALSE))</f>
        <v>0</v>
      </c>
      <c r="K191" s="29" t="str">
        <f>IF(ISERROR((I191/J191)-1),"",((I191/J191)-1))</f>
        <v/>
      </c>
      <c r="O191" s="31"/>
    </row>
    <row r="192" spans="2:15" s="30" customFormat="1" ht="9.9499999999999993" customHeight="1">
      <c r="B192" s="20"/>
      <c r="C192" s="189"/>
      <c r="D192" s="188"/>
      <c r="E192" s="190"/>
      <c r="F192" s="41"/>
      <c r="G192" s="27"/>
      <c r="H192" s="28"/>
      <c r="I192" s="170"/>
      <c r="J192" s="27"/>
      <c r="K192" s="29"/>
      <c r="O192" s="31"/>
    </row>
    <row r="193" spans="2:15" s="30" customFormat="1" ht="12.75" customHeight="1">
      <c r="B193" s="20"/>
      <c r="C193" s="64" t="s">
        <v>24</v>
      </c>
      <c r="D193" s="172"/>
      <c r="E193" s="186" t="s">
        <v>25</v>
      </c>
      <c r="F193" s="59">
        <f>SUM(F194:F195)</f>
        <v>0</v>
      </c>
      <c r="G193" s="77">
        <f>SUM(G194:G195)</f>
        <v>0</v>
      </c>
      <c r="H193" s="80">
        <f>SUM(H194:H195)</f>
        <v>0</v>
      </c>
      <c r="I193" s="191">
        <f>SUM(I194:I195)</f>
        <v>0</v>
      </c>
      <c r="J193" s="77">
        <f>SUM(J194:J195)</f>
        <v>0</v>
      </c>
      <c r="K193" s="62" t="str">
        <f>IF(ISERROR((I193/J193)-1),"",((I193/J193)-1))</f>
        <v/>
      </c>
      <c r="O193" s="31"/>
    </row>
    <row r="194" spans="2:15" s="30" customFormat="1" ht="12.75" customHeight="1">
      <c r="B194" s="20"/>
      <c r="C194" s="171" t="s">
        <v>91</v>
      </c>
      <c r="D194" s="188"/>
      <c r="E194" s="173" t="s">
        <v>92</v>
      </c>
      <c r="F194" s="41">
        <f>IF(ISERROR(VLOOKUP("2j113",DATOS!$A$2:$H$205,4,FALSE)),0,VLOOKUP("2j113",DATOS!$A$2:$H$205,4,FALSE))</f>
        <v>0</v>
      </c>
      <c r="G194" s="27">
        <f>IF(ISERROR(VLOOKUP("2j113",DATOS!$A$2:$H$205,5,FALSE)),0,VLOOKUP("2j113",DATOS!$A$2:$H$205,5,FALSE))</f>
        <v>0</v>
      </c>
      <c r="H194" s="28">
        <f>IF(ISERROR(VLOOKUP("2j113",DATOS!$A$2:$H$205,6,FALSE)),0,VLOOKUP("2j113",DATOS!$A$2:$H$205,6,FALSE))</f>
        <v>0</v>
      </c>
      <c r="I194" s="170">
        <f>SUM(F194:H194)</f>
        <v>0</v>
      </c>
      <c r="J194" s="27">
        <f>IF(ISERROR(VLOOKUP("2j113",DATOS!$A$2:$H$205,8,FALSE)),0,VLOOKUP("2j113",DATOS!$A$2:$H$205,8,FALSE))</f>
        <v>0</v>
      </c>
      <c r="K194" s="29" t="str">
        <f>IF(ISERROR((I194/J194)-1),"",((I194/J194)-1))</f>
        <v/>
      </c>
      <c r="O194" s="31"/>
    </row>
    <row r="195" spans="2:15" ht="12.75" customHeight="1">
      <c r="B195" s="20"/>
      <c r="C195" s="174" t="s">
        <v>93</v>
      </c>
      <c r="D195" s="188"/>
      <c r="E195" s="176" t="s">
        <v>94</v>
      </c>
      <c r="F195" s="41">
        <f>IF(ISERROR(VLOOKUP("2j114",DATOS!$A$2:$H$205,4,FALSE)),0,VLOOKUP("2j114",DATOS!$A$2:$H$205,4,FALSE))</f>
        <v>0</v>
      </c>
      <c r="G195" s="27">
        <f>IF(ISERROR(VLOOKUP("2j114",DATOS!$A$2:$H$205,5,FALSE)),0,VLOOKUP("2j114",DATOS!$A$2:$H$205,5,FALSE))</f>
        <v>0</v>
      </c>
      <c r="H195" s="28">
        <f>IF(ISERROR(VLOOKUP("2j114",DATOS!$A$2:$H$205,6,FALSE)),0,VLOOKUP("2j114",DATOS!$A$2:$H$205,6,FALSE))</f>
        <v>0</v>
      </c>
      <c r="I195" s="170">
        <f>SUM(F195:H195)</f>
        <v>0</v>
      </c>
      <c r="J195" s="27">
        <f>IF(ISERROR(VLOOKUP("2j114",DATOS!$A$2:$H$205,8,FALSE)),0,VLOOKUP("2j114",DATOS!$A$2:$H$205,8,FALSE))</f>
        <v>0</v>
      </c>
      <c r="K195" s="29" t="str">
        <f>IF(ISERROR((I195/J195)-1),"",((I195/J195)-1))</f>
        <v/>
      </c>
    </row>
    <row r="196" spans="2:15" ht="9.9499999999999993" customHeight="1">
      <c r="B196" s="20"/>
      <c r="C196" s="189"/>
      <c r="D196" s="188"/>
      <c r="E196" s="190"/>
      <c r="F196" s="41"/>
      <c r="G196" s="27"/>
      <c r="H196" s="28"/>
      <c r="I196" s="170"/>
      <c r="J196" s="27"/>
      <c r="K196" s="29"/>
    </row>
    <row r="197" spans="2:15" ht="9.9499999999999993" customHeight="1">
      <c r="B197" s="20"/>
      <c r="C197" s="189"/>
      <c r="D197" s="188"/>
      <c r="E197" s="190"/>
      <c r="F197" s="41"/>
      <c r="G197" s="27"/>
      <c r="H197" s="28"/>
      <c r="I197" s="170"/>
      <c r="J197" s="27"/>
      <c r="K197" s="29"/>
    </row>
    <row r="198" spans="2:15" ht="12.75" customHeight="1">
      <c r="B198" s="20"/>
      <c r="C198" s="64" t="s">
        <v>67</v>
      </c>
      <c r="D198" s="172"/>
      <c r="E198" s="186" t="s">
        <v>68</v>
      </c>
      <c r="F198" s="59">
        <f>SUM(F199:F200)</f>
        <v>0</v>
      </c>
      <c r="G198" s="77">
        <f>SUM(G199:G200)</f>
        <v>0</v>
      </c>
      <c r="H198" s="80">
        <f>SUM(H199:H200)</f>
        <v>0</v>
      </c>
      <c r="I198" s="191">
        <f>SUM(I199:I200)</f>
        <v>0</v>
      </c>
      <c r="J198" s="77">
        <f>SUM(J199:J200)</f>
        <v>0</v>
      </c>
      <c r="K198" s="62" t="str">
        <f>IF(ISERROR((I198/J198)-1),"",((I198/J198)-1))</f>
        <v/>
      </c>
    </row>
    <row r="199" spans="2:15" ht="12.75" customHeight="1">
      <c r="B199" s="20"/>
      <c r="C199" s="171" t="s">
        <v>91</v>
      </c>
      <c r="D199" s="188"/>
      <c r="E199" s="173" t="s">
        <v>92</v>
      </c>
      <c r="F199" s="41">
        <f>IF(ISERROR(VLOOKUP("2d113",DATOS!$A$2:$H$205,4,FALSE)),0,VLOOKUP("2d113",DATOS!$A$2:$H$205,4,FALSE))</f>
        <v>0</v>
      </c>
      <c r="G199" s="27">
        <f>IF(ISERROR(VLOOKUP("2d113",DATOS!$A$2:$H$205,5,FALSE)),0,VLOOKUP("2d113",DATOS!$A$2:$H$205,5,FALSE))</f>
        <v>0</v>
      </c>
      <c r="H199" s="28">
        <f>IF(ISERROR(VLOOKUP("2d113",DATOS!$A$2:$H$205,6,FALSE)),0,VLOOKUP("2d113",DATOS!$A$2:$H$205,6,FALSE))</f>
        <v>0</v>
      </c>
      <c r="I199" s="170">
        <f>SUM(F199:H199)</f>
        <v>0</v>
      </c>
      <c r="J199" s="27">
        <f>IF(ISERROR(VLOOKUP("2d113",DATOS!$A$2:$H$205,8,FALSE)),0,VLOOKUP("2d113",DATOS!$A$2:$H$205,8,FALSE))</f>
        <v>0</v>
      </c>
      <c r="K199" s="29" t="str">
        <f>IF(ISERROR((I199/J199)-1),"",((I199/J199)-1))</f>
        <v/>
      </c>
    </row>
    <row r="200" spans="2:15" ht="12.75" customHeight="1">
      <c r="B200" s="20"/>
      <c r="C200" s="174" t="s">
        <v>93</v>
      </c>
      <c r="D200" s="188"/>
      <c r="E200" s="176" t="s">
        <v>94</v>
      </c>
      <c r="F200" s="41">
        <f>IF(ISERROR(VLOOKUP("2d114",DATOS!$A$2:$H$205,4,FALSE)),0,VLOOKUP("2d114",DATOS!$A$2:$H$205,4,FALSE))</f>
        <v>0</v>
      </c>
      <c r="G200" s="27">
        <f>IF(ISERROR(VLOOKUP("2d114",DATOS!$A$2:$H$205,5,FALSE)),0,VLOOKUP("2d114",DATOS!$A$2:$H$205,5,FALSE))</f>
        <v>0</v>
      </c>
      <c r="H200" s="28">
        <f>IF(ISERROR(VLOOKUP("2d114",DATOS!$A$2:$H$205,6,FALSE)),0,VLOOKUP("2d114",DATOS!$A$2:$H$205,6,FALSE))</f>
        <v>0</v>
      </c>
      <c r="I200" s="170">
        <f>SUM(F200:H200)</f>
        <v>0</v>
      </c>
      <c r="J200" s="27">
        <f>IF(ISERROR(VLOOKUP("2d114",DATOS!$A$2:$H$205,8,FALSE)),0,VLOOKUP("2d114",DATOS!$A$2:$H$205,8,FALSE))</f>
        <v>0</v>
      </c>
      <c r="K200" s="29" t="str">
        <f>IF(ISERROR((I200/J200)-1),"",((I200/J200)-1))</f>
        <v/>
      </c>
    </row>
    <row r="201" spans="2:15" ht="12.75" customHeight="1">
      <c r="B201" s="20"/>
      <c r="C201" s="189"/>
      <c r="D201" s="188"/>
      <c r="E201" s="190"/>
      <c r="F201" s="41"/>
      <c r="G201" s="27"/>
      <c r="H201" s="28"/>
      <c r="I201" s="170"/>
      <c r="J201" s="27"/>
      <c r="K201" s="29"/>
    </row>
    <row r="202" spans="2:15" s="180" customFormat="1" ht="20.100000000000001" customHeight="1">
      <c r="B202" s="177"/>
      <c r="C202" s="53" t="s">
        <v>42</v>
      </c>
      <c r="D202" s="54"/>
      <c r="E202" s="178" t="s">
        <v>43</v>
      </c>
      <c r="F202" s="45">
        <f>F178+F182+F186+F190+F198+F193</f>
        <v>0</v>
      </c>
      <c r="G202" s="37">
        <f>G178+G182+G186+G190+G198+G193</f>
        <v>0</v>
      </c>
      <c r="H202" s="72">
        <f>H178+H182+H186+H190+H198+H193</f>
        <v>0</v>
      </c>
      <c r="I202" s="179">
        <f>I178+I182+I186+I190+I193+I198</f>
        <v>0</v>
      </c>
      <c r="J202" s="37">
        <f>J178+J182+J186+J190+J193+J198</f>
        <v>0</v>
      </c>
      <c r="K202" s="38" t="str">
        <f>IF(ISERROR((I202/J202)-1),"",((I202/J202)-1))</f>
        <v/>
      </c>
      <c r="N202" s="181"/>
      <c r="O202" s="181"/>
    </row>
    <row r="203" spans="2:15" s="180" customFormat="1" ht="12.75" customHeight="1">
      <c r="B203" s="182"/>
      <c r="C203" s="57"/>
      <c r="D203" s="183"/>
      <c r="E203" s="123"/>
      <c r="F203" s="159"/>
      <c r="G203" s="27"/>
      <c r="H203" s="48"/>
      <c r="I203" s="184"/>
      <c r="J203" s="27"/>
      <c r="K203" s="29"/>
      <c r="O203" s="181"/>
    </row>
    <row r="204" spans="2:15" ht="12.75" customHeight="1">
      <c r="B204" s="20"/>
      <c r="C204" s="24" t="s">
        <v>99</v>
      </c>
      <c r="D204" s="172"/>
      <c r="E204" s="112" t="s">
        <v>100</v>
      </c>
      <c r="F204" s="41"/>
      <c r="G204" s="27"/>
      <c r="H204" s="48"/>
      <c r="I204" s="170"/>
      <c r="J204" s="27"/>
      <c r="K204" s="29"/>
    </row>
    <row r="205" spans="2:15" ht="12.75" customHeight="1">
      <c r="B205" s="20"/>
      <c r="C205" s="171" t="s">
        <v>91</v>
      </c>
      <c r="D205" s="188"/>
      <c r="E205" s="173" t="s">
        <v>92</v>
      </c>
      <c r="F205" s="41">
        <f>IF(ISERROR(VLOOKUP("2f112",DATOS!$A$2:$H$205,4,FALSE)),0,VLOOKUP("2f112",DATOS!$A$2:$H$205,4,FALSE))</f>
        <v>0</v>
      </c>
      <c r="G205" s="27">
        <f>IF(ISERROR(VLOOKUP("2f112",DATOS!$A$2:$H$205,5,FALSE)),0,VLOOKUP("2f112",DATOS!$A$2:$H$205,5,FALSE))</f>
        <v>0</v>
      </c>
      <c r="H205" s="28">
        <f>IF(ISERROR(VLOOKUP("2f112",DATOS!$A$2:$H$205,6,FALSE)),0,VLOOKUP("2f112",DATOS!$A$2:$H$205,6,FALSE))</f>
        <v>0</v>
      </c>
      <c r="I205" s="170">
        <f>SUM(F205:H205)</f>
        <v>0</v>
      </c>
      <c r="J205" s="27">
        <f>IF(ISERROR(VLOOKUP("2f112",DATOS!$A$2:$H$205,8,FALSE)),0,VLOOKUP("2f112",DATOS!$A$2:$H$205,8,FALSE))</f>
        <v>0</v>
      </c>
      <c r="K205" s="29" t="str">
        <f>IF(ISERROR((I205/J205)-1),"",((I205/J205)-1))</f>
        <v/>
      </c>
    </row>
    <row r="206" spans="2:15" ht="12.75" customHeight="1">
      <c r="B206" s="20"/>
      <c r="C206" s="174" t="s">
        <v>93</v>
      </c>
      <c r="D206" s="188"/>
      <c r="E206" s="176" t="s">
        <v>94</v>
      </c>
      <c r="F206" s="41">
        <f>IF(ISERROR(VLOOKUP("2f113",DATOS!$A$2:$H$205,4,FALSE)),0,VLOOKUP("2f113",DATOS!$A$2:$H$205,4,FALSE))</f>
        <v>0</v>
      </c>
      <c r="G206" s="27">
        <f>IF(ISERROR(VLOOKUP("2f113",DATOS!$A$2:$H$205,5,FALSE)),0,VLOOKUP("2f113",DATOS!$A$2:$H$205,5,FALSE))</f>
        <v>0</v>
      </c>
      <c r="H206" s="28">
        <f>IF(ISERROR(VLOOKUP("2f113",DATOS!$A$2:$H$205,6,FALSE)),0,VLOOKUP("2f113",DATOS!$A$2:$H$205,6,FALSE))</f>
        <v>0</v>
      </c>
      <c r="I206" s="170">
        <f>SUM(F206:H206)</f>
        <v>0</v>
      </c>
      <c r="J206" s="27">
        <f>IF(ISERROR(VLOOKUP("2f113",DATOS!$A$2:$H$205,8,FALSE)),0,VLOOKUP("2f113",DATOS!$A$2:$H$205,8,FALSE))</f>
        <v>0</v>
      </c>
      <c r="K206" s="29" t="str">
        <f>IF(ISERROR((I206/J206)-1),"",((I206/J206)-1))</f>
        <v/>
      </c>
    </row>
    <row r="207" spans="2:15" s="180" customFormat="1" ht="20.100000000000001" customHeight="1">
      <c r="B207" s="177"/>
      <c r="C207" s="53" t="s">
        <v>44</v>
      </c>
      <c r="D207" s="54"/>
      <c r="E207" s="178" t="s">
        <v>45</v>
      </c>
      <c r="F207" s="45">
        <f>SUM(F205:F206)</f>
        <v>0</v>
      </c>
      <c r="G207" s="37">
        <f>SUM(G205:G206)</f>
        <v>0</v>
      </c>
      <c r="H207" s="72">
        <f>SUM(H205:H206)</f>
        <v>0</v>
      </c>
      <c r="I207" s="179">
        <f>SUM(I205:I206)</f>
        <v>0</v>
      </c>
      <c r="J207" s="37">
        <f>SUM(J205:J206)</f>
        <v>0</v>
      </c>
      <c r="K207" s="38" t="str">
        <f>IF(ISERROR((I207/J207)-1),"",((I207/J207)-1))</f>
        <v/>
      </c>
      <c r="O207" s="181"/>
    </row>
    <row r="208" spans="2:15" s="180" customFormat="1" ht="12.75" customHeight="1" thickBot="1">
      <c r="B208" s="182"/>
      <c r="C208" s="57"/>
      <c r="D208" s="183"/>
      <c r="E208" s="123"/>
      <c r="F208" s="124"/>
      <c r="G208" s="27"/>
      <c r="H208" s="27"/>
      <c r="I208" s="124"/>
      <c r="J208" s="27"/>
      <c r="K208" s="29"/>
      <c r="O208" s="181"/>
    </row>
    <row r="209" spans="2:15" s="188" customFormat="1" ht="30" customHeight="1" thickBot="1">
      <c r="B209" s="221" t="s">
        <v>101</v>
      </c>
      <c r="C209" s="222"/>
      <c r="D209" s="194"/>
      <c r="E209" s="164" t="s">
        <v>102</v>
      </c>
      <c r="F209" s="84">
        <f>F174+F202+F207</f>
        <v>0</v>
      </c>
      <c r="G209" s="195">
        <f>G174+G202+G207</f>
        <v>0</v>
      </c>
      <c r="H209" s="196">
        <f>H174+H202+H207</f>
        <v>0</v>
      </c>
      <c r="I209" s="165">
        <f>I174+I202+I207</f>
        <v>0</v>
      </c>
      <c r="J209" s="195">
        <f>J174+J202+J207</f>
        <v>0</v>
      </c>
      <c r="K209" s="87" t="str">
        <f>IF(ISERROR((I209/J209)-1),"",((I209/J209)-1))</f>
        <v/>
      </c>
      <c r="O209" s="197"/>
    </row>
  </sheetData>
  <mergeCells count="22">
    <mergeCell ref="B13:C13"/>
    <mergeCell ref="D13:E13"/>
    <mergeCell ref="B157:K157"/>
    <mergeCell ref="B168:K168"/>
    <mergeCell ref="B3:H7"/>
    <mergeCell ref="I3:K7"/>
    <mergeCell ref="B95:H99"/>
    <mergeCell ref="I95:K99"/>
    <mergeCell ref="B105:K105"/>
    <mergeCell ref="B166:K167"/>
    <mergeCell ref="B158:K158"/>
    <mergeCell ref="B159:K159"/>
    <mergeCell ref="B11:K11"/>
    <mergeCell ref="B12:K12"/>
    <mergeCell ref="B169:C169"/>
    <mergeCell ref="D169:E169"/>
    <mergeCell ref="B209:C209"/>
    <mergeCell ref="B90:C90"/>
    <mergeCell ref="B103:K104"/>
    <mergeCell ref="B106:C106"/>
    <mergeCell ref="D106:E106"/>
    <mergeCell ref="B155:C155"/>
  </mergeCells>
  <printOptions horizontalCentered="1"/>
  <pageMargins left="0" right="0" top="0.19685039370078741" bottom="0" header="0" footer="0"/>
  <pageSetup paperSize="9" scale="53" fitToHeight="0" orientation="portrait" r:id="rId1"/>
  <headerFooter scaleWithDoc="0"/>
  <rowBreaks count="1" manualBreakCount="1">
    <brk id="9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59204-3000-47AC-9BBE-7E0842017A20}">
  <sheetPr codeName="Hoja2"/>
  <dimension ref="A1:M178"/>
  <sheetViews>
    <sheetView workbookViewId="0">
      <selection activeCell="I2" sqref="I2"/>
    </sheetView>
  </sheetViews>
  <sheetFormatPr baseColWidth="10" defaultRowHeight="15"/>
  <cols>
    <col min="2" max="2" width="44.140625" customWidth="1"/>
    <col min="3" max="3" width="45.140625" customWidth="1"/>
    <col min="4" max="4" width="20.42578125" customWidth="1"/>
    <col min="5" max="5" width="15.5703125" customWidth="1"/>
    <col min="6" max="6" width="16.140625" customWidth="1"/>
    <col min="7" max="7" width="18" customWidth="1"/>
    <col min="8" max="8" width="18.5703125" customWidth="1"/>
  </cols>
  <sheetData>
    <row r="1" spans="1:13">
      <c r="A1" t="s">
        <v>127</v>
      </c>
      <c r="B1" t="s">
        <v>126</v>
      </c>
      <c r="C1" t="s">
        <v>125</v>
      </c>
      <c r="D1" t="s">
        <v>124</v>
      </c>
      <c r="E1" t="s">
        <v>123</v>
      </c>
      <c r="F1" t="s">
        <v>122</v>
      </c>
      <c r="G1" t="s">
        <v>121</v>
      </c>
      <c r="H1" t="s">
        <v>120</v>
      </c>
      <c r="J1">
        <v>2026</v>
      </c>
      <c r="K1" s="201">
        <v>1</v>
      </c>
      <c r="L1" s="201" t="s">
        <v>140</v>
      </c>
      <c r="M1" s="201" t="s">
        <v>128</v>
      </c>
    </row>
    <row r="2" spans="1:13">
      <c r="A2" t="s">
        <v>153</v>
      </c>
      <c r="B2" t="s">
        <v>9</v>
      </c>
      <c r="C2" t="s">
        <v>8</v>
      </c>
      <c r="D2" s="198">
        <v>0</v>
      </c>
      <c r="E2" s="198">
        <v>0</v>
      </c>
      <c r="F2" s="198">
        <v>0</v>
      </c>
      <c r="J2">
        <v>1</v>
      </c>
      <c r="K2" s="201">
        <v>2</v>
      </c>
      <c r="L2" s="201" t="s">
        <v>141</v>
      </c>
      <c r="M2" s="201" t="s">
        <v>129</v>
      </c>
    </row>
    <row r="3" spans="1:13">
      <c r="A3" t="s">
        <v>154</v>
      </c>
      <c r="B3" t="s">
        <v>155</v>
      </c>
      <c r="C3" t="s">
        <v>156</v>
      </c>
      <c r="D3" s="198">
        <v>0</v>
      </c>
      <c r="E3" s="198">
        <v>0</v>
      </c>
      <c r="F3" s="198">
        <v>0</v>
      </c>
      <c r="J3">
        <v>2</v>
      </c>
      <c r="K3" s="201">
        <v>3</v>
      </c>
      <c r="L3" s="201" t="s">
        <v>142</v>
      </c>
      <c r="M3" s="201" t="s">
        <v>130</v>
      </c>
    </row>
    <row r="4" spans="1:13">
      <c r="A4" t="s">
        <v>157</v>
      </c>
      <c r="B4" t="s">
        <v>158</v>
      </c>
      <c r="C4" t="s">
        <v>158</v>
      </c>
      <c r="D4" s="198">
        <v>0</v>
      </c>
      <c r="E4" s="198">
        <v>0</v>
      </c>
      <c r="F4" s="198">
        <v>0</v>
      </c>
      <c r="K4" s="201">
        <v>4</v>
      </c>
      <c r="L4" s="201" t="s">
        <v>143</v>
      </c>
      <c r="M4" s="201" t="s">
        <v>131</v>
      </c>
    </row>
    <row r="5" spans="1:13">
      <c r="A5" t="s">
        <v>159</v>
      </c>
      <c r="B5" t="s">
        <v>158</v>
      </c>
      <c r="C5" t="s">
        <v>158</v>
      </c>
      <c r="D5" s="198">
        <v>0</v>
      </c>
      <c r="E5" s="198">
        <v>0</v>
      </c>
      <c r="F5" s="198">
        <v>0</v>
      </c>
      <c r="K5" s="201">
        <v>5</v>
      </c>
      <c r="L5" s="201" t="s">
        <v>144</v>
      </c>
      <c r="M5" s="201" t="s">
        <v>132</v>
      </c>
    </row>
    <row r="6" spans="1:13">
      <c r="A6" t="s">
        <v>160</v>
      </c>
      <c r="B6" t="s">
        <v>161</v>
      </c>
      <c r="C6" t="s">
        <v>162</v>
      </c>
      <c r="D6" s="198">
        <v>240782270.88999999</v>
      </c>
      <c r="E6" s="198">
        <v>976055112.95000005</v>
      </c>
      <c r="F6" s="198">
        <v>503350718.13999999</v>
      </c>
      <c r="G6" s="198">
        <v>1720188101.98</v>
      </c>
      <c r="H6" s="198">
        <v>1566604531</v>
      </c>
      <c r="K6" s="202">
        <v>6</v>
      </c>
      <c r="L6" s="201" t="s">
        <v>145</v>
      </c>
      <c r="M6" s="201" t="s">
        <v>133</v>
      </c>
    </row>
    <row r="7" spans="1:13">
      <c r="A7" t="s">
        <v>163</v>
      </c>
      <c r="B7" t="s">
        <v>158</v>
      </c>
      <c r="C7" t="s">
        <v>158</v>
      </c>
      <c r="D7" s="198">
        <v>0</v>
      </c>
      <c r="E7" s="198">
        <v>0</v>
      </c>
      <c r="F7" s="198">
        <v>0</v>
      </c>
      <c r="K7" s="201">
        <v>7</v>
      </c>
      <c r="L7" s="201" t="s">
        <v>146</v>
      </c>
      <c r="M7" s="201" t="s">
        <v>134</v>
      </c>
    </row>
    <row r="8" spans="1:13">
      <c r="A8" t="s">
        <v>164</v>
      </c>
      <c r="B8" t="s">
        <v>165</v>
      </c>
      <c r="C8" t="s">
        <v>166</v>
      </c>
      <c r="D8" s="198">
        <v>11711862.050000001</v>
      </c>
      <c r="E8" s="198">
        <v>57431958.189999998</v>
      </c>
      <c r="F8" s="198">
        <v>24529737.859999999</v>
      </c>
      <c r="G8" s="198">
        <v>93673558.099999994</v>
      </c>
      <c r="H8" s="198">
        <v>110554531</v>
      </c>
      <c r="K8" s="202">
        <v>8</v>
      </c>
      <c r="L8" s="201" t="s">
        <v>147</v>
      </c>
      <c r="M8" s="201" t="s">
        <v>135</v>
      </c>
    </row>
    <row r="9" spans="1:13">
      <c r="A9" t="s">
        <v>167</v>
      </c>
      <c r="B9" t="s">
        <v>158</v>
      </c>
      <c r="C9" t="s">
        <v>158</v>
      </c>
      <c r="D9" s="198">
        <v>0</v>
      </c>
      <c r="E9" s="198">
        <v>0</v>
      </c>
      <c r="F9" s="198">
        <v>0</v>
      </c>
      <c r="K9" s="201">
        <v>9</v>
      </c>
      <c r="L9" s="201" t="s">
        <v>148</v>
      </c>
      <c r="M9" s="201" t="s">
        <v>136</v>
      </c>
    </row>
    <row r="10" spans="1:13">
      <c r="A10" t="s">
        <v>168</v>
      </c>
      <c r="B10" t="s">
        <v>169</v>
      </c>
      <c r="C10" t="s">
        <v>170</v>
      </c>
      <c r="D10" s="198">
        <v>2592165.69</v>
      </c>
      <c r="E10" s="198">
        <v>10953351.390000001</v>
      </c>
      <c r="F10" s="198">
        <v>6604120.46</v>
      </c>
      <c r="G10" s="198">
        <v>20149637.539999999</v>
      </c>
      <c r="H10" s="198">
        <v>19409714</v>
      </c>
      <c r="K10" s="202">
        <v>10</v>
      </c>
      <c r="L10" s="201" t="s">
        <v>149</v>
      </c>
      <c r="M10" s="201" t="s">
        <v>137</v>
      </c>
    </row>
    <row r="11" spans="1:13">
      <c r="A11" t="s">
        <v>171</v>
      </c>
      <c r="B11" t="s">
        <v>158</v>
      </c>
      <c r="C11" t="s">
        <v>158</v>
      </c>
      <c r="D11" s="198">
        <v>0</v>
      </c>
      <c r="E11" s="198">
        <v>0</v>
      </c>
      <c r="F11" s="198">
        <v>0</v>
      </c>
      <c r="K11" s="201">
        <v>11</v>
      </c>
      <c r="L11" s="201" t="s">
        <v>150</v>
      </c>
      <c r="M11" s="201" t="s">
        <v>138</v>
      </c>
    </row>
    <row r="12" spans="1:13">
      <c r="A12" t="s">
        <v>172</v>
      </c>
      <c r="B12" t="s">
        <v>173</v>
      </c>
      <c r="C12" t="s">
        <v>174</v>
      </c>
      <c r="D12" s="198">
        <v>401399.63</v>
      </c>
      <c r="E12" s="198">
        <v>2389744.66</v>
      </c>
      <c r="F12" s="198">
        <v>4483962.5999999996</v>
      </c>
      <c r="G12" s="198">
        <v>7275106.8899999997</v>
      </c>
      <c r="H12" s="198">
        <v>4209812</v>
      </c>
      <c r="K12" s="202">
        <v>12</v>
      </c>
      <c r="L12" s="201" t="s">
        <v>151</v>
      </c>
      <c r="M12" s="201" t="s">
        <v>139</v>
      </c>
    </row>
    <row r="13" spans="1:13">
      <c r="A13" t="s">
        <v>175</v>
      </c>
      <c r="B13" t="s">
        <v>176</v>
      </c>
      <c r="C13" t="s">
        <v>177</v>
      </c>
      <c r="D13" s="198">
        <v>0</v>
      </c>
      <c r="E13" s="198">
        <v>0</v>
      </c>
      <c r="F13" s="198">
        <v>0</v>
      </c>
    </row>
    <row r="14" spans="1:13">
      <c r="A14" t="s">
        <v>178</v>
      </c>
      <c r="B14" t="s">
        <v>179</v>
      </c>
      <c r="C14" t="s">
        <v>180</v>
      </c>
      <c r="D14" s="198">
        <v>0</v>
      </c>
      <c r="E14" s="198">
        <v>0</v>
      </c>
      <c r="F14" s="198">
        <v>0</v>
      </c>
      <c r="G14" s="198"/>
      <c r="H14" s="198">
        <v>37827096</v>
      </c>
    </row>
    <row r="15" spans="1:13">
      <c r="A15" t="s">
        <v>181</v>
      </c>
      <c r="B15" t="s">
        <v>182</v>
      </c>
      <c r="C15" t="s">
        <v>183</v>
      </c>
      <c r="D15" s="198">
        <v>7458321.0700000003</v>
      </c>
      <c r="E15" s="198">
        <v>24337607.27</v>
      </c>
      <c r="F15" s="198">
        <v>20365056.550000001</v>
      </c>
      <c r="G15" s="198">
        <v>52160984.890000001</v>
      </c>
      <c r="H15" s="198">
        <v>11792184</v>
      </c>
      <c r="K15" s="200" t="s">
        <v>119</v>
      </c>
      <c r="L15" s="199" t="s">
        <v>103</v>
      </c>
    </row>
    <row r="16" spans="1:13">
      <c r="A16" t="s">
        <v>184</v>
      </c>
      <c r="B16" t="s">
        <v>158</v>
      </c>
      <c r="C16" t="s">
        <v>158</v>
      </c>
      <c r="D16" s="198">
        <v>0</v>
      </c>
      <c r="E16" s="198">
        <v>0</v>
      </c>
      <c r="F16" s="198">
        <v>0</v>
      </c>
      <c r="K16" s="200" t="s">
        <v>118</v>
      </c>
      <c r="L16" s="199" t="s">
        <v>103</v>
      </c>
    </row>
    <row r="17" spans="1:12">
      <c r="A17" t="s">
        <v>185</v>
      </c>
      <c r="B17" t="s">
        <v>186</v>
      </c>
      <c r="C17" t="s">
        <v>187</v>
      </c>
      <c r="D17" s="198">
        <v>-637213.06999999995</v>
      </c>
      <c r="E17" s="198">
        <v>3329465.67</v>
      </c>
      <c r="F17" s="198">
        <v>1203845.4099999999</v>
      </c>
      <c r="G17" s="198">
        <v>3896098.01</v>
      </c>
      <c r="H17" s="198">
        <v>460868</v>
      </c>
      <c r="K17" s="200" t="s">
        <v>117</v>
      </c>
      <c r="L17" s="199" t="s">
        <v>103</v>
      </c>
    </row>
    <row r="18" spans="1:12">
      <c r="A18" t="s">
        <v>188</v>
      </c>
      <c r="B18" t="s">
        <v>189</v>
      </c>
      <c r="C18" t="s">
        <v>190</v>
      </c>
      <c r="D18" s="198">
        <v>0</v>
      </c>
      <c r="E18" s="198">
        <v>0</v>
      </c>
      <c r="F18" s="198">
        <v>0</v>
      </c>
      <c r="K18" s="200" t="s">
        <v>116</v>
      </c>
      <c r="L18" s="199" t="s">
        <v>103</v>
      </c>
    </row>
    <row r="19" spans="1:12">
      <c r="A19" t="s">
        <v>191</v>
      </c>
      <c r="B19" t="s">
        <v>192</v>
      </c>
      <c r="C19" t="s">
        <v>193</v>
      </c>
      <c r="D19" s="198">
        <v>1803664.25</v>
      </c>
      <c r="E19" s="198">
        <v>3649379.55</v>
      </c>
      <c r="F19" s="198">
        <v>788233.19</v>
      </c>
      <c r="G19" s="198">
        <v>6241276.9900000002</v>
      </c>
      <c r="H19">
        <v>35039033</v>
      </c>
      <c r="K19" s="200" t="s">
        <v>115</v>
      </c>
      <c r="L19" s="199" t="s">
        <v>103</v>
      </c>
    </row>
    <row r="20" spans="1:12">
      <c r="A20" t="s">
        <v>194</v>
      </c>
      <c r="B20" t="s">
        <v>5</v>
      </c>
      <c r="C20" t="s">
        <v>4</v>
      </c>
      <c r="D20" s="198">
        <v>0</v>
      </c>
      <c r="E20" s="198">
        <v>0</v>
      </c>
      <c r="F20" s="198">
        <v>0</v>
      </c>
      <c r="K20" s="200" t="s">
        <v>114</v>
      </c>
      <c r="L20" s="199" t="s">
        <v>103</v>
      </c>
    </row>
    <row r="21" spans="1:12">
      <c r="A21" t="s">
        <v>195</v>
      </c>
      <c r="B21" t="s">
        <v>158</v>
      </c>
      <c r="C21" t="s">
        <v>158</v>
      </c>
      <c r="D21" s="198">
        <v>0</v>
      </c>
      <c r="E21" s="198">
        <v>0</v>
      </c>
      <c r="F21" s="198">
        <v>0</v>
      </c>
      <c r="K21" s="200" t="s">
        <v>113</v>
      </c>
      <c r="L21" s="199" t="s">
        <v>103</v>
      </c>
    </row>
    <row r="22" spans="1:12">
      <c r="A22" t="s">
        <v>196</v>
      </c>
      <c r="B22" t="s">
        <v>158</v>
      </c>
      <c r="C22" t="s">
        <v>158</v>
      </c>
      <c r="D22" s="198">
        <v>0</v>
      </c>
      <c r="E22" s="198">
        <v>0</v>
      </c>
      <c r="F22" s="198">
        <v>0</v>
      </c>
      <c r="K22" s="200" t="s">
        <v>112</v>
      </c>
      <c r="L22" s="199" t="s">
        <v>103</v>
      </c>
    </row>
    <row r="23" spans="1:12">
      <c r="A23" t="s">
        <v>197</v>
      </c>
      <c r="B23" t="s">
        <v>165</v>
      </c>
      <c r="C23" t="s">
        <v>166</v>
      </c>
      <c r="D23" s="198">
        <v>11711862.050000001</v>
      </c>
      <c r="E23" s="198">
        <v>57431943.049999997</v>
      </c>
      <c r="F23" s="198">
        <v>24529736.98</v>
      </c>
      <c r="G23" s="198">
        <v>93673542.079999998</v>
      </c>
      <c r="H23" s="198">
        <v>110554516</v>
      </c>
      <c r="K23" s="200" t="s">
        <v>111</v>
      </c>
      <c r="L23" s="199" t="s">
        <v>103</v>
      </c>
    </row>
    <row r="24" spans="1:12">
      <c r="A24" t="s">
        <v>198</v>
      </c>
      <c r="B24" t="s">
        <v>169</v>
      </c>
      <c r="C24" t="s">
        <v>170</v>
      </c>
      <c r="D24" s="198">
        <v>2592165.69</v>
      </c>
      <c r="E24" s="198">
        <v>10953271.66</v>
      </c>
      <c r="F24" s="198">
        <v>6604118.4400000004</v>
      </c>
      <c r="G24" s="198">
        <v>20149555.789999999</v>
      </c>
      <c r="H24" s="198">
        <v>19409632</v>
      </c>
      <c r="K24" s="200" t="s">
        <v>110</v>
      </c>
      <c r="L24" s="199" t="s">
        <v>103</v>
      </c>
    </row>
    <row r="25" spans="1:12">
      <c r="A25" t="s">
        <v>199</v>
      </c>
      <c r="B25" t="s">
        <v>173</v>
      </c>
      <c r="C25" t="s">
        <v>174</v>
      </c>
      <c r="D25" s="198">
        <v>2274597.85</v>
      </c>
      <c r="E25" s="198">
        <v>13541885.859999999</v>
      </c>
      <c r="F25" s="198">
        <v>25409121.5</v>
      </c>
      <c r="G25" s="198">
        <v>41225605.210000001</v>
      </c>
      <c r="H25" s="198">
        <v>23855599</v>
      </c>
      <c r="K25" s="200" t="s">
        <v>109</v>
      </c>
      <c r="L25" s="199" t="s">
        <v>103</v>
      </c>
    </row>
    <row r="26" spans="1:12">
      <c r="A26" t="s">
        <v>200</v>
      </c>
      <c r="B26" t="s">
        <v>201</v>
      </c>
      <c r="C26" t="s">
        <v>202</v>
      </c>
      <c r="D26" s="198">
        <v>-622460.4</v>
      </c>
      <c r="E26" s="198">
        <v>11372082.07</v>
      </c>
      <c r="F26" s="198">
        <v>-7600675.1500000004</v>
      </c>
      <c r="G26" s="198">
        <v>3148946.52</v>
      </c>
      <c r="H26" s="198">
        <v>9032437</v>
      </c>
      <c r="K26" s="200" t="s">
        <v>108</v>
      </c>
      <c r="L26" s="199" t="s">
        <v>103</v>
      </c>
    </row>
    <row r="27" spans="1:12">
      <c r="A27" t="s">
        <v>203</v>
      </c>
      <c r="B27" t="s">
        <v>204</v>
      </c>
      <c r="C27" t="s">
        <v>205</v>
      </c>
      <c r="D27" s="198">
        <v>0</v>
      </c>
      <c r="E27" s="198">
        <v>0</v>
      </c>
      <c r="F27" s="198">
        <v>0</v>
      </c>
      <c r="G27" s="198"/>
      <c r="H27">
        <v>0</v>
      </c>
      <c r="K27" s="200" t="s">
        <v>107</v>
      </c>
      <c r="L27" s="199" t="s">
        <v>103</v>
      </c>
    </row>
    <row r="28" spans="1:12">
      <c r="A28" t="s">
        <v>206</v>
      </c>
      <c r="B28" t="s">
        <v>207</v>
      </c>
      <c r="C28" t="s">
        <v>208</v>
      </c>
      <c r="D28" s="198">
        <v>0</v>
      </c>
      <c r="E28" s="198">
        <v>0</v>
      </c>
      <c r="F28" s="198">
        <v>0</v>
      </c>
      <c r="G28">
        <v>0</v>
      </c>
      <c r="K28" s="200" t="s">
        <v>106</v>
      </c>
      <c r="L28" s="199" t="s">
        <v>103</v>
      </c>
    </row>
    <row r="29" spans="1:12">
      <c r="A29" t="s">
        <v>209</v>
      </c>
      <c r="B29" t="s">
        <v>7</v>
      </c>
      <c r="C29" t="s">
        <v>6</v>
      </c>
      <c r="D29" s="198">
        <v>0</v>
      </c>
      <c r="E29" s="198">
        <v>0</v>
      </c>
      <c r="F29" s="198">
        <v>0</v>
      </c>
      <c r="K29" s="200" t="s">
        <v>105</v>
      </c>
      <c r="L29" s="199" t="s">
        <v>103</v>
      </c>
    </row>
    <row r="30" spans="1:12">
      <c r="A30" t="s">
        <v>210</v>
      </c>
      <c r="B30" t="s">
        <v>158</v>
      </c>
      <c r="C30" t="s">
        <v>158</v>
      </c>
      <c r="D30" s="198">
        <v>0</v>
      </c>
      <c r="E30" s="198">
        <v>0</v>
      </c>
      <c r="F30" s="198">
        <v>0</v>
      </c>
      <c r="K30" s="200" t="s">
        <v>104</v>
      </c>
      <c r="L30" s="199" t="s">
        <v>103</v>
      </c>
    </row>
    <row r="31" spans="1:12">
      <c r="A31" t="s">
        <v>211</v>
      </c>
      <c r="B31" t="s">
        <v>158</v>
      </c>
      <c r="C31" t="s">
        <v>158</v>
      </c>
      <c r="D31" s="198">
        <v>0</v>
      </c>
      <c r="E31" s="198">
        <v>0</v>
      </c>
      <c r="F31" s="198">
        <v>0</v>
      </c>
      <c r="G31" s="198"/>
      <c r="H31" s="198"/>
    </row>
    <row r="32" spans="1:12">
      <c r="A32" t="s">
        <v>212</v>
      </c>
      <c r="B32" t="s">
        <v>213</v>
      </c>
      <c r="C32" t="s">
        <v>214</v>
      </c>
      <c r="D32" s="198">
        <v>2363515.83</v>
      </c>
      <c r="E32" s="198">
        <v>11838796.92</v>
      </c>
      <c r="F32" s="198">
        <v>9605976.6300000008</v>
      </c>
      <c r="G32">
        <v>23808289.379999999</v>
      </c>
      <c r="H32">
        <v>61400297</v>
      </c>
    </row>
    <row r="33" spans="1:8">
      <c r="A33" t="s">
        <v>215</v>
      </c>
      <c r="B33" t="s">
        <v>158</v>
      </c>
      <c r="C33" t="s">
        <v>158</v>
      </c>
      <c r="D33" s="198">
        <v>0</v>
      </c>
      <c r="E33" s="198">
        <v>0</v>
      </c>
      <c r="F33" s="198">
        <v>0</v>
      </c>
    </row>
    <row r="34" spans="1:8">
      <c r="A34" t="s">
        <v>216</v>
      </c>
      <c r="B34" t="s">
        <v>158</v>
      </c>
      <c r="C34" t="s">
        <v>158</v>
      </c>
      <c r="D34" s="198">
        <v>0</v>
      </c>
      <c r="E34" s="198">
        <v>0</v>
      </c>
      <c r="F34" s="198">
        <v>0</v>
      </c>
    </row>
    <row r="35" spans="1:8">
      <c r="A35" t="s">
        <v>217</v>
      </c>
      <c r="B35" t="s">
        <v>158</v>
      </c>
      <c r="C35" t="s">
        <v>158</v>
      </c>
      <c r="D35" s="198">
        <v>0</v>
      </c>
      <c r="E35" s="198">
        <v>0</v>
      </c>
      <c r="F35" s="198">
        <v>0</v>
      </c>
      <c r="G35" s="198"/>
      <c r="H35" s="198"/>
    </row>
    <row r="36" spans="1:8">
      <c r="A36" t="s">
        <v>218</v>
      </c>
      <c r="B36" t="s">
        <v>219</v>
      </c>
      <c r="C36" t="s">
        <v>220</v>
      </c>
      <c r="D36" s="198">
        <v>1894729.09</v>
      </c>
      <c r="E36" s="198">
        <v>17340687.399999999</v>
      </c>
      <c r="F36" s="198">
        <v>8310992.9699999997</v>
      </c>
      <c r="G36">
        <v>27546409.460000001</v>
      </c>
      <c r="H36">
        <v>34979557</v>
      </c>
    </row>
    <row r="37" spans="1:8">
      <c r="A37" t="s">
        <v>116</v>
      </c>
      <c r="B37" t="s">
        <v>158</v>
      </c>
      <c r="C37" t="s">
        <v>158</v>
      </c>
      <c r="D37" s="198">
        <v>0</v>
      </c>
      <c r="E37" s="198">
        <v>0</v>
      </c>
      <c r="F37" s="198">
        <v>0</v>
      </c>
    </row>
    <row r="38" spans="1:8">
      <c r="A38" t="s">
        <v>221</v>
      </c>
      <c r="B38" t="s">
        <v>158</v>
      </c>
      <c r="C38" t="s">
        <v>158</v>
      </c>
      <c r="D38" s="198">
        <v>0</v>
      </c>
      <c r="E38" s="198">
        <v>0</v>
      </c>
      <c r="F38" s="198">
        <v>0</v>
      </c>
    </row>
    <row r="39" spans="1:8">
      <c r="A39" t="s">
        <v>222</v>
      </c>
      <c r="B39" t="s">
        <v>158</v>
      </c>
      <c r="C39" t="s">
        <v>158</v>
      </c>
      <c r="D39" s="198">
        <v>0</v>
      </c>
      <c r="E39" s="198">
        <v>0</v>
      </c>
      <c r="F39" s="198">
        <v>0</v>
      </c>
      <c r="G39" s="198"/>
      <c r="H39" s="198"/>
    </row>
    <row r="40" spans="1:8">
      <c r="A40" t="s">
        <v>223</v>
      </c>
      <c r="B40" t="s">
        <v>224</v>
      </c>
      <c r="C40" t="s">
        <v>225</v>
      </c>
      <c r="D40" s="198">
        <v>68202.58</v>
      </c>
      <c r="E40" s="198">
        <v>1016465.97</v>
      </c>
      <c r="F40" s="198">
        <v>2187737.3199999998</v>
      </c>
      <c r="G40" s="198">
        <v>3272405.87</v>
      </c>
      <c r="H40" s="198">
        <v>2963644</v>
      </c>
    </row>
    <row r="41" spans="1:8">
      <c r="A41" t="s">
        <v>226</v>
      </c>
      <c r="B41" t="s">
        <v>227</v>
      </c>
      <c r="C41" t="s">
        <v>228</v>
      </c>
      <c r="D41" s="198">
        <v>0</v>
      </c>
      <c r="E41" s="198">
        <v>0</v>
      </c>
      <c r="F41" s="198">
        <v>0</v>
      </c>
      <c r="G41" s="198">
        <v>0</v>
      </c>
      <c r="H41" s="198">
        <v>0</v>
      </c>
    </row>
    <row r="42" spans="1:8">
      <c r="A42" t="s">
        <v>229</v>
      </c>
      <c r="B42" t="s">
        <v>230</v>
      </c>
      <c r="C42" t="s">
        <v>231</v>
      </c>
      <c r="D42" s="198">
        <v>1624625.75</v>
      </c>
      <c r="E42" s="198">
        <v>12052725.949999999</v>
      </c>
      <c r="F42" s="198">
        <v>19322.14</v>
      </c>
      <c r="G42" s="198">
        <v>13696673.84</v>
      </c>
      <c r="H42" s="198">
        <v>14367580</v>
      </c>
    </row>
    <row r="43" spans="1:8">
      <c r="A43" t="s">
        <v>232</v>
      </c>
      <c r="B43" t="s">
        <v>233</v>
      </c>
      <c r="C43" t="s">
        <v>234</v>
      </c>
      <c r="D43" s="198">
        <v>0</v>
      </c>
      <c r="E43" s="198">
        <v>0</v>
      </c>
      <c r="F43" s="198">
        <v>0</v>
      </c>
      <c r="G43" s="198"/>
      <c r="H43">
        <v>0</v>
      </c>
    </row>
    <row r="44" spans="1:8">
      <c r="A44" t="s">
        <v>235</v>
      </c>
      <c r="B44" t="s">
        <v>236</v>
      </c>
      <c r="C44" t="s">
        <v>237</v>
      </c>
      <c r="D44" s="198">
        <v>0</v>
      </c>
      <c r="E44" s="198">
        <v>0</v>
      </c>
      <c r="F44" s="198">
        <v>0</v>
      </c>
      <c r="G44" s="198"/>
      <c r="H44">
        <v>0</v>
      </c>
    </row>
    <row r="45" spans="1:8">
      <c r="A45" t="s">
        <v>238</v>
      </c>
      <c r="B45" t="s">
        <v>239</v>
      </c>
      <c r="C45" t="s">
        <v>240</v>
      </c>
      <c r="D45" s="198">
        <v>0</v>
      </c>
      <c r="E45" s="198">
        <v>0</v>
      </c>
      <c r="F45" s="198">
        <v>0</v>
      </c>
      <c r="H45">
        <v>-1</v>
      </c>
    </row>
    <row r="46" spans="1:8">
      <c r="A46" t="s">
        <v>241</v>
      </c>
      <c r="B46" t="s">
        <v>242</v>
      </c>
      <c r="C46" t="s">
        <v>243</v>
      </c>
      <c r="D46" s="198">
        <v>0</v>
      </c>
      <c r="E46" s="198">
        <v>13012573.76</v>
      </c>
      <c r="F46" s="198">
        <v>1674436.01</v>
      </c>
      <c r="G46">
        <v>14687009.77</v>
      </c>
      <c r="H46" s="198"/>
    </row>
    <row r="47" spans="1:8">
      <c r="A47" t="s">
        <v>244</v>
      </c>
      <c r="B47" t="s">
        <v>158</v>
      </c>
      <c r="C47" t="s">
        <v>158</v>
      </c>
      <c r="D47" s="198">
        <v>0</v>
      </c>
      <c r="E47" s="198">
        <v>0</v>
      </c>
      <c r="F47" s="198">
        <v>0</v>
      </c>
      <c r="H47" s="198"/>
    </row>
    <row r="48" spans="1:8">
      <c r="A48" t="s">
        <v>245</v>
      </c>
      <c r="B48" t="s">
        <v>158</v>
      </c>
      <c r="C48" t="s">
        <v>158</v>
      </c>
      <c r="D48" s="198">
        <v>0</v>
      </c>
      <c r="E48" s="198">
        <v>0</v>
      </c>
      <c r="F48" s="198">
        <v>0</v>
      </c>
      <c r="G48" s="198"/>
      <c r="H48" s="198"/>
    </row>
    <row r="49" spans="1:8">
      <c r="A49" t="s">
        <v>246</v>
      </c>
      <c r="B49" t="s">
        <v>158</v>
      </c>
      <c r="C49" t="s">
        <v>158</v>
      </c>
      <c r="D49" s="198">
        <v>0</v>
      </c>
      <c r="E49" s="198">
        <v>0</v>
      </c>
      <c r="F49" s="198">
        <v>0</v>
      </c>
    </row>
    <row r="50" spans="1:8">
      <c r="A50" t="s">
        <v>247</v>
      </c>
      <c r="B50" t="s">
        <v>248</v>
      </c>
      <c r="C50" t="s">
        <v>249</v>
      </c>
      <c r="D50" s="198">
        <v>0</v>
      </c>
      <c r="E50" s="198">
        <v>0</v>
      </c>
      <c r="F50" s="198">
        <v>0</v>
      </c>
      <c r="H50">
        <v>0</v>
      </c>
    </row>
    <row r="51" spans="1:8">
      <c r="A51" t="s">
        <v>250</v>
      </c>
      <c r="B51" t="s">
        <v>31</v>
      </c>
      <c r="C51" t="s">
        <v>30</v>
      </c>
      <c r="D51" s="198">
        <v>0</v>
      </c>
      <c r="E51" s="198">
        <v>0</v>
      </c>
      <c r="F51" s="198">
        <v>0</v>
      </c>
    </row>
    <row r="52" spans="1:8">
      <c r="A52" t="s">
        <v>251</v>
      </c>
      <c r="B52" t="s">
        <v>11</v>
      </c>
      <c r="C52" t="s">
        <v>10</v>
      </c>
      <c r="D52" s="198">
        <v>0</v>
      </c>
      <c r="E52" s="198">
        <v>0</v>
      </c>
      <c r="F52" s="198">
        <v>0</v>
      </c>
    </row>
    <row r="53" spans="1:8">
      <c r="A53" t="s">
        <v>252</v>
      </c>
      <c r="B53" t="s">
        <v>158</v>
      </c>
      <c r="C53" t="s">
        <v>158</v>
      </c>
      <c r="D53" s="198">
        <v>0</v>
      </c>
      <c r="E53" s="198">
        <v>0</v>
      </c>
      <c r="F53" s="198">
        <v>0</v>
      </c>
      <c r="G53" s="198"/>
      <c r="H53" s="198"/>
    </row>
    <row r="54" spans="1:8">
      <c r="A54" t="s">
        <v>253</v>
      </c>
      <c r="B54" t="s">
        <v>254</v>
      </c>
      <c r="C54" t="s">
        <v>255</v>
      </c>
      <c r="D54" s="198">
        <v>0</v>
      </c>
      <c r="E54" s="198">
        <v>0</v>
      </c>
      <c r="F54" s="198">
        <v>0</v>
      </c>
      <c r="G54" s="198"/>
      <c r="H54" s="198"/>
    </row>
    <row r="55" spans="1:8">
      <c r="A55" t="s">
        <v>256</v>
      </c>
      <c r="B55" t="s">
        <v>11</v>
      </c>
      <c r="C55" t="s">
        <v>10</v>
      </c>
      <c r="D55" s="198">
        <v>196296620.56</v>
      </c>
      <c r="E55" s="198">
        <v>737380534.23000002</v>
      </c>
      <c r="F55" s="198">
        <v>343804681.38999999</v>
      </c>
      <c r="G55">
        <v>1277481836.1800001</v>
      </c>
      <c r="H55">
        <v>1190019047</v>
      </c>
    </row>
    <row r="56" spans="1:8">
      <c r="A56" t="s">
        <v>257</v>
      </c>
      <c r="B56" t="s">
        <v>54</v>
      </c>
      <c r="C56" t="s">
        <v>258</v>
      </c>
      <c r="D56" s="198">
        <v>0</v>
      </c>
      <c r="E56" s="198">
        <v>0</v>
      </c>
      <c r="F56" s="198">
        <v>0</v>
      </c>
      <c r="G56">
        <v>0</v>
      </c>
      <c r="H56">
        <v>0</v>
      </c>
    </row>
    <row r="57" spans="1:8">
      <c r="A57" t="s">
        <v>259</v>
      </c>
      <c r="B57" t="s">
        <v>260</v>
      </c>
      <c r="C57" t="s">
        <v>261</v>
      </c>
      <c r="D57" s="198">
        <v>0</v>
      </c>
      <c r="E57" s="198">
        <v>0</v>
      </c>
      <c r="F57" s="198">
        <v>0</v>
      </c>
    </row>
    <row r="58" spans="1:8">
      <c r="A58" t="s">
        <v>262</v>
      </c>
      <c r="B58" t="s">
        <v>263</v>
      </c>
      <c r="C58" t="s">
        <v>264</v>
      </c>
      <c r="D58" s="198">
        <v>0</v>
      </c>
      <c r="E58" s="198">
        <v>0</v>
      </c>
      <c r="F58" s="198">
        <v>0</v>
      </c>
      <c r="G58" s="198">
        <v>0</v>
      </c>
      <c r="H58" s="198">
        <v>0</v>
      </c>
    </row>
    <row r="59" spans="1:8">
      <c r="A59" t="s">
        <v>265</v>
      </c>
      <c r="B59" t="s">
        <v>266</v>
      </c>
      <c r="C59" t="s">
        <v>267</v>
      </c>
      <c r="D59" s="198">
        <v>0</v>
      </c>
      <c r="E59" s="198">
        <v>0</v>
      </c>
      <c r="F59" s="198">
        <v>0</v>
      </c>
      <c r="G59" s="198">
        <v>0</v>
      </c>
      <c r="H59" s="198">
        <v>0</v>
      </c>
    </row>
    <row r="60" spans="1:8">
      <c r="A60" t="s">
        <v>268</v>
      </c>
      <c r="B60" t="s">
        <v>158</v>
      </c>
      <c r="C60" t="s">
        <v>158</v>
      </c>
      <c r="D60" s="198">
        <v>0</v>
      </c>
      <c r="E60" s="198">
        <v>0</v>
      </c>
      <c r="F60" s="198">
        <v>0</v>
      </c>
    </row>
    <row r="61" spans="1:8">
      <c r="A61" t="s">
        <v>269</v>
      </c>
      <c r="B61" t="s">
        <v>158</v>
      </c>
      <c r="C61" t="s">
        <v>158</v>
      </c>
      <c r="D61" s="198">
        <v>0</v>
      </c>
      <c r="E61" s="198">
        <v>0</v>
      </c>
      <c r="F61" s="198">
        <v>0</v>
      </c>
    </row>
    <row r="62" spans="1:8">
      <c r="A62" t="s">
        <v>270</v>
      </c>
      <c r="B62" t="s">
        <v>158</v>
      </c>
      <c r="C62" t="s">
        <v>158</v>
      </c>
      <c r="D62" s="198">
        <v>0</v>
      </c>
      <c r="E62" s="198">
        <v>0</v>
      </c>
      <c r="F62" s="198">
        <v>0</v>
      </c>
    </row>
    <row r="63" spans="1:8">
      <c r="A63" t="s">
        <v>271</v>
      </c>
      <c r="B63" t="s">
        <v>272</v>
      </c>
      <c r="C63" t="s">
        <v>273</v>
      </c>
      <c r="D63" s="198">
        <v>5538760.1299999999</v>
      </c>
      <c r="E63" s="198">
        <v>18536188.219999999</v>
      </c>
      <c r="F63" s="198">
        <v>12781084.01</v>
      </c>
      <c r="G63" s="198">
        <v>36856032.359999999</v>
      </c>
      <c r="H63" s="198">
        <v>33452413</v>
      </c>
    </row>
    <row r="64" spans="1:8">
      <c r="A64" t="s">
        <v>274</v>
      </c>
      <c r="B64" t="s">
        <v>158</v>
      </c>
      <c r="C64" t="s">
        <v>158</v>
      </c>
      <c r="D64" s="198">
        <v>0</v>
      </c>
      <c r="E64" s="198">
        <v>0</v>
      </c>
      <c r="F64" s="198">
        <v>0</v>
      </c>
    </row>
    <row r="65" spans="1:8">
      <c r="A65" t="s">
        <v>275</v>
      </c>
      <c r="B65" t="s">
        <v>158</v>
      </c>
      <c r="C65" t="s">
        <v>158</v>
      </c>
      <c r="D65" s="198">
        <v>0</v>
      </c>
      <c r="E65" s="198">
        <v>0</v>
      </c>
      <c r="F65" s="198">
        <v>0</v>
      </c>
    </row>
    <row r="66" spans="1:8">
      <c r="A66" t="s">
        <v>276</v>
      </c>
      <c r="B66" t="s">
        <v>158</v>
      </c>
      <c r="C66" t="s">
        <v>158</v>
      </c>
      <c r="D66" s="198">
        <v>0</v>
      </c>
      <c r="E66" s="198">
        <v>0</v>
      </c>
      <c r="F66" s="198">
        <v>0</v>
      </c>
    </row>
    <row r="67" spans="1:8">
      <c r="A67" t="s">
        <v>277</v>
      </c>
      <c r="B67" t="s">
        <v>278</v>
      </c>
      <c r="C67" t="s">
        <v>279</v>
      </c>
      <c r="D67" s="198">
        <v>1313909.48</v>
      </c>
      <c r="E67" s="198">
        <v>4082584.57</v>
      </c>
      <c r="F67" s="198">
        <v>2691344.95</v>
      </c>
      <c r="G67" s="198">
        <v>8087839</v>
      </c>
      <c r="H67" s="198">
        <v>6758178</v>
      </c>
    </row>
    <row r="68" spans="1:8">
      <c r="A68" t="s">
        <v>280</v>
      </c>
      <c r="B68" t="s">
        <v>158</v>
      </c>
      <c r="C68" t="s">
        <v>158</v>
      </c>
      <c r="D68" s="198">
        <v>0</v>
      </c>
      <c r="E68" s="198">
        <v>0</v>
      </c>
      <c r="F68" s="198">
        <v>0</v>
      </c>
    </row>
    <row r="69" spans="1:8">
      <c r="A69" t="s">
        <v>281</v>
      </c>
      <c r="B69" t="s">
        <v>158</v>
      </c>
      <c r="C69" t="s">
        <v>158</v>
      </c>
      <c r="D69" s="198">
        <v>0</v>
      </c>
      <c r="E69" s="198">
        <v>0</v>
      </c>
      <c r="F69" s="198">
        <v>0</v>
      </c>
    </row>
    <row r="70" spans="1:8">
      <c r="A70" t="s">
        <v>282</v>
      </c>
      <c r="B70" t="s">
        <v>158</v>
      </c>
      <c r="C70" t="s">
        <v>158</v>
      </c>
      <c r="D70" s="198">
        <v>0</v>
      </c>
      <c r="E70" s="198">
        <v>0</v>
      </c>
      <c r="F70" s="198">
        <v>0</v>
      </c>
      <c r="G70" s="198"/>
      <c r="H70" s="198"/>
    </row>
    <row r="71" spans="1:8">
      <c r="A71" t="s">
        <v>283</v>
      </c>
      <c r="B71" t="s">
        <v>284</v>
      </c>
      <c r="C71" t="s">
        <v>285</v>
      </c>
      <c r="D71" s="198">
        <v>449379.16</v>
      </c>
      <c r="E71" s="198">
        <v>2155539.59</v>
      </c>
      <c r="F71" s="198">
        <v>737598.15</v>
      </c>
      <c r="G71">
        <v>3342516.9</v>
      </c>
      <c r="H71">
        <v>3828609</v>
      </c>
    </row>
    <row r="72" spans="1:8">
      <c r="A72" t="s">
        <v>115</v>
      </c>
      <c r="B72" t="s">
        <v>286</v>
      </c>
      <c r="C72" t="s">
        <v>287</v>
      </c>
      <c r="D72" s="198">
        <v>0</v>
      </c>
      <c r="E72" s="198">
        <v>0</v>
      </c>
      <c r="F72" s="198">
        <v>0</v>
      </c>
    </row>
    <row r="73" spans="1:8">
      <c r="A73" t="s">
        <v>288</v>
      </c>
      <c r="B73" t="s">
        <v>158</v>
      </c>
      <c r="C73" t="s">
        <v>158</v>
      </c>
      <c r="D73" s="198">
        <v>0</v>
      </c>
      <c r="E73" s="198">
        <v>0</v>
      </c>
      <c r="F73" s="198">
        <v>0</v>
      </c>
    </row>
    <row r="74" spans="1:8">
      <c r="A74" t="s">
        <v>289</v>
      </c>
      <c r="B74" t="s">
        <v>290</v>
      </c>
      <c r="C74" t="s">
        <v>291</v>
      </c>
      <c r="D74" s="198">
        <v>0</v>
      </c>
      <c r="E74" s="198">
        <v>0</v>
      </c>
      <c r="F74" s="198">
        <v>0</v>
      </c>
      <c r="G74" s="198"/>
      <c r="H74" s="198"/>
    </row>
    <row r="75" spans="1:8">
      <c r="A75" t="s">
        <v>292</v>
      </c>
      <c r="B75" t="s">
        <v>15</v>
      </c>
      <c r="C75" t="s">
        <v>14</v>
      </c>
      <c r="D75" s="198">
        <v>-2694.61</v>
      </c>
      <c r="E75" s="198">
        <v>22901.42</v>
      </c>
      <c r="F75" s="198">
        <v>-28677.05</v>
      </c>
      <c r="G75">
        <v>-8470.24</v>
      </c>
      <c r="H75">
        <v>-12877</v>
      </c>
    </row>
    <row r="76" spans="1:8">
      <c r="A76" t="s">
        <v>293</v>
      </c>
      <c r="B76" t="s">
        <v>294</v>
      </c>
      <c r="C76" t="s">
        <v>295</v>
      </c>
      <c r="D76" s="198">
        <v>0</v>
      </c>
      <c r="E76" s="198">
        <v>0</v>
      </c>
      <c r="F76" s="198">
        <v>0</v>
      </c>
      <c r="G76">
        <v>0</v>
      </c>
      <c r="H76">
        <v>1</v>
      </c>
    </row>
    <row r="77" spans="1:8">
      <c r="A77" t="s">
        <v>296</v>
      </c>
      <c r="B77" t="s">
        <v>297</v>
      </c>
      <c r="C77" t="s">
        <v>298</v>
      </c>
      <c r="D77" s="198">
        <v>0</v>
      </c>
      <c r="E77" s="198">
        <v>0</v>
      </c>
      <c r="F77" s="198">
        <v>0</v>
      </c>
    </row>
    <row r="78" spans="1:8">
      <c r="A78" t="s">
        <v>299</v>
      </c>
      <c r="B78" t="s">
        <v>300</v>
      </c>
      <c r="C78" t="s">
        <v>301</v>
      </c>
      <c r="D78" s="198">
        <v>0</v>
      </c>
      <c r="E78" s="198">
        <v>0</v>
      </c>
      <c r="F78" s="198">
        <v>0</v>
      </c>
      <c r="G78" s="198">
        <v>0</v>
      </c>
      <c r="H78">
        <v>0</v>
      </c>
    </row>
    <row r="79" spans="1:8">
      <c r="A79" t="s">
        <v>302</v>
      </c>
      <c r="B79" t="s">
        <v>303</v>
      </c>
      <c r="C79" t="s">
        <v>304</v>
      </c>
      <c r="D79" s="198">
        <v>0</v>
      </c>
      <c r="E79" s="198">
        <v>0</v>
      </c>
      <c r="F79" s="198">
        <v>0</v>
      </c>
      <c r="G79">
        <v>0</v>
      </c>
      <c r="H79">
        <v>0</v>
      </c>
    </row>
    <row r="80" spans="1:8">
      <c r="A80" t="s">
        <v>305</v>
      </c>
      <c r="B80" t="s">
        <v>306</v>
      </c>
      <c r="C80" t="s">
        <v>307</v>
      </c>
      <c r="D80" s="198">
        <v>0</v>
      </c>
      <c r="E80" s="198">
        <v>0</v>
      </c>
      <c r="F80" s="198">
        <v>0</v>
      </c>
    </row>
    <row r="81" spans="1:8">
      <c r="A81" t="s">
        <v>308</v>
      </c>
      <c r="B81" t="s">
        <v>158</v>
      </c>
      <c r="C81" t="s">
        <v>158</v>
      </c>
      <c r="D81" s="198">
        <v>0</v>
      </c>
      <c r="E81" s="198">
        <v>0</v>
      </c>
      <c r="F81" s="198">
        <v>0</v>
      </c>
    </row>
    <row r="82" spans="1:8">
      <c r="A82" t="s">
        <v>309</v>
      </c>
      <c r="B82" t="s">
        <v>310</v>
      </c>
      <c r="C82" t="s">
        <v>311</v>
      </c>
      <c r="D82" s="198">
        <v>0</v>
      </c>
      <c r="E82" s="198">
        <v>0</v>
      </c>
      <c r="F82" s="198">
        <v>0</v>
      </c>
      <c r="G82" s="198"/>
      <c r="H82" s="198"/>
    </row>
    <row r="83" spans="1:8">
      <c r="A83" t="s">
        <v>312</v>
      </c>
      <c r="B83" t="s">
        <v>17</v>
      </c>
      <c r="C83" t="s">
        <v>16</v>
      </c>
      <c r="D83" s="198">
        <v>253.96</v>
      </c>
      <c r="E83" s="198">
        <v>294.37</v>
      </c>
      <c r="F83" s="198">
        <v>30595.79</v>
      </c>
      <c r="G83" s="198">
        <v>31144.12</v>
      </c>
      <c r="H83" s="198">
        <v>2298</v>
      </c>
    </row>
    <row r="84" spans="1:8">
      <c r="A84" t="s">
        <v>313</v>
      </c>
      <c r="B84" t="s">
        <v>314</v>
      </c>
      <c r="C84" t="s">
        <v>315</v>
      </c>
      <c r="D84" s="198">
        <v>0</v>
      </c>
      <c r="E84" s="198">
        <v>0</v>
      </c>
      <c r="F84" s="198">
        <v>0</v>
      </c>
      <c r="G84">
        <v>0</v>
      </c>
      <c r="H84">
        <v>0</v>
      </c>
    </row>
    <row r="85" spans="1:8">
      <c r="A85" t="s">
        <v>316</v>
      </c>
      <c r="B85" t="s">
        <v>317</v>
      </c>
      <c r="C85" t="s">
        <v>318</v>
      </c>
      <c r="D85" s="198">
        <v>0</v>
      </c>
      <c r="E85" s="198">
        <v>0</v>
      </c>
      <c r="F85" s="198">
        <v>0</v>
      </c>
      <c r="G85" s="198"/>
      <c r="H85" s="198"/>
    </row>
    <row r="86" spans="1:8">
      <c r="A86" t="s">
        <v>319</v>
      </c>
      <c r="B86" t="s">
        <v>158</v>
      </c>
      <c r="C86" t="s">
        <v>158</v>
      </c>
      <c r="D86" s="198">
        <v>0</v>
      </c>
      <c r="E86" s="198">
        <v>0</v>
      </c>
      <c r="F86" s="198">
        <v>0</v>
      </c>
      <c r="G86" s="198"/>
      <c r="H86" s="198"/>
    </row>
    <row r="87" spans="1:8">
      <c r="A87" t="s">
        <v>320</v>
      </c>
      <c r="B87" t="s">
        <v>321</v>
      </c>
      <c r="C87" t="s">
        <v>322</v>
      </c>
      <c r="D87" s="198">
        <v>0</v>
      </c>
      <c r="E87" s="198">
        <v>0</v>
      </c>
      <c r="F87" s="198">
        <v>0</v>
      </c>
    </row>
    <row r="88" spans="1:8">
      <c r="A88" t="s">
        <v>323</v>
      </c>
      <c r="B88" t="s">
        <v>21</v>
      </c>
      <c r="C88" t="s">
        <v>20</v>
      </c>
      <c r="D88" s="198">
        <v>32104093.190000001</v>
      </c>
      <c r="E88" s="198">
        <v>189449427.5</v>
      </c>
      <c r="F88" s="198">
        <v>-642928.5</v>
      </c>
      <c r="G88">
        <v>220910592.19</v>
      </c>
      <c r="H88">
        <v>217065021</v>
      </c>
    </row>
    <row r="89" spans="1:8">
      <c r="A89" t="s">
        <v>324</v>
      </c>
      <c r="B89" t="s">
        <v>325</v>
      </c>
      <c r="C89" t="s">
        <v>326</v>
      </c>
      <c r="D89" s="198">
        <v>0</v>
      </c>
      <c r="E89" s="198">
        <v>0</v>
      </c>
      <c r="F89" s="198">
        <v>0</v>
      </c>
      <c r="G89">
        <v>0</v>
      </c>
      <c r="H89">
        <v>0</v>
      </c>
    </row>
    <row r="90" spans="1:8">
      <c r="A90" t="s">
        <v>327</v>
      </c>
      <c r="B90" t="s">
        <v>328</v>
      </c>
      <c r="C90" t="s">
        <v>329</v>
      </c>
      <c r="D90" s="198">
        <v>0</v>
      </c>
      <c r="E90" s="198">
        <v>0</v>
      </c>
      <c r="F90" s="198">
        <v>0</v>
      </c>
      <c r="G90" s="198"/>
      <c r="H90" s="198">
        <v>0</v>
      </c>
    </row>
    <row r="91" spans="1:8">
      <c r="A91" t="s">
        <v>330</v>
      </c>
      <c r="B91" t="s">
        <v>331</v>
      </c>
      <c r="C91" t="s">
        <v>332</v>
      </c>
      <c r="D91" s="198">
        <v>0</v>
      </c>
      <c r="E91" s="198">
        <v>0</v>
      </c>
      <c r="F91" s="198">
        <v>0</v>
      </c>
      <c r="H91">
        <v>0</v>
      </c>
    </row>
    <row r="92" spans="1:8">
      <c r="A92" t="s">
        <v>333</v>
      </c>
      <c r="B92" t="s">
        <v>334</v>
      </c>
      <c r="C92" t="s">
        <v>335</v>
      </c>
      <c r="D92" s="198">
        <v>0</v>
      </c>
      <c r="E92" s="198">
        <v>0</v>
      </c>
      <c r="F92" s="198">
        <v>0</v>
      </c>
    </row>
    <row r="93" spans="1:8">
      <c r="A93" t="s">
        <v>336</v>
      </c>
      <c r="B93" t="s">
        <v>337</v>
      </c>
      <c r="C93" t="s">
        <v>338</v>
      </c>
      <c r="D93" s="198">
        <v>0</v>
      </c>
      <c r="E93" s="198">
        <v>0</v>
      </c>
      <c r="F93" s="198">
        <v>0</v>
      </c>
      <c r="G93">
        <v>0</v>
      </c>
      <c r="H93">
        <v>0</v>
      </c>
    </row>
    <row r="94" spans="1:8">
      <c r="A94" t="s">
        <v>339</v>
      </c>
      <c r="B94" t="s">
        <v>340</v>
      </c>
      <c r="C94" t="s">
        <v>341</v>
      </c>
      <c r="D94" s="198">
        <v>0</v>
      </c>
      <c r="E94" s="198">
        <v>0</v>
      </c>
      <c r="F94" s="198">
        <v>0</v>
      </c>
      <c r="G94" s="198">
        <v>0</v>
      </c>
      <c r="H94" s="198">
        <v>0</v>
      </c>
    </row>
    <row r="95" spans="1:8">
      <c r="A95" t="s">
        <v>342</v>
      </c>
      <c r="B95" t="s">
        <v>343</v>
      </c>
      <c r="C95" t="s">
        <v>344</v>
      </c>
      <c r="D95" s="198">
        <v>0</v>
      </c>
      <c r="E95" s="198">
        <v>0</v>
      </c>
      <c r="F95" s="198">
        <v>0</v>
      </c>
      <c r="H95">
        <v>0</v>
      </c>
    </row>
    <row r="96" spans="1:8">
      <c r="A96" t="s">
        <v>345</v>
      </c>
      <c r="B96" t="s">
        <v>346</v>
      </c>
      <c r="C96" t="s">
        <v>347</v>
      </c>
      <c r="D96" s="198">
        <v>0</v>
      </c>
      <c r="E96" s="198">
        <v>0</v>
      </c>
      <c r="F96" s="198">
        <v>0</v>
      </c>
    </row>
    <row r="97" spans="1:8">
      <c r="A97" t="s">
        <v>348</v>
      </c>
      <c r="B97" t="s">
        <v>158</v>
      </c>
      <c r="C97" t="s">
        <v>158</v>
      </c>
      <c r="D97" s="198">
        <v>0</v>
      </c>
      <c r="E97" s="198">
        <v>0</v>
      </c>
      <c r="F97" s="198">
        <v>0</v>
      </c>
    </row>
    <row r="98" spans="1:8">
      <c r="A98" t="s">
        <v>349</v>
      </c>
      <c r="B98" t="s">
        <v>350</v>
      </c>
      <c r="C98" t="s">
        <v>351</v>
      </c>
      <c r="D98" s="198">
        <v>0</v>
      </c>
      <c r="E98" s="198">
        <v>0</v>
      </c>
      <c r="F98" s="198">
        <v>0</v>
      </c>
      <c r="G98" s="198"/>
      <c r="H98" s="198"/>
    </row>
    <row r="99" spans="1:8">
      <c r="A99" t="s">
        <v>352</v>
      </c>
      <c r="B99" t="s">
        <v>23</v>
      </c>
      <c r="C99" t="s">
        <v>22</v>
      </c>
      <c r="D99" s="198">
        <v>7741052.1500000004</v>
      </c>
      <c r="E99" s="198">
        <v>24842755.100000001</v>
      </c>
      <c r="F99" s="198">
        <v>15709713.98</v>
      </c>
      <c r="G99">
        <v>48293521.229999997</v>
      </c>
      <c r="H99">
        <v>42895023</v>
      </c>
    </row>
    <row r="100" spans="1:8">
      <c r="A100" t="s">
        <v>353</v>
      </c>
      <c r="B100" t="s">
        <v>354</v>
      </c>
      <c r="C100" t="s">
        <v>355</v>
      </c>
      <c r="D100" s="198">
        <v>0</v>
      </c>
      <c r="E100" s="198">
        <v>0</v>
      </c>
      <c r="F100" s="198">
        <v>0</v>
      </c>
      <c r="G100">
        <v>0</v>
      </c>
      <c r="H100">
        <v>0</v>
      </c>
    </row>
    <row r="101" spans="1:8">
      <c r="A101" t="s">
        <v>356</v>
      </c>
      <c r="B101" t="s">
        <v>357</v>
      </c>
      <c r="C101" t="s">
        <v>358</v>
      </c>
      <c r="D101" s="198">
        <v>0</v>
      </c>
      <c r="E101" s="198">
        <v>0</v>
      </c>
      <c r="F101" s="198">
        <v>0</v>
      </c>
    </row>
    <row r="102" spans="1:8">
      <c r="A102" t="s">
        <v>359</v>
      </c>
      <c r="B102" t="s">
        <v>360</v>
      </c>
      <c r="C102" t="s">
        <v>361</v>
      </c>
      <c r="D102" s="198">
        <v>0</v>
      </c>
      <c r="E102" s="198">
        <v>0</v>
      </c>
      <c r="F102" s="198">
        <v>0</v>
      </c>
      <c r="G102" s="198">
        <v>0</v>
      </c>
      <c r="H102" s="198">
        <v>0</v>
      </c>
    </row>
    <row r="103" spans="1:8">
      <c r="A103" t="s">
        <v>362</v>
      </c>
      <c r="B103" t="s">
        <v>363</v>
      </c>
      <c r="C103" t="s">
        <v>364</v>
      </c>
      <c r="D103" s="198">
        <v>0</v>
      </c>
      <c r="E103" s="198">
        <v>0</v>
      </c>
      <c r="F103" s="198">
        <v>0</v>
      </c>
      <c r="G103" s="198"/>
      <c r="H103" s="198"/>
    </row>
    <row r="104" spans="1:8">
      <c r="A104" t="s">
        <v>365</v>
      </c>
      <c r="B104" t="s">
        <v>158</v>
      </c>
      <c r="C104" t="s">
        <v>158</v>
      </c>
      <c r="D104" s="198">
        <v>0</v>
      </c>
      <c r="E104" s="198">
        <v>0</v>
      </c>
      <c r="F104" s="198">
        <v>0</v>
      </c>
    </row>
    <row r="105" spans="1:8">
      <c r="A105" t="s">
        <v>366</v>
      </c>
      <c r="B105" t="s">
        <v>367</v>
      </c>
      <c r="C105" t="s">
        <v>368</v>
      </c>
      <c r="D105" s="198">
        <v>0</v>
      </c>
      <c r="E105" s="198">
        <v>0</v>
      </c>
      <c r="F105" s="198">
        <v>0</v>
      </c>
      <c r="G105" s="198"/>
      <c r="H105" s="198"/>
    </row>
    <row r="106" spans="1:8">
      <c r="A106" t="s">
        <v>369</v>
      </c>
      <c r="B106" t="s">
        <v>19</v>
      </c>
      <c r="C106" t="s">
        <v>18</v>
      </c>
      <c r="D106" s="198">
        <v>57789.64</v>
      </c>
      <c r="E106" s="198">
        <v>94149.79</v>
      </c>
      <c r="F106" s="198">
        <v>192.18</v>
      </c>
      <c r="G106" s="198">
        <v>152131.60999999999</v>
      </c>
      <c r="H106" s="198">
        <v>185331</v>
      </c>
    </row>
    <row r="107" spans="1:8">
      <c r="A107" t="s">
        <v>370</v>
      </c>
      <c r="B107" t="s">
        <v>371</v>
      </c>
      <c r="C107" t="s">
        <v>372</v>
      </c>
      <c r="D107" s="198">
        <v>0</v>
      </c>
      <c r="E107" s="198">
        <v>0</v>
      </c>
      <c r="F107" s="198">
        <v>0</v>
      </c>
      <c r="G107">
        <v>0</v>
      </c>
      <c r="H107">
        <v>0</v>
      </c>
    </row>
    <row r="108" spans="1:8">
      <c r="A108" t="s">
        <v>373</v>
      </c>
      <c r="B108" t="s">
        <v>374</v>
      </c>
      <c r="C108" t="s">
        <v>375</v>
      </c>
      <c r="D108" s="198">
        <v>0</v>
      </c>
      <c r="E108" s="198">
        <v>0</v>
      </c>
      <c r="F108" s="198">
        <v>0</v>
      </c>
    </row>
    <row r="109" spans="1:8">
      <c r="A109" t="s">
        <v>376</v>
      </c>
      <c r="B109" t="s">
        <v>377</v>
      </c>
      <c r="C109" t="s">
        <v>378</v>
      </c>
      <c r="D109" s="198">
        <v>0</v>
      </c>
      <c r="E109" s="198">
        <v>0</v>
      </c>
      <c r="F109" s="198">
        <v>0</v>
      </c>
      <c r="G109">
        <v>0</v>
      </c>
      <c r="H109">
        <v>0</v>
      </c>
    </row>
    <row r="110" spans="1:8">
      <c r="A110" t="s">
        <v>379</v>
      </c>
      <c r="B110" t="s">
        <v>380</v>
      </c>
      <c r="C110" t="s">
        <v>381</v>
      </c>
      <c r="D110" s="198">
        <v>0</v>
      </c>
      <c r="E110" s="198">
        <v>0</v>
      </c>
      <c r="F110" s="198">
        <v>0</v>
      </c>
      <c r="G110" s="198">
        <v>0</v>
      </c>
      <c r="H110" s="198">
        <v>0</v>
      </c>
    </row>
    <row r="111" spans="1:8">
      <c r="A111" t="s">
        <v>382</v>
      </c>
      <c r="B111" t="s">
        <v>383</v>
      </c>
      <c r="C111" t="s">
        <v>384</v>
      </c>
      <c r="D111" s="198">
        <v>0</v>
      </c>
      <c r="E111" s="198">
        <v>0</v>
      </c>
      <c r="F111" s="198">
        <v>0</v>
      </c>
      <c r="G111" s="198"/>
      <c r="H111" s="198"/>
    </row>
    <row r="112" spans="1:8">
      <c r="A112" t="s">
        <v>385</v>
      </c>
      <c r="B112" t="s">
        <v>158</v>
      </c>
      <c r="C112" t="s">
        <v>158</v>
      </c>
      <c r="D112" s="198">
        <v>0</v>
      </c>
      <c r="E112" s="198">
        <v>0</v>
      </c>
      <c r="F112" s="198">
        <v>0</v>
      </c>
    </row>
    <row r="113" spans="1:8">
      <c r="A113" t="s">
        <v>386</v>
      </c>
      <c r="B113" t="s">
        <v>387</v>
      </c>
      <c r="C113" t="s">
        <v>388</v>
      </c>
      <c r="D113" s="198">
        <v>0</v>
      </c>
      <c r="E113" s="198">
        <v>0</v>
      </c>
      <c r="F113" s="198">
        <v>0</v>
      </c>
    </row>
    <row r="114" spans="1:8">
      <c r="A114" t="s">
        <v>389</v>
      </c>
      <c r="B114" t="s">
        <v>390</v>
      </c>
      <c r="C114" t="s">
        <v>391</v>
      </c>
      <c r="D114" s="198">
        <v>2381093.64</v>
      </c>
      <c r="E114" s="198">
        <v>6252976</v>
      </c>
      <c r="F114" s="198">
        <v>2204102.1800000002</v>
      </c>
      <c r="G114">
        <v>10838171.82</v>
      </c>
      <c r="H114">
        <v>9644233</v>
      </c>
    </row>
    <row r="115" spans="1:8">
      <c r="A115" t="s">
        <v>392</v>
      </c>
      <c r="B115" t="s">
        <v>393</v>
      </c>
      <c r="C115" t="s">
        <v>394</v>
      </c>
      <c r="D115" s="198">
        <v>0</v>
      </c>
      <c r="E115" s="198">
        <v>0</v>
      </c>
      <c r="F115" s="198">
        <v>0</v>
      </c>
      <c r="G115" s="198">
        <v>0</v>
      </c>
      <c r="H115" s="198">
        <v>0</v>
      </c>
    </row>
    <row r="116" spans="1:8">
      <c r="A116" t="s">
        <v>395</v>
      </c>
      <c r="B116" t="s">
        <v>396</v>
      </c>
      <c r="C116" t="s">
        <v>397</v>
      </c>
      <c r="D116" s="198">
        <v>0</v>
      </c>
      <c r="E116" s="198">
        <v>0</v>
      </c>
      <c r="F116" s="198">
        <v>0</v>
      </c>
      <c r="G116" s="198"/>
      <c r="H116" s="198"/>
    </row>
    <row r="117" spans="1:8">
      <c r="A117" t="s">
        <v>398</v>
      </c>
      <c r="B117" t="s">
        <v>158</v>
      </c>
      <c r="C117" t="s">
        <v>158</v>
      </c>
      <c r="D117" s="198">
        <v>0</v>
      </c>
      <c r="E117" s="198">
        <v>0</v>
      </c>
      <c r="F117" s="198">
        <v>0</v>
      </c>
      <c r="G117" s="198"/>
    </row>
    <row r="118" spans="1:8">
      <c r="A118" t="s">
        <v>399</v>
      </c>
      <c r="B118" t="s">
        <v>400</v>
      </c>
      <c r="C118" t="s">
        <v>401</v>
      </c>
      <c r="D118" s="198">
        <v>0</v>
      </c>
      <c r="E118" s="198">
        <v>0</v>
      </c>
      <c r="F118" s="198">
        <v>0</v>
      </c>
      <c r="G118" s="198"/>
    </row>
    <row r="119" spans="1:8">
      <c r="A119" t="s">
        <v>402</v>
      </c>
      <c r="B119" t="s">
        <v>403</v>
      </c>
      <c r="C119" t="s">
        <v>404</v>
      </c>
      <c r="D119" s="198">
        <v>0</v>
      </c>
      <c r="E119" s="198">
        <v>409.38</v>
      </c>
      <c r="F119" s="198">
        <v>0</v>
      </c>
      <c r="G119">
        <v>409.38</v>
      </c>
      <c r="H119">
        <v>0</v>
      </c>
    </row>
    <row r="120" spans="1:8">
      <c r="A120" t="s">
        <v>405</v>
      </c>
      <c r="B120" t="s">
        <v>406</v>
      </c>
      <c r="C120" t="s">
        <v>407</v>
      </c>
      <c r="D120" s="198">
        <v>0</v>
      </c>
      <c r="E120" s="198">
        <v>0</v>
      </c>
      <c r="F120" s="198">
        <v>0</v>
      </c>
      <c r="G120" s="198">
        <v>0</v>
      </c>
      <c r="H120" s="198">
        <v>0</v>
      </c>
    </row>
    <row r="121" spans="1:8">
      <c r="A121" t="s">
        <v>408</v>
      </c>
      <c r="B121" t="s">
        <v>158</v>
      </c>
      <c r="C121" t="s">
        <v>158</v>
      </c>
      <c r="D121" s="198">
        <v>0</v>
      </c>
      <c r="E121" s="198">
        <v>0</v>
      </c>
      <c r="F121" s="198">
        <v>0</v>
      </c>
      <c r="G121" s="198"/>
      <c r="H121" s="198"/>
    </row>
    <row r="122" spans="1:8">
      <c r="A122" t="s">
        <v>409</v>
      </c>
      <c r="B122" t="s">
        <v>158</v>
      </c>
      <c r="C122" t="s">
        <v>158</v>
      </c>
      <c r="D122" s="198">
        <v>0</v>
      </c>
      <c r="E122" s="198">
        <v>0</v>
      </c>
      <c r="F122" s="198">
        <v>0</v>
      </c>
      <c r="G122" s="198"/>
    </row>
    <row r="123" spans="1:8">
      <c r="A123" t="s">
        <v>410</v>
      </c>
      <c r="B123" t="s">
        <v>158</v>
      </c>
      <c r="C123" t="s">
        <v>158</v>
      </c>
      <c r="D123" s="198">
        <v>0</v>
      </c>
      <c r="E123" s="198">
        <v>0</v>
      </c>
      <c r="F123" s="198">
        <v>0</v>
      </c>
    </row>
    <row r="124" spans="1:8">
      <c r="A124" t="s">
        <v>411</v>
      </c>
      <c r="B124" t="s">
        <v>412</v>
      </c>
      <c r="C124" t="s">
        <v>413</v>
      </c>
      <c r="D124" s="198">
        <v>0</v>
      </c>
      <c r="E124" s="198">
        <v>0</v>
      </c>
      <c r="F124" s="198">
        <v>0</v>
      </c>
      <c r="H124">
        <v>0</v>
      </c>
    </row>
    <row r="125" spans="1:8">
      <c r="A125" t="s">
        <v>414</v>
      </c>
      <c r="B125" t="s">
        <v>158</v>
      </c>
      <c r="C125" t="s">
        <v>158</v>
      </c>
      <c r="D125" s="198">
        <v>0</v>
      </c>
      <c r="E125" s="198">
        <v>0</v>
      </c>
      <c r="F125" s="198">
        <v>0</v>
      </c>
    </row>
    <row r="126" spans="1:8">
      <c r="A126" t="s">
        <v>415</v>
      </c>
      <c r="B126" t="s">
        <v>158</v>
      </c>
      <c r="C126" t="s">
        <v>158</v>
      </c>
      <c r="D126" s="198">
        <v>0</v>
      </c>
      <c r="E126" s="198">
        <v>0</v>
      </c>
      <c r="F126" s="198">
        <v>0</v>
      </c>
      <c r="G126" s="198"/>
      <c r="H126" s="198"/>
    </row>
    <row r="127" spans="1:8">
      <c r="A127" t="s">
        <v>416</v>
      </c>
      <c r="B127" t="s">
        <v>417</v>
      </c>
      <c r="C127" t="s">
        <v>418</v>
      </c>
      <c r="D127" s="198">
        <v>210119.29</v>
      </c>
      <c r="E127" s="198">
        <v>501314.46</v>
      </c>
      <c r="F127" s="198">
        <v>595982.51</v>
      </c>
      <c r="G127" s="198">
        <v>1307416.26</v>
      </c>
      <c r="H127" s="198">
        <v>1268679</v>
      </c>
    </row>
    <row r="128" spans="1:8">
      <c r="A128" t="s">
        <v>419</v>
      </c>
      <c r="B128" t="s">
        <v>158</v>
      </c>
      <c r="C128" t="s">
        <v>158</v>
      </c>
      <c r="D128" s="198">
        <v>0</v>
      </c>
      <c r="E128" s="198">
        <v>0</v>
      </c>
      <c r="F128" s="198">
        <v>0</v>
      </c>
    </row>
    <row r="129" spans="1:8">
      <c r="A129" t="s">
        <v>420</v>
      </c>
      <c r="B129" t="s">
        <v>421</v>
      </c>
      <c r="C129" t="s">
        <v>422</v>
      </c>
      <c r="D129" s="198">
        <v>0</v>
      </c>
      <c r="E129" s="198">
        <v>0</v>
      </c>
      <c r="F129" s="198">
        <v>0</v>
      </c>
      <c r="G129" s="198">
        <v>0</v>
      </c>
      <c r="H129" s="198">
        <v>0</v>
      </c>
    </row>
    <row r="130" spans="1:8">
      <c r="A130" t="s">
        <v>423</v>
      </c>
      <c r="B130" t="s">
        <v>424</v>
      </c>
      <c r="C130" t="s">
        <v>425</v>
      </c>
      <c r="D130" s="198">
        <v>4446067.18</v>
      </c>
      <c r="E130" s="198">
        <v>14389617.84</v>
      </c>
      <c r="F130" s="198">
        <v>3555369.95</v>
      </c>
      <c r="G130">
        <v>22391054.969999999</v>
      </c>
      <c r="H130">
        <v>18693048</v>
      </c>
    </row>
    <row r="131" spans="1:8">
      <c r="A131" t="s">
        <v>426</v>
      </c>
      <c r="B131" t="s">
        <v>427</v>
      </c>
      <c r="C131" t="s">
        <v>428</v>
      </c>
      <c r="D131" s="198">
        <v>0</v>
      </c>
      <c r="E131" s="198">
        <v>0</v>
      </c>
      <c r="F131" s="198">
        <v>0</v>
      </c>
      <c r="G131">
        <v>0</v>
      </c>
      <c r="H131">
        <v>0</v>
      </c>
    </row>
    <row r="132" spans="1:8">
      <c r="A132" t="s">
        <v>429</v>
      </c>
      <c r="B132" t="s">
        <v>430</v>
      </c>
      <c r="C132" t="s">
        <v>431</v>
      </c>
      <c r="D132" s="198">
        <v>0</v>
      </c>
      <c r="E132" s="198">
        <v>0</v>
      </c>
      <c r="F132" s="198">
        <v>0</v>
      </c>
      <c r="G132">
        <v>0</v>
      </c>
      <c r="H132">
        <v>0</v>
      </c>
    </row>
    <row r="133" spans="1:8">
      <c r="A133" t="s">
        <v>432</v>
      </c>
      <c r="B133" t="s">
        <v>433</v>
      </c>
      <c r="C133" t="s">
        <v>434</v>
      </c>
      <c r="D133" s="198">
        <v>0</v>
      </c>
      <c r="E133" s="198">
        <v>0</v>
      </c>
      <c r="F133" s="198">
        <v>0</v>
      </c>
      <c r="G133" s="198"/>
      <c r="H133" s="198"/>
    </row>
    <row r="134" spans="1:8">
      <c r="A134" t="s">
        <v>435</v>
      </c>
      <c r="B134" t="s">
        <v>158</v>
      </c>
      <c r="C134" t="s">
        <v>158</v>
      </c>
      <c r="D134" s="198">
        <v>0</v>
      </c>
      <c r="E134" s="198">
        <v>0</v>
      </c>
      <c r="F134" s="198">
        <v>0</v>
      </c>
      <c r="G134" s="198"/>
      <c r="H134" s="198"/>
    </row>
    <row r="135" spans="1:8">
      <c r="A135" t="s">
        <v>436</v>
      </c>
      <c r="B135" t="s">
        <v>158</v>
      </c>
      <c r="C135" t="s">
        <v>158</v>
      </c>
      <c r="D135" s="198">
        <v>0</v>
      </c>
      <c r="E135" s="198">
        <v>0</v>
      </c>
      <c r="F135" s="198">
        <v>0</v>
      </c>
    </row>
    <row r="136" spans="1:8">
      <c r="A136" t="s">
        <v>437</v>
      </c>
      <c r="B136" t="s">
        <v>438</v>
      </c>
      <c r="C136" t="s">
        <v>439</v>
      </c>
      <c r="D136" s="198">
        <v>445191.62</v>
      </c>
      <c r="E136" s="198">
        <v>1204891.68</v>
      </c>
      <c r="F136" s="198">
        <v>855574.54</v>
      </c>
      <c r="G136" s="198">
        <v>2505657.84</v>
      </c>
      <c r="H136" s="198">
        <v>2019893</v>
      </c>
    </row>
    <row r="137" spans="1:8">
      <c r="A137" t="s">
        <v>440</v>
      </c>
      <c r="B137" t="s">
        <v>158</v>
      </c>
      <c r="C137" t="s">
        <v>158</v>
      </c>
      <c r="D137" s="198">
        <v>0</v>
      </c>
      <c r="E137" s="198">
        <v>0</v>
      </c>
      <c r="F137" s="198">
        <v>0</v>
      </c>
      <c r="G137" s="198"/>
      <c r="H137" s="198"/>
    </row>
    <row r="138" spans="1:8">
      <c r="A138" t="s">
        <v>441</v>
      </c>
      <c r="B138" t="s">
        <v>158</v>
      </c>
      <c r="C138" t="s">
        <v>158</v>
      </c>
      <c r="D138" s="198">
        <v>0</v>
      </c>
      <c r="E138" s="198">
        <v>0</v>
      </c>
      <c r="F138" s="198">
        <v>0</v>
      </c>
    </row>
    <row r="139" spans="1:8">
      <c r="A139" t="s">
        <v>442</v>
      </c>
      <c r="B139" t="s">
        <v>158</v>
      </c>
      <c r="C139" t="s">
        <v>158</v>
      </c>
      <c r="D139" s="198">
        <v>0</v>
      </c>
      <c r="E139" s="198">
        <v>0</v>
      </c>
      <c r="F139" s="198">
        <v>0</v>
      </c>
    </row>
    <row r="140" spans="1:8">
      <c r="A140" t="s">
        <v>443</v>
      </c>
      <c r="B140" t="s">
        <v>444</v>
      </c>
      <c r="C140" t="s">
        <v>445</v>
      </c>
      <c r="D140" s="198">
        <v>0</v>
      </c>
      <c r="E140" s="198">
        <v>0</v>
      </c>
      <c r="F140" s="198">
        <v>0</v>
      </c>
      <c r="H140">
        <v>0</v>
      </c>
    </row>
    <row r="141" spans="1:8">
      <c r="A141" t="s">
        <v>446</v>
      </c>
      <c r="B141" t="s">
        <v>447</v>
      </c>
      <c r="C141" t="s">
        <v>447</v>
      </c>
      <c r="D141" s="198">
        <v>0</v>
      </c>
      <c r="E141" s="198">
        <v>0</v>
      </c>
      <c r="F141" s="198">
        <v>0</v>
      </c>
    </row>
    <row r="142" spans="1:8">
      <c r="A142" t="s">
        <v>448</v>
      </c>
      <c r="B142" t="s">
        <v>449</v>
      </c>
      <c r="C142" t="s">
        <v>450</v>
      </c>
      <c r="D142" s="198">
        <v>0</v>
      </c>
      <c r="E142" s="198">
        <v>0</v>
      </c>
      <c r="F142" s="198">
        <v>0</v>
      </c>
      <c r="G142" s="198"/>
      <c r="H142" s="198"/>
    </row>
    <row r="143" spans="1:8">
      <c r="A143" t="s">
        <v>451</v>
      </c>
      <c r="B143" t="s">
        <v>158</v>
      </c>
      <c r="C143" t="s">
        <v>158</v>
      </c>
      <c r="D143" s="198">
        <v>0</v>
      </c>
      <c r="E143" s="198">
        <v>0</v>
      </c>
      <c r="F143" s="198">
        <v>0</v>
      </c>
      <c r="G143" s="198"/>
      <c r="H143" s="198"/>
    </row>
    <row r="144" spans="1:8">
      <c r="A144" t="s">
        <v>452</v>
      </c>
      <c r="B144" t="s">
        <v>76</v>
      </c>
      <c r="C144" t="s">
        <v>75</v>
      </c>
      <c r="D144" s="198">
        <v>0</v>
      </c>
      <c r="E144" s="198">
        <v>0</v>
      </c>
      <c r="F144" s="198">
        <v>0</v>
      </c>
      <c r="G144" s="198">
        <v>0</v>
      </c>
      <c r="H144" s="198">
        <v>0</v>
      </c>
    </row>
    <row r="145" spans="1:8">
      <c r="A145" t="s">
        <v>453</v>
      </c>
      <c r="B145" t="s">
        <v>454</v>
      </c>
      <c r="C145" t="s">
        <v>455</v>
      </c>
      <c r="D145" s="198">
        <v>14795.01</v>
      </c>
      <c r="E145" s="198">
        <v>2018672.55</v>
      </c>
      <c r="F145" s="198">
        <v>211215.16</v>
      </c>
      <c r="G145">
        <v>2244682.7200000002</v>
      </c>
      <c r="H145">
        <v>3233068</v>
      </c>
    </row>
    <row r="146" spans="1:8">
      <c r="A146" t="s">
        <v>456</v>
      </c>
      <c r="B146" t="s">
        <v>457</v>
      </c>
      <c r="C146" t="s">
        <v>458</v>
      </c>
      <c r="D146" s="198">
        <v>0</v>
      </c>
      <c r="E146" s="198">
        <v>0</v>
      </c>
      <c r="F146" s="198">
        <v>0</v>
      </c>
      <c r="G146">
        <v>0</v>
      </c>
      <c r="H146">
        <v>0</v>
      </c>
    </row>
    <row r="147" spans="1:8">
      <c r="A147" t="s">
        <v>459</v>
      </c>
      <c r="B147" t="s">
        <v>460</v>
      </c>
      <c r="C147" t="s">
        <v>461</v>
      </c>
      <c r="D147" s="198">
        <v>0</v>
      </c>
      <c r="E147" s="198">
        <v>0</v>
      </c>
      <c r="F147" s="198">
        <v>0</v>
      </c>
      <c r="G147">
        <v>0</v>
      </c>
      <c r="H147">
        <v>0</v>
      </c>
    </row>
    <row r="148" spans="1:8">
      <c r="A148" t="s">
        <v>462</v>
      </c>
      <c r="B148" t="s">
        <v>463</v>
      </c>
      <c r="C148" t="s">
        <v>464</v>
      </c>
      <c r="D148" s="198">
        <v>0</v>
      </c>
      <c r="E148" s="198">
        <v>0</v>
      </c>
      <c r="F148" s="198">
        <v>0</v>
      </c>
      <c r="G148" s="198"/>
      <c r="H148" s="198"/>
    </row>
    <row r="149" spans="1:8">
      <c r="A149" t="s">
        <v>465</v>
      </c>
      <c r="B149" t="s">
        <v>466</v>
      </c>
      <c r="C149" t="s">
        <v>467</v>
      </c>
      <c r="D149" s="198">
        <v>81584.899999999994</v>
      </c>
      <c r="E149" s="198">
        <v>16254804.050000001</v>
      </c>
      <c r="F149" s="198">
        <v>66181.850000000006</v>
      </c>
      <c r="G149">
        <v>16402570.800000001</v>
      </c>
      <c r="H149">
        <v>9865322</v>
      </c>
    </row>
    <row r="150" spans="1:8">
      <c r="A150" t="s">
        <v>468</v>
      </c>
      <c r="B150" t="s">
        <v>82</v>
      </c>
      <c r="C150" t="s">
        <v>81</v>
      </c>
      <c r="D150" s="198">
        <v>0</v>
      </c>
      <c r="E150" s="198">
        <v>0</v>
      </c>
      <c r="F150" s="198">
        <v>0</v>
      </c>
      <c r="G150">
        <v>0</v>
      </c>
      <c r="H150">
        <v>0</v>
      </c>
    </row>
    <row r="151" spans="1:8">
      <c r="A151" t="s">
        <v>469</v>
      </c>
      <c r="B151" t="s">
        <v>470</v>
      </c>
      <c r="C151" t="s">
        <v>471</v>
      </c>
      <c r="D151" s="198">
        <v>566125.81000000006</v>
      </c>
      <c r="E151" s="198">
        <v>2439669.2599999998</v>
      </c>
      <c r="F151" s="198">
        <v>1225514.7</v>
      </c>
      <c r="G151">
        <v>4231309.7699999996</v>
      </c>
      <c r="H151">
        <v>3878414</v>
      </c>
    </row>
    <row r="152" spans="1:8">
      <c r="A152" t="s">
        <v>472</v>
      </c>
      <c r="B152" t="s">
        <v>473</v>
      </c>
      <c r="C152" t="s">
        <v>474</v>
      </c>
      <c r="D152" s="198">
        <v>594485.44999999995</v>
      </c>
      <c r="E152" s="198">
        <v>3688741.15</v>
      </c>
      <c r="F152" s="198">
        <v>300590.2</v>
      </c>
      <c r="G152" s="198">
        <v>4583816.8</v>
      </c>
      <c r="H152" s="198">
        <v>4097280</v>
      </c>
    </row>
    <row r="153" spans="1:8">
      <c r="A153" t="s">
        <v>475</v>
      </c>
      <c r="B153" t="s">
        <v>476</v>
      </c>
      <c r="C153" t="s">
        <v>477</v>
      </c>
      <c r="D153" s="198">
        <v>0</v>
      </c>
      <c r="E153" s="198">
        <v>0</v>
      </c>
      <c r="F153" s="198">
        <v>0</v>
      </c>
    </row>
    <row r="154" spans="1:8">
      <c r="A154" t="s">
        <v>478</v>
      </c>
      <c r="B154" t="s">
        <v>158</v>
      </c>
      <c r="C154" t="s">
        <v>158</v>
      </c>
      <c r="D154" s="198">
        <v>0</v>
      </c>
      <c r="E154" s="198">
        <v>0</v>
      </c>
      <c r="F154" s="198">
        <v>0</v>
      </c>
    </row>
    <row r="155" spans="1:8">
      <c r="A155" t="s">
        <v>479</v>
      </c>
      <c r="B155" t="s">
        <v>158</v>
      </c>
      <c r="C155" t="s">
        <v>158</v>
      </c>
      <c r="D155" s="198">
        <v>0</v>
      </c>
      <c r="E155" s="198">
        <v>0</v>
      </c>
      <c r="F155" s="198">
        <v>0</v>
      </c>
    </row>
    <row r="156" spans="1:8">
      <c r="A156" t="s">
        <v>480</v>
      </c>
      <c r="B156" t="s">
        <v>25</v>
      </c>
      <c r="C156" t="s">
        <v>24</v>
      </c>
      <c r="D156" s="198">
        <v>0</v>
      </c>
      <c r="E156" s="198">
        <v>132.94999999999999</v>
      </c>
      <c r="F156" s="198">
        <v>0</v>
      </c>
      <c r="G156" s="198">
        <v>132.94999999999999</v>
      </c>
      <c r="H156" s="198"/>
    </row>
    <row r="157" spans="1:8">
      <c r="A157" t="s">
        <v>481</v>
      </c>
      <c r="B157" t="s">
        <v>482</v>
      </c>
      <c r="C157" t="s">
        <v>483</v>
      </c>
      <c r="D157">
        <v>0</v>
      </c>
      <c r="E157">
        <v>0</v>
      </c>
      <c r="F157">
        <v>0</v>
      </c>
      <c r="G157">
        <v>0</v>
      </c>
    </row>
    <row r="158" spans="1:8">
      <c r="A158" t="s">
        <v>484</v>
      </c>
      <c r="B158" t="s">
        <v>485</v>
      </c>
      <c r="C158" t="s">
        <v>486</v>
      </c>
      <c r="D158">
        <v>0</v>
      </c>
      <c r="E158">
        <v>0</v>
      </c>
      <c r="F158">
        <v>0</v>
      </c>
      <c r="G158">
        <v>0</v>
      </c>
    </row>
    <row r="159" spans="1:8">
      <c r="A159" t="s">
        <v>487</v>
      </c>
      <c r="B159" t="s">
        <v>488</v>
      </c>
      <c r="C159" t="s">
        <v>489</v>
      </c>
      <c r="D159">
        <v>0</v>
      </c>
      <c r="E159">
        <v>0</v>
      </c>
      <c r="F159">
        <v>0</v>
      </c>
      <c r="G159">
        <v>0</v>
      </c>
    </row>
    <row r="160" spans="1:8">
      <c r="A160" t="s">
        <v>490</v>
      </c>
      <c r="B160" t="s">
        <v>37</v>
      </c>
      <c r="C160" t="s">
        <v>36</v>
      </c>
      <c r="D160">
        <v>0</v>
      </c>
      <c r="E160">
        <v>0</v>
      </c>
      <c r="F160">
        <v>0</v>
      </c>
    </row>
    <row r="161" spans="1:8">
      <c r="A161" t="s">
        <v>491</v>
      </c>
      <c r="B161" t="s">
        <v>158</v>
      </c>
      <c r="C161" t="s">
        <v>158</v>
      </c>
      <c r="D161">
        <v>0</v>
      </c>
      <c r="E161">
        <v>0</v>
      </c>
      <c r="F161">
        <v>0</v>
      </c>
    </row>
    <row r="162" spans="1:8">
      <c r="A162" t="s">
        <v>492</v>
      </c>
      <c r="B162" t="s">
        <v>158</v>
      </c>
      <c r="C162" t="s">
        <v>158</v>
      </c>
      <c r="D162">
        <v>0</v>
      </c>
      <c r="E162">
        <v>0</v>
      </c>
      <c r="F162">
        <v>0</v>
      </c>
    </row>
    <row r="163" spans="1:8">
      <c r="A163" t="s">
        <v>493</v>
      </c>
      <c r="B163" t="s">
        <v>494</v>
      </c>
      <c r="C163" t="s">
        <v>495</v>
      </c>
      <c r="D163">
        <v>0</v>
      </c>
      <c r="E163">
        <v>0</v>
      </c>
      <c r="F163">
        <v>0</v>
      </c>
    </row>
    <row r="164" spans="1:8">
      <c r="A164" t="s">
        <v>496</v>
      </c>
      <c r="B164" t="s">
        <v>497</v>
      </c>
      <c r="C164" t="s">
        <v>498</v>
      </c>
      <c r="D164">
        <v>15129.12</v>
      </c>
      <c r="E164">
        <v>659112.63</v>
      </c>
      <c r="F164">
        <v>241489.26</v>
      </c>
      <c r="G164">
        <v>915731.01</v>
      </c>
      <c r="H164">
        <v>938707</v>
      </c>
    </row>
    <row r="165" spans="1:8">
      <c r="A165" t="s">
        <v>499</v>
      </c>
      <c r="B165" t="s">
        <v>500</v>
      </c>
      <c r="C165" t="s">
        <v>501</v>
      </c>
      <c r="D165">
        <v>1181468.73</v>
      </c>
      <c r="E165">
        <v>4422269.1399999997</v>
      </c>
      <c r="F165">
        <v>2228483.65</v>
      </c>
      <c r="G165">
        <v>7832221.5199999996</v>
      </c>
      <c r="H165">
        <v>7910317</v>
      </c>
    </row>
    <row r="166" spans="1:8">
      <c r="A166" t="s">
        <v>502</v>
      </c>
      <c r="B166" t="s">
        <v>503</v>
      </c>
      <c r="C166" t="s">
        <v>504</v>
      </c>
      <c r="D166">
        <v>213058.3</v>
      </c>
      <c r="E166">
        <v>1076076.5900000001</v>
      </c>
      <c r="F166">
        <v>544949.75</v>
      </c>
      <c r="G166">
        <v>1834084.64</v>
      </c>
      <c r="H166">
        <v>1888952</v>
      </c>
    </row>
    <row r="167" spans="1:8">
      <c r="A167" t="s">
        <v>505</v>
      </c>
      <c r="B167" t="s">
        <v>158</v>
      </c>
      <c r="C167" t="s">
        <v>158</v>
      </c>
      <c r="D167">
        <v>0</v>
      </c>
      <c r="E167">
        <v>0</v>
      </c>
      <c r="F167">
        <v>0</v>
      </c>
    </row>
    <row r="168" spans="1:8">
      <c r="A168" t="s">
        <v>506</v>
      </c>
      <c r="B168" t="s">
        <v>158</v>
      </c>
      <c r="C168" t="s">
        <v>158</v>
      </c>
      <c r="D168">
        <v>0</v>
      </c>
      <c r="E168">
        <v>0</v>
      </c>
      <c r="F168">
        <v>0</v>
      </c>
    </row>
    <row r="169" spans="1:8">
      <c r="A169" t="s">
        <v>507</v>
      </c>
      <c r="B169" t="s">
        <v>158</v>
      </c>
      <c r="C169" t="s">
        <v>158</v>
      </c>
      <c r="D169">
        <v>0</v>
      </c>
      <c r="E169">
        <v>0</v>
      </c>
      <c r="F169">
        <v>0</v>
      </c>
    </row>
    <row r="170" spans="1:8">
      <c r="A170" t="s">
        <v>508</v>
      </c>
      <c r="B170" t="s">
        <v>509</v>
      </c>
      <c r="C170" t="s">
        <v>510</v>
      </c>
      <c r="D170">
        <v>164674.15</v>
      </c>
      <c r="E170">
        <v>2717865.83</v>
      </c>
      <c r="F170">
        <v>880432.94</v>
      </c>
      <c r="G170">
        <v>3762972.92</v>
      </c>
      <c r="H170">
        <v>2175065</v>
      </c>
    </row>
    <row r="171" spans="1:8">
      <c r="A171" t="s">
        <v>511</v>
      </c>
      <c r="B171" t="s">
        <v>158</v>
      </c>
      <c r="C171" t="s">
        <v>158</v>
      </c>
      <c r="D171">
        <v>0</v>
      </c>
      <c r="E171">
        <v>0</v>
      </c>
      <c r="F171">
        <v>0</v>
      </c>
    </row>
    <row r="172" spans="1:8">
      <c r="A172" t="s">
        <v>512</v>
      </c>
      <c r="B172" t="s">
        <v>158</v>
      </c>
      <c r="C172" t="s">
        <v>158</v>
      </c>
      <c r="D172">
        <v>0</v>
      </c>
      <c r="E172">
        <v>0</v>
      </c>
      <c r="F172">
        <v>0</v>
      </c>
    </row>
    <row r="173" spans="1:8">
      <c r="A173" t="s">
        <v>513</v>
      </c>
      <c r="B173" t="s">
        <v>158</v>
      </c>
      <c r="C173" t="s">
        <v>158</v>
      </c>
      <c r="D173">
        <v>0</v>
      </c>
      <c r="E173">
        <v>0</v>
      </c>
      <c r="F173">
        <v>0</v>
      </c>
    </row>
    <row r="174" spans="1:8">
      <c r="A174" t="s">
        <v>514</v>
      </c>
      <c r="B174" t="s">
        <v>515</v>
      </c>
      <c r="C174" t="s">
        <v>516</v>
      </c>
      <c r="D174">
        <v>903699.22</v>
      </c>
      <c r="E174">
        <v>3758521.72</v>
      </c>
      <c r="F174">
        <v>720049.83</v>
      </c>
      <c r="G174">
        <v>5382270.7699999996</v>
      </c>
      <c r="H174">
        <v>5424777</v>
      </c>
    </row>
    <row r="175" spans="1:8">
      <c r="A175" t="s">
        <v>517</v>
      </c>
      <c r="B175" t="s">
        <v>158</v>
      </c>
      <c r="C175" t="s">
        <v>158</v>
      </c>
      <c r="D175">
        <v>0</v>
      </c>
      <c r="E175">
        <v>0</v>
      </c>
      <c r="F175">
        <v>0</v>
      </c>
    </row>
    <row r="176" spans="1:8">
      <c r="A176" t="s">
        <v>518</v>
      </c>
      <c r="B176" t="s">
        <v>158</v>
      </c>
      <c r="C176" t="s">
        <v>158</v>
      </c>
      <c r="D176">
        <v>0</v>
      </c>
      <c r="E176">
        <v>0</v>
      </c>
      <c r="F176">
        <v>0</v>
      </c>
    </row>
    <row r="177" spans="1:8">
      <c r="A177" t="s">
        <v>519</v>
      </c>
      <c r="B177" t="s">
        <v>158</v>
      </c>
      <c r="C177" t="s">
        <v>158</v>
      </c>
      <c r="D177">
        <v>0</v>
      </c>
      <c r="E177">
        <v>0</v>
      </c>
      <c r="F177">
        <v>0</v>
      </c>
    </row>
    <row r="178" spans="1:8">
      <c r="A178" t="s">
        <v>520</v>
      </c>
      <c r="B178" t="s">
        <v>521</v>
      </c>
      <c r="C178" t="s">
        <v>522</v>
      </c>
      <c r="D178">
        <v>97626.7</v>
      </c>
      <c r="E178">
        <v>1000696.68</v>
      </c>
      <c r="F178">
        <v>747701.23</v>
      </c>
      <c r="G178">
        <v>1846024.61</v>
      </c>
      <c r="H178">
        <v>1937091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F92ACB4FBB164386DAC9635B68F343" ma:contentTypeVersion="17" ma:contentTypeDescription="Crear nuevo documento." ma:contentTypeScope="" ma:versionID="83ce877813db3ea92cb02ebb1794feee">
  <xsd:schema xmlns:xsd="http://www.w3.org/2001/XMLSchema" xmlns:xs="http://www.w3.org/2001/XMLSchema" xmlns:p="http://schemas.microsoft.com/office/2006/metadata/properties" xmlns:ns2="2ee445b1-0086-4a55-bd76-91c30f86e7d2" xmlns:ns3="fb0db722-c125-4a0b-96c3-98af1f2f14dd" targetNamespace="http://schemas.microsoft.com/office/2006/metadata/properties" ma:root="true" ma:fieldsID="48a0cb3cf2ef56894a4a24c02cf946ff" ns2:_="" ns3:_="">
    <xsd:import namespace="2ee445b1-0086-4a55-bd76-91c30f86e7d2"/>
    <xsd:import namespace="fb0db722-c125-4a0b-96c3-98af1f2f14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445b1-0086-4a55-bd76-91c30f86e7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db722-c125-4a0b-96c3-98af1f2f14d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13f36f4-fe6e-4d73-ba1a-2d95c6686eac}" ma:internalName="TaxCatchAll" ma:showField="CatchAllData" ma:web="fb0db722-c125-4a0b-96c3-98af1f2f14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0db722-c125-4a0b-96c3-98af1f2f14dd"/>
    <lcf76f155ced4ddcb4097134ff3c332f xmlns="2ee445b1-0086-4a55-bd76-91c30f86e7d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65AB46-B00E-4CC4-B76D-88EFAF3FDA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F826F2-47C1-4E82-9DFF-6FC8D778D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445b1-0086-4a55-bd76-91c30f86e7d2"/>
    <ds:schemaRef ds:uri="fb0db722-c125-4a0b-96c3-98af1f2f14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720DFD-5C0F-4008-ADDC-DB1A2552B5D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CAPV-Acumulado</vt:lpstr>
      <vt:lpstr>'CAPV-Acumulado'!Print_Area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imaldona</dc:creator>
  <cp:lastModifiedBy>Barrios Colodron, Javier</cp:lastModifiedBy>
  <cp:lastPrinted>2026-02-26T07:47:31Z</cp:lastPrinted>
  <dcterms:created xsi:type="dcterms:W3CDTF">2025-11-06T14:08:22Z</dcterms:created>
  <dcterms:modified xsi:type="dcterms:W3CDTF">2026-03-23T07:41:50Z</dcterms:modified>
</cp:coreProperties>
</file>