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06-economia/Estadstica/Ejecución Presupuestaria/Publicadas en la WEB/2025/2025-trim-04/Castellano/"/>
    </mc:Choice>
  </mc:AlternateContent>
  <xr:revisionPtr revIDLastSave="281" documentId="8_{FFDE1699-1D8F-419B-B393-12000CCC6A79}" xr6:coauthVersionLast="47" xr6:coauthVersionMax="47" xr10:uidLastSave="{4260B00A-1B49-4750-BCDA-F00A1B4F4F77}"/>
  <bookViews>
    <workbookView xWindow="-120" yWindow="-120" windowWidth="29040" windowHeight="15840" tabRatio="723" firstSheet="9" activeTab="15" xr2:uid="{00000000-000D-0000-FFFF-FFFF00000000}"/>
  </bookViews>
  <sheets>
    <sheet name="Índice" sheetId="42" r:id="rId1"/>
    <sheet name="gastos GV" sheetId="2" r:id="rId2"/>
    <sheet name="ingresos GV" sheetId="1" r:id="rId3"/>
    <sheet name="Magnitudes presupuestarias GV" sheetId="40" r:id="rId4"/>
    <sheet name="evol gto GV " sheetId="23" r:id="rId5"/>
    <sheet name="evol ing-GV" sheetId="24" r:id="rId6"/>
    <sheet name="gastos ddff" sheetId="14" r:id="rId7"/>
    <sheet name="ingresos ddff" sheetId="16" r:id="rId8"/>
    <sheet name="Magnitudes presupuestarias DDFF" sheetId="41" r:id="rId9"/>
    <sheet name="Evolucion gasto DDFF" sheetId="29" r:id="rId10"/>
    <sheet name="Evolución ingreso DDFF" sheetId="30" r:id="rId11"/>
    <sheet name="desglose cap 1 y 2" sheetId="37" r:id="rId12"/>
    <sheet name="consolidado GV-DDFF" sheetId="39" r:id="rId13"/>
    <sheet name="evol gto GV-DDFF" sheetId="35" r:id="rId14"/>
    <sheet name="evol ing GV-DDFF" sheetId="36" r:id="rId15"/>
    <sheet name="Magnitudes presup GV-DDFF" sheetId="38" r:id="rId16"/>
  </sheets>
  <externalReferences>
    <externalReference r:id="rId17"/>
    <externalReference r:id="rId18"/>
    <externalReference r:id="rId19"/>
  </externalReferences>
  <definedNames>
    <definedName name="_xlnm.Print_Area" localSheetId="12">'consolidado GV-DDFF'!$B$1:$J$24</definedName>
    <definedName name="_xlnm.Print_Area" localSheetId="11">'desglose cap 1 y 2'!$B$1:$K$100</definedName>
    <definedName name="_xlnm.Print_Area" localSheetId="4">'evol gto GV '!$B$1:$N$107</definedName>
    <definedName name="_xlnm.Print_Area" localSheetId="13">'evol gto GV-DDFF'!$B$1:$N$108</definedName>
    <definedName name="_xlnm.Print_Area" localSheetId="14">'evol ing GV-DDFF'!$B$1:$O$107</definedName>
    <definedName name="_xlnm.Print_Area" localSheetId="5">'evol ing-GV'!$B$1:$O$107</definedName>
    <definedName name="_xlnm.Print_Area" localSheetId="9">'Evolucion gasto DDFF'!$B$1:$N$107</definedName>
    <definedName name="_xlnm.Print_Area" localSheetId="10">'Evolución ingreso DDFF'!$B$1:$O$108</definedName>
    <definedName name="_xlnm.Print_Area" localSheetId="6">'gastos ddff'!$B$1:$U$24</definedName>
    <definedName name="_xlnm.Print_Area" localSheetId="1">'gastos GV'!$B$1:$U$24</definedName>
    <definedName name="_xlnm.Print_Area" localSheetId="0">Índice!$A$6:$C$33</definedName>
    <definedName name="_xlnm.Print_Area" localSheetId="7">'ingresos ddff'!$B$1:$U$34</definedName>
    <definedName name="_xlnm.Print_Area" localSheetId="2">'ingresos GV'!$B$1:$U$27</definedName>
    <definedName name="_xlnm.Print_Area" localSheetId="15">'Magnitudes presup GV-DDFF'!$B$1:$I$28</definedName>
    <definedName name="_xlnm.Print_Area" localSheetId="8">'Magnitudes presupuestarias DDFF'!$B$1:$I$27</definedName>
    <definedName name="_xlnm.Print_Area" localSheetId="3">'Magnitudes presupuestarias GV'!$B$1:$I$28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6" l="1"/>
  <c r="I12" i="39"/>
  <c r="D11" i="39"/>
  <c r="I9" i="39"/>
  <c r="D9" i="39"/>
  <c r="F98" i="37" l="1"/>
  <c r="E98" i="37"/>
  <c r="D98" i="37"/>
  <c r="C98" i="37"/>
  <c r="G98" i="37"/>
  <c r="K98" i="37"/>
  <c r="J98" i="37"/>
  <c r="I98" i="37"/>
  <c r="H98" i="37"/>
  <c r="L105" i="30"/>
  <c r="N105" i="30" s="1"/>
  <c r="J105" i="30"/>
  <c r="I105" i="30"/>
  <c r="K105" i="30" s="1"/>
  <c r="G105" i="30"/>
  <c r="F105" i="30"/>
  <c r="E105" i="30"/>
  <c r="D105" i="30"/>
  <c r="C105" i="30"/>
  <c r="L105" i="29"/>
  <c r="K105" i="29"/>
  <c r="M105" i="29" s="1"/>
  <c r="I105" i="29"/>
  <c r="J105" i="29" s="1"/>
  <c r="H105" i="29"/>
  <c r="F105" i="29"/>
  <c r="E105" i="29"/>
  <c r="G105" i="29" s="1"/>
  <c r="N105" i="29" s="1"/>
  <c r="D105" i="29"/>
  <c r="C105" i="29"/>
  <c r="L104" i="29"/>
  <c r="K104" i="29"/>
  <c r="M104" i="29" s="1"/>
  <c r="I104" i="29"/>
  <c r="H104" i="29"/>
  <c r="J104" i="29" s="1"/>
  <c r="F104" i="29"/>
  <c r="E104" i="29"/>
  <c r="D104" i="29"/>
  <c r="C104" i="29"/>
  <c r="G104" i="29" l="1"/>
  <c r="H105" i="30"/>
  <c r="O105" i="30"/>
  <c r="N104" i="29"/>
  <c r="H31" i="16" l="1"/>
  <c r="H13" i="16"/>
  <c r="G13" i="16"/>
  <c r="F13" i="16"/>
  <c r="H9" i="16"/>
  <c r="G9" i="16"/>
  <c r="F9" i="16"/>
  <c r="F27" i="16" l="1"/>
  <c r="H22" i="14" l="1"/>
  <c r="H21" i="14"/>
  <c r="G22" i="14"/>
  <c r="G21" i="14"/>
  <c r="F22" i="14"/>
  <c r="F21" i="14"/>
  <c r="H20" i="14"/>
  <c r="G20" i="14"/>
  <c r="F20" i="14"/>
  <c r="H18" i="14"/>
  <c r="G18" i="14"/>
  <c r="F18" i="14"/>
  <c r="H24" i="14" l="1"/>
  <c r="G24" i="14"/>
  <c r="F24" i="14"/>
  <c r="K31" i="16" l="1"/>
  <c r="K30" i="16"/>
  <c r="J30" i="16"/>
  <c r="L24" i="16"/>
  <c r="K24" i="16"/>
  <c r="J24" i="16"/>
  <c r="L23" i="16"/>
  <c r="K23" i="16"/>
  <c r="J23" i="16"/>
  <c r="J31" i="16" s="1"/>
  <c r="L22" i="16"/>
  <c r="K22" i="16"/>
  <c r="J22" i="16"/>
  <c r="L21" i="16"/>
  <c r="L30" i="16" s="1"/>
  <c r="K21" i="16"/>
  <c r="J21" i="16"/>
  <c r="L20" i="16"/>
  <c r="K20" i="16"/>
  <c r="J20" i="16"/>
  <c r="L19" i="16"/>
  <c r="K19" i="16"/>
  <c r="J19" i="16"/>
  <c r="L18" i="16"/>
  <c r="K18" i="16"/>
  <c r="J18" i="16"/>
  <c r="L17" i="16"/>
  <c r="L13" i="16" s="1"/>
  <c r="K17" i="16"/>
  <c r="J17" i="16"/>
  <c r="L16" i="16"/>
  <c r="K16" i="16"/>
  <c r="J16" i="16"/>
  <c r="L15" i="16"/>
  <c r="K15" i="16"/>
  <c r="K13" i="16" s="1"/>
  <c r="J15" i="16"/>
  <c r="J13" i="16" s="1"/>
  <c r="L14" i="16"/>
  <c r="K14" i="16"/>
  <c r="J14" i="16"/>
  <c r="L12" i="16"/>
  <c r="K12" i="16"/>
  <c r="J12" i="16"/>
  <c r="L11" i="16"/>
  <c r="K11" i="16"/>
  <c r="J11" i="16"/>
  <c r="L10" i="16"/>
  <c r="K10" i="16"/>
  <c r="K9" i="16" s="1"/>
  <c r="J10" i="16"/>
  <c r="J9" i="16" s="1"/>
  <c r="L9" i="16"/>
  <c r="K22" i="14"/>
  <c r="J22" i="14"/>
  <c r="K21" i="14"/>
  <c r="L16" i="14"/>
  <c r="L22" i="14" s="1"/>
  <c r="K16" i="14"/>
  <c r="J16" i="14"/>
  <c r="L15" i="14"/>
  <c r="K15" i="14"/>
  <c r="J15" i="14"/>
  <c r="L14" i="14"/>
  <c r="K14" i="14"/>
  <c r="J14" i="14"/>
  <c r="L13" i="14"/>
  <c r="L21" i="14" s="1"/>
  <c r="K13" i="14"/>
  <c r="J13" i="14"/>
  <c r="J21" i="14" s="1"/>
  <c r="L12" i="14"/>
  <c r="K12" i="14"/>
  <c r="J12" i="14"/>
  <c r="L11" i="14"/>
  <c r="K11" i="14"/>
  <c r="J11" i="14"/>
  <c r="L10" i="14"/>
  <c r="K10" i="14"/>
  <c r="J10" i="14"/>
  <c r="J20" i="14" s="1"/>
  <c r="J24" i="14" s="1"/>
  <c r="L9" i="14"/>
  <c r="L20" i="14" s="1"/>
  <c r="L24" i="14" s="1"/>
  <c r="K9" i="14"/>
  <c r="K20" i="14" s="1"/>
  <c r="K24" i="14" s="1"/>
  <c r="J9" i="14"/>
  <c r="J18" i="14" s="1"/>
  <c r="M105" i="24"/>
  <c r="L105" i="24"/>
  <c r="N105" i="24" s="1"/>
  <c r="J105" i="24"/>
  <c r="I105" i="24"/>
  <c r="K105" i="24" s="1"/>
  <c r="G105" i="24"/>
  <c r="F105" i="24"/>
  <c r="H105" i="24" s="1"/>
  <c r="O105" i="24" s="1"/>
  <c r="E105" i="24"/>
  <c r="D105" i="24"/>
  <c r="L27" i="16" l="1"/>
  <c r="K27" i="16"/>
  <c r="K29" i="16"/>
  <c r="J27" i="16"/>
  <c r="J29" i="16"/>
  <c r="L29" i="16"/>
  <c r="K18" i="14"/>
  <c r="L18" i="14"/>
  <c r="H25" i="1" l="1"/>
  <c r="H23" i="1"/>
  <c r="H22" i="1"/>
  <c r="H21" i="1"/>
  <c r="G25" i="1"/>
  <c r="G23" i="1"/>
  <c r="G22" i="1"/>
  <c r="G21" i="1"/>
  <c r="F25" i="1"/>
  <c r="F23" i="1"/>
  <c r="F22" i="1"/>
  <c r="F21" i="1"/>
  <c r="H19" i="1"/>
  <c r="G19" i="1"/>
  <c r="F19" i="1"/>
  <c r="N14" i="1"/>
  <c r="O14" i="1"/>
  <c r="H24" i="2"/>
  <c r="H22" i="2"/>
  <c r="H21" i="2"/>
  <c r="H20" i="2"/>
  <c r="H18" i="2"/>
  <c r="G24" i="2"/>
  <c r="G22" i="2"/>
  <c r="G21" i="2"/>
  <c r="G20" i="2"/>
  <c r="G18" i="2"/>
  <c r="F24" i="2"/>
  <c r="F22" i="2"/>
  <c r="F21" i="2"/>
  <c r="F20" i="2"/>
  <c r="F18" i="2"/>
  <c r="L25" i="1"/>
  <c r="K25" i="1"/>
  <c r="J25" i="1"/>
  <c r="L19" i="1"/>
  <c r="K19" i="1"/>
  <c r="J19" i="1"/>
  <c r="L24" i="2"/>
  <c r="K24" i="2"/>
  <c r="J24" i="2"/>
  <c r="L18" i="2"/>
  <c r="K18" i="2"/>
  <c r="J18" i="2"/>
  <c r="P16" i="2"/>
  <c r="N15" i="2"/>
  <c r="N16" i="2"/>
  <c r="P9" i="16" l="1"/>
  <c r="Q9" i="16"/>
  <c r="N10" i="16"/>
  <c r="O10" i="16"/>
  <c r="P10" i="16"/>
  <c r="Q10" i="16"/>
  <c r="S10" i="16"/>
  <c r="T10" i="16"/>
  <c r="O11" i="16"/>
  <c r="T11" i="16"/>
  <c r="U11" i="16"/>
  <c r="N11" i="16"/>
  <c r="P11" i="16"/>
  <c r="Q11" i="16"/>
  <c r="N12" i="16"/>
  <c r="T12" i="16"/>
  <c r="P12" i="16"/>
  <c r="Q12" i="16"/>
  <c r="U12" i="16"/>
  <c r="P13" i="16"/>
  <c r="Q13" i="16"/>
  <c r="U13" i="16"/>
  <c r="N14" i="16"/>
  <c r="O14" i="16"/>
  <c r="P14" i="16"/>
  <c r="Q14" i="16"/>
  <c r="S14" i="16"/>
  <c r="T14" i="16"/>
  <c r="O15" i="16"/>
  <c r="T13" i="16"/>
  <c r="U15" i="16"/>
  <c r="N15" i="16"/>
  <c r="P15" i="16"/>
  <c r="Q15" i="16"/>
  <c r="N16" i="16"/>
  <c r="T16" i="16"/>
  <c r="P16" i="16"/>
  <c r="Q16" i="16"/>
  <c r="U16" i="16"/>
  <c r="N17" i="16"/>
  <c r="O17" i="16"/>
  <c r="P17" i="16"/>
  <c r="Q17" i="16"/>
  <c r="S17" i="16"/>
  <c r="T17" i="16"/>
  <c r="U17" i="16"/>
  <c r="U18" i="16"/>
  <c r="N18" i="16"/>
  <c r="O18" i="16"/>
  <c r="P18" i="16"/>
  <c r="Q18" i="16"/>
  <c r="S18" i="16"/>
  <c r="T18" i="16"/>
  <c r="O19" i="16"/>
  <c r="T19" i="16"/>
  <c r="U19" i="16"/>
  <c r="N19" i="16"/>
  <c r="P19" i="16"/>
  <c r="Q19" i="16"/>
  <c r="N20" i="16"/>
  <c r="T20" i="16"/>
  <c r="P20" i="16"/>
  <c r="Q20" i="16"/>
  <c r="U20" i="16"/>
  <c r="N21" i="16"/>
  <c r="O21" i="16"/>
  <c r="P21" i="16"/>
  <c r="Q21" i="16"/>
  <c r="S21" i="16"/>
  <c r="T21" i="16"/>
  <c r="U21" i="16"/>
  <c r="U22" i="16"/>
  <c r="N22" i="16"/>
  <c r="O22" i="16"/>
  <c r="P22" i="16"/>
  <c r="Q22" i="16"/>
  <c r="S22" i="16"/>
  <c r="T22" i="16"/>
  <c r="O23" i="16"/>
  <c r="G31" i="16"/>
  <c r="N23" i="16"/>
  <c r="P23" i="16"/>
  <c r="Q23" i="16"/>
  <c r="N24" i="16"/>
  <c r="T24" i="16"/>
  <c r="P24" i="16"/>
  <c r="Q24" i="16"/>
  <c r="U24" i="16"/>
  <c r="N25" i="16"/>
  <c r="O25" i="16"/>
  <c r="P25" i="16"/>
  <c r="Q25" i="16"/>
  <c r="S25" i="16"/>
  <c r="T25" i="16"/>
  <c r="U25" i="16"/>
  <c r="N26" i="16"/>
  <c r="P27" i="16"/>
  <c r="N28" i="16"/>
  <c r="P29" i="16"/>
  <c r="Q29" i="16"/>
  <c r="F30" i="16"/>
  <c r="G30" i="16"/>
  <c r="N30" i="16" s="1"/>
  <c r="H30" i="16"/>
  <c r="O30" i="16" s="1"/>
  <c r="Q30" i="16"/>
  <c r="K34" i="16"/>
  <c r="P31" i="16"/>
  <c r="U31" i="16"/>
  <c r="S32" i="16"/>
  <c r="T32" i="16"/>
  <c r="U32" i="16"/>
  <c r="N32" i="16"/>
  <c r="O32" i="16"/>
  <c r="N33" i="16"/>
  <c r="U30" i="16" l="1"/>
  <c r="H29" i="16"/>
  <c r="U9" i="16"/>
  <c r="H27" i="16"/>
  <c r="U27" i="16" s="1"/>
  <c r="T9" i="16"/>
  <c r="G27" i="16"/>
  <c r="T27" i="16" s="1"/>
  <c r="G29" i="16"/>
  <c r="S27" i="16"/>
  <c r="F29" i="16"/>
  <c r="S29" i="16" s="1"/>
  <c r="N9" i="16"/>
  <c r="O9" i="16"/>
  <c r="S9" i="16"/>
  <c r="N13" i="16"/>
  <c r="O13" i="16"/>
  <c r="S13" i="16"/>
  <c r="T31" i="16"/>
  <c r="T30" i="16"/>
  <c r="L34" i="16"/>
  <c r="S12" i="16"/>
  <c r="T23" i="16"/>
  <c r="T15" i="16"/>
  <c r="S30" i="16"/>
  <c r="U23" i="16"/>
  <c r="J34" i="16"/>
  <c r="Q32" i="16"/>
  <c r="P30" i="16"/>
  <c r="S23" i="16"/>
  <c r="S19" i="16"/>
  <c r="S15" i="16"/>
  <c r="U14" i="16"/>
  <c r="S11" i="16"/>
  <c r="U10" i="16"/>
  <c r="P32" i="16"/>
  <c r="O24" i="16"/>
  <c r="O20" i="16"/>
  <c r="O16" i="16"/>
  <c r="O12" i="16"/>
  <c r="S24" i="16"/>
  <c r="S20" i="16"/>
  <c r="S16" i="16"/>
  <c r="Q31" i="16"/>
  <c r="Q27" i="16"/>
  <c r="F31" i="16"/>
  <c r="O31" i="16" l="1"/>
  <c r="S31" i="16"/>
  <c r="N31" i="16"/>
  <c r="P34" i="16"/>
  <c r="Q34" i="16"/>
  <c r="F34" i="16"/>
  <c r="S34" i="16" s="1"/>
  <c r="N29" i="16"/>
  <c r="O29" i="16"/>
  <c r="U29" i="16"/>
  <c r="H34" i="16"/>
  <c r="U34" i="16" s="1"/>
  <c r="N27" i="16"/>
  <c r="O27" i="16"/>
  <c r="T29" i="16"/>
  <c r="G34" i="16"/>
  <c r="T34" i="16" s="1"/>
  <c r="N34" i="16" l="1"/>
  <c r="O34" i="16"/>
  <c r="I10" i="39" l="1"/>
  <c r="M101" i="36"/>
  <c r="L101" i="36"/>
  <c r="J101" i="36"/>
  <c r="I101" i="36"/>
  <c r="K101" i="36" s="1"/>
  <c r="G101" i="36"/>
  <c r="F101" i="36"/>
  <c r="E101" i="36"/>
  <c r="D101" i="36"/>
  <c r="C101" i="36"/>
  <c r="N100" i="36"/>
  <c r="K100" i="36"/>
  <c r="H100" i="36"/>
  <c r="O100" i="36" l="1"/>
  <c r="N101" i="36"/>
  <c r="H101" i="36"/>
  <c r="O101" i="36"/>
  <c r="I11" i="39"/>
  <c r="I19" i="39" s="1"/>
  <c r="E13" i="38" l="1"/>
  <c r="F106" i="35" l="1"/>
  <c r="E11" i="38"/>
  <c r="I106" i="35"/>
  <c r="E16" i="38"/>
  <c r="F106" i="24"/>
  <c r="M106" i="24"/>
  <c r="L106" i="24"/>
  <c r="J106" i="24"/>
  <c r="G106" i="24"/>
  <c r="I106" i="24"/>
  <c r="E106" i="24"/>
  <c r="D106" i="24"/>
  <c r="L106" i="23"/>
  <c r="K106" i="23"/>
  <c r="I106" i="23"/>
  <c r="H106" i="23"/>
  <c r="J106" i="23" s="1"/>
  <c r="F106" i="23"/>
  <c r="E106" i="23"/>
  <c r="D106" i="23"/>
  <c r="C106" i="23"/>
  <c r="E26" i="40"/>
  <c r="E23" i="40"/>
  <c r="E22" i="40"/>
  <c r="E20" i="40"/>
  <c r="I20" i="40" s="1"/>
  <c r="E19" i="40"/>
  <c r="E16" i="40"/>
  <c r="E15" i="40"/>
  <c r="E14" i="40"/>
  <c r="E13" i="40"/>
  <c r="E11" i="40"/>
  <c r="E10" i="40"/>
  <c r="E9" i="40"/>
  <c r="E8" i="40"/>
  <c r="E7" i="40"/>
  <c r="E6" i="40"/>
  <c r="M106" i="23" l="1"/>
  <c r="G106" i="23"/>
  <c r="N106" i="23" s="1"/>
  <c r="E12" i="40"/>
  <c r="E17" i="40" s="1"/>
  <c r="H106" i="24"/>
  <c r="N106" i="24"/>
  <c r="K106" i="24"/>
  <c r="E21" i="40"/>
  <c r="E18" i="40"/>
  <c r="O106" i="24" l="1"/>
  <c r="E24" i="40"/>
  <c r="P21" i="1" l="1"/>
  <c r="Q19" i="1"/>
  <c r="S15" i="2"/>
  <c r="O13" i="2"/>
  <c r="N13" i="2"/>
  <c r="E25" i="40" l="1"/>
  <c r="E27" i="40" s="1"/>
  <c r="G106" i="30" l="1"/>
  <c r="F106" i="30"/>
  <c r="E106" i="30"/>
  <c r="L106" i="29"/>
  <c r="K106" i="29"/>
  <c r="I106" i="29"/>
  <c r="H106" i="29"/>
  <c r="F106" i="29"/>
  <c r="E106" i="29"/>
  <c r="D106" i="29"/>
  <c r="C106" i="29"/>
  <c r="M106" i="29" l="1"/>
  <c r="J106" i="29"/>
  <c r="G106" i="29"/>
  <c r="U15" i="14"/>
  <c r="T13" i="14"/>
  <c r="T15" i="14"/>
  <c r="M106" i="30"/>
  <c r="K106" i="30"/>
  <c r="U21" i="14" l="1"/>
  <c r="J106" i="30"/>
  <c r="L106" i="30"/>
  <c r="I106" i="30"/>
  <c r="E19" i="41"/>
  <c r="N106" i="30"/>
  <c r="D106" i="30" l="1"/>
  <c r="C106" i="30"/>
  <c r="O106" i="30"/>
  <c r="H106" i="30" l="1"/>
  <c r="N106" i="29"/>
  <c r="G98" i="23" l="1"/>
  <c r="J98" i="23"/>
  <c r="M98" i="23"/>
  <c r="J106" i="36" l="1"/>
  <c r="I16" i="38"/>
  <c r="I13" i="38"/>
  <c r="I11" i="38"/>
  <c r="F106" i="36"/>
  <c r="I14" i="39"/>
  <c r="I13" i="39"/>
  <c r="I106" i="36"/>
  <c r="G106" i="36"/>
  <c r="I8" i="39"/>
  <c r="E106" i="36" s="1"/>
  <c r="I7" i="39"/>
  <c r="I6" i="39"/>
  <c r="D13" i="39"/>
  <c r="D12" i="39"/>
  <c r="D10" i="39"/>
  <c r="D8" i="39"/>
  <c r="D7" i="39"/>
  <c r="D6" i="39"/>
  <c r="E26" i="41"/>
  <c r="E25" i="41"/>
  <c r="E23" i="41"/>
  <c r="E22" i="41"/>
  <c r="I22" i="41" s="1"/>
  <c r="E20" i="41"/>
  <c r="I20" i="41" s="1"/>
  <c r="E16" i="41"/>
  <c r="I16" i="41" s="1"/>
  <c r="E15" i="41"/>
  <c r="I15" i="41" s="1"/>
  <c r="E13" i="41"/>
  <c r="I13" i="41" s="1"/>
  <c r="E11" i="41"/>
  <c r="I11" i="41" s="1"/>
  <c r="E10" i="41"/>
  <c r="I10" i="41" s="1"/>
  <c r="E9" i="41"/>
  <c r="I9" i="41" s="1"/>
  <c r="E8" i="41"/>
  <c r="I8" i="41" s="1"/>
  <c r="E6" i="41"/>
  <c r="I6" i="41" s="1"/>
  <c r="N98" i="24"/>
  <c r="K98" i="24"/>
  <c r="H98" i="24"/>
  <c r="N98" i="23"/>
  <c r="I7" i="40"/>
  <c r="I8" i="40"/>
  <c r="I9" i="40"/>
  <c r="I10" i="40"/>
  <c r="I11" i="40"/>
  <c r="I12" i="40"/>
  <c r="I13" i="40"/>
  <c r="I14" i="40"/>
  <c r="I15" i="40"/>
  <c r="I16" i="40"/>
  <c r="I19" i="40"/>
  <c r="I22" i="40"/>
  <c r="I23" i="40"/>
  <c r="I6" i="40"/>
  <c r="O98" i="24" l="1"/>
  <c r="E106" i="35"/>
  <c r="E10" i="38"/>
  <c r="I10" i="38" s="1"/>
  <c r="H106" i="35"/>
  <c r="J106" i="35" s="1"/>
  <c r="E15" i="38"/>
  <c r="I15" i="38" s="1"/>
  <c r="E19" i="38"/>
  <c r="L106" i="35"/>
  <c r="E23" i="38"/>
  <c r="I23" i="38" s="1"/>
  <c r="D106" i="35"/>
  <c r="E9" i="38"/>
  <c r="I9" i="38" s="1"/>
  <c r="K106" i="35"/>
  <c r="E20" i="38"/>
  <c r="I20" i="38" s="1"/>
  <c r="I25" i="41"/>
  <c r="E25" i="38"/>
  <c r="C106" i="35"/>
  <c r="E8" i="38"/>
  <c r="I8" i="38" s="1"/>
  <c r="M106" i="36"/>
  <c r="E22" i="38"/>
  <c r="C106" i="36"/>
  <c r="I16" i="39"/>
  <c r="I26" i="41"/>
  <c r="E26" i="38"/>
  <c r="E21" i="41"/>
  <c r="I21" i="41" s="1"/>
  <c r="D20" i="39"/>
  <c r="E18" i="41"/>
  <c r="I18" i="41" s="1"/>
  <c r="E14" i="41"/>
  <c r="I14" i="41" s="1"/>
  <c r="I19" i="41"/>
  <c r="I20" i="39"/>
  <c r="E7" i="41"/>
  <c r="I23" i="41"/>
  <c r="I18" i="39"/>
  <c r="D19" i="39"/>
  <c r="D18" i="39"/>
  <c r="L106" i="36"/>
  <c r="D106" i="36"/>
  <c r="H106" i="36" s="1"/>
  <c r="K106" i="36"/>
  <c r="D16" i="39"/>
  <c r="N106" i="36" l="1"/>
  <c r="O106" i="36" s="1"/>
  <c r="E18" i="38"/>
  <c r="G106" i="35"/>
  <c r="M106" i="35"/>
  <c r="I19" i="38"/>
  <c r="E7" i="38"/>
  <c r="I7" i="38" s="1"/>
  <c r="E14" i="38"/>
  <c r="I14" i="38" s="1"/>
  <c r="E6" i="38"/>
  <c r="I6" i="38" s="1"/>
  <c r="E21" i="38"/>
  <c r="I22" i="38"/>
  <c r="D22" i="39"/>
  <c r="I22" i="39"/>
  <c r="E12" i="41"/>
  <c r="I7" i="41"/>
  <c r="Q15" i="14"/>
  <c r="P15" i="14"/>
  <c r="S15" i="1"/>
  <c r="Q16" i="1"/>
  <c r="P16" i="1"/>
  <c r="U11" i="2"/>
  <c r="P14" i="1"/>
  <c r="Q14" i="1"/>
  <c r="T11" i="2"/>
  <c r="Q15" i="2"/>
  <c r="P15" i="2"/>
  <c r="N93" i="36"/>
  <c r="K93" i="36"/>
  <c r="H93" i="36"/>
  <c r="M93" i="35"/>
  <c r="J93" i="35"/>
  <c r="G93" i="35"/>
  <c r="G85" i="37"/>
  <c r="C85" i="37"/>
  <c r="N93" i="30"/>
  <c r="K93" i="30"/>
  <c r="H93" i="30"/>
  <c r="O93" i="30" s="1"/>
  <c r="M93" i="29"/>
  <c r="J93" i="29"/>
  <c r="G93" i="29"/>
  <c r="N93" i="24"/>
  <c r="K93" i="24"/>
  <c r="H93" i="24"/>
  <c r="M93" i="23"/>
  <c r="J93" i="23"/>
  <c r="G93" i="23"/>
  <c r="T14" i="1"/>
  <c r="U14" i="1"/>
  <c r="N106" i="35" l="1"/>
  <c r="E12" i="38"/>
  <c r="I12" i="38" s="1"/>
  <c r="O93" i="36"/>
  <c r="N93" i="23"/>
  <c r="E17" i="41"/>
  <c r="I12" i="41"/>
  <c r="N93" i="29"/>
  <c r="O93" i="24"/>
  <c r="N93" i="35"/>
  <c r="E17" i="38" l="1"/>
  <c r="E24" i="38" s="1"/>
  <c r="E27" i="38" s="1"/>
  <c r="I17" i="41"/>
  <c r="E24" i="41"/>
  <c r="P16" i="14"/>
  <c r="O16" i="14"/>
  <c r="U16" i="14"/>
  <c r="T16" i="14"/>
  <c r="S16" i="14"/>
  <c r="N16" i="14"/>
  <c r="S15" i="14"/>
  <c r="N15" i="14"/>
  <c r="U14" i="14"/>
  <c r="T14" i="14"/>
  <c r="S14" i="14"/>
  <c r="O14" i="14"/>
  <c r="O13" i="14"/>
  <c r="U13" i="14"/>
  <c r="P13" i="14"/>
  <c r="S12" i="14"/>
  <c r="U12" i="14"/>
  <c r="P12" i="14"/>
  <c r="Q12" i="14"/>
  <c r="N12" i="14"/>
  <c r="T11" i="14"/>
  <c r="U11" i="14"/>
  <c r="S11" i="14"/>
  <c r="N11" i="14"/>
  <c r="U10" i="14"/>
  <c r="P10" i="14"/>
  <c r="T10" i="14"/>
  <c r="Q10" i="14"/>
  <c r="N10" i="14"/>
  <c r="P9" i="14"/>
  <c r="O9" i="14"/>
  <c r="U9" i="14"/>
  <c r="T9" i="14"/>
  <c r="N9" i="14"/>
  <c r="N9" i="1"/>
  <c r="O9" i="1"/>
  <c r="P9" i="1"/>
  <c r="Q9" i="1"/>
  <c r="S9" i="1"/>
  <c r="T9" i="1"/>
  <c r="U9" i="1"/>
  <c r="N10" i="1"/>
  <c r="O10" i="1"/>
  <c r="P10" i="1"/>
  <c r="Q10" i="1"/>
  <c r="S10" i="1"/>
  <c r="T10" i="1"/>
  <c r="U10" i="1"/>
  <c r="N11" i="1"/>
  <c r="O11" i="1"/>
  <c r="P11" i="1"/>
  <c r="Q11" i="1"/>
  <c r="S11" i="1"/>
  <c r="T11" i="1"/>
  <c r="U11" i="1"/>
  <c r="N12" i="1"/>
  <c r="O12" i="1"/>
  <c r="P12" i="1"/>
  <c r="Q12" i="1"/>
  <c r="S12" i="1"/>
  <c r="T12" i="1"/>
  <c r="U12" i="1"/>
  <c r="N13" i="1"/>
  <c r="O13" i="1"/>
  <c r="P13" i="1"/>
  <c r="Q13" i="1"/>
  <c r="S14" i="1"/>
  <c r="N15" i="1"/>
  <c r="O15" i="1"/>
  <c r="P15" i="1"/>
  <c r="Q15" i="1"/>
  <c r="T15" i="1"/>
  <c r="U15" i="1"/>
  <c r="N16" i="1"/>
  <c r="O16" i="1"/>
  <c r="S16" i="1"/>
  <c r="T16" i="1"/>
  <c r="U16" i="1"/>
  <c r="N17" i="1"/>
  <c r="O17" i="1"/>
  <c r="P17" i="1"/>
  <c r="Q17" i="1"/>
  <c r="S17" i="1"/>
  <c r="T17" i="1"/>
  <c r="U17" i="1"/>
  <c r="E27" i="41" l="1"/>
  <c r="I27" i="41" s="1"/>
  <c r="T22" i="1"/>
  <c r="N23" i="1"/>
  <c r="P19" i="1"/>
  <c r="U21" i="1"/>
  <c r="T23" i="1"/>
  <c r="S19" i="1"/>
  <c r="S23" i="1"/>
  <c r="O23" i="1"/>
  <c r="P22" i="1"/>
  <c r="Q22" i="1"/>
  <c r="O21" i="1"/>
  <c r="O22" i="1"/>
  <c r="T21" i="1"/>
  <c r="Q21" i="1"/>
  <c r="S22" i="1"/>
  <c r="U23" i="1"/>
  <c r="U22" i="1"/>
  <c r="S21" i="1"/>
  <c r="O19" i="1"/>
  <c r="P23" i="1"/>
  <c r="T19" i="1"/>
  <c r="T21" i="14"/>
  <c r="T22" i="14"/>
  <c r="O21" i="14"/>
  <c r="N21" i="14"/>
  <c r="P14" i="14"/>
  <c r="O15" i="14"/>
  <c r="P22" i="14"/>
  <c r="S13" i="14"/>
  <c r="Q14" i="14"/>
  <c r="T18" i="14"/>
  <c r="S9" i="14"/>
  <c r="P11" i="14"/>
  <c r="O12" i="14"/>
  <c r="N13" i="14"/>
  <c r="Q16" i="14"/>
  <c r="U22" i="14"/>
  <c r="Q13" i="14"/>
  <c r="O10" i="14"/>
  <c r="T12" i="14"/>
  <c r="O11" i="14"/>
  <c r="S10" i="14"/>
  <c r="Q11" i="14"/>
  <c r="N14" i="14"/>
  <c r="S22" i="14"/>
  <c r="Q9" i="14"/>
  <c r="N22" i="1"/>
  <c r="Q23" i="1"/>
  <c r="U19" i="1"/>
  <c r="N19" i="1"/>
  <c r="N21" i="1"/>
  <c r="U21" i="2"/>
  <c r="U16" i="2"/>
  <c r="T16" i="2"/>
  <c r="S16" i="2"/>
  <c r="Q16" i="2"/>
  <c r="O16" i="2"/>
  <c r="U15" i="2"/>
  <c r="T15" i="2"/>
  <c r="O15" i="2"/>
  <c r="U14" i="2"/>
  <c r="T14" i="2"/>
  <c r="S14" i="2"/>
  <c r="Q14" i="2"/>
  <c r="P14" i="2"/>
  <c r="O14" i="2"/>
  <c r="N14" i="2"/>
  <c r="U13" i="2"/>
  <c r="T13" i="2"/>
  <c r="S13" i="2"/>
  <c r="Q13" i="2"/>
  <c r="P13" i="2"/>
  <c r="U12" i="2"/>
  <c r="T12" i="2"/>
  <c r="S12" i="2"/>
  <c r="Q12" i="2"/>
  <c r="P12" i="2"/>
  <c r="O12" i="2"/>
  <c r="N12" i="2"/>
  <c r="S11" i="2"/>
  <c r="Q11" i="2"/>
  <c r="P11" i="2"/>
  <c r="O11" i="2"/>
  <c r="N11" i="2"/>
  <c r="U10" i="2"/>
  <c r="T10" i="2"/>
  <c r="S10" i="2"/>
  <c r="Q10" i="2"/>
  <c r="P10" i="2"/>
  <c r="O10" i="2"/>
  <c r="N10" i="2"/>
  <c r="U9" i="2"/>
  <c r="T9" i="2"/>
  <c r="S9" i="2"/>
  <c r="Q9" i="2"/>
  <c r="P9" i="2"/>
  <c r="O9" i="2"/>
  <c r="N9" i="2"/>
  <c r="I26" i="38" l="1"/>
  <c r="I26" i="40"/>
  <c r="P22" i="2"/>
  <c r="Q20" i="2"/>
  <c r="O18" i="2"/>
  <c r="O21" i="2"/>
  <c r="T18" i="2"/>
  <c r="U18" i="2"/>
  <c r="N25" i="1"/>
  <c r="P21" i="2"/>
  <c r="T22" i="2"/>
  <c r="U22" i="2"/>
  <c r="O22" i="2"/>
  <c r="N20" i="14"/>
  <c r="O20" i="14"/>
  <c r="Q22" i="14"/>
  <c r="T24" i="14"/>
  <c r="T20" i="14"/>
  <c r="P20" i="14"/>
  <c r="S18" i="14"/>
  <c r="Q18" i="14"/>
  <c r="P18" i="14"/>
  <c r="S20" i="14"/>
  <c r="P21" i="14"/>
  <c r="S21" i="14"/>
  <c r="Q21" i="14"/>
  <c r="O22" i="14"/>
  <c r="N22" i="14"/>
  <c r="U20" i="14"/>
  <c r="U24" i="14"/>
  <c r="N18" i="14"/>
  <c r="O18" i="14"/>
  <c r="U18" i="14"/>
  <c r="Q20" i="14"/>
  <c r="O25" i="1"/>
  <c r="Q25" i="1"/>
  <c r="T25" i="1"/>
  <c r="S25" i="1"/>
  <c r="P18" i="2"/>
  <c r="P20" i="2"/>
  <c r="O20" i="2"/>
  <c r="T21" i="2"/>
  <c r="S22" i="2"/>
  <c r="S18" i="2"/>
  <c r="S20" i="2"/>
  <c r="Q21" i="2"/>
  <c r="N18" i="2"/>
  <c r="T20" i="2"/>
  <c r="S21" i="2"/>
  <c r="Q22" i="2"/>
  <c r="N20" i="2"/>
  <c r="U20" i="2"/>
  <c r="N22" i="2"/>
  <c r="N21" i="2"/>
  <c r="Q18" i="2"/>
  <c r="I25" i="40" l="1"/>
  <c r="I27" i="40"/>
  <c r="U25" i="1"/>
  <c r="O24" i="2"/>
  <c r="N24" i="2"/>
  <c r="T24" i="2"/>
  <c r="P24" i="14"/>
  <c r="S24" i="14"/>
  <c r="Q24" i="14"/>
  <c r="N24" i="14"/>
  <c r="O24" i="14"/>
  <c r="P25" i="1"/>
  <c r="U24" i="2"/>
  <c r="S24" i="2"/>
  <c r="Q24" i="2"/>
  <c r="P24" i="2"/>
  <c r="I25" i="38" l="1"/>
  <c r="G73" i="37"/>
  <c r="C73" i="37"/>
  <c r="N81" i="30"/>
  <c r="K81" i="30"/>
  <c r="H81" i="30"/>
  <c r="O81" i="30" s="1"/>
  <c r="M81" i="29"/>
  <c r="J81" i="29"/>
  <c r="G81" i="29"/>
  <c r="N81" i="29" l="1"/>
  <c r="N81" i="24"/>
  <c r="K81" i="24"/>
  <c r="H81" i="24"/>
  <c r="O81" i="24" l="1"/>
  <c r="N78" i="36"/>
  <c r="K78" i="36"/>
  <c r="H78" i="36"/>
  <c r="M78" i="29"/>
  <c r="J78" i="29"/>
  <c r="G78" i="29"/>
  <c r="O78" i="36" l="1"/>
  <c r="N78" i="29"/>
  <c r="N76" i="36"/>
  <c r="K76" i="36"/>
  <c r="H76" i="36"/>
  <c r="M76" i="35"/>
  <c r="J76" i="35"/>
  <c r="G76" i="35"/>
  <c r="G68" i="37"/>
  <c r="C68" i="37"/>
  <c r="N76" i="30"/>
  <c r="K76" i="30"/>
  <c r="H76" i="30"/>
  <c r="M76" i="29"/>
  <c r="J76" i="29"/>
  <c r="G76" i="29"/>
  <c r="N76" i="24"/>
  <c r="K76" i="24"/>
  <c r="H76" i="24"/>
  <c r="M76" i="23"/>
  <c r="J76" i="23"/>
  <c r="G76" i="23"/>
  <c r="O76" i="36" l="1"/>
  <c r="N76" i="23"/>
  <c r="N76" i="29"/>
  <c r="N76" i="35"/>
  <c r="O76" i="30"/>
  <c r="O76" i="24"/>
  <c r="N75" i="36" l="1"/>
  <c r="K75" i="36"/>
  <c r="H75" i="36"/>
  <c r="M75" i="35"/>
  <c r="J75" i="35"/>
  <c r="G75" i="35"/>
  <c r="G67" i="37"/>
  <c r="C67" i="37"/>
  <c r="N75" i="30"/>
  <c r="K75" i="30"/>
  <c r="H75" i="30"/>
  <c r="M75" i="29"/>
  <c r="J75" i="29"/>
  <c r="G75" i="29"/>
  <c r="N75" i="24"/>
  <c r="K75" i="24"/>
  <c r="H75" i="24"/>
  <c r="M75" i="23"/>
  <c r="J75" i="23"/>
  <c r="G75" i="23"/>
  <c r="N75" i="29" l="1"/>
  <c r="O75" i="30"/>
  <c r="O75" i="36"/>
  <c r="N75" i="35"/>
  <c r="O75" i="24"/>
  <c r="N75" i="23"/>
  <c r="N74" i="36" l="1"/>
  <c r="K74" i="36"/>
  <c r="H74" i="36"/>
  <c r="M74" i="35"/>
  <c r="J74" i="35"/>
  <c r="G74" i="35"/>
  <c r="O74" i="36" l="1"/>
  <c r="N74" i="35"/>
  <c r="G66" i="37"/>
  <c r="C66" i="37"/>
  <c r="N74" i="30"/>
  <c r="K74" i="30"/>
  <c r="H74" i="30"/>
  <c r="M74" i="29"/>
  <c r="J74" i="29"/>
  <c r="G74" i="29"/>
  <c r="N74" i="24"/>
  <c r="K74" i="24"/>
  <c r="H74" i="24"/>
  <c r="M74" i="23"/>
  <c r="J74" i="23"/>
  <c r="G74" i="23"/>
  <c r="O74" i="30" l="1"/>
  <c r="N74" i="29"/>
  <c r="O74" i="24"/>
  <c r="N74" i="23"/>
  <c r="U1" i="1" l="1"/>
  <c r="U1" i="2"/>
  <c r="M72" i="23" l="1"/>
  <c r="J72" i="23"/>
  <c r="G72" i="23"/>
  <c r="M71" i="23"/>
  <c r="J71" i="23"/>
  <c r="G71" i="23"/>
  <c r="M70" i="23"/>
  <c r="J70" i="23"/>
  <c r="G70" i="23"/>
  <c r="M69" i="23"/>
  <c r="J69" i="23"/>
  <c r="G69" i="23"/>
  <c r="N72" i="23" l="1"/>
  <c r="N69" i="23"/>
  <c r="N71" i="23"/>
  <c r="N70" i="23"/>
  <c r="G55" i="23"/>
  <c r="J55" i="23"/>
  <c r="M55" i="23"/>
  <c r="N47" i="36"/>
  <c r="H47" i="36"/>
  <c r="K47" i="36"/>
  <c r="G44" i="37"/>
  <c r="C44" i="37"/>
  <c r="G43" i="37"/>
  <c r="C43" i="37"/>
  <c r="H52" i="30"/>
  <c r="K52" i="30"/>
  <c r="N52" i="30"/>
  <c r="H51" i="30"/>
  <c r="K51" i="30"/>
  <c r="N51" i="30"/>
  <c r="O51" i="30"/>
  <c r="H50" i="30"/>
  <c r="K50" i="30"/>
  <c r="N50" i="30"/>
  <c r="H49" i="30"/>
  <c r="K49" i="30"/>
  <c r="N49" i="30"/>
  <c r="H48" i="30"/>
  <c r="K48" i="30"/>
  <c r="N48" i="30"/>
  <c r="H47" i="30"/>
  <c r="K47" i="30"/>
  <c r="N47" i="30"/>
  <c r="N52" i="24"/>
  <c r="K52" i="24"/>
  <c r="H52" i="24"/>
  <c r="N51" i="24"/>
  <c r="K51" i="24"/>
  <c r="H51" i="24"/>
  <c r="N50" i="24"/>
  <c r="K50" i="24"/>
  <c r="H50" i="24"/>
  <c r="N49" i="24"/>
  <c r="K49" i="24"/>
  <c r="H49" i="24"/>
  <c r="N48" i="24"/>
  <c r="K48" i="24"/>
  <c r="H48" i="24"/>
  <c r="N47" i="24"/>
  <c r="K47" i="24"/>
  <c r="H47" i="24"/>
  <c r="M47" i="35"/>
  <c r="J47" i="35"/>
  <c r="G47" i="35"/>
  <c r="G39" i="37"/>
  <c r="C39" i="37"/>
  <c r="G47" i="23"/>
  <c r="J47" i="23"/>
  <c r="M47" i="23"/>
  <c r="I1" i="38"/>
  <c r="O1" i="36"/>
  <c r="N1" i="35"/>
  <c r="J1" i="39"/>
  <c r="K1" i="37"/>
  <c r="O1" i="30"/>
  <c r="N1" i="29"/>
  <c r="I1" i="41"/>
  <c r="U1" i="16"/>
  <c r="U1" i="14"/>
  <c r="O1" i="24"/>
  <c r="N1" i="23"/>
  <c r="I1" i="40"/>
  <c r="I37" i="16"/>
  <c r="U45" i="16"/>
  <c r="T45" i="16"/>
  <c r="S45" i="16"/>
  <c r="Q45" i="16"/>
  <c r="P45" i="16"/>
  <c r="O45" i="16"/>
  <c r="N45" i="16"/>
  <c r="U44" i="16"/>
  <c r="T44" i="16"/>
  <c r="O50" i="30" l="1"/>
  <c r="O52" i="30"/>
  <c r="O48" i="30"/>
  <c r="O47" i="30"/>
  <c r="O49" i="30"/>
  <c r="N47" i="23"/>
  <c r="N47" i="35"/>
  <c r="O47" i="36"/>
  <c r="O50" i="24"/>
  <c r="O49" i="24"/>
  <c r="N55" i="23"/>
  <c r="O48" i="24"/>
  <c r="O52" i="24"/>
  <c r="O47" i="24"/>
  <c r="O51" i="24"/>
</calcChain>
</file>

<file path=xl/sharedStrings.xml><?xml version="1.0" encoding="utf-8"?>
<sst xmlns="http://schemas.openxmlformats.org/spreadsheetml/2006/main" count="1147" uniqueCount="229">
  <si>
    <t>Estadística de Ejecución Presupuestaria</t>
  </si>
  <si>
    <t>Gobierno Vasco</t>
  </si>
  <si>
    <t>► Ejecución del presupuesto de gastos, por capítulos</t>
  </si>
  <si>
    <t>► Ejecución del presupuesto de ingresos, por capítulos</t>
  </si>
  <si>
    <t>► Magnitudes presupuestarias</t>
  </si>
  <si>
    <t>► Evolución de la ejecución del presupuesto de gastos, por capítulos</t>
  </si>
  <si>
    <t>► Evolución de la ejecución del presupuesto de ingresos, por capítulos</t>
  </si>
  <si>
    <t>Consolidado Diputaciones Forales</t>
  </si>
  <si>
    <t>► Evolución de la ejecución del presupuesto de ingresos (desglose capítulos 1 y 2)</t>
  </si>
  <si>
    <t>Consolidado Gobierno Vasco y Diputaciones Forales</t>
  </si>
  <si>
    <t>► Resumen obligaciones y derechos liquidados</t>
  </si>
  <si>
    <t>Estado de Ejecución del Presupuesto de Gastos (por capítulos)</t>
  </si>
  <si>
    <t>Miles de euros</t>
  </si>
  <si>
    <t>Capítulos de gastos</t>
  </si>
  <si>
    <t>Porcentajes de ejecución</t>
  </si>
  <si>
    <t>Presupuestos Actualizados</t>
  </si>
  <si>
    <t>Obligaciones reconocidas</t>
  </si>
  <si>
    <t>Pagos realizados</t>
  </si>
  <si>
    <t xml:space="preserve">   A  </t>
  </si>
  <si>
    <t>B</t>
  </si>
  <si>
    <t>C</t>
  </si>
  <si>
    <t>D</t>
  </si>
  <si>
    <t>E</t>
  </si>
  <si>
    <t>F</t>
  </si>
  <si>
    <t>B/A</t>
  </si>
  <si>
    <t>C/A</t>
  </si>
  <si>
    <t>E/D</t>
  </si>
  <si>
    <t>F/D</t>
  </si>
  <si>
    <t xml:space="preserve">A/D </t>
  </si>
  <si>
    <t>B/E</t>
  </si>
  <si>
    <t xml:space="preserve">C/F </t>
  </si>
  <si>
    <t>Gastos de personal</t>
  </si>
  <si>
    <t>Gastos de funcionamiento</t>
  </si>
  <si>
    <t>Gastos financieros</t>
  </si>
  <si>
    <t>Transferencias corrientes</t>
  </si>
  <si>
    <t>Inversiones reales</t>
  </si>
  <si>
    <t>Transferencias de capital</t>
  </si>
  <si>
    <t>Variación de activos financieros</t>
  </si>
  <si>
    <t>Variación de pasivos financieros</t>
  </si>
  <si>
    <t>Total gastos</t>
  </si>
  <si>
    <t>Operaciones corrientes</t>
  </si>
  <si>
    <t>Operaciones de capital</t>
  </si>
  <si>
    <t>Operaciones financieras</t>
  </si>
  <si>
    <t>◄ volver al menú</t>
  </si>
  <si>
    <t>Estado de Ejecución del Presupuesto de Ingresos (por capítulos)</t>
  </si>
  <si>
    <t>Capítulos de ingresos</t>
  </si>
  <si>
    <t>Derechos Reconocidos</t>
  </si>
  <si>
    <t>Ingresos realizados</t>
  </si>
  <si>
    <t>Impuestos directos</t>
  </si>
  <si>
    <t>Impuestos indirectos</t>
  </si>
  <si>
    <t>Tasas y otros ingresos</t>
  </si>
  <si>
    <t>Ingresos patrimoniales</t>
  </si>
  <si>
    <t>-</t>
  </si>
  <si>
    <t>Enajenación de inversiones reales</t>
  </si>
  <si>
    <t>Total ingresos</t>
  </si>
  <si>
    <t>Magnitudes presupuestarias</t>
  </si>
  <si>
    <t xml:space="preserve">1.- Ingresos Corrientes </t>
  </si>
  <si>
    <t>2.- Gastos Corrientes</t>
  </si>
  <si>
    <t>2.1.- Gastos de personal</t>
  </si>
  <si>
    <t>2.2.- Gastos de funcionamiento</t>
  </si>
  <si>
    <t>2.3.- Gastos financieros</t>
  </si>
  <si>
    <t>2.4.- Transferencias corrientes</t>
  </si>
  <si>
    <t xml:space="preserve">3.- Ahorro Bruto  (1-2) </t>
  </si>
  <si>
    <t>4.- Ingresos de Capital</t>
  </si>
  <si>
    <t>5.- Gastos de Capital</t>
  </si>
  <si>
    <t>5.1.- Inversiones reales</t>
  </si>
  <si>
    <t>5.2.- Transferencias de capital</t>
  </si>
  <si>
    <t>6.- Saldo Presupuestario No Financiero (3+4-5)</t>
  </si>
  <si>
    <t>7.- Variación Neta de Activos Financieros</t>
  </si>
  <si>
    <t>7.1.- Variacion Activos Financieros. Ingresos</t>
  </si>
  <si>
    <t>7.2.- Variación Activos Financieros. Gastos</t>
  </si>
  <si>
    <t>8.- Variación Neta de Pasivos Financieros</t>
  </si>
  <si>
    <t>8.1.- Variacion Pasivos Financieros. Ingresos</t>
  </si>
  <si>
    <t>8.2.- Variación Pasivos Financieros. Gastos</t>
  </si>
  <si>
    <t>9.- Superavit / Deficit Presupuestario (6+7+8)</t>
  </si>
  <si>
    <t>9.1.- Obligaciones pendientes de Pago</t>
  </si>
  <si>
    <t>9.2.- Derechos pendientes de Cobro</t>
  </si>
  <si>
    <t xml:space="preserve">10.- Superavit / Deficit Presupuestario en términos de caja </t>
  </si>
  <si>
    <t>Evolución de la Ejecución del Presupuesto de Gastos</t>
  </si>
  <si>
    <t>(Obligaciones Reconocidas)</t>
  </si>
  <si>
    <t>miles de euros</t>
  </si>
  <si>
    <t>Periodo</t>
  </si>
  <si>
    <t>Cap. 1
Gastos de personal</t>
  </si>
  <si>
    <t>Cap.2
Compra de bienes y servic.</t>
  </si>
  <si>
    <t>Cap. 3
Gastos financieros</t>
  </si>
  <si>
    <t>Cap. 4
Transferencias corrientes</t>
  </si>
  <si>
    <t>Total Operaciones corrientes</t>
  </si>
  <si>
    <t>Cap. 6
Inversiones reales</t>
  </si>
  <si>
    <t>Cap. 7
Transferencias de capital</t>
  </si>
  <si>
    <t>Total
Operaciones de capital</t>
  </si>
  <si>
    <t>Cap. 8
Var. Activos financieros</t>
  </si>
  <si>
    <t>Cap. 9
Var. Pasivos Financieros</t>
  </si>
  <si>
    <t>Total
Operaciones financieras</t>
  </si>
  <si>
    <t>Total</t>
  </si>
  <si>
    <t>31.12.1995</t>
  </si>
  <si>
    <t>31.12.1996</t>
  </si>
  <si>
    <t>31.12.1997</t>
  </si>
  <si>
    <t>31.12.1998</t>
  </si>
  <si>
    <t>31.12.1999</t>
  </si>
  <si>
    <t>31.12.2000</t>
  </si>
  <si>
    <t>31.12.2001</t>
  </si>
  <si>
    <t>31.12.2002</t>
  </si>
  <si>
    <t>31.03.2003</t>
  </si>
  <si>
    <t>30.06.2003</t>
  </si>
  <si>
    <t>30.09.2003</t>
  </si>
  <si>
    <t>31.12.2003</t>
  </si>
  <si>
    <t>31.03.2004</t>
  </si>
  <si>
    <t>30.06.2004</t>
  </si>
  <si>
    <t>30.09.2004</t>
  </si>
  <si>
    <t>31.12.2004</t>
  </si>
  <si>
    <t>31.03.2005</t>
  </si>
  <si>
    <t>30.06.2005</t>
  </si>
  <si>
    <t>30.09.2005</t>
  </si>
  <si>
    <t>31.12.2005</t>
  </si>
  <si>
    <t>31.03.2006</t>
  </si>
  <si>
    <t>30.06.2006</t>
  </si>
  <si>
    <t>30.09.2006</t>
  </si>
  <si>
    <t>31.12.2006</t>
  </si>
  <si>
    <t>31.03.2007</t>
  </si>
  <si>
    <t>30.06.2007</t>
  </si>
  <si>
    <t>30.09.2007</t>
  </si>
  <si>
    <t>31.12.2007</t>
  </si>
  <si>
    <t>31.03.2008</t>
  </si>
  <si>
    <t>30.06.2008</t>
  </si>
  <si>
    <t>30.09.2008</t>
  </si>
  <si>
    <t>31.12.2008</t>
  </si>
  <si>
    <t>31.03.2009</t>
  </si>
  <si>
    <t>30.06.2009</t>
  </si>
  <si>
    <t>30.09.2009</t>
  </si>
  <si>
    <t>31.12.2009</t>
  </si>
  <si>
    <t>31.03.2010</t>
  </si>
  <si>
    <t>30.06.2010</t>
  </si>
  <si>
    <t>30.09.2010</t>
  </si>
  <si>
    <t>31.12.2010</t>
  </si>
  <si>
    <t>31.03.2011</t>
  </si>
  <si>
    <t>30.06.2011</t>
  </si>
  <si>
    <t>30.09.2011</t>
  </si>
  <si>
    <t>31.12.2011</t>
  </si>
  <si>
    <t>31.03.2012</t>
  </si>
  <si>
    <t>30.06.2012</t>
  </si>
  <si>
    <t>30.09.2012</t>
  </si>
  <si>
    <t>31.12.2012</t>
  </si>
  <si>
    <t>31.03.2013</t>
  </si>
  <si>
    <t>30.06.2013</t>
  </si>
  <si>
    <t>30.09.2013</t>
  </si>
  <si>
    <t>31.12.2013</t>
  </si>
  <si>
    <t>31.03.2014</t>
  </si>
  <si>
    <t>30.06.2014</t>
  </si>
  <si>
    <t>30.09.2014</t>
  </si>
  <si>
    <t>31.12.2014</t>
  </si>
  <si>
    <t>31.03.2015</t>
  </si>
  <si>
    <t>30.06.2015</t>
  </si>
  <si>
    <t>30.09.2015</t>
  </si>
  <si>
    <t>31.12.2015</t>
  </si>
  <si>
    <t>31.03.2016</t>
  </si>
  <si>
    <t>30.06.2016</t>
  </si>
  <si>
    <t>30.09.2016</t>
  </si>
  <si>
    <t>31.12.2016</t>
  </si>
  <si>
    <t>31.03.2017</t>
  </si>
  <si>
    <t>30.06.2017</t>
  </si>
  <si>
    <t>30.09.2017</t>
  </si>
  <si>
    <t>31.12.2017</t>
  </si>
  <si>
    <t>31.03.2018</t>
  </si>
  <si>
    <t>30.06.2018</t>
  </si>
  <si>
    <t>30.09.2018</t>
  </si>
  <si>
    <t>31.12.2018</t>
  </si>
  <si>
    <t>31.03.2019</t>
  </si>
  <si>
    <t>30.06.2019</t>
  </si>
  <si>
    <t>30.09.2019</t>
  </si>
  <si>
    <t>31.12.2019</t>
  </si>
  <si>
    <t>31.03.2020</t>
  </si>
  <si>
    <t>30.06.2020</t>
  </si>
  <si>
    <t>30.09.2020</t>
  </si>
  <si>
    <t>31.12.2020</t>
  </si>
  <si>
    <t>31.03.2021</t>
  </si>
  <si>
    <t>30.06.2021</t>
  </si>
  <si>
    <t>30.09.2021</t>
  </si>
  <si>
    <t>31.12.2021</t>
  </si>
  <si>
    <t>31.03.2022</t>
  </si>
  <si>
    <t>30.06.2022</t>
  </si>
  <si>
    <t>30.09.2022</t>
  </si>
  <si>
    <t>31.12.2022</t>
  </si>
  <si>
    <t>31.03.2023</t>
  </si>
  <si>
    <t>30.06.2023</t>
  </si>
  <si>
    <t>30.09.2023</t>
  </si>
  <si>
    <t>31.12.2023</t>
  </si>
  <si>
    <t>Evolución de la Ejecución del Presupuesto de Ingresos</t>
  </si>
  <si>
    <t>(Derechos Reconocidos)</t>
  </si>
  <si>
    <t>Cap. 1
Impuestos directos</t>
  </si>
  <si>
    <t>Cap.2
Impuestos indirectos</t>
  </si>
  <si>
    <t>Cap. 3
Tasas y otros ingresos</t>
  </si>
  <si>
    <t>Cap. 5
Ingresos patrimoniales</t>
  </si>
  <si>
    <t>Cap. 6
Enaj. Invers. reales</t>
  </si>
  <si>
    <t>Cap. 7 Transferencias de capital</t>
  </si>
  <si>
    <t>Total Operaciones de capital</t>
  </si>
  <si>
    <t>Cap. 9
Var. Pasivos financieros</t>
  </si>
  <si>
    <t>.</t>
  </si>
  <si>
    <t xml:space="preserve"> </t>
  </si>
  <si>
    <t>1.1 - I.R.P.F.</t>
  </si>
  <si>
    <t>1.2 - Sociedades</t>
  </si>
  <si>
    <t>1.3 - Otros impuestos directos</t>
  </si>
  <si>
    <t>2.1 - I. Transmisiones Patrimoniales y A.J.D.</t>
  </si>
  <si>
    <t>2.2 - I.V.A</t>
  </si>
  <si>
    <t>2.3 - I. Especiales</t>
  </si>
  <si>
    <t>2.4 - Otros impuestos indirectos</t>
  </si>
  <si>
    <t>Ajuste presupuestario   (*)</t>
  </si>
  <si>
    <t>(*)  Refleja el exceso del presupuesto actualizado de gastos sobre el inicial de ingresos como consecuencia de las  modificaciones  de créditos del presupuesto de gastos de la D. F. de Bizkaia.</t>
  </si>
  <si>
    <t>1.- Ingresos Corrientes</t>
  </si>
  <si>
    <t>3.- Ahorro Bruto  (1-2)</t>
  </si>
  <si>
    <t>10.- Superavit / Deficit Presupuestario en términos de caja</t>
  </si>
  <si>
    <t>Evolución de la Ejecución del Presupuesto de Ingresos (desglose capítulos 1 y 2)</t>
  </si>
  <si>
    <t>1.2.- sociedades</t>
  </si>
  <si>
    <t>1.3.- Otros Imp directos</t>
  </si>
  <si>
    <t>2.1 - I. Trans. Patrimoniales y A.J.D.</t>
  </si>
  <si>
    <t>Resumen consolidado Gobierno Vasco y Diputaciones Forales</t>
  </si>
  <si>
    <t>GASTOS
(Obligaciones  Reconocidas)</t>
  </si>
  <si>
    <t>INGRESOS (Derechos Reconocidos)</t>
  </si>
  <si>
    <t xml:space="preserve">9.- Superavit / Deficit Presupuestario (6+7+8) </t>
  </si>
  <si>
    <t>31.03.2024</t>
  </si>
  <si>
    <t>30.06.2024</t>
  </si>
  <si>
    <t>30.09.2024</t>
  </si>
  <si>
    <t>31.12.2024</t>
  </si>
  <si>
    <t>4ºTrimestre 2025</t>
  </si>
  <si>
    <t>Tasas de variación 25/24</t>
  </si>
  <si>
    <t>Var. %
25/24</t>
  </si>
  <si>
    <t>31.03.2025</t>
  </si>
  <si>
    <t>30.06.2025</t>
  </si>
  <si>
    <t>30.09.2025</t>
  </si>
  <si>
    <t>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</si>
</sst>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#,##0.0"/>
    <numFmt numFmtId="165" formatCode="#,##0.000000"/>
    <numFmt numFmtId="166" formatCode="#,##0&quot;   &quot;"/>
    <numFmt numFmtId="167" formatCode="#,##0.0&quot;   &quot;"/>
    <numFmt numFmtId="168" formatCode="#,##0&quot;     &quot;"/>
    <numFmt numFmtId="169" formatCode="#,##0&quot;    &quot;"/>
    <numFmt numFmtId="170" formatCode="#,##0&quot;         &quot;"/>
    <numFmt numFmtId="171" formatCode="#,##0.0&quot;     &quot;"/>
    <numFmt numFmtId="172" formatCode="0.0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0"/>
      <color indexed="12"/>
      <name val="Arial"/>
      <family val="2"/>
    </font>
    <font>
      <sz val="12"/>
      <name val="MS Sans Serif"/>
      <family val="2"/>
    </font>
    <font>
      <sz val="8"/>
      <name val="Arial"/>
      <family val="2"/>
    </font>
    <font>
      <sz val="7"/>
      <name val="Arial"/>
      <family val="2"/>
    </font>
    <font>
      <b/>
      <sz val="10"/>
      <color indexed="18"/>
      <name val="Arial"/>
      <family val="2"/>
    </font>
    <font>
      <sz val="8"/>
      <name val="MS Sans Serif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color indexed="9"/>
      <name val="Arial"/>
      <family val="2"/>
    </font>
    <font>
      <b/>
      <sz val="7"/>
      <color indexed="9"/>
      <name val="Arial"/>
      <family val="2"/>
    </font>
    <font>
      <sz val="10"/>
      <name val="Bookman Old Style"/>
      <family val="1"/>
    </font>
    <font>
      <sz val="8"/>
      <name val="Bookman Old Style"/>
      <family val="1"/>
    </font>
    <font>
      <b/>
      <sz val="8"/>
      <color indexed="18"/>
      <name val="Arial"/>
      <family val="2"/>
    </font>
    <font>
      <b/>
      <sz val="9"/>
      <color indexed="9"/>
      <name val="Arial"/>
      <family val="2"/>
    </font>
    <font>
      <b/>
      <sz val="14.9"/>
      <color indexed="16"/>
      <name val="Arial"/>
      <family val="2"/>
    </font>
    <font>
      <b/>
      <sz val="18"/>
      <color indexed="8"/>
      <name val="Arial"/>
      <family val="2"/>
    </font>
    <font>
      <b/>
      <sz val="16"/>
      <name val="Arial"/>
      <family val="2"/>
    </font>
    <font>
      <b/>
      <u/>
      <sz val="10"/>
      <color indexed="12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2"/>
      <color indexed="18"/>
      <name val="Arial"/>
      <family val="2"/>
    </font>
    <font>
      <sz val="8"/>
      <color indexed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9"/>
      </bottom>
      <diagonal/>
    </border>
    <border>
      <left/>
      <right/>
      <top style="thin">
        <color indexed="23"/>
      </top>
      <bottom style="thin">
        <color indexed="9"/>
      </bottom>
      <diagonal/>
    </border>
    <border>
      <left/>
      <right style="thin">
        <color indexed="23"/>
      </right>
      <top style="thin">
        <color indexed="23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9"/>
      </right>
      <top/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 tint="-0.34998626667073579"/>
      </left>
      <right style="thin">
        <color indexed="23"/>
      </right>
      <top style="thin">
        <color theme="0" tint="-0.34998626667073579"/>
      </top>
      <bottom/>
      <diagonal/>
    </border>
    <border>
      <left style="thin">
        <color indexed="23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23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23"/>
      </right>
      <top/>
      <bottom style="thin">
        <color indexed="23"/>
      </bottom>
      <diagonal/>
    </border>
    <border>
      <left/>
      <right style="thin">
        <color theme="0" tint="-0.34998626667073579"/>
      </right>
      <top/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23"/>
      </right>
      <top style="thin">
        <color indexed="9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23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/>
    <xf numFmtId="0" fontId="27" fillId="0" borderId="0"/>
    <xf numFmtId="0" fontId="14" fillId="0" borderId="0"/>
    <xf numFmtId="0" fontId="2" fillId="0" borderId="0"/>
    <xf numFmtId="0" fontId="9" fillId="0" borderId="0"/>
    <xf numFmtId="0" fontId="1" fillId="0" borderId="0"/>
  </cellStyleXfs>
  <cellXfs count="292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2" borderId="0" xfId="0" applyFont="1" applyFill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2" fillId="0" borderId="0" xfId="0" applyFont="1" applyAlignment="1">
      <alignment horizontal="right" vertical="center"/>
    </xf>
    <xf numFmtId="0" fontId="16" fillId="0" borderId="0" xfId="0" applyFont="1"/>
    <xf numFmtId="0" fontId="18" fillId="0" borderId="0" xfId="0" applyFont="1"/>
    <xf numFmtId="0" fontId="10" fillId="3" borderId="0" xfId="0" applyFont="1" applyFill="1" applyAlignment="1">
      <alignment vertical="center"/>
    </xf>
    <xf numFmtId="0" fontId="12" fillId="0" borderId="2" xfId="0" applyFont="1" applyBorder="1" applyAlignment="1">
      <alignment horizontal="centerContinuous" vertical="center"/>
    </xf>
    <xf numFmtId="0" fontId="12" fillId="2" borderId="2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2" borderId="4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2" fillId="0" borderId="4" xfId="0" applyFont="1" applyBorder="1" applyAlignment="1">
      <alignment vertical="center"/>
    </xf>
    <xf numFmtId="166" fontId="12" fillId="2" borderId="4" xfId="0" applyNumberFormat="1" applyFont="1" applyFill="1" applyBorder="1" applyAlignment="1">
      <alignment vertical="center"/>
    </xf>
    <xf numFmtId="166" fontId="12" fillId="0" borderId="4" xfId="0" applyNumberFormat="1" applyFont="1" applyBorder="1" applyAlignment="1">
      <alignment vertical="center"/>
    </xf>
    <xf numFmtId="166" fontId="12" fillId="3" borderId="4" xfId="0" applyNumberFormat="1" applyFont="1" applyFill="1" applyBorder="1" applyAlignment="1">
      <alignment vertical="center"/>
    </xf>
    <xf numFmtId="166" fontId="12" fillId="2" borderId="0" xfId="0" applyNumberFormat="1" applyFont="1" applyFill="1" applyAlignment="1">
      <alignment vertical="center"/>
    </xf>
    <xf numFmtId="166" fontId="12" fillId="0" borderId="0" xfId="0" applyNumberFormat="1" applyFont="1" applyAlignment="1">
      <alignment vertical="center"/>
    </xf>
    <xf numFmtId="166" fontId="12" fillId="3" borderId="0" xfId="0" applyNumberFormat="1" applyFont="1" applyFill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2" fillId="0" borderId="2" xfId="0" applyNumberFormat="1" applyFont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7" fontId="12" fillId="2" borderId="4" xfId="0" applyNumberFormat="1" applyFont="1" applyFill="1" applyBorder="1" applyAlignment="1">
      <alignment vertical="center"/>
    </xf>
    <xf numFmtId="167" fontId="12" fillId="2" borderId="0" xfId="0" applyNumberFormat="1" applyFont="1" applyFill="1" applyAlignment="1">
      <alignment vertical="center"/>
    </xf>
    <xf numFmtId="167" fontId="12" fillId="2" borderId="2" xfId="0" applyNumberFormat="1" applyFont="1" applyFill="1" applyBorder="1" applyAlignment="1">
      <alignment vertical="center"/>
    </xf>
    <xf numFmtId="167" fontId="12" fillId="0" borderId="4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167" fontId="12" fillId="0" borderId="2" xfId="0" applyNumberFormat="1" applyFont="1" applyBorder="1" applyAlignment="1">
      <alignment vertical="center"/>
    </xf>
    <xf numFmtId="167" fontId="12" fillId="3" borderId="4" xfId="0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vertical="center"/>
    </xf>
    <xf numFmtId="167" fontId="12" fillId="3" borderId="2" xfId="0" applyNumberFormat="1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166" fontId="12" fillId="3" borderId="5" xfId="0" applyNumberFormat="1" applyFont="1" applyFill="1" applyBorder="1" applyAlignment="1">
      <alignment vertical="center"/>
    </xf>
    <xf numFmtId="166" fontId="12" fillId="3" borderId="6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7" fontId="12" fillId="3" borderId="5" xfId="0" applyNumberFormat="1" applyFont="1" applyFill="1" applyBorder="1" applyAlignment="1">
      <alignment vertical="center"/>
    </xf>
    <xf numFmtId="167" fontId="12" fillId="3" borderId="6" xfId="0" applyNumberFormat="1" applyFont="1" applyFill="1" applyBorder="1" applyAlignment="1">
      <alignment vertical="center"/>
    </xf>
    <xf numFmtId="167" fontId="12" fillId="3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/>
    <xf numFmtId="0" fontId="17" fillId="0" borderId="0" xfId="0" applyFont="1" applyAlignment="1">
      <alignment horizontal="centerContinuous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Continuous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168" fontId="12" fillId="0" borderId="0" xfId="0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0" borderId="6" xfId="0" applyFont="1" applyBorder="1" applyAlignment="1">
      <alignment vertical="center"/>
    </xf>
    <xf numFmtId="169" fontId="10" fillId="0" borderId="0" xfId="0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7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164" fontId="5" fillId="0" borderId="0" xfId="5" applyNumberFormat="1" applyFont="1" applyAlignment="1">
      <alignment vertical="center"/>
    </xf>
    <xf numFmtId="0" fontId="12" fillId="0" borderId="0" xfId="5" applyFont="1" applyAlignment="1">
      <alignment horizontal="right"/>
    </xf>
    <xf numFmtId="3" fontId="12" fillId="0" borderId="0" xfId="5" applyNumberFormat="1" applyFont="1" applyAlignment="1">
      <alignment vertical="center"/>
    </xf>
    <xf numFmtId="0" fontId="12" fillId="0" borderId="0" xfId="5" applyFont="1" applyAlignment="1">
      <alignment vertical="center"/>
    </xf>
    <xf numFmtId="170" fontId="12" fillId="0" borderId="4" xfId="5" applyNumberFormat="1" applyFont="1" applyBorder="1" applyAlignment="1">
      <alignment vertical="center"/>
    </xf>
    <xf numFmtId="171" fontId="12" fillId="0" borderId="2" xfId="5" applyNumberFormat="1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25" fillId="4" borderId="2" xfId="0" applyFont="1" applyFill="1" applyBorder="1" applyAlignment="1">
      <alignment horizontal="centerContinuous" vertical="center" wrapText="1"/>
    </xf>
    <xf numFmtId="0" fontId="23" fillId="4" borderId="5" xfId="0" applyFont="1" applyFill="1" applyBorder="1" applyAlignment="1">
      <alignment horizontal="centerContinuous" vertical="center"/>
    </xf>
    <xf numFmtId="0" fontId="23" fillId="4" borderId="6" xfId="0" applyFont="1" applyFill="1" applyBorder="1" applyAlignment="1">
      <alignment horizontal="centerContinuous" vertical="center"/>
    </xf>
    <xf numFmtId="0" fontId="23" fillId="4" borderId="3" xfId="0" applyFont="1" applyFill="1" applyBorder="1" applyAlignment="1">
      <alignment horizontal="centerContinuous" vertical="center"/>
    </xf>
    <xf numFmtId="0" fontId="23" fillId="4" borderId="7" xfId="0" applyFont="1" applyFill="1" applyBorder="1" applyAlignment="1">
      <alignment horizontal="centerContinuous" vertical="center"/>
    </xf>
    <xf numFmtId="0" fontId="24" fillId="4" borderId="8" xfId="0" applyFont="1" applyFill="1" applyBorder="1" applyAlignment="1">
      <alignment horizontal="centerContinuous" vertical="center"/>
    </xf>
    <xf numFmtId="0" fontId="24" fillId="4" borderId="9" xfId="0" applyFont="1" applyFill="1" applyBorder="1" applyAlignment="1">
      <alignment horizontal="centerContinuous" vertical="center"/>
    </xf>
    <xf numFmtId="0" fontId="26" fillId="4" borderId="8" xfId="0" applyFont="1" applyFill="1" applyBorder="1" applyAlignment="1">
      <alignment horizontal="centerContinuous" vertical="center"/>
    </xf>
    <xf numFmtId="0" fontId="26" fillId="4" borderId="9" xfId="0" applyFont="1" applyFill="1" applyBorder="1" applyAlignment="1">
      <alignment horizontal="centerContinuous" vertical="center"/>
    </xf>
    <xf numFmtId="0" fontId="23" fillId="4" borderId="10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23" fillId="4" borderId="11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vertical="center"/>
    </xf>
    <xf numFmtId="167" fontId="12" fillId="2" borderId="4" xfId="0" applyNumberFormat="1" applyFont="1" applyFill="1" applyBorder="1" applyAlignment="1">
      <alignment horizontal="right" vertical="center"/>
    </xf>
    <xf numFmtId="0" fontId="25" fillId="4" borderId="14" xfId="0" applyFont="1" applyFill="1" applyBorder="1" applyAlignment="1">
      <alignment horizontal="centerContinuous" vertical="center" wrapText="1"/>
    </xf>
    <xf numFmtId="0" fontId="23" fillId="4" borderId="15" xfId="0" applyFont="1" applyFill="1" applyBorder="1" applyAlignment="1">
      <alignment horizontal="centerContinuous" vertical="center"/>
    </xf>
    <xf numFmtId="0" fontId="25" fillId="4" borderId="16" xfId="0" applyFont="1" applyFill="1" applyBorder="1" applyAlignment="1">
      <alignment horizontal="centerContinuous" vertical="center" wrapText="1"/>
    </xf>
    <xf numFmtId="0" fontId="23" fillId="4" borderId="17" xfId="0" applyFont="1" applyFill="1" applyBorder="1" applyAlignment="1">
      <alignment horizontal="centerContinuous" vertical="center"/>
    </xf>
    <xf numFmtId="0" fontId="12" fillId="2" borderId="0" xfId="0" applyFont="1" applyFill="1" applyAlignment="1">
      <alignment vertical="center"/>
    </xf>
    <xf numFmtId="0" fontId="6" fillId="0" borderId="0" xfId="3" applyFont="1" applyAlignment="1">
      <alignment horizontal="centerContinuous" vertical="center"/>
    </xf>
    <xf numFmtId="0" fontId="16" fillId="0" borderId="0" xfId="3" applyFont="1" applyAlignment="1">
      <alignment vertical="center"/>
    </xf>
    <xf numFmtId="0" fontId="11" fillId="0" borderId="0" xfId="3" applyFont="1" applyAlignment="1">
      <alignment horizontal="centerContinuous" vertical="center"/>
    </xf>
    <xf numFmtId="0" fontId="15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8" fillId="0" borderId="0" xfId="3" applyFont="1"/>
    <xf numFmtId="0" fontId="16" fillId="0" borderId="0" xfId="3" applyFont="1"/>
    <xf numFmtId="0" fontId="27" fillId="0" borderId="0" xfId="3"/>
    <xf numFmtId="0" fontId="16" fillId="0" borderId="0" xfId="3" applyFont="1" applyAlignment="1">
      <alignment horizontal="centerContinuous" vertical="center"/>
    </xf>
    <xf numFmtId="0" fontId="11" fillId="0" borderId="0" xfId="3" applyFont="1" applyAlignment="1">
      <alignment vertical="center"/>
    </xf>
    <xf numFmtId="0" fontId="25" fillId="4" borderId="18" xfId="3" applyFont="1" applyFill="1" applyBorder="1" applyAlignment="1">
      <alignment horizontal="center" vertical="center" wrapText="1"/>
    </xf>
    <xf numFmtId="0" fontId="12" fillId="0" borderId="0" xfId="4" applyFont="1"/>
    <xf numFmtId="0" fontId="12" fillId="0" borderId="0" xfId="4" applyFont="1" applyAlignment="1">
      <alignment vertical="center"/>
    </xf>
    <xf numFmtId="0" fontId="29" fillId="0" borderId="0" xfId="4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4" xfId="5" applyFont="1" applyBorder="1" applyAlignment="1">
      <alignment horizontal="left" vertical="center" indent="1"/>
    </xf>
    <xf numFmtId="0" fontId="12" fillId="0" borderId="2" xfId="5" applyFont="1" applyBorder="1" applyAlignment="1">
      <alignment horizontal="left" vertical="center" indent="1"/>
    </xf>
    <xf numFmtId="0" fontId="12" fillId="0" borderId="19" xfId="5" applyFont="1" applyBorder="1" applyAlignment="1">
      <alignment horizontal="center" vertical="center"/>
    </xf>
    <xf numFmtId="0" fontId="12" fillId="0" borderId="20" xfId="5" applyFont="1" applyBorder="1" applyAlignment="1">
      <alignment vertical="center"/>
    </xf>
    <xf numFmtId="0" fontId="23" fillId="4" borderId="21" xfId="3" applyFont="1" applyFill="1" applyBorder="1" applyAlignment="1">
      <alignment horizontal="center" vertical="center"/>
    </xf>
    <xf numFmtId="0" fontId="26" fillId="4" borderId="19" xfId="3" applyFont="1" applyFill="1" applyBorder="1" applyAlignment="1">
      <alignment horizontal="center" vertical="center" wrapText="1"/>
    </xf>
    <xf numFmtId="0" fontId="25" fillId="4" borderId="20" xfId="3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30" fillId="4" borderId="1" xfId="5" applyFont="1" applyFill="1" applyBorder="1" applyAlignment="1">
      <alignment horizontal="center" vertical="center" wrapText="1"/>
    </xf>
    <xf numFmtId="0" fontId="30" fillId="4" borderId="1" xfId="5" applyFont="1" applyFill="1" applyBorder="1" applyAlignment="1">
      <alignment horizontal="centerContinuous" vertical="center" wrapText="1"/>
    </xf>
    <xf numFmtId="0" fontId="12" fillId="0" borderId="0" xfId="4" applyFont="1" applyAlignment="1">
      <alignment horizontal="right"/>
    </xf>
    <xf numFmtId="0" fontId="31" fillId="0" borderId="0" xfId="0" applyFont="1"/>
    <xf numFmtId="0" fontId="11" fillId="0" borderId="0" xfId="0" applyFont="1" applyAlignment="1">
      <alignment horizontal="right" vertical="center"/>
    </xf>
    <xf numFmtId="0" fontId="15" fillId="0" borderId="0" xfId="4" applyFont="1" applyAlignment="1">
      <alignment vertical="center"/>
    </xf>
    <xf numFmtId="0" fontId="15" fillId="0" borderId="0" xfId="4" applyFont="1"/>
    <xf numFmtId="0" fontId="11" fillId="0" borderId="0" xfId="4" applyFont="1" applyAlignment="1">
      <alignment vertical="center"/>
    </xf>
    <xf numFmtId="0" fontId="11" fillId="0" borderId="0" xfId="4" applyFont="1"/>
    <xf numFmtId="0" fontId="13" fillId="0" borderId="0" xfId="1" applyAlignment="1" applyProtection="1">
      <alignment vertical="center"/>
    </xf>
    <xf numFmtId="0" fontId="2" fillId="0" borderId="0" xfId="0" applyFont="1"/>
    <xf numFmtId="0" fontId="11" fillId="0" borderId="0" xfId="3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32" fillId="0" borderId="0" xfId="0" applyFont="1"/>
    <xf numFmtId="0" fontId="34" fillId="0" borderId="0" xfId="1" applyFont="1" applyAlignment="1" applyProtection="1">
      <alignment horizontal="left" indent="1"/>
    </xf>
    <xf numFmtId="168" fontId="12" fillId="3" borderId="0" xfId="0" applyNumberFormat="1" applyFont="1" applyFill="1" applyAlignment="1">
      <alignment vertical="center"/>
    </xf>
    <xf numFmtId="0" fontId="33" fillId="0" borderId="0" xfId="0" quotePrefix="1" applyFont="1" applyAlignment="1">
      <alignment horizontal="left"/>
    </xf>
    <xf numFmtId="0" fontId="10" fillId="5" borderId="0" xfId="0" applyFont="1" applyFill="1" applyAlignment="1">
      <alignment horizontal="center" vertical="center"/>
    </xf>
    <xf numFmtId="168" fontId="12" fillId="5" borderId="0" xfId="0" applyNumberFormat="1" applyFont="1" applyFill="1" applyAlignment="1">
      <alignment vertical="center"/>
    </xf>
    <xf numFmtId="168" fontId="10" fillId="5" borderId="0" xfId="0" applyNumberFormat="1" applyFont="1" applyFill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15" fillId="0" borderId="26" xfId="3" applyFont="1" applyBorder="1" applyAlignment="1">
      <alignment vertical="center"/>
    </xf>
    <xf numFmtId="0" fontId="15" fillId="0" borderId="27" xfId="3" applyFont="1" applyBorder="1" applyAlignment="1">
      <alignment vertical="center"/>
    </xf>
    <xf numFmtId="0" fontId="15" fillId="0" borderId="28" xfId="3" applyFont="1" applyBorder="1" applyAlignment="1">
      <alignment vertical="center"/>
    </xf>
    <xf numFmtId="0" fontId="15" fillId="0" borderId="29" xfId="3" applyFont="1" applyBorder="1" applyAlignment="1">
      <alignment vertical="center"/>
    </xf>
    <xf numFmtId="0" fontId="15" fillId="0" borderId="30" xfId="3" applyFont="1" applyBorder="1" applyAlignment="1">
      <alignment vertical="center"/>
    </xf>
    <xf numFmtId="0" fontId="10" fillId="0" borderId="31" xfId="0" applyFont="1" applyBorder="1" applyAlignment="1">
      <alignment horizontal="center" vertical="center"/>
    </xf>
    <xf numFmtId="168" fontId="12" fillId="0" borderId="32" xfId="0" applyNumberFormat="1" applyFont="1" applyBorder="1" applyAlignment="1">
      <alignment vertical="center"/>
    </xf>
    <xf numFmtId="0" fontId="10" fillId="3" borderId="31" xfId="0" quotePrefix="1" applyFont="1" applyFill="1" applyBorder="1" applyAlignment="1">
      <alignment horizontal="center" vertical="center"/>
    </xf>
    <xf numFmtId="168" fontId="12" fillId="3" borderId="32" xfId="0" applyNumberFormat="1" applyFont="1" applyFill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25" fillId="4" borderId="14" xfId="0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35" fillId="0" borderId="0" xfId="0" applyFont="1"/>
    <xf numFmtId="0" fontId="10" fillId="0" borderId="31" xfId="0" quotePrefix="1" applyFont="1" applyBorder="1" applyAlignment="1">
      <alignment horizontal="center" vertical="center"/>
    </xf>
    <xf numFmtId="0" fontId="10" fillId="0" borderId="22" xfId="0" quotePrefix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1" fillId="0" borderId="0" xfId="0" quotePrefix="1" applyFont="1" applyAlignment="1">
      <alignment horizontal="right" vertical="center"/>
    </xf>
    <xf numFmtId="166" fontId="36" fillId="0" borderId="4" xfId="0" applyNumberFormat="1" applyFont="1" applyBorder="1" applyAlignment="1">
      <alignment vertical="center"/>
    </xf>
    <xf numFmtId="166" fontId="36" fillId="0" borderId="0" xfId="0" applyNumberFormat="1" applyFont="1" applyAlignment="1">
      <alignment vertical="center"/>
    </xf>
    <xf numFmtId="166" fontId="36" fillId="2" borderId="4" xfId="0" applyNumberFormat="1" applyFont="1" applyFill="1" applyBorder="1" applyAlignment="1">
      <alignment vertical="center"/>
    </xf>
    <xf numFmtId="166" fontId="36" fillId="2" borderId="0" xfId="0" applyNumberFormat="1" applyFont="1" applyFill="1" applyAlignment="1">
      <alignment vertical="center"/>
    </xf>
    <xf numFmtId="166" fontId="36" fillId="2" borderId="2" xfId="0" applyNumberFormat="1" applyFont="1" applyFill="1" applyBorder="1" applyAlignment="1">
      <alignment vertical="center"/>
    </xf>
    <xf numFmtId="166" fontId="36" fillId="0" borderId="2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166" fontId="38" fillId="2" borderId="0" xfId="0" applyNumberFormat="1" applyFont="1" applyFill="1" applyAlignment="1">
      <alignment vertical="center"/>
    </xf>
    <xf numFmtId="169" fontId="12" fillId="0" borderId="0" xfId="0" applyNumberFormat="1" applyFont="1" applyAlignment="1">
      <alignment vertical="center"/>
    </xf>
    <xf numFmtId="0" fontId="10" fillId="0" borderId="4" xfId="5" applyFont="1" applyBorder="1" applyAlignment="1">
      <alignment horizontal="left" vertical="center" indent="1"/>
    </xf>
    <xf numFmtId="0" fontId="11" fillId="3" borderId="0" xfId="0" applyFont="1" applyFill="1"/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3" fontId="12" fillId="0" borderId="22" xfId="4" applyNumberFormat="1" applyFont="1" applyBorder="1" applyAlignment="1">
      <alignment horizontal="right" indent="3"/>
    </xf>
    <xf numFmtId="0" fontId="23" fillId="4" borderId="11" xfId="7" applyFont="1" applyFill="1" applyBorder="1" applyAlignment="1">
      <alignment horizontal="center" vertical="center" wrapText="1"/>
    </xf>
    <xf numFmtId="0" fontId="23" fillId="4" borderId="13" xfId="7" applyFont="1" applyFill="1" applyBorder="1" applyAlignment="1">
      <alignment horizontal="centerContinuous" vertical="center" wrapText="1"/>
    </xf>
    <xf numFmtId="0" fontId="8" fillId="0" borderId="0" xfId="7" applyFont="1" applyAlignment="1">
      <alignment horizontal="center" vertical="center"/>
    </xf>
    <xf numFmtId="0" fontId="12" fillId="0" borderId="0" xfId="7" applyFont="1" applyAlignment="1">
      <alignment horizontal="right"/>
    </xf>
    <xf numFmtId="3" fontId="10" fillId="0" borderId="21" xfId="7" applyNumberFormat="1" applyFont="1" applyBorder="1" applyAlignment="1">
      <alignment horizontal="right" vertical="center" indent="3"/>
    </xf>
    <xf numFmtId="164" fontId="10" fillId="0" borderId="21" xfId="7" applyNumberFormat="1" applyFont="1" applyBorder="1" applyAlignment="1">
      <alignment horizontal="right" vertical="center" indent="4"/>
    </xf>
    <xf numFmtId="3" fontId="10" fillId="0" borderId="22" xfId="7" applyNumberFormat="1" applyFont="1" applyBorder="1" applyAlignment="1">
      <alignment horizontal="right" vertical="center" indent="3"/>
    </xf>
    <xf numFmtId="164" fontId="10" fillId="0" borderId="22" xfId="7" applyNumberFormat="1" applyFont="1" applyBorder="1" applyAlignment="1">
      <alignment horizontal="right" vertical="center" indent="4"/>
    </xf>
    <xf numFmtId="3" fontId="12" fillId="0" borderId="22" xfId="7" applyNumberFormat="1" applyFont="1" applyBorder="1" applyAlignment="1">
      <alignment horizontal="right" vertical="center" indent="3"/>
    </xf>
    <xf numFmtId="164" fontId="12" fillId="0" borderId="22" xfId="7" applyNumberFormat="1" applyFont="1" applyBorder="1" applyAlignment="1">
      <alignment horizontal="right" vertical="center" indent="4"/>
    </xf>
    <xf numFmtId="3" fontId="10" fillId="0" borderId="23" xfId="7" applyNumberFormat="1" applyFont="1" applyBorder="1" applyAlignment="1">
      <alignment horizontal="right" vertical="center" indent="3"/>
    </xf>
    <xf numFmtId="164" fontId="10" fillId="0" borderId="23" xfId="7" applyNumberFormat="1" applyFont="1" applyBorder="1" applyAlignment="1">
      <alignment horizontal="right" vertical="center" indent="4"/>
    </xf>
    <xf numFmtId="0" fontId="12" fillId="0" borderId="4" xfId="7" applyFont="1" applyBorder="1" applyAlignment="1">
      <alignment horizontal="center" vertical="center"/>
    </xf>
    <xf numFmtId="3" fontId="12" fillId="0" borderId="0" xfId="7" applyNumberFormat="1" applyFont="1" applyAlignment="1">
      <alignment vertical="center"/>
    </xf>
    <xf numFmtId="3" fontId="10" fillId="0" borderId="0" xfId="7" applyNumberFormat="1" applyFont="1" applyAlignment="1">
      <alignment vertical="center"/>
    </xf>
    <xf numFmtId="167" fontId="12" fillId="2" borderId="4" xfId="0" applyNumberFormat="1" applyFont="1" applyFill="1" applyBorder="1" applyAlignment="1">
      <alignment horizontal="center" vertical="center"/>
    </xf>
    <xf numFmtId="167" fontId="12" fillId="2" borderId="0" xfId="0" applyNumberFormat="1" applyFont="1" applyFill="1" applyAlignment="1">
      <alignment horizontal="center" vertical="center"/>
    </xf>
    <xf numFmtId="167" fontId="12" fillId="2" borderId="2" xfId="0" applyNumberFormat="1" applyFont="1" applyFill="1" applyBorder="1" applyAlignment="1">
      <alignment horizontal="center" vertical="center"/>
    </xf>
    <xf numFmtId="168" fontId="22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3" fontId="12" fillId="0" borderId="0" xfId="4" applyNumberFormat="1" applyFont="1"/>
    <xf numFmtId="168" fontId="18" fillId="0" borderId="0" xfId="0" applyNumberFormat="1" applyFont="1" applyAlignment="1">
      <alignment vertical="center"/>
    </xf>
    <xf numFmtId="168" fontId="16" fillId="0" borderId="0" xfId="0" applyNumberFormat="1" applyFont="1" applyAlignment="1">
      <alignment vertical="center"/>
    </xf>
    <xf numFmtId="0" fontId="12" fillId="0" borderId="0" xfId="7" applyFont="1" applyAlignment="1">
      <alignment vertical="center"/>
    </xf>
    <xf numFmtId="170" fontId="12" fillId="0" borderId="39" xfId="7" applyNumberFormat="1" applyFont="1" applyBorder="1" applyAlignment="1">
      <alignment vertical="center"/>
    </xf>
    <xf numFmtId="170" fontId="12" fillId="0" borderId="38" xfId="7" applyNumberFormat="1" applyFont="1" applyBorder="1" applyAlignment="1">
      <alignment vertical="center"/>
    </xf>
    <xf numFmtId="170" fontId="10" fillId="3" borderId="38" xfId="7" applyNumberFormat="1" applyFont="1" applyFill="1" applyBorder="1" applyAlignment="1">
      <alignment vertical="center"/>
    </xf>
    <xf numFmtId="170" fontId="10" fillId="0" borderId="38" xfId="7" applyNumberFormat="1" applyFont="1" applyBorder="1" applyAlignment="1">
      <alignment vertical="center"/>
    </xf>
    <xf numFmtId="170" fontId="10" fillId="3" borderId="41" xfId="7" applyNumberFormat="1" applyFont="1" applyFill="1" applyBorder="1" applyAlignment="1">
      <alignment vertical="center"/>
    </xf>
    <xf numFmtId="164" fontId="10" fillId="0" borderId="43" xfId="7" applyNumberFormat="1" applyFont="1" applyBorder="1" applyAlignment="1">
      <alignment horizontal="right" vertical="center" indent="4"/>
    </xf>
    <xf numFmtId="164" fontId="10" fillId="0" borderId="44" xfId="7" applyNumberFormat="1" applyFont="1" applyBorder="1" applyAlignment="1">
      <alignment horizontal="right" vertical="center" indent="4"/>
    </xf>
    <xf numFmtId="164" fontId="12" fillId="0" borderId="44" xfId="7" applyNumberFormat="1" applyFont="1" applyBorder="1" applyAlignment="1">
      <alignment horizontal="right" vertical="center" indent="4"/>
    </xf>
    <xf numFmtId="164" fontId="10" fillId="0" borderId="45" xfId="7" applyNumberFormat="1" applyFont="1" applyBorder="1" applyAlignment="1">
      <alignment horizontal="right" vertical="center" indent="4"/>
    </xf>
    <xf numFmtId="164" fontId="12" fillId="0" borderId="45" xfId="7" applyNumberFormat="1" applyFont="1" applyBorder="1" applyAlignment="1">
      <alignment horizontal="right" vertical="center" indent="4"/>
    </xf>
    <xf numFmtId="0" fontId="23" fillId="4" borderId="5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6" fontId="3" fillId="2" borderId="0" xfId="0" applyNumberFormat="1" applyFont="1" applyFill="1" applyAlignment="1">
      <alignment vertical="center"/>
    </xf>
    <xf numFmtId="167" fontId="12" fillId="5" borderId="4" xfId="0" applyNumberFormat="1" applyFont="1" applyFill="1" applyBorder="1" applyAlignment="1">
      <alignment vertical="center"/>
    </xf>
    <xf numFmtId="167" fontId="12" fillId="5" borderId="46" xfId="0" applyNumberFormat="1" applyFont="1" applyFill="1" applyBorder="1" applyAlignment="1">
      <alignment vertical="center"/>
    </xf>
    <xf numFmtId="41" fontId="3" fillId="2" borderId="0" xfId="0" applyNumberFormat="1" applyFont="1" applyFill="1" applyAlignment="1">
      <alignment vertical="center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2" fillId="2" borderId="0" xfId="0" applyNumberFormat="1" applyFont="1" applyFill="1" applyAlignment="1">
      <alignment vertical="center"/>
    </xf>
    <xf numFmtId="41" fontId="2" fillId="0" borderId="0" xfId="0" applyNumberFormat="1" applyFont="1" applyAlignment="1">
      <alignment vertical="center"/>
    </xf>
    <xf numFmtId="41" fontId="2" fillId="0" borderId="0" xfId="0" applyNumberFormat="1" applyFont="1"/>
    <xf numFmtId="166" fontId="12" fillId="5" borderId="2" xfId="0" applyNumberFormat="1" applyFont="1" applyFill="1" applyBorder="1" applyAlignment="1">
      <alignment vertical="center"/>
    </xf>
    <xf numFmtId="167" fontId="12" fillId="5" borderId="0" xfId="0" applyNumberFormat="1" applyFont="1" applyFill="1" applyAlignment="1">
      <alignment vertical="center"/>
    </xf>
    <xf numFmtId="167" fontId="12" fillId="5" borderId="2" xfId="0" applyNumberFormat="1" applyFont="1" applyFill="1" applyBorder="1" applyAlignment="1">
      <alignment vertical="center"/>
    </xf>
    <xf numFmtId="168" fontId="16" fillId="0" borderId="0" xfId="3" applyNumberFormat="1" applyFont="1" applyAlignment="1">
      <alignment vertical="center"/>
    </xf>
    <xf numFmtId="4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10" fillId="0" borderId="43" xfId="7" applyNumberFormat="1" applyFont="1" applyBorder="1" applyAlignment="1">
      <alignment horizontal="center" vertical="center"/>
    </xf>
    <xf numFmtId="3" fontId="10" fillId="0" borderId="44" xfId="7" applyNumberFormat="1" applyFont="1" applyBorder="1" applyAlignment="1">
      <alignment horizontal="center" vertical="center"/>
    </xf>
    <xf numFmtId="3" fontId="12" fillId="0" borderId="44" xfId="7" applyNumberFormat="1" applyFont="1" applyBorder="1" applyAlignment="1">
      <alignment horizontal="center" vertical="center"/>
    </xf>
    <xf numFmtId="170" fontId="12" fillId="0" borderId="44" xfId="7" applyNumberFormat="1" applyFont="1" applyBorder="1" applyAlignment="1">
      <alignment horizontal="center" vertical="center"/>
    </xf>
    <xf numFmtId="3" fontId="12" fillId="0" borderId="44" xfId="4" applyNumberFormat="1" applyFont="1" applyBorder="1" applyAlignment="1">
      <alignment horizontal="center"/>
    </xf>
    <xf numFmtId="3" fontId="10" fillId="0" borderId="45" xfId="7" applyNumberFormat="1" applyFont="1" applyBorder="1" applyAlignment="1">
      <alignment horizontal="center" vertical="center"/>
    </xf>
    <xf numFmtId="166" fontId="2" fillId="2" borderId="0" xfId="0" applyNumberFormat="1" applyFont="1" applyFill="1" applyAlignment="1">
      <alignment vertical="center"/>
    </xf>
    <xf numFmtId="168" fontId="12" fillId="0" borderId="0" xfId="0" applyNumberFormat="1" applyFont="1" applyAlignment="1">
      <alignment horizontal="center" vertical="center"/>
    </xf>
    <xf numFmtId="172" fontId="39" fillId="0" borderId="40" xfId="0" applyNumberFormat="1" applyFont="1" applyBorder="1" applyAlignment="1">
      <alignment horizontal="center" vertical="center"/>
    </xf>
    <xf numFmtId="172" fontId="39" fillId="0" borderId="37" xfId="0" applyNumberFormat="1" applyFont="1" applyBorder="1" applyAlignment="1">
      <alignment horizontal="center" vertical="center"/>
    </xf>
    <xf numFmtId="172" fontId="40" fillId="5" borderId="37" xfId="0" applyNumberFormat="1" applyFont="1" applyFill="1" applyBorder="1" applyAlignment="1">
      <alignment horizontal="center" vertical="center"/>
    </xf>
    <xf numFmtId="172" fontId="40" fillId="5" borderId="42" xfId="0" applyNumberFormat="1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4" xfId="5" applyFont="1" applyBorder="1" applyAlignment="1">
      <alignment horizontal="left" vertical="center" indent="1"/>
    </xf>
    <xf numFmtId="0" fontId="10" fillId="0" borderId="2" xfId="5" applyFont="1" applyBorder="1" applyAlignment="1">
      <alignment horizontal="left" vertical="center" indent="1"/>
    </xf>
    <xf numFmtId="0" fontId="10" fillId="0" borderId="5" xfId="5" applyFont="1" applyBorder="1" applyAlignment="1">
      <alignment horizontal="left" vertical="center" wrapText="1" indent="1"/>
    </xf>
    <xf numFmtId="0" fontId="10" fillId="0" borderId="3" xfId="5" applyFont="1" applyBorder="1" applyAlignment="1">
      <alignment horizontal="left" vertical="center" wrapText="1" indent="1"/>
    </xf>
    <xf numFmtId="0" fontId="13" fillId="0" borderId="0" xfId="1" applyAlignment="1" applyProtection="1">
      <alignment horizontal="left" vertical="center"/>
    </xf>
    <xf numFmtId="0" fontId="6" fillId="0" borderId="0" xfId="4" applyFont="1" applyAlignment="1">
      <alignment horizontal="center" vertical="center"/>
    </xf>
    <xf numFmtId="0" fontId="10" fillId="0" borderId="4" xfId="5" applyFont="1" applyBorder="1" applyAlignment="1">
      <alignment horizontal="left" vertical="center" wrapText="1" indent="1"/>
    </xf>
    <xf numFmtId="0" fontId="10" fillId="0" borderId="2" xfId="5" applyFont="1" applyBorder="1" applyAlignment="1">
      <alignment horizontal="left" vertical="center" wrapText="1" indent="1"/>
    </xf>
    <xf numFmtId="0" fontId="10" fillId="0" borderId="19" xfId="5" applyFont="1" applyBorder="1" applyAlignment="1">
      <alignment horizontal="left" vertical="center" indent="1"/>
    </xf>
    <xf numFmtId="0" fontId="10" fillId="0" borderId="20" xfId="5" applyFont="1" applyBorder="1" applyAlignment="1">
      <alignment horizontal="left" vertical="center" indent="1"/>
    </xf>
    <xf numFmtId="0" fontId="23" fillId="4" borderId="19" xfId="0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4" borderId="24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23" fillId="4" borderId="35" xfId="0" applyFont="1" applyFill="1" applyBorder="1" applyAlignment="1">
      <alignment horizontal="center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19" xfId="0" quotePrefix="1" applyFont="1" applyFill="1" applyBorder="1" applyAlignment="1">
      <alignment horizontal="center" vertical="center"/>
    </xf>
    <xf numFmtId="0" fontId="23" fillId="4" borderId="18" xfId="0" quotePrefix="1" applyFont="1" applyFill="1" applyBorder="1" applyAlignment="1">
      <alignment horizontal="center" vertical="center"/>
    </xf>
    <xf numFmtId="0" fontId="23" fillId="4" borderId="20" xfId="0" quotePrefix="1" applyFont="1" applyFill="1" applyBorder="1" applyAlignment="1">
      <alignment horizontal="center" vertical="center"/>
    </xf>
    <xf numFmtId="0" fontId="23" fillId="4" borderId="4" xfId="0" quotePrefix="1" applyFont="1" applyFill="1" applyBorder="1" applyAlignment="1">
      <alignment horizontal="center" vertical="center"/>
    </xf>
    <xf numFmtId="0" fontId="23" fillId="4" borderId="0" xfId="0" quotePrefix="1" applyFont="1" applyFill="1" applyAlignment="1">
      <alignment horizontal="center" vertical="center"/>
    </xf>
    <xf numFmtId="0" fontId="23" fillId="4" borderId="2" xfId="0" quotePrefix="1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13" fillId="0" borderId="0" xfId="1" applyAlignment="1" applyProtection="1">
      <alignment horizontal="center" vertical="center"/>
    </xf>
    <xf numFmtId="0" fontId="23" fillId="4" borderId="7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justify" vertical="center" wrapText="1"/>
    </xf>
  </cellXfs>
  <cellStyles count="9">
    <cellStyle name="Hipervínculo" xfId="1" builtinId="8"/>
    <cellStyle name="Normal" xfId="0" builtinId="0"/>
    <cellStyle name="Normal 2" xfId="2" xr:uid="{00000000-0005-0000-0000-000003000000}"/>
    <cellStyle name="Normal 2 2" xfId="8" xr:uid="{00000000-0005-0000-0000-000004000000}"/>
    <cellStyle name="Normal 3" xfId="6" xr:uid="{00000000-0005-0000-0000-000005000000}"/>
    <cellStyle name="Normal_Ej Ptaria desglose de ingresos- capit 1 y 2" xfId="3" xr:uid="{00000000-0005-0000-0000-000006000000}"/>
    <cellStyle name="Normal_magnitudes presupuestarias " xfId="4" xr:uid="{00000000-0005-0000-0000-000007000000}"/>
    <cellStyle name="Normal_total1T05-ddff(def.)" xfId="5" xr:uid="{00000000-0005-0000-0000-000008000000}"/>
    <cellStyle name="Normal_total1T05-ddff(def.) 2" xfId="7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B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1</xdr:col>
      <xdr:colOff>4333875</xdr:colOff>
      <xdr:row>3</xdr:row>
      <xdr:rowOff>58738</xdr:rowOff>
    </xdr:to>
    <xdr:pic>
      <xdr:nvPicPr>
        <xdr:cNvPr id="21" name="Picture 22" descr="horizontal_colo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9050"/>
          <a:ext cx="4314825" cy="525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114300</xdr:colOff>
      <xdr:row>3</xdr:row>
      <xdr:rowOff>14288</xdr:rowOff>
    </xdr:from>
    <xdr:to>
      <xdr:col>1</xdr:col>
      <xdr:colOff>1108075</xdr:colOff>
      <xdr:row>4</xdr:row>
      <xdr:rowOff>110512</xdr:rowOff>
    </xdr:to>
    <xdr:sp macro="" textlink="">
      <xdr:nvSpPr>
        <xdr:cNvPr id="22" name="Text Box 2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76300" y="500063"/>
          <a:ext cx="993775" cy="258149"/>
        </a:xfrm>
        <a:prstGeom prst="rect">
          <a:avLst/>
        </a:prstGeom>
        <a:noFill/>
        <a:ln>
          <a:noFill/>
        </a:ln>
        <a:effectLst>
          <a:prstShdw prst="shdw17" dist="17961" dir="2700000">
            <a:srgbClr val="858585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DDDDDD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2075" tIns="46038" rIns="92075" bIns="46038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9pPr>
        </a:lstStyle>
        <a:p>
          <a:pPr>
            <a:lnSpc>
              <a:spcPct val="80000"/>
            </a:lnSpc>
            <a:spcBef>
              <a:spcPct val="50000"/>
            </a:spcBef>
          </a:pPr>
          <a:r>
            <a:rPr lang="es-ES_tradnl" sz="700"/>
            <a:t>OGASUN</a:t>
          </a:r>
          <a:r>
            <a:rPr lang="es-ES_tradnl" sz="700" baseline="0"/>
            <a:t> ETA FINANTZA </a:t>
          </a:r>
          <a:r>
            <a:rPr lang="es-ES_tradnl" sz="700"/>
            <a:t>SAILA </a:t>
          </a:r>
        </a:p>
      </xdr:txBody>
    </xdr:sp>
    <xdr:clientData/>
  </xdr:twoCellAnchor>
  <xdr:twoCellAnchor>
    <xdr:from>
      <xdr:col>1</xdr:col>
      <xdr:colOff>2474913</xdr:colOff>
      <xdr:row>3</xdr:row>
      <xdr:rowOff>14288</xdr:rowOff>
    </xdr:from>
    <xdr:to>
      <xdr:col>1</xdr:col>
      <xdr:colOff>4083050</xdr:colOff>
      <xdr:row>4</xdr:row>
      <xdr:rowOff>110512</xdr:rowOff>
    </xdr:to>
    <xdr:sp macro="" textlink="">
      <xdr:nvSpPr>
        <xdr:cNvPr id="23" name="Text Box 2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236913" y="500063"/>
          <a:ext cx="1608137" cy="258149"/>
        </a:xfrm>
        <a:prstGeom prst="rect">
          <a:avLst/>
        </a:prstGeom>
        <a:noFill/>
        <a:ln>
          <a:noFill/>
        </a:ln>
        <a:effectLst>
          <a:prstShdw prst="shdw17" dist="17961" dir="2700000">
            <a:srgbClr val="858585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DDDDDD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2075" tIns="46038" rIns="92075" bIns="46038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9pPr>
        </a:lstStyle>
        <a:p>
          <a:pPr>
            <a:lnSpc>
              <a:spcPct val="80000"/>
            </a:lnSpc>
            <a:spcBef>
              <a:spcPct val="50000"/>
            </a:spcBef>
          </a:pPr>
          <a:r>
            <a:rPr lang="es-ES_tradnl" sz="700"/>
            <a:t>DEPARTAMENTO DE HACIENDA</a:t>
          </a:r>
          <a:r>
            <a:rPr lang="es-ES_tradnl" sz="700" baseline="0"/>
            <a:t> Y FINANZAS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34817" name="Texto 2">
          <a:extLst>
            <a:ext uri="{FF2B5EF4-FFF2-40B4-BE49-F238E27FC236}">
              <a16:creationId xmlns:a16="http://schemas.microsoft.com/office/drawing/2014/main" id="{00000000-0008-0000-0F00-000001880000}"/>
            </a:ext>
          </a:extLst>
        </xdr:cNvPr>
        <xdr:cNvSpPr txBox="1">
          <a:spLocks noChangeArrowheads="1"/>
        </xdr:cNvSpPr>
      </xdr:nvSpPr>
      <xdr:spPr bwMode="auto">
        <a:xfrm>
          <a:off x="7134225" y="733425"/>
          <a:ext cx="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18</xdr:col>
      <xdr:colOff>388620</xdr:colOff>
      <xdr:row>25</xdr:row>
      <xdr:rowOff>0</xdr:rowOff>
    </xdr:to>
    <xdr:sp macro="" textlink="">
      <xdr:nvSpPr>
        <xdr:cNvPr id="4097" name="Texto 2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66675" y="5162550"/>
          <a:ext cx="8001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18</xdr:col>
      <xdr:colOff>388620</xdr:colOff>
      <xdr:row>26</xdr:row>
      <xdr:rowOff>0</xdr:rowOff>
    </xdr:to>
    <xdr:sp macro="" textlink="">
      <xdr:nvSpPr>
        <xdr:cNvPr id="1026" name="Texto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209550" y="5286375"/>
          <a:ext cx="8067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37889" name="Texto 2">
          <a:extLst>
            <a:ext uri="{FF2B5EF4-FFF2-40B4-BE49-F238E27FC236}">
              <a16:creationId xmlns:a16="http://schemas.microsoft.com/office/drawing/2014/main" id="{00000000-0008-0000-0300-000001940000}"/>
            </a:ext>
          </a:extLst>
        </xdr:cNvPr>
        <xdr:cNvSpPr txBox="1">
          <a:spLocks noChangeArrowheads="1"/>
        </xdr:cNvSpPr>
      </xdr:nvSpPr>
      <xdr:spPr bwMode="auto">
        <a:xfrm>
          <a:off x="7134225" y="733425"/>
          <a:ext cx="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18</xdr:col>
      <xdr:colOff>388620</xdr:colOff>
      <xdr:row>25</xdr:row>
      <xdr:rowOff>0</xdr:rowOff>
    </xdr:to>
    <xdr:sp macro="" textlink="">
      <xdr:nvSpPr>
        <xdr:cNvPr id="16385" name="Texto 2">
          <a:extLst>
            <a:ext uri="{FF2B5EF4-FFF2-40B4-BE49-F238E27FC236}">
              <a16:creationId xmlns:a16="http://schemas.microsoft.com/office/drawing/2014/main" id="{00000000-0008-0000-0600-000001400000}"/>
            </a:ext>
          </a:extLst>
        </xdr:cNvPr>
        <xdr:cNvSpPr txBox="1">
          <a:spLocks noChangeArrowheads="1"/>
        </xdr:cNvSpPr>
      </xdr:nvSpPr>
      <xdr:spPr bwMode="auto">
        <a:xfrm>
          <a:off x="66675" y="5067300"/>
          <a:ext cx="8039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18</xdr:col>
      <xdr:colOff>396240</xdr:colOff>
      <xdr:row>34</xdr:row>
      <xdr:rowOff>0</xdr:rowOff>
    </xdr:to>
    <xdr:sp macro="" textlink="">
      <xdr:nvSpPr>
        <xdr:cNvPr id="18433" name="Texto 2">
          <a:extLst>
            <a:ext uri="{FF2B5EF4-FFF2-40B4-BE49-F238E27FC236}">
              <a16:creationId xmlns:a16="http://schemas.microsoft.com/office/drawing/2014/main" id="{00000000-0008-0000-0700-000001480000}"/>
            </a:ext>
          </a:extLst>
        </xdr:cNvPr>
        <xdr:cNvSpPr txBox="1">
          <a:spLocks noChangeArrowheads="1"/>
        </xdr:cNvSpPr>
      </xdr:nvSpPr>
      <xdr:spPr bwMode="auto">
        <a:xfrm>
          <a:off x="66675" y="6210300"/>
          <a:ext cx="8439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38913" name="Texto 2">
          <a:extLst>
            <a:ext uri="{FF2B5EF4-FFF2-40B4-BE49-F238E27FC236}">
              <a16:creationId xmlns:a16="http://schemas.microsoft.com/office/drawing/2014/main" id="{00000000-0008-0000-0800-000001980000}"/>
            </a:ext>
          </a:extLst>
        </xdr:cNvPr>
        <xdr:cNvSpPr txBox="1">
          <a:spLocks noChangeArrowheads="1"/>
        </xdr:cNvSpPr>
      </xdr:nvSpPr>
      <xdr:spPr bwMode="auto">
        <a:xfrm>
          <a:off x="7629525" y="819150"/>
          <a:ext cx="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100</xdr:row>
      <xdr:rowOff>0</xdr:rowOff>
    </xdr:from>
    <xdr:to>
      <xdr:col>2</xdr:col>
      <xdr:colOff>137160</xdr:colOff>
      <xdr:row>100</xdr:row>
      <xdr:rowOff>106680</xdr:rowOff>
    </xdr:to>
    <xdr:sp macro="" textlink="">
      <xdr:nvSpPr>
        <xdr:cNvPr id="33838" name="imgval-1" descr="Valorado (3/5)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B00-00002E840000}"/>
            </a:ext>
          </a:extLst>
        </xdr:cNvPr>
        <xdr:cNvSpPr>
          <a:spLocks noChangeAspect="1" noChangeArrowheads="1"/>
        </xdr:cNvSpPr>
      </xdr:nvSpPr>
      <xdr:spPr bwMode="auto">
        <a:xfrm>
          <a:off x="822960" y="8374380"/>
          <a:ext cx="1371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137160</xdr:colOff>
      <xdr:row>100</xdr:row>
      <xdr:rowOff>106680</xdr:rowOff>
    </xdr:to>
    <xdr:sp macro="" textlink="">
      <xdr:nvSpPr>
        <xdr:cNvPr id="33839" name="imgval-2" descr="Valorado (3/5)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B00-00002F840000}"/>
            </a:ext>
          </a:extLst>
        </xdr:cNvPr>
        <xdr:cNvSpPr>
          <a:spLocks noChangeAspect="1" noChangeArrowheads="1"/>
        </xdr:cNvSpPr>
      </xdr:nvSpPr>
      <xdr:spPr bwMode="auto">
        <a:xfrm>
          <a:off x="822960" y="8374380"/>
          <a:ext cx="1371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137160</xdr:colOff>
      <xdr:row>100</xdr:row>
      <xdr:rowOff>106680</xdr:rowOff>
    </xdr:to>
    <xdr:sp macro="" textlink="">
      <xdr:nvSpPr>
        <xdr:cNvPr id="33840" name="imgval-3" descr="Valorado (3/5)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B00-000030840000}"/>
            </a:ext>
          </a:extLst>
        </xdr:cNvPr>
        <xdr:cNvSpPr>
          <a:spLocks noChangeAspect="1" noChangeArrowheads="1"/>
        </xdr:cNvSpPr>
      </xdr:nvSpPr>
      <xdr:spPr bwMode="auto">
        <a:xfrm>
          <a:off x="822960" y="8374380"/>
          <a:ext cx="1371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5841" name="Texto 2">
          <a:extLst>
            <a:ext uri="{FF2B5EF4-FFF2-40B4-BE49-F238E27FC236}">
              <a16:creationId xmlns:a16="http://schemas.microsoft.com/office/drawing/2014/main" id="{00000000-0008-0000-0C00-0000018C0000}"/>
            </a:ext>
          </a:extLst>
        </xdr:cNvPr>
        <xdr:cNvSpPr txBox="1">
          <a:spLocks noChangeArrowheads="1"/>
        </xdr:cNvSpPr>
      </xdr:nvSpPr>
      <xdr:spPr bwMode="auto">
        <a:xfrm>
          <a:off x="3924300" y="8667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5842" name="Texto 2">
          <a:extLst>
            <a:ext uri="{FF2B5EF4-FFF2-40B4-BE49-F238E27FC236}">
              <a16:creationId xmlns:a16="http://schemas.microsoft.com/office/drawing/2014/main" id="{00000000-0008-0000-0C00-0000028C0000}"/>
            </a:ext>
          </a:extLst>
        </xdr:cNvPr>
        <xdr:cNvSpPr txBox="1">
          <a:spLocks noChangeArrowheads="1"/>
        </xdr:cNvSpPr>
      </xdr:nvSpPr>
      <xdr:spPr bwMode="auto">
        <a:xfrm>
          <a:off x="3924300" y="8667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5843" name="Texto 2">
          <a:extLst>
            <a:ext uri="{FF2B5EF4-FFF2-40B4-BE49-F238E27FC236}">
              <a16:creationId xmlns:a16="http://schemas.microsoft.com/office/drawing/2014/main" id="{00000000-0008-0000-0C00-0000038C0000}"/>
            </a:ext>
          </a:extLst>
        </xdr:cNvPr>
        <xdr:cNvSpPr txBox="1">
          <a:spLocks noChangeArrowheads="1"/>
        </xdr:cNvSpPr>
      </xdr:nvSpPr>
      <xdr:spPr bwMode="auto">
        <a:xfrm>
          <a:off x="3924300" y="8667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5" name="Texto 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3840480" y="82296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6" name="Texto 2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3840480" y="82296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9" name="Texto 2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3733800" y="8286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10" name="Texto 2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3733800" y="8286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11" name="Texto 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3840480" y="82296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12" name="Texto 2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3840480" y="82296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15" name="Texto 2">
          <a:extLst>
            <a:ext uri="{FF2B5EF4-FFF2-40B4-BE49-F238E27FC236}">
              <a16:creationId xmlns:a16="http://schemas.microsoft.com/office/drawing/2014/main" id="{00000000-0008-0000-0D00-0000018C0000}"/>
            </a:ext>
          </a:extLst>
        </xdr:cNvPr>
        <xdr:cNvSpPr txBox="1">
          <a:spLocks noChangeArrowheads="1"/>
        </xdr:cNvSpPr>
      </xdr:nvSpPr>
      <xdr:spPr bwMode="auto">
        <a:xfrm>
          <a:off x="3733800" y="8286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16" name="Texto 2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3733800" y="828675"/>
          <a:ext cx="0" cy="523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7432" rIns="27432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-trim-03/Castellano/Ejecucion-3t25web.xlsx" TargetMode="External"/><Relationship Id="rId2" Type="http://schemas.openxmlformats.org/officeDocument/2006/relationships/externalLinkPath" Target="https://elkarlan.sharepoint.com/sites/106-economia/Estadstica/Ejecuci&#243;n%20Presupuestaria/Publicadas%20en%20la%20WEB/2025/2025-trim-03/Castellano/Ejecucion-3t25web.xlsx" TargetMode="External"/><Relationship Id="rId1" Type="http://schemas.openxmlformats.org/officeDocument/2006/relationships/externalLinkPath" Target="/sites/106-economia/Estadstica/Ejecuci&#243;n%20Presupuestaria/Publicadas%20en%20la%20WEB/2025/2025-trim-03/Castellano/Ejecucion-3t25web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-trim-02/Castellano/Ejecucion-2t25web.xlsx" TargetMode="External"/><Relationship Id="rId2" Type="http://schemas.openxmlformats.org/officeDocument/2006/relationships/externalLinkPath" Target="https://elkarlan.sharepoint.com/sites/106-economia/Estadstica/Ejecuci&#243;n%20Presupuestaria/Publicadas%20en%20la%20WEB/2025/2025-trim-02/Castellano/Ejecucion-2t25web.xlsx" TargetMode="External"/><Relationship Id="rId1" Type="http://schemas.openxmlformats.org/officeDocument/2006/relationships/externalLinkPath" Target="/sites/106-economia/Estadstica/Ejecuci&#243;n%20Presupuestaria/Publicadas%20en%20la%20WEB/2025/2025-trim-02/Castellano/Ejecucion-2t25web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2024-trim-03/Castellano/Ejecucion-3t24web.xlsx" TargetMode="External"/><Relationship Id="rId2" Type="http://schemas.openxmlformats.org/officeDocument/2006/relationships/externalLinkPath" Target="https://elkarlan.sharepoint.com/sites/106-economia/Estadstica/Ejecuci&#243;n%20Presupuestaria/Publicadas%20en%20la%20WEB/2024/2024-trim-03/Castellano/Ejecucion-3t24web.xlsx" TargetMode="External"/><Relationship Id="rId1" Type="http://schemas.openxmlformats.org/officeDocument/2006/relationships/externalLinkPath" Target="/sites/106-economia/Estadstica/Ejecuci&#243;n%20Presupuestaria/Publicadas%20en%20la%20WEB/2024/2024-trim-03/Castellano/Ejecucion-3t24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 refreshError="1"/>
      <sheetData sheetId="1" refreshError="1"/>
      <sheetData sheetId="2">
        <row r="10">
          <cell r="G10">
            <v>1855.8</v>
          </cell>
        </row>
        <row r="11">
          <cell r="G11">
            <v>89377.695000000007</v>
          </cell>
        </row>
        <row r="12">
          <cell r="G12">
            <v>10279481.896</v>
          </cell>
        </row>
        <row r="13">
          <cell r="G13">
            <v>16066.534</v>
          </cell>
        </row>
        <row r="14">
          <cell r="G14">
            <v>114.277</v>
          </cell>
        </row>
        <row r="15">
          <cell r="G15">
            <v>89594.289000000004</v>
          </cell>
        </row>
        <row r="16">
          <cell r="G16">
            <v>35854.288999999997</v>
          </cell>
        </row>
        <row r="17">
          <cell r="G17">
            <v>1126606</v>
          </cell>
        </row>
      </sheetData>
      <sheetData sheetId="3" refreshError="1"/>
      <sheetData sheetId="4" refreshError="1"/>
      <sheetData sheetId="5" refreshError="1"/>
      <sheetData sheetId="6">
        <row r="9">
          <cell r="G9">
            <v>346212.50899999996</v>
          </cell>
        </row>
        <row r="10">
          <cell r="G10">
            <v>514872.77899999998</v>
          </cell>
        </row>
        <row r="11">
          <cell r="G11">
            <v>48927.328000000001</v>
          </cell>
        </row>
        <row r="12">
          <cell r="G12">
            <v>12339642.932</v>
          </cell>
        </row>
        <row r="13">
          <cell r="G13">
            <v>236649.12099999998</v>
          </cell>
        </row>
        <row r="14">
          <cell r="G14">
            <v>65390.017999999996</v>
          </cell>
        </row>
        <row r="15">
          <cell r="G15">
            <v>29546.203000000001</v>
          </cell>
        </row>
        <row r="16">
          <cell r="G16">
            <v>258785.44</v>
          </cell>
        </row>
      </sheetData>
      <sheetData sheetId="7">
        <row r="9">
          <cell r="G9">
            <v>7633191.1490000002</v>
          </cell>
        </row>
        <row r="13">
          <cell r="G13">
            <v>6694391.0039999997</v>
          </cell>
        </row>
        <row r="18">
          <cell r="G18">
            <v>208160.29</v>
          </cell>
        </row>
        <row r="19">
          <cell r="G19">
            <v>266646.03600000002</v>
          </cell>
        </row>
        <row r="20">
          <cell r="G20">
            <v>21587.614000000001</v>
          </cell>
        </row>
        <row r="21">
          <cell r="G21">
            <v>571.45600000000002</v>
          </cell>
        </row>
        <row r="22">
          <cell r="G22">
            <v>34383.048000000003</v>
          </cell>
        </row>
        <row r="23">
          <cell r="G23">
            <v>2319.9110000000001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/>
      <sheetData sheetId="1">
        <row r="9">
          <cell r="G9">
            <v>1414493.3019999999</v>
          </cell>
        </row>
      </sheetData>
      <sheetData sheetId="2">
        <row r="10">
          <cell r="G10">
            <v>436.69400000000002</v>
          </cell>
        </row>
      </sheetData>
      <sheetData sheetId="3">
        <row r="25">
          <cell r="E25">
            <v>298077.35900000017</v>
          </cell>
        </row>
      </sheetData>
      <sheetData sheetId="4"/>
      <sheetData sheetId="5"/>
      <sheetData sheetId="6">
        <row r="9">
          <cell r="F9">
            <v>515606.82900000003</v>
          </cell>
        </row>
        <row r="10">
          <cell r="G10">
            <v>322521.84716</v>
          </cell>
        </row>
        <row r="11">
          <cell r="G11">
            <v>36842.728660000001</v>
          </cell>
        </row>
        <row r="12">
          <cell r="G12">
            <v>8335221.0179099999</v>
          </cell>
        </row>
        <row r="13">
          <cell r="G13">
            <v>131001.70110999999</v>
          </cell>
        </row>
        <row r="14">
          <cell r="G14">
            <v>43308.728049999998</v>
          </cell>
        </row>
        <row r="15">
          <cell r="G15">
            <v>20741.69181</v>
          </cell>
        </row>
        <row r="16">
          <cell r="G16">
            <v>92185.610679999998</v>
          </cell>
        </row>
      </sheetData>
      <sheetData sheetId="7">
        <row r="9">
          <cell r="G9">
            <v>4249146.4454530003</v>
          </cell>
        </row>
      </sheetData>
      <sheetData sheetId="8">
        <row r="25">
          <cell r="E25">
            <v>936861.48286000174</v>
          </cell>
        </row>
      </sheetData>
      <sheetData sheetId="9"/>
      <sheetData sheetId="10"/>
      <sheetData sheetId="11"/>
      <sheetData sheetId="12">
        <row r="9">
          <cell r="D9">
            <v>4568677.1444399999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I6">
            <v>7175024.7680000002</v>
          </cell>
        </row>
        <row r="7">
          <cell r="I7">
            <v>5909919.7199999997</v>
          </cell>
        </row>
        <row r="8">
          <cell r="I8">
            <v>304700.72600000002</v>
          </cell>
        </row>
        <row r="9">
          <cell r="I9">
            <v>1562031.0309999995</v>
          </cell>
        </row>
        <row r="10">
          <cell r="I10">
            <v>85753.811000000002</v>
          </cell>
        </row>
        <row r="11">
          <cell r="I11">
            <v>427.32499999999999</v>
          </cell>
        </row>
        <row r="12">
          <cell r="I12">
            <v>149954.52099999998</v>
          </cell>
        </row>
        <row r="13">
          <cell r="I13">
            <v>15980.824000000001</v>
          </cell>
        </row>
        <row r="14">
          <cell r="I14">
            <v>599058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6:B32"/>
  <sheetViews>
    <sheetView showGridLines="0" zoomScaleNormal="100" workbookViewId="0">
      <selection activeCell="E5" sqref="E5"/>
    </sheetView>
  </sheetViews>
  <sheetFormatPr baseColWidth="10" defaultColWidth="11.42578125" defaultRowHeight="12.75" x14ac:dyDescent="0.2"/>
  <cols>
    <col min="2" max="2" width="80.5703125" bestFit="1" customWidth="1"/>
  </cols>
  <sheetData>
    <row r="6" spans="2:2" ht="23.25" x14ac:dyDescent="0.35">
      <c r="B6" s="139" t="s">
        <v>0</v>
      </c>
    </row>
    <row r="7" spans="2:2" ht="15.6" customHeight="1" x14ac:dyDescent="0.2"/>
    <row r="8" spans="2:2" ht="20.25" x14ac:dyDescent="0.3">
      <c r="B8" s="142" t="s">
        <v>222</v>
      </c>
    </row>
    <row r="10" spans="2:2" ht="15.75" x14ac:dyDescent="0.25">
      <c r="B10" s="177" t="s">
        <v>1</v>
      </c>
    </row>
    <row r="11" spans="2:2" ht="3.75" customHeight="1" x14ac:dyDescent="0.3">
      <c r="B11" s="129"/>
    </row>
    <row r="12" spans="2:2" ht="18" customHeight="1" x14ac:dyDescent="0.2">
      <c r="B12" s="140" t="s">
        <v>2</v>
      </c>
    </row>
    <row r="13" spans="2:2" ht="18" customHeight="1" x14ac:dyDescent="0.2">
      <c r="B13" s="140" t="s">
        <v>3</v>
      </c>
    </row>
    <row r="14" spans="2:2" ht="18" customHeight="1" x14ac:dyDescent="0.2">
      <c r="B14" s="140" t="s">
        <v>4</v>
      </c>
    </row>
    <row r="15" spans="2:2" ht="18" customHeight="1" x14ac:dyDescent="0.2">
      <c r="B15" s="140" t="s">
        <v>5</v>
      </c>
    </row>
    <row r="16" spans="2:2" ht="18" customHeight="1" x14ac:dyDescent="0.2">
      <c r="B16" s="140" t="s">
        <v>6</v>
      </c>
    </row>
    <row r="18" spans="1:2" ht="15.75" x14ac:dyDescent="0.25">
      <c r="B18" s="177" t="s">
        <v>7</v>
      </c>
    </row>
    <row r="19" spans="1:2" ht="3.75" customHeight="1" x14ac:dyDescent="0.3">
      <c r="B19" s="129"/>
    </row>
    <row r="20" spans="1:2" ht="18" customHeight="1" x14ac:dyDescent="0.2">
      <c r="A20" s="136"/>
      <c r="B20" s="140" t="s">
        <v>2</v>
      </c>
    </row>
    <row r="21" spans="1:2" ht="18" customHeight="1" x14ac:dyDescent="0.2">
      <c r="A21" s="136"/>
      <c r="B21" s="140" t="s">
        <v>3</v>
      </c>
    </row>
    <row r="22" spans="1:2" ht="18" customHeight="1" x14ac:dyDescent="0.2">
      <c r="A22" s="136"/>
      <c r="B22" s="140" t="s">
        <v>4</v>
      </c>
    </row>
    <row r="23" spans="1:2" ht="18" customHeight="1" x14ac:dyDescent="0.2">
      <c r="A23" s="136"/>
      <c r="B23" s="140" t="s">
        <v>5</v>
      </c>
    </row>
    <row r="24" spans="1:2" ht="18" customHeight="1" x14ac:dyDescent="0.2">
      <c r="A24" s="136"/>
      <c r="B24" s="140" t="s">
        <v>6</v>
      </c>
    </row>
    <row r="25" spans="1:2" ht="18" customHeight="1" x14ac:dyDescent="0.2">
      <c r="A25" s="136"/>
      <c r="B25" s="140" t="s">
        <v>8</v>
      </c>
    </row>
    <row r="27" spans="1:2" ht="15.75" x14ac:dyDescent="0.25">
      <c r="B27" s="177" t="s">
        <v>9</v>
      </c>
    </row>
    <row r="28" spans="1:2" ht="3.75" customHeight="1" x14ac:dyDescent="0.3">
      <c r="B28" s="129"/>
    </row>
    <row r="29" spans="1:2" ht="18" customHeight="1" x14ac:dyDescent="0.2">
      <c r="A29" s="136"/>
      <c r="B29" s="140" t="s">
        <v>10</v>
      </c>
    </row>
    <row r="30" spans="1:2" ht="18" customHeight="1" x14ac:dyDescent="0.2">
      <c r="A30" s="136"/>
      <c r="B30" s="140" t="s">
        <v>5</v>
      </c>
    </row>
    <row r="31" spans="1:2" ht="18" customHeight="1" x14ac:dyDescent="0.2">
      <c r="A31" s="136"/>
      <c r="B31" s="140" t="s">
        <v>6</v>
      </c>
    </row>
    <row r="32" spans="1:2" ht="18" customHeight="1" x14ac:dyDescent="0.2">
      <c r="A32" s="136"/>
      <c r="B32" s="140" t="s">
        <v>4</v>
      </c>
    </row>
  </sheetData>
  <phoneticPr fontId="19" type="noConversion"/>
  <hyperlinks>
    <hyperlink ref="B13:B16" location="'gastos GV'!A1" display="Ejecución del presupuesto de gastos, por capítulos" xr:uid="{00000000-0004-0000-0000-000000000000}"/>
    <hyperlink ref="B13" location="'ingresos GV'!A1" tooltip="Ingresos Gobierno Vasco" display="► Ejecución del presupuesto de ingresos, por capítulos" xr:uid="{00000000-0004-0000-0000-000001000000}"/>
    <hyperlink ref="B14" location="'Magnitudes presupuestarias GV'!A1" tooltip="Magnitudes presupuestarias Gobierno Vasco" display="► Magnitudes presupuestarias" xr:uid="{00000000-0004-0000-0000-000002000000}"/>
    <hyperlink ref="B15" location="'evol gto GV '!A1" tooltip="Evolución gastos Gobieno Vasco" display="► Evolución de la ejecución del presupuesto de gastos, por capítulos" xr:uid="{00000000-0004-0000-0000-000003000000}"/>
    <hyperlink ref="B16" location="'evol ing-GV'!A1" tooltip="Evolución ingresos Gobierno Vasco" display="► Evolución de la ejecución del presupuesto de ingresos, por capítulos" xr:uid="{00000000-0004-0000-0000-000004000000}"/>
    <hyperlink ref="B20" location="'gastos ddff'!A1" tooltip="Gastos Diputaciones Forales" display="► Ejecución del presupuesto de gastos, por capítulos" xr:uid="{00000000-0004-0000-0000-000005000000}"/>
    <hyperlink ref="B21:B24" location="'gastos GV'!A1" display="Ejecución del presupuesto de gastos, por capítulos" xr:uid="{00000000-0004-0000-0000-000006000000}"/>
    <hyperlink ref="B21" location="'ingresos ddff'!A1" tooltip="Ingresos Diputaciones Forales" display="► Ejecución del presupuesto de ingresos, por capítulos" xr:uid="{00000000-0004-0000-0000-000007000000}"/>
    <hyperlink ref="B22" location="'Magnitudes presupuestarias DDFF'!A1" tooltip="Magnitudes presupuestarias Diputaciones Forales" display="► Magnitudes presupuestarias" xr:uid="{00000000-0004-0000-0000-000008000000}"/>
    <hyperlink ref="B23" location="'Evolucion gasto DDFF'!A1" tooltip="Evolución gastos Diputaciones Forales" display="► Evolución de la ejecución del presupuesto de gastos, por capítulos" xr:uid="{00000000-0004-0000-0000-000009000000}"/>
    <hyperlink ref="B24" location="'Evolución ingreso DDFF'!A1" tooltip="Evolución ingresos Diputaciones Forales" display="► Evolución de la ejecución del presupuesto de ingresos, por capítulos" xr:uid="{00000000-0004-0000-0000-00000A000000}"/>
    <hyperlink ref="B25" location="'desglose cap 1 y 2'!A1" tooltip="Ingresos cap 1 y 2 Diputaciones Forales" display="► Evolución de la ejecución del presupuesto de ingresos (desglose capítulos 1 y 2)" xr:uid="{00000000-0004-0000-0000-00000B000000}"/>
    <hyperlink ref="B12" location="'gastos GV'!A1" tooltip="Gastos Gobierno Vasco" display="► Ejecución del presupuesto de gastos, por capítulos" xr:uid="{00000000-0004-0000-0000-00000C000000}"/>
    <hyperlink ref="B29" location="'consolidado GV-DDFF'!A1" tooltip="Resumen obligaciones y derechos liquidados" display="► Resumen obligaciones y derechos liquidados" xr:uid="{00000000-0004-0000-0000-00000D000000}"/>
    <hyperlink ref="B30:B32" location="'gastos GV'!A1" display="Ejecución del presupuesto de gastos, por capítulos" xr:uid="{00000000-0004-0000-0000-00000E000000}"/>
    <hyperlink ref="B30" location="'evol gto GV-DDFF'!A1" tooltip="Evolución gastos Consolidado GV-DDFF" display="► Evolución de la ejecución del presupuesto de gastos, por capítulos" xr:uid="{00000000-0004-0000-0000-00000F000000}"/>
    <hyperlink ref="B31" location="'evol ing GV-DDFF'!A1" tooltip="Evolución ingresos Consolidado GV-DDFF" display="► Evolución de la ejecución del presupuesto de ingresos, por capítulos" xr:uid="{00000000-0004-0000-0000-000010000000}"/>
    <hyperlink ref="B32" location="'Magnitudes presup GV-DDFF'!A1" tooltip="Magnitudes presupuestarias Consolidado GV-DDFF" display="► Magnitudes presupuestarias" xr:uid="{00000000-0004-0000-0000-000011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2"/>
    <pageSetUpPr fitToPage="1"/>
  </sheetPr>
  <dimension ref="A1:S108"/>
  <sheetViews>
    <sheetView showGridLines="0" zoomScaleNormal="100" workbookViewId="0">
      <pane xSplit="2" ySplit="5" topLeftCell="C94" activePane="bottomRight" state="frozen"/>
      <selection pane="topRight"/>
      <selection pane="bottomLeft"/>
      <selection pane="bottomRight" activeCell="I121" sqref="I121"/>
    </sheetView>
  </sheetViews>
  <sheetFormatPr baseColWidth="10" defaultColWidth="11.42578125" defaultRowHeight="15.75" x14ac:dyDescent="0.2"/>
  <cols>
    <col min="1" max="1" width="2.28515625" style="57" customWidth="1"/>
    <col min="2" max="2" width="9.7109375" style="57" customWidth="1"/>
    <col min="3" max="5" width="10.28515625" style="57" customWidth="1"/>
    <col min="6" max="7" width="10.7109375" style="57" customWidth="1"/>
    <col min="8" max="13" width="10.28515625" style="57" customWidth="1"/>
    <col min="14" max="14" width="12.7109375" style="57" customWidth="1"/>
    <col min="18" max="19" width="12" bestFit="1" customWidth="1"/>
  </cols>
  <sheetData>
    <row r="1" spans="2:14" s="62" customFormat="1" x14ac:dyDescent="0.2">
      <c r="B1" s="62" t="s">
        <v>7</v>
      </c>
      <c r="N1" s="130" t="str">
        <f>Índice!B8</f>
        <v>4ºTrimestre 2025</v>
      </c>
    </row>
    <row r="2" spans="2:14" s="54" customFormat="1" ht="18" customHeight="1" x14ac:dyDescent="0.2">
      <c r="B2" s="88" t="s">
        <v>78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2:14" s="54" customFormat="1" ht="13.5" customHeight="1" x14ac:dyDescent="0.2">
      <c r="B3" s="89" t="s">
        <v>79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s="54" customFormat="1" ht="15.7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11" t="s">
        <v>80</v>
      </c>
    </row>
    <row r="5" spans="2:14" s="58" customFormat="1" ht="33" customHeight="1" x14ac:dyDescent="0.2">
      <c r="B5" s="90" t="s">
        <v>81</v>
      </c>
      <c r="C5" s="91" t="s">
        <v>82</v>
      </c>
      <c r="D5" s="91" t="s">
        <v>83</v>
      </c>
      <c r="E5" s="91" t="s">
        <v>84</v>
      </c>
      <c r="F5" s="91" t="s">
        <v>85</v>
      </c>
      <c r="G5" s="92" t="s">
        <v>86</v>
      </c>
      <c r="H5" s="91" t="s">
        <v>87</v>
      </c>
      <c r="I5" s="91" t="s">
        <v>88</v>
      </c>
      <c r="J5" s="92" t="s">
        <v>89</v>
      </c>
      <c r="K5" s="91" t="s">
        <v>90</v>
      </c>
      <c r="L5" s="91" t="s">
        <v>91</v>
      </c>
      <c r="M5" s="92" t="s">
        <v>92</v>
      </c>
      <c r="N5" s="93" t="s">
        <v>93</v>
      </c>
    </row>
    <row r="6" spans="2:14" s="54" customFormat="1" ht="5.25" customHeight="1" x14ac:dyDescent="0.2">
      <c r="B6" s="55"/>
      <c r="C6" s="55"/>
      <c r="D6" s="55"/>
      <c r="E6" s="55"/>
      <c r="F6" s="55"/>
      <c r="G6" s="62"/>
      <c r="H6" s="55"/>
      <c r="I6" s="55"/>
      <c r="J6" s="62"/>
      <c r="K6" s="55"/>
      <c r="L6" s="55"/>
      <c r="M6" s="55"/>
      <c r="N6" s="62"/>
    </row>
    <row r="7" spans="2:14" s="54" customFormat="1" ht="13.5" customHeight="1" x14ac:dyDescent="0.2">
      <c r="B7" s="143" t="s">
        <v>94</v>
      </c>
      <c r="C7" s="144">
        <v>174596</v>
      </c>
      <c r="D7" s="144">
        <v>95788</v>
      </c>
      <c r="E7" s="144">
        <v>101020</v>
      </c>
      <c r="F7" s="144">
        <v>4022936</v>
      </c>
      <c r="G7" s="144">
        <v>4394341</v>
      </c>
      <c r="H7" s="144">
        <v>271848</v>
      </c>
      <c r="I7" s="144">
        <v>121467</v>
      </c>
      <c r="J7" s="144">
        <v>393315</v>
      </c>
      <c r="K7" s="144">
        <v>47066</v>
      </c>
      <c r="L7" s="144">
        <v>43365</v>
      </c>
      <c r="M7" s="144">
        <v>90431</v>
      </c>
      <c r="N7" s="145">
        <v>4878087</v>
      </c>
    </row>
    <row r="8" spans="2:14" s="54" customFormat="1" ht="13.5" customHeight="1" x14ac:dyDescent="0.2">
      <c r="B8" s="143" t="s">
        <v>95</v>
      </c>
      <c r="C8" s="144">
        <v>182593</v>
      </c>
      <c r="D8" s="144">
        <v>99336</v>
      </c>
      <c r="E8" s="144">
        <v>104278</v>
      </c>
      <c r="F8" s="144">
        <v>4383393</v>
      </c>
      <c r="G8" s="144">
        <v>4769600</v>
      </c>
      <c r="H8" s="144">
        <v>238104</v>
      </c>
      <c r="I8" s="144">
        <v>161432</v>
      </c>
      <c r="J8" s="144">
        <v>399537</v>
      </c>
      <c r="K8" s="144">
        <v>47686</v>
      </c>
      <c r="L8" s="144">
        <v>39386</v>
      </c>
      <c r="M8" s="144">
        <v>87072</v>
      </c>
      <c r="N8" s="145">
        <v>5256209</v>
      </c>
    </row>
    <row r="9" spans="2:14" s="54" customFormat="1" ht="13.5" customHeight="1" x14ac:dyDescent="0.2">
      <c r="B9" s="143" t="s">
        <v>96</v>
      </c>
      <c r="C9" s="144">
        <v>184452</v>
      </c>
      <c r="D9" s="144">
        <v>115290</v>
      </c>
      <c r="E9" s="144">
        <v>123012</v>
      </c>
      <c r="F9" s="144">
        <v>5380367</v>
      </c>
      <c r="G9" s="144">
        <v>5803121</v>
      </c>
      <c r="H9" s="144">
        <v>243833</v>
      </c>
      <c r="I9" s="144">
        <v>167656</v>
      </c>
      <c r="J9" s="144">
        <v>411489</v>
      </c>
      <c r="K9" s="144">
        <v>39818</v>
      </c>
      <c r="L9" s="144">
        <v>49258</v>
      </c>
      <c r="M9" s="144">
        <v>89076</v>
      </c>
      <c r="N9" s="145">
        <v>6303686</v>
      </c>
    </row>
    <row r="10" spans="2:14" s="54" customFormat="1" ht="13.5" customHeight="1" x14ac:dyDescent="0.2">
      <c r="B10" s="143" t="s">
        <v>97</v>
      </c>
      <c r="C10" s="144">
        <v>192139</v>
      </c>
      <c r="D10" s="144">
        <v>133930</v>
      </c>
      <c r="E10" s="144">
        <v>87757</v>
      </c>
      <c r="F10" s="144">
        <v>6007178</v>
      </c>
      <c r="G10" s="144">
        <v>6421004</v>
      </c>
      <c r="H10" s="144">
        <v>239254</v>
      </c>
      <c r="I10" s="144">
        <v>182825</v>
      </c>
      <c r="J10" s="144">
        <v>422078</v>
      </c>
      <c r="K10" s="144">
        <v>44618</v>
      </c>
      <c r="L10" s="144">
        <v>210973</v>
      </c>
      <c r="M10" s="144">
        <v>255591</v>
      </c>
      <c r="N10" s="145">
        <v>7098673</v>
      </c>
    </row>
    <row r="11" spans="2:14" s="54" customFormat="1" ht="13.5" customHeight="1" x14ac:dyDescent="0.2">
      <c r="B11" s="143" t="s">
        <v>98</v>
      </c>
      <c r="C11" s="144">
        <v>200122</v>
      </c>
      <c r="D11" s="144">
        <v>155944</v>
      </c>
      <c r="E11" s="144">
        <v>70127</v>
      </c>
      <c r="F11" s="144">
        <v>6629114</v>
      </c>
      <c r="G11" s="144">
        <v>7055307</v>
      </c>
      <c r="H11" s="144">
        <v>272666</v>
      </c>
      <c r="I11" s="144">
        <v>186479</v>
      </c>
      <c r="J11" s="144">
        <v>459145</v>
      </c>
      <c r="K11" s="144">
        <v>52602</v>
      </c>
      <c r="L11" s="144">
        <v>86659</v>
      </c>
      <c r="M11" s="144">
        <v>139261</v>
      </c>
      <c r="N11" s="145">
        <v>7653713</v>
      </c>
    </row>
    <row r="12" spans="2:14" s="54" customFormat="1" ht="13.5" customHeight="1" x14ac:dyDescent="0.2">
      <c r="B12" s="143" t="s">
        <v>99</v>
      </c>
      <c r="C12" s="144">
        <v>208529</v>
      </c>
      <c r="D12" s="144">
        <v>145179</v>
      </c>
      <c r="E12" s="144">
        <v>61272</v>
      </c>
      <c r="F12" s="144">
        <v>7186588</v>
      </c>
      <c r="G12" s="144">
        <v>7601567</v>
      </c>
      <c r="H12" s="144">
        <v>284911</v>
      </c>
      <c r="I12" s="144">
        <v>184097</v>
      </c>
      <c r="J12" s="144">
        <v>469008</v>
      </c>
      <c r="K12" s="144">
        <v>49587</v>
      </c>
      <c r="L12" s="144">
        <v>54217</v>
      </c>
      <c r="M12" s="144">
        <v>103804</v>
      </c>
      <c r="N12" s="145">
        <v>8174378</v>
      </c>
    </row>
    <row r="13" spans="2:14" s="54" customFormat="1" ht="13.5" customHeight="1" x14ac:dyDescent="0.2">
      <c r="B13" s="143" t="s">
        <v>100</v>
      </c>
      <c r="C13" s="144">
        <v>222754</v>
      </c>
      <c r="D13" s="144">
        <v>162341</v>
      </c>
      <c r="E13" s="144">
        <v>64137</v>
      </c>
      <c r="F13" s="144">
        <v>7587104</v>
      </c>
      <c r="G13" s="144">
        <v>8036336</v>
      </c>
      <c r="H13" s="144">
        <v>379847</v>
      </c>
      <c r="I13" s="144">
        <v>185835</v>
      </c>
      <c r="J13" s="144">
        <v>565682</v>
      </c>
      <c r="K13" s="144">
        <v>35242</v>
      </c>
      <c r="L13" s="144">
        <v>74739</v>
      </c>
      <c r="M13" s="144">
        <v>109981</v>
      </c>
      <c r="N13" s="145">
        <v>8711999</v>
      </c>
    </row>
    <row r="14" spans="2:14" s="54" customFormat="1" ht="13.5" customHeight="1" x14ac:dyDescent="0.2">
      <c r="B14" s="143" t="s">
        <v>101</v>
      </c>
      <c r="C14" s="144">
        <v>236222</v>
      </c>
      <c r="D14" s="144">
        <v>190366</v>
      </c>
      <c r="E14" s="144">
        <v>58620</v>
      </c>
      <c r="F14" s="144">
        <v>7937245</v>
      </c>
      <c r="G14" s="144">
        <v>8422454</v>
      </c>
      <c r="H14" s="144">
        <v>535765</v>
      </c>
      <c r="I14" s="144">
        <v>199285</v>
      </c>
      <c r="J14" s="144">
        <v>735049</v>
      </c>
      <c r="K14" s="144">
        <v>58708</v>
      </c>
      <c r="L14" s="144">
        <v>54114</v>
      </c>
      <c r="M14" s="144">
        <v>112822</v>
      </c>
      <c r="N14" s="145">
        <v>9270324</v>
      </c>
    </row>
    <row r="15" spans="2:14" s="54" customFormat="1" ht="14.1" customHeight="1" x14ac:dyDescent="0.2">
      <c r="B15" s="63" t="s">
        <v>102</v>
      </c>
      <c r="C15" s="60">
        <v>56309.629750000015</v>
      </c>
      <c r="D15" s="60">
        <v>31856.585369999986</v>
      </c>
      <c r="E15" s="60">
        <v>11862.694699999998</v>
      </c>
      <c r="F15" s="60">
        <v>1277841.8359900001</v>
      </c>
      <c r="G15" s="60">
        <v>1377870.74581</v>
      </c>
      <c r="H15" s="60">
        <v>42793.254459999996</v>
      </c>
      <c r="I15" s="60">
        <v>16064.560369999999</v>
      </c>
      <c r="J15" s="60">
        <v>58857.814829999996</v>
      </c>
      <c r="K15" s="60">
        <v>614.42850999999996</v>
      </c>
      <c r="L15" s="60">
        <v>43699.619889999994</v>
      </c>
      <c r="M15" s="60">
        <v>44314.048399999992</v>
      </c>
      <c r="N15" s="61">
        <v>1481042.60904</v>
      </c>
    </row>
    <row r="16" spans="2:14" s="54" customFormat="1" ht="14.1" customHeight="1" x14ac:dyDescent="0.2">
      <c r="B16" s="146" t="s">
        <v>103</v>
      </c>
      <c r="C16" s="60">
        <v>124217.44621999997</v>
      </c>
      <c r="D16" s="60">
        <v>91470.025299999994</v>
      </c>
      <c r="E16" s="60">
        <v>28937.848149999998</v>
      </c>
      <c r="F16" s="60">
        <v>3866236.1916899998</v>
      </c>
      <c r="G16" s="60">
        <v>4110861.5113599999</v>
      </c>
      <c r="H16" s="60">
        <v>166865.60801000003</v>
      </c>
      <c r="I16" s="60">
        <v>69892.269929999995</v>
      </c>
      <c r="J16" s="60">
        <v>236757.87794000003</v>
      </c>
      <c r="K16" s="60">
        <v>46606.00114</v>
      </c>
      <c r="L16" s="60">
        <v>47976.027540000003</v>
      </c>
      <c r="M16" s="60">
        <v>94582.028680000003</v>
      </c>
      <c r="N16" s="61">
        <v>4442201.4179800004</v>
      </c>
    </row>
    <row r="17" spans="2:14" s="54" customFormat="1" ht="12" customHeight="1" x14ac:dyDescent="0.2">
      <c r="B17" s="63" t="s">
        <v>104</v>
      </c>
      <c r="C17" s="60">
        <v>182907.62722000005</v>
      </c>
      <c r="D17" s="60">
        <v>144677.41330000007</v>
      </c>
      <c r="E17" s="60">
        <v>37748.090559999997</v>
      </c>
      <c r="F17" s="60">
        <v>5536426.1582799992</v>
      </c>
      <c r="G17" s="60">
        <v>5901759.2893599989</v>
      </c>
      <c r="H17" s="60">
        <v>276566.68796999991</v>
      </c>
      <c r="I17" s="60">
        <v>98650.832670000003</v>
      </c>
      <c r="J17" s="60">
        <v>375217.52063999989</v>
      </c>
      <c r="K17" s="60">
        <v>51440.927479999998</v>
      </c>
      <c r="L17" s="60">
        <v>59922.652399999992</v>
      </c>
      <c r="M17" s="60">
        <v>111363.57987999999</v>
      </c>
      <c r="N17" s="61">
        <v>6388340.3898799988</v>
      </c>
    </row>
    <row r="18" spans="2:14" s="54" customFormat="1" ht="12" customHeight="1" x14ac:dyDescent="0.2">
      <c r="B18" s="143" t="s">
        <v>105</v>
      </c>
      <c r="C18" s="144">
        <v>252317.26322000005</v>
      </c>
      <c r="D18" s="144">
        <v>222599.03899999999</v>
      </c>
      <c r="E18" s="144">
        <v>57122.823610000007</v>
      </c>
      <c r="F18" s="144">
        <v>8408378.5093100015</v>
      </c>
      <c r="G18" s="144">
        <v>8940417.6351400018</v>
      </c>
      <c r="H18" s="144">
        <v>505626.55119000003</v>
      </c>
      <c r="I18" s="144">
        <v>204583</v>
      </c>
      <c r="J18" s="144">
        <v>710209.55119000003</v>
      </c>
      <c r="K18" s="144">
        <v>81148</v>
      </c>
      <c r="L18" s="144">
        <v>61195</v>
      </c>
      <c r="M18" s="144">
        <v>142343</v>
      </c>
      <c r="N18" s="145">
        <v>9792970.1863300018</v>
      </c>
    </row>
    <row r="19" spans="2:14" s="54" customFormat="1" ht="12" customHeight="1" x14ac:dyDescent="0.2">
      <c r="B19" s="63" t="s">
        <v>106</v>
      </c>
      <c r="C19" s="60">
        <v>57868.020900000003</v>
      </c>
      <c r="D19" s="60">
        <v>26086.308969999998</v>
      </c>
      <c r="E19" s="60">
        <v>9426.5488999999998</v>
      </c>
      <c r="F19" s="60">
        <v>1400065.2460600003</v>
      </c>
      <c r="G19" s="60">
        <v>1493446.1248300003</v>
      </c>
      <c r="H19" s="60">
        <v>23944.065159999998</v>
      </c>
      <c r="I19" s="60">
        <v>8534.9717700000001</v>
      </c>
      <c r="J19" s="60">
        <v>32479.036929999998</v>
      </c>
      <c r="K19" s="60">
        <v>12498.641</v>
      </c>
      <c r="L19" s="60">
        <v>23921.574059999999</v>
      </c>
      <c r="M19" s="60">
        <v>36420.215060000002</v>
      </c>
      <c r="N19" s="61">
        <v>1562345.3768200004</v>
      </c>
    </row>
    <row r="20" spans="2:14" s="54" customFormat="1" ht="12" customHeight="1" x14ac:dyDescent="0.2">
      <c r="B20" s="146" t="s">
        <v>107</v>
      </c>
      <c r="C20" s="60">
        <v>128525.73468000002</v>
      </c>
      <c r="D20" s="60">
        <v>88928.815570000035</v>
      </c>
      <c r="E20" s="60">
        <v>24656.821679999997</v>
      </c>
      <c r="F20" s="60">
        <v>4023001.2798200003</v>
      </c>
      <c r="G20" s="60">
        <v>4265112.6517500002</v>
      </c>
      <c r="H20" s="60">
        <v>121864.66760999999</v>
      </c>
      <c r="I20" s="60">
        <v>32901.983470000006</v>
      </c>
      <c r="J20" s="60">
        <v>154766.65107999998</v>
      </c>
      <c r="K20" s="60">
        <v>23161.7029</v>
      </c>
      <c r="L20" s="60">
        <v>102543.93422000001</v>
      </c>
      <c r="M20" s="60">
        <v>125705.63712000001</v>
      </c>
      <c r="N20" s="61">
        <v>4545584.9399500005</v>
      </c>
    </row>
    <row r="21" spans="2:14" s="54" customFormat="1" ht="12" customHeight="1" x14ac:dyDescent="0.2">
      <c r="B21" s="63" t="s">
        <v>108</v>
      </c>
      <c r="C21" s="60">
        <v>189040.19912999991</v>
      </c>
      <c r="D21" s="60">
        <v>141789.01428</v>
      </c>
      <c r="E21" s="60">
        <v>32946.461500000005</v>
      </c>
      <c r="F21" s="60">
        <v>5948055.8659899998</v>
      </c>
      <c r="G21" s="60">
        <v>6311831.5408999994</v>
      </c>
      <c r="H21" s="60">
        <v>223786.36274000001</v>
      </c>
      <c r="I21" s="60">
        <v>60751.298919999987</v>
      </c>
      <c r="J21" s="60">
        <v>284537.66165999998</v>
      </c>
      <c r="K21" s="60">
        <v>31188.267570000004</v>
      </c>
      <c r="L21" s="60">
        <v>115475.63381</v>
      </c>
      <c r="M21" s="60">
        <v>146663.90138</v>
      </c>
      <c r="N21" s="61">
        <v>6743033.1039399989</v>
      </c>
    </row>
    <row r="22" spans="2:14" s="54" customFormat="1" ht="12" customHeight="1" x14ac:dyDescent="0.2">
      <c r="B22" s="143" t="s">
        <v>109</v>
      </c>
      <c r="C22" s="144">
        <v>263643</v>
      </c>
      <c r="D22" s="144">
        <v>236614</v>
      </c>
      <c r="E22" s="144">
        <v>53410</v>
      </c>
      <c r="F22" s="144">
        <v>9044013</v>
      </c>
      <c r="G22" s="144">
        <v>9597680</v>
      </c>
      <c r="H22" s="144">
        <v>481577</v>
      </c>
      <c r="I22" s="144">
        <v>190383</v>
      </c>
      <c r="J22" s="144">
        <v>671960</v>
      </c>
      <c r="K22" s="144">
        <v>84993</v>
      </c>
      <c r="L22" s="144">
        <v>162471</v>
      </c>
      <c r="M22" s="144">
        <v>247464</v>
      </c>
      <c r="N22" s="145">
        <v>10517104</v>
      </c>
    </row>
    <row r="23" spans="2:14" s="54" customFormat="1" ht="12" customHeight="1" x14ac:dyDescent="0.2">
      <c r="B23" s="63" t="s">
        <v>110</v>
      </c>
      <c r="C23" s="60">
        <v>62223</v>
      </c>
      <c r="D23" s="60">
        <v>26108</v>
      </c>
      <c r="E23" s="60">
        <v>6448</v>
      </c>
      <c r="F23" s="60">
        <v>1458306</v>
      </c>
      <c r="G23" s="60">
        <v>1553085</v>
      </c>
      <c r="H23" s="60">
        <v>24374</v>
      </c>
      <c r="I23" s="60">
        <v>7623</v>
      </c>
      <c r="J23" s="60">
        <v>31997</v>
      </c>
      <c r="K23" s="60">
        <v>13042</v>
      </c>
      <c r="L23" s="60">
        <v>15164</v>
      </c>
      <c r="M23" s="60">
        <v>28206</v>
      </c>
      <c r="N23" s="61">
        <v>1613288</v>
      </c>
    </row>
    <row r="24" spans="2:14" s="54" customFormat="1" ht="12" customHeight="1" x14ac:dyDescent="0.2">
      <c r="B24" s="146" t="s">
        <v>111</v>
      </c>
      <c r="C24" s="60">
        <v>136622</v>
      </c>
      <c r="D24" s="60">
        <v>86836</v>
      </c>
      <c r="E24" s="60">
        <v>22455</v>
      </c>
      <c r="F24" s="60">
        <v>4450372</v>
      </c>
      <c r="G24" s="60">
        <v>4696285</v>
      </c>
      <c r="H24" s="60">
        <v>123013</v>
      </c>
      <c r="I24" s="60">
        <v>41677</v>
      </c>
      <c r="J24" s="60">
        <v>164690</v>
      </c>
      <c r="K24" s="60">
        <v>31037</v>
      </c>
      <c r="L24" s="60">
        <v>33793</v>
      </c>
      <c r="M24" s="60">
        <v>64830</v>
      </c>
      <c r="N24" s="61">
        <v>4925805</v>
      </c>
    </row>
    <row r="25" spans="2:14" s="54" customFormat="1" ht="12" customHeight="1" x14ac:dyDescent="0.2">
      <c r="B25" s="63" t="s">
        <v>112</v>
      </c>
      <c r="C25" s="60">
        <v>199729.92160999996</v>
      </c>
      <c r="D25" s="60">
        <v>148266.5455699999</v>
      </c>
      <c r="E25" s="60">
        <v>30101.408230000001</v>
      </c>
      <c r="F25" s="60">
        <v>6363086.8308299994</v>
      </c>
      <c r="G25" s="60">
        <v>6741184.7062399993</v>
      </c>
      <c r="H25" s="60">
        <v>228709.38941000006</v>
      </c>
      <c r="I25" s="60">
        <v>89326.25778</v>
      </c>
      <c r="J25" s="60">
        <v>318035.64719000005</v>
      </c>
      <c r="K25" s="60">
        <v>40648.92237</v>
      </c>
      <c r="L25" s="60">
        <v>47001.810310000001</v>
      </c>
      <c r="M25" s="60">
        <v>87650.732680000001</v>
      </c>
      <c r="N25" s="61">
        <v>7146871.0861099996</v>
      </c>
    </row>
    <row r="26" spans="2:14" s="54" customFormat="1" ht="12" customHeight="1" x14ac:dyDescent="0.2">
      <c r="B26" s="143" t="s">
        <v>113</v>
      </c>
      <c r="C26" s="144">
        <v>278484.64595999999</v>
      </c>
      <c r="D26" s="144">
        <v>252906.16743999979</v>
      </c>
      <c r="E26" s="144">
        <v>48624.342999999993</v>
      </c>
      <c r="F26" s="144">
        <v>10241621.909500001</v>
      </c>
      <c r="G26" s="144">
        <v>10821637.065900002</v>
      </c>
      <c r="H26" s="144">
        <v>488746.38241999992</v>
      </c>
      <c r="I26" s="144">
        <v>184962.57993000001</v>
      </c>
      <c r="J26" s="144">
        <v>673708.96234999993</v>
      </c>
      <c r="K26" s="144">
        <v>60908.281520000004</v>
      </c>
      <c r="L26" s="144">
        <v>67564.005959999995</v>
      </c>
      <c r="M26" s="144">
        <v>128472.28748</v>
      </c>
      <c r="N26" s="145">
        <v>11623818.315730002</v>
      </c>
    </row>
    <row r="27" spans="2:14" s="54" customFormat="1" ht="14.1" customHeight="1" x14ac:dyDescent="0.2">
      <c r="B27" s="63" t="s">
        <v>114</v>
      </c>
      <c r="C27" s="60">
        <v>63691.038489999999</v>
      </c>
      <c r="D27" s="60">
        <v>33512.283479999998</v>
      </c>
      <c r="E27" s="60">
        <v>6396.5880799999995</v>
      </c>
      <c r="F27" s="60">
        <v>1617286.21538</v>
      </c>
      <c r="G27" s="60">
        <v>1720886.12543</v>
      </c>
      <c r="H27" s="60">
        <v>30993.912629999999</v>
      </c>
      <c r="I27" s="60">
        <v>11398.298360000001</v>
      </c>
      <c r="J27" s="60">
        <v>42392.21099</v>
      </c>
      <c r="K27" s="60">
        <v>16675.462729999999</v>
      </c>
      <c r="L27" s="60">
        <v>14611.438600000001</v>
      </c>
      <c r="M27" s="60">
        <v>31286.901330000001</v>
      </c>
      <c r="N27" s="61">
        <v>1794565.2377500001</v>
      </c>
    </row>
    <row r="28" spans="2:14" s="54" customFormat="1" ht="14.1" customHeight="1" x14ac:dyDescent="0.2">
      <c r="B28" s="146" t="s">
        <v>115</v>
      </c>
      <c r="C28" s="60">
        <v>142993.03565999999</v>
      </c>
      <c r="D28" s="60">
        <v>107843.88180999999</v>
      </c>
      <c r="E28" s="60">
        <v>22242.991110000003</v>
      </c>
      <c r="F28" s="60">
        <v>4975939.6668400001</v>
      </c>
      <c r="G28" s="60">
        <v>5249019.5754199997</v>
      </c>
      <c r="H28" s="60">
        <v>143326.42939999999</v>
      </c>
      <c r="I28" s="60">
        <v>74540.617119999995</v>
      </c>
      <c r="J28" s="60">
        <v>217867.04651999997</v>
      </c>
      <c r="K28" s="60">
        <v>58407.747770000002</v>
      </c>
      <c r="L28" s="60">
        <v>19852.196969999997</v>
      </c>
      <c r="M28" s="60">
        <v>78259.944740000006</v>
      </c>
      <c r="N28" s="61">
        <v>5545146.5666800002</v>
      </c>
    </row>
    <row r="29" spans="2:14" s="54" customFormat="1" ht="14.1" customHeight="1" x14ac:dyDescent="0.2">
      <c r="B29" s="63" t="s">
        <v>116</v>
      </c>
      <c r="C29" s="60">
        <v>210488.47832999998</v>
      </c>
      <c r="D29" s="60">
        <v>183660.86261000001</v>
      </c>
      <c r="E29" s="60">
        <v>33687.63205</v>
      </c>
      <c r="F29" s="60">
        <v>7088113.4034700003</v>
      </c>
      <c r="G29" s="60">
        <v>7515950.3764599999</v>
      </c>
      <c r="H29" s="60">
        <v>248540.65513999999</v>
      </c>
      <c r="I29" s="60">
        <v>112328.52377999999</v>
      </c>
      <c r="J29" s="60">
        <v>360869.17891999998</v>
      </c>
      <c r="K29" s="60">
        <v>87117.529089999996</v>
      </c>
      <c r="L29" s="60">
        <v>34018.897039999996</v>
      </c>
      <c r="M29" s="60">
        <v>121136.42612999999</v>
      </c>
      <c r="N29" s="61">
        <v>7997955.9815099994</v>
      </c>
    </row>
    <row r="30" spans="2:14" s="54" customFormat="1" ht="14.1" customHeight="1" x14ac:dyDescent="0.2">
      <c r="B30" s="143" t="s">
        <v>117</v>
      </c>
      <c r="C30" s="144">
        <v>291884.23839000001</v>
      </c>
      <c r="D30" s="144">
        <v>312558.61783999996</v>
      </c>
      <c r="E30" s="144">
        <v>51709.752359999999</v>
      </c>
      <c r="F30" s="144">
        <v>11387376.25499</v>
      </c>
      <c r="G30" s="144">
        <v>12043528.86358</v>
      </c>
      <c r="H30" s="144">
        <v>532763.37844</v>
      </c>
      <c r="I30" s="144">
        <v>238251.99158999999</v>
      </c>
      <c r="J30" s="144">
        <v>771015.37002999999</v>
      </c>
      <c r="K30" s="144">
        <v>130931.23866999999</v>
      </c>
      <c r="L30" s="144">
        <v>181171.87521999999</v>
      </c>
      <c r="M30" s="144">
        <v>312103.11388999998</v>
      </c>
      <c r="N30" s="145">
        <v>13126647.3475</v>
      </c>
    </row>
    <row r="31" spans="2:14" s="54" customFormat="1" ht="14.1" customHeight="1" x14ac:dyDescent="0.2">
      <c r="B31" s="63" t="s">
        <v>118</v>
      </c>
      <c r="C31" s="60">
        <v>67260.884269999995</v>
      </c>
      <c r="D31" s="60">
        <v>31697.328239999995</v>
      </c>
      <c r="E31" s="60">
        <v>4198.0982700000004</v>
      </c>
      <c r="F31" s="60">
        <v>1808731.1824699999</v>
      </c>
      <c r="G31" s="60">
        <v>1911887.4932499998</v>
      </c>
      <c r="H31" s="60">
        <v>33697.464200000002</v>
      </c>
      <c r="I31" s="60">
        <v>28468.632599999997</v>
      </c>
      <c r="J31" s="60">
        <v>62166.096799999999</v>
      </c>
      <c r="K31" s="60">
        <v>10771.401900000001</v>
      </c>
      <c r="L31" s="60">
        <v>14911.701260000002</v>
      </c>
      <c r="M31" s="60">
        <v>25683.103160000002</v>
      </c>
      <c r="N31" s="61">
        <v>1999736.6932099997</v>
      </c>
    </row>
    <row r="32" spans="2:14" s="54" customFormat="1" ht="14.1" customHeight="1" x14ac:dyDescent="0.2">
      <c r="B32" s="146" t="s">
        <v>119</v>
      </c>
      <c r="C32" s="60">
        <v>149982.35253999999</v>
      </c>
      <c r="D32" s="60">
        <v>123370.92604999998</v>
      </c>
      <c r="E32" s="60">
        <v>18688.666140000001</v>
      </c>
      <c r="F32" s="60">
        <v>5648511.7336400002</v>
      </c>
      <c r="G32" s="60">
        <v>5940553.6783699999</v>
      </c>
      <c r="H32" s="60">
        <v>180449.85363000003</v>
      </c>
      <c r="I32" s="60">
        <v>89924.745129999996</v>
      </c>
      <c r="J32" s="60">
        <v>270374.59876000002</v>
      </c>
      <c r="K32" s="60">
        <v>51990.642100000005</v>
      </c>
      <c r="L32" s="60">
        <v>40931.7788</v>
      </c>
      <c r="M32" s="60">
        <v>92922.420899999997</v>
      </c>
      <c r="N32" s="61">
        <v>6303850.6980300006</v>
      </c>
    </row>
    <row r="33" spans="2:14" s="54" customFormat="1" ht="14.1" customHeight="1" x14ac:dyDescent="0.2">
      <c r="B33" s="63" t="s">
        <v>120</v>
      </c>
      <c r="C33" s="60">
        <v>212826.11715000001</v>
      </c>
      <c r="D33" s="60">
        <v>208108.35133999999</v>
      </c>
      <c r="E33" s="60">
        <v>27751.168020000001</v>
      </c>
      <c r="F33" s="60">
        <v>8001774.8802300002</v>
      </c>
      <c r="G33" s="60">
        <v>8450460.5167399999</v>
      </c>
      <c r="H33" s="60">
        <v>291866.41350000002</v>
      </c>
      <c r="I33" s="60">
        <v>143129.77003000001</v>
      </c>
      <c r="J33" s="60">
        <v>434996.18353000004</v>
      </c>
      <c r="K33" s="60">
        <v>53339.878890000007</v>
      </c>
      <c r="L33" s="60">
        <v>66803.855519999997</v>
      </c>
      <c r="M33" s="60">
        <v>120143.73441</v>
      </c>
      <c r="N33" s="61">
        <v>9005600.4346799999</v>
      </c>
    </row>
    <row r="34" spans="2:14" s="54" customFormat="1" ht="14.1" customHeight="1" x14ac:dyDescent="0.2">
      <c r="B34" s="143" t="s">
        <v>121</v>
      </c>
      <c r="C34" s="144">
        <v>306834.68552</v>
      </c>
      <c r="D34" s="144">
        <v>373489.78794000001</v>
      </c>
      <c r="E34" s="144">
        <v>45657.738550000002</v>
      </c>
      <c r="F34" s="144">
        <v>12471534.099299999</v>
      </c>
      <c r="G34" s="144">
        <v>13197516.311309999</v>
      </c>
      <c r="H34" s="144">
        <v>581501.99444000004</v>
      </c>
      <c r="I34" s="144">
        <v>261974.20371</v>
      </c>
      <c r="J34" s="144">
        <v>843476.19815000007</v>
      </c>
      <c r="K34" s="144">
        <v>130395.53438</v>
      </c>
      <c r="L34" s="144">
        <v>69726.579069999992</v>
      </c>
      <c r="M34" s="144">
        <v>200122.11345</v>
      </c>
      <c r="N34" s="145">
        <v>14241114.622909999</v>
      </c>
    </row>
    <row r="35" spans="2:14" s="54" customFormat="1" ht="14.1" customHeight="1" x14ac:dyDescent="0.2">
      <c r="B35" s="63" t="s">
        <v>122</v>
      </c>
      <c r="C35" s="60">
        <v>71855.201310000004</v>
      </c>
      <c r="D35" s="60">
        <v>42768.81667</v>
      </c>
      <c r="E35" s="60">
        <v>5843.6743300000007</v>
      </c>
      <c r="F35" s="60">
        <v>2141972.1970299999</v>
      </c>
      <c r="G35" s="60">
        <v>2262439.8893399998</v>
      </c>
      <c r="H35" s="60">
        <v>32655.53025</v>
      </c>
      <c r="I35" s="60">
        <v>25126.706020000001</v>
      </c>
      <c r="J35" s="60">
        <v>57782.236270000001</v>
      </c>
      <c r="K35" s="60">
        <v>7326.3474699999997</v>
      </c>
      <c r="L35" s="60">
        <v>15224.95318</v>
      </c>
      <c r="M35" s="60">
        <v>22551.300650000001</v>
      </c>
      <c r="N35" s="61">
        <v>2342773.4262600001</v>
      </c>
    </row>
    <row r="36" spans="2:14" s="54" customFormat="1" ht="14.1" customHeight="1" x14ac:dyDescent="0.2">
      <c r="B36" s="146" t="s">
        <v>123</v>
      </c>
      <c r="C36" s="60">
        <v>161609.86749</v>
      </c>
      <c r="D36" s="60">
        <v>137529.04543</v>
      </c>
      <c r="E36" s="60">
        <v>21321.731680000001</v>
      </c>
      <c r="F36" s="60">
        <v>6319158.3277499992</v>
      </c>
      <c r="G36" s="60">
        <v>6639618.9723499995</v>
      </c>
      <c r="H36" s="60">
        <v>187916.39637</v>
      </c>
      <c r="I36" s="60">
        <v>58953.754889999997</v>
      </c>
      <c r="J36" s="60">
        <v>246870.15126000001</v>
      </c>
      <c r="K36" s="60">
        <v>24790.359929999999</v>
      </c>
      <c r="L36" s="60">
        <v>41257.683499999999</v>
      </c>
      <c r="M36" s="60">
        <v>66048.043429999991</v>
      </c>
      <c r="N36" s="61">
        <v>6952537.1670399988</v>
      </c>
    </row>
    <row r="37" spans="2:14" s="54" customFormat="1" ht="14.1" customHeight="1" x14ac:dyDescent="0.2">
      <c r="B37" s="63" t="s">
        <v>124</v>
      </c>
      <c r="C37" s="60">
        <v>237129.78555999999</v>
      </c>
      <c r="D37" s="60">
        <v>234173.24411999999</v>
      </c>
      <c r="E37" s="60">
        <v>31781.982829999997</v>
      </c>
      <c r="F37" s="60">
        <v>8916021.8441599999</v>
      </c>
      <c r="G37" s="60">
        <v>9419106.8566699997</v>
      </c>
      <c r="H37" s="60">
        <v>322848.62472999998</v>
      </c>
      <c r="I37" s="60">
        <v>108031.4923</v>
      </c>
      <c r="J37" s="60">
        <v>430880.11702999996</v>
      </c>
      <c r="K37" s="60">
        <v>37871.10974</v>
      </c>
      <c r="L37" s="60">
        <v>67453.290819999995</v>
      </c>
      <c r="M37" s="60">
        <v>105324.40055999999</v>
      </c>
      <c r="N37" s="61">
        <v>9955311.3742600009</v>
      </c>
    </row>
    <row r="38" spans="2:14" s="54" customFormat="1" ht="14.1" customHeight="1" x14ac:dyDescent="0.2">
      <c r="B38" s="143" t="s">
        <v>125</v>
      </c>
      <c r="C38" s="144">
        <v>332923.78633999999</v>
      </c>
      <c r="D38" s="144">
        <v>414825.85884</v>
      </c>
      <c r="E38" s="144">
        <v>53164.223419999995</v>
      </c>
      <c r="F38" s="144">
        <v>12287982.15295</v>
      </c>
      <c r="G38" s="144">
        <v>13088896.02155</v>
      </c>
      <c r="H38" s="144">
        <v>638305.09019999998</v>
      </c>
      <c r="I38" s="144">
        <v>313522.99339000002</v>
      </c>
      <c r="J38" s="144">
        <v>951828.08358999994</v>
      </c>
      <c r="K38" s="144">
        <v>154297.54013000001</v>
      </c>
      <c r="L38" s="144">
        <v>92714.242279999991</v>
      </c>
      <c r="M38" s="144">
        <v>247011.78240999999</v>
      </c>
      <c r="N38" s="145">
        <v>14287735.88755</v>
      </c>
    </row>
    <row r="39" spans="2:14" s="54" customFormat="1" ht="14.1" customHeight="1" x14ac:dyDescent="0.2">
      <c r="B39" s="63" t="s">
        <v>126</v>
      </c>
      <c r="C39" s="60">
        <v>77675.256779999996</v>
      </c>
      <c r="D39" s="60">
        <v>51276.652770000001</v>
      </c>
      <c r="E39" s="60">
        <v>5305.7215400000005</v>
      </c>
      <c r="F39" s="60">
        <v>2089201.1428999999</v>
      </c>
      <c r="G39" s="60">
        <v>2223458.7739899997</v>
      </c>
      <c r="H39" s="60">
        <v>48982.566099999996</v>
      </c>
      <c r="I39" s="60">
        <v>20485.542529999999</v>
      </c>
      <c r="J39" s="60">
        <v>69468.108630000002</v>
      </c>
      <c r="K39" s="60">
        <v>928.46180000000004</v>
      </c>
      <c r="L39" s="60">
        <v>15556.264160000002</v>
      </c>
      <c r="M39" s="60">
        <v>16484.725960000003</v>
      </c>
      <c r="N39" s="61">
        <v>2309411.6085799998</v>
      </c>
    </row>
    <row r="40" spans="2:14" s="54" customFormat="1" ht="14.1" customHeight="1" x14ac:dyDescent="0.2">
      <c r="B40" s="146" t="s">
        <v>127</v>
      </c>
      <c r="C40" s="60">
        <v>173098.27016000001</v>
      </c>
      <c r="D40" s="60">
        <v>169707.19050999999</v>
      </c>
      <c r="E40" s="60">
        <v>18788.211290000003</v>
      </c>
      <c r="F40" s="60">
        <v>6114936.9877599999</v>
      </c>
      <c r="G40" s="60">
        <v>6476530.6597199999</v>
      </c>
      <c r="H40" s="60">
        <v>190586.62348000001</v>
      </c>
      <c r="I40" s="60">
        <v>86398.524560000005</v>
      </c>
      <c r="J40" s="60">
        <v>276985.14804</v>
      </c>
      <c r="K40" s="60">
        <v>29259.594290000005</v>
      </c>
      <c r="L40" s="60">
        <v>64953.402739999998</v>
      </c>
      <c r="M40" s="60">
        <v>94212.997029999999</v>
      </c>
      <c r="N40" s="61">
        <v>6847728.8047900004</v>
      </c>
    </row>
    <row r="41" spans="2:14" s="54" customFormat="1" ht="14.1" customHeight="1" x14ac:dyDescent="0.2">
      <c r="B41" s="63" t="s">
        <v>128</v>
      </c>
      <c r="C41" s="60">
        <v>253461.42083000002</v>
      </c>
      <c r="D41" s="60">
        <v>274619.74022000004</v>
      </c>
      <c r="E41" s="60">
        <v>27486.453859999998</v>
      </c>
      <c r="F41" s="60">
        <v>8688707.6064999998</v>
      </c>
      <c r="G41" s="60">
        <v>9244275.2214099988</v>
      </c>
      <c r="H41" s="60">
        <v>337443.34933</v>
      </c>
      <c r="I41" s="60">
        <v>148545.14228</v>
      </c>
      <c r="J41" s="60">
        <v>485988.49161000003</v>
      </c>
      <c r="K41" s="60">
        <v>37888.549759999994</v>
      </c>
      <c r="L41" s="60">
        <v>89871.870859999995</v>
      </c>
      <c r="M41" s="60">
        <v>127760.42061999999</v>
      </c>
      <c r="N41" s="61">
        <v>9858024.1336399987</v>
      </c>
    </row>
    <row r="42" spans="2:14" s="54" customFormat="1" ht="14.1" customHeight="1" x14ac:dyDescent="0.2">
      <c r="B42" s="143" t="s">
        <v>129</v>
      </c>
      <c r="C42" s="144">
        <v>352635.69383000024</v>
      </c>
      <c r="D42" s="144">
        <v>466337.87278000067</v>
      </c>
      <c r="E42" s="144">
        <v>47333.628730000004</v>
      </c>
      <c r="F42" s="144">
        <v>10786454.542740006</v>
      </c>
      <c r="G42" s="144">
        <v>11652761.738080006</v>
      </c>
      <c r="H42" s="144">
        <v>649813.1743999999</v>
      </c>
      <c r="I42" s="144">
        <v>364339.01431</v>
      </c>
      <c r="J42" s="144">
        <v>1014152.1887099999</v>
      </c>
      <c r="K42" s="144">
        <v>202065.65156000003</v>
      </c>
      <c r="L42" s="144">
        <v>95146.625350000002</v>
      </c>
      <c r="M42" s="144">
        <v>297212.27691000002</v>
      </c>
      <c r="N42" s="145">
        <v>12964126.203700006</v>
      </c>
    </row>
    <row r="43" spans="2:14" s="54" customFormat="1" ht="14.1" customHeight="1" x14ac:dyDescent="0.2">
      <c r="B43" s="63" t="s">
        <v>130</v>
      </c>
      <c r="C43" s="60">
        <v>79920.664369999955</v>
      </c>
      <c r="D43" s="60">
        <v>70952.75092000002</v>
      </c>
      <c r="E43" s="60">
        <v>5332.9415300000001</v>
      </c>
      <c r="F43" s="60">
        <v>1868130.8902600002</v>
      </c>
      <c r="G43" s="60">
        <v>2024337.2470800001</v>
      </c>
      <c r="H43" s="60">
        <v>51636.30833</v>
      </c>
      <c r="I43" s="60">
        <v>58609.253999999994</v>
      </c>
      <c r="J43" s="60">
        <v>110245.56232999999</v>
      </c>
      <c r="K43" s="60">
        <v>12103.10082</v>
      </c>
      <c r="L43" s="60">
        <v>13173.85614</v>
      </c>
      <c r="M43" s="60">
        <v>25276.95696</v>
      </c>
      <c r="N43" s="61">
        <v>2159859.7663700003</v>
      </c>
    </row>
    <row r="44" spans="2:14" s="54" customFormat="1" ht="14.1" customHeight="1" x14ac:dyDescent="0.2">
      <c r="B44" s="146" t="s">
        <v>131</v>
      </c>
      <c r="C44" s="60">
        <v>177208.23781999998</v>
      </c>
      <c r="D44" s="60">
        <v>183028.56885999994</v>
      </c>
      <c r="E44" s="60">
        <v>18146.575690000001</v>
      </c>
      <c r="F44" s="60">
        <v>5393254.9421700016</v>
      </c>
      <c r="G44" s="60">
        <v>5771638.3245400013</v>
      </c>
      <c r="H44" s="60">
        <v>150213.54998999997</v>
      </c>
      <c r="I44" s="60">
        <v>93148.492299999984</v>
      </c>
      <c r="J44" s="60">
        <v>243362.04228999995</v>
      </c>
      <c r="K44" s="60">
        <v>38776.849970000003</v>
      </c>
      <c r="L44" s="60">
        <v>79652.039539999998</v>
      </c>
      <c r="M44" s="60">
        <v>118428.88951000001</v>
      </c>
      <c r="N44" s="61">
        <v>6133429.2563400017</v>
      </c>
    </row>
    <row r="45" spans="2:14" s="54" customFormat="1" ht="14.1" customHeight="1" x14ac:dyDescent="0.2">
      <c r="B45" s="63" t="s">
        <v>132</v>
      </c>
      <c r="C45" s="60">
        <v>255729.28281000006</v>
      </c>
      <c r="D45" s="60">
        <v>298845.92050999997</v>
      </c>
      <c r="E45" s="60">
        <v>26787.626080000005</v>
      </c>
      <c r="F45" s="60">
        <v>7607600.8121000007</v>
      </c>
      <c r="G45" s="60">
        <v>8188963.6415000008</v>
      </c>
      <c r="H45" s="60">
        <v>260606.24670000008</v>
      </c>
      <c r="I45" s="60">
        <v>147613.34016000002</v>
      </c>
      <c r="J45" s="60">
        <v>408219.5868600001</v>
      </c>
      <c r="K45" s="60">
        <v>40772.102060000005</v>
      </c>
      <c r="L45" s="60">
        <v>104261.08655000001</v>
      </c>
      <c r="M45" s="60">
        <v>145033.18861000001</v>
      </c>
      <c r="N45" s="61">
        <v>8742216.4169700015</v>
      </c>
    </row>
    <row r="46" spans="2:14" s="54" customFormat="1" ht="14.1" customHeight="1" x14ac:dyDescent="0.2">
      <c r="B46" s="143" t="s">
        <v>133</v>
      </c>
      <c r="C46" s="144">
        <v>353864.22283999971</v>
      </c>
      <c r="D46" s="144">
        <v>460559.82119999983</v>
      </c>
      <c r="E46" s="144">
        <v>47326.642940000005</v>
      </c>
      <c r="F46" s="144">
        <v>11487714.388319995</v>
      </c>
      <c r="G46" s="144">
        <v>12349465.075299995</v>
      </c>
      <c r="H46" s="144">
        <v>556584.39020000002</v>
      </c>
      <c r="I46" s="144">
        <v>306126.39525999996</v>
      </c>
      <c r="J46" s="144">
        <v>862710.78545999993</v>
      </c>
      <c r="K46" s="144">
        <v>115404.84401</v>
      </c>
      <c r="L46" s="144">
        <v>109550.79432999989</v>
      </c>
      <c r="M46" s="144">
        <v>224955.63833999989</v>
      </c>
      <c r="N46" s="145">
        <v>13437131.499099996</v>
      </c>
    </row>
    <row r="47" spans="2:14" s="54" customFormat="1" ht="14.1" customHeight="1" x14ac:dyDescent="0.2">
      <c r="B47" s="63" t="s">
        <v>134</v>
      </c>
      <c r="C47" s="60">
        <v>78463.101580000017</v>
      </c>
      <c r="D47" s="60">
        <v>79075.042040000015</v>
      </c>
      <c r="E47" s="60">
        <v>8259.8949400000001</v>
      </c>
      <c r="F47" s="60">
        <v>2066272.0936600005</v>
      </c>
      <c r="G47" s="60">
        <v>2232070.1322200005</v>
      </c>
      <c r="H47" s="60">
        <v>53914.844459999993</v>
      </c>
      <c r="I47" s="60">
        <v>39680.681649999999</v>
      </c>
      <c r="J47" s="60">
        <v>93595.526109999992</v>
      </c>
      <c r="K47" s="60">
        <v>10689.12398</v>
      </c>
      <c r="L47" s="60">
        <v>8901.2566200000001</v>
      </c>
      <c r="M47" s="60">
        <v>19590.3806</v>
      </c>
      <c r="N47" s="61">
        <v>2345256.0389300003</v>
      </c>
    </row>
    <row r="48" spans="2:14" s="54" customFormat="1" ht="14.1" customHeight="1" x14ac:dyDescent="0.2">
      <c r="B48" s="146" t="s">
        <v>135</v>
      </c>
      <c r="C48" s="60">
        <v>175193.59011999986</v>
      </c>
      <c r="D48" s="60">
        <v>202249.36774000002</v>
      </c>
      <c r="E48" s="60">
        <v>25233.265789999998</v>
      </c>
      <c r="F48" s="60">
        <v>5819076.1585200001</v>
      </c>
      <c r="G48" s="60">
        <v>6221752.3821700001</v>
      </c>
      <c r="H48" s="60">
        <v>138645.16103999998</v>
      </c>
      <c r="I48" s="60">
        <v>95997.307870000004</v>
      </c>
      <c r="J48" s="60">
        <v>234642.46891</v>
      </c>
      <c r="K48" s="60">
        <v>34933.401840000006</v>
      </c>
      <c r="L48" s="60">
        <v>92007.726640000008</v>
      </c>
      <c r="M48" s="60">
        <v>126941.12848000001</v>
      </c>
      <c r="N48" s="61">
        <v>6583335.9795600008</v>
      </c>
    </row>
    <row r="49" spans="2:14" s="54" customFormat="1" ht="14.1" customHeight="1" x14ac:dyDescent="0.2">
      <c r="B49" s="63" t="s">
        <v>136</v>
      </c>
      <c r="C49" s="60">
        <v>253490.53754999995</v>
      </c>
      <c r="D49" s="60">
        <v>322549.42976999993</v>
      </c>
      <c r="E49" s="60">
        <v>41891.988869999994</v>
      </c>
      <c r="F49" s="60">
        <v>8066650.1257799994</v>
      </c>
      <c r="G49" s="60">
        <v>8684582.0819699988</v>
      </c>
      <c r="H49" s="60">
        <v>231578.74171000003</v>
      </c>
      <c r="I49" s="60">
        <v>142913.06075</v>
      </c>
      <c r="J49" s="60">
        <v>374491.80246000004</v>
      </c>
      <c r="K49" s="60">
        <v>52981.599449999994</v>
      </c>
      <c r="L49" s="60">
        <v>113094.45057</v>
      </c>
      <c r="M49" s="60">
        <v>166076.05002</v>
      </c>
      <c r="N49" s="61">
        <v>9225149.9344499987</v>
      </c>
    </row>
    <row r="50" spans="2:14" s="54" customFormat="1" ht="14.1" customHeight="1" x14ac:dyDescent="0.2">
      <c r="B50" s="143" t="s">
        <v>137</v>
      </c>
      <c r="C50" s="144">
        <v>351604.44445999991</v>
      </c>
      <c r="D50" s="144">
        <v>495652.45963999926</v>
      </c>
      <c r="E50" s="144">
        <v>68331.934290000005</v>
      </c>
      <c r="F50" s="144">
        <v>11055116.395849999</v>
      </c>
      <c r="G50" s="144">
        <v>11970705.234239999</v>
      </c>
      <c r="H50" s="144">
        <v>414452.84574999998</v>
      </c>
      <c r="I50" s="144">
        <v>278917.82637999993</v>
      </c>
      <c r="J50" s="144">
        <v>693370.67212999985</v>
      </c>
      <c r="K50" s="144">
        <v>82520.158739999999</v>
      </c>
      <c r="L50" s="144">
        <v>233799.68676999997</v>
      </c>
      <c r="M50" s="144">
        <v>316319.84550999996</v>
      </c>
      <c r="N50" s="145">
        <v>12980395.751879999</v>
      </c>
    </row>
    <row r="51" spans="2:14" s="54" customFormat="1" ht="14.1" customHeight="1" x14ac:dyDescent="0.2">
      <c r="B51" s="63" t="s">
        <v>138</v>
      </c>
      <c r="C51" s="60">
        <v>76227.096040000004</v>
      </c>
      <c r="D51" s="60">
        <v>74130.299350000045</v>
      </c>
      <c r="E51" s="60">
        <v>12479.442259999998</v>
      </c>
      <c r="F51" s="60">
        <v>1927310.7138300003</v>
      </c>
      <c r="G51" s="60">
        <v>2090147.5514800004</v>
      </c>
      <c r="H51" s="60">
        <v>22990.889040000002</v>
      </c>
      <c r="I51" s="60">
        <v>32364.028539999999</v>
      </c>
      <c r="J51" s="60">
        <v>55354.917580000001</v>
      </c>
      <c r="K51" s="60">
        <v>705.27499999999998</v>
      </c>
      <c r="L51" s="60">
        <v>75134.164140000008</v>
      </c>
      <c r="M51" s="60">
        <v>75839.439140000002</v>
      </c>
      <c r="N51" s="61">
        <v>2221341.9082000004</v>
      </c>
    </row>
    <row r="52" spans="2:14" s="54" customFormat="1" ht="14.1" customHeight="1" x14ac:dyDescent="0.2">
      <c r="B52" s="146" t="s">
        <v>139</v>
      </c>
      <c r="C52" s="60">
        <v>170803.28956000003</v>
      </c>
      <c r="D52" s="60">
        <v>198814.76659000004</v>
      </c>
      <c r="E52" s="60">
        <v>30362.190590000002</v>
      </c>
      <c r="F52" s="60">
        <v>5460933.5365299992</v>
      </c>
      <c r="G52" s="60">
        <v>5860913.7832699995</v>
      </c>
      <c r="H52" s="60">
        <v>66742.574370000002</v>
      </c>
      <c r="I52" s="60">
        <v>99791.480110000019</v>
      </c>
      <c r="J52" s="60">
        <v>166534.05448000002</v>
      </c>
      <c r="K52" s="60">
        <v>36503.841180000003</v>
      </c>
      <c r="L52" s="60">
        <v>160734.37439000001</v>
      </c>
      <c r="M52" s="60">
        <v>197238.21557</v>
      </c>
      <c r="N52" s="61">
        <v>6224686.0533199999</v>
      </c>
    </row>
    <row r="53" spans="2:14" s="54" customFormat="1" ht="14.1" customHeight="1" x14ac:dyDescent="0.2">
      <c r="B53" s="63" t="s">
        <v>140</v>
      </c>
      <c r="C53" s="60">
        <v>247272.70942999999</v>
      </c>
      <c r="D53" s="60">
        <v>324281.45450000034</v>
      </c>
      <c r="E53" s="60">
        <v>47050.531770000001</v>
      </c>
      <c r="F53" s="60">
        <v>7498099.8546000011</v>
      </c>
      <c r="G53" s="60">
        <v>8116704.5503000012</v>
      </c>
      <c r="H53" s="60">
        <v>118610.53125000001</v>
      </c>
      <c r="I53" s="60">
        <v>147922.40055000002</v>
      </c>
      <c r="J53" s="60">
        <v>266532.93180000002</v>
      </c>
      <c r="K53" s="60">
        <v>50077.397690000005</v>
      </c>
      <c r="L53" s="60">
        <v>184943.92879000001</v>
      </c>
      <c r="M53" s="60">
        <v>235021.32648000002</v>
      </c>
      <c r="N53" s="61">
        <v>8618258.8085800018</v>
      </c>
    </row>
    <row r="54" spans="2:14" s="54" customFormat="1" ht="14.1" customHeight="1" x14ac:dyDescent="0.2">
      <c r="B54" s="143" t="s">
        <v>141</v>
      </c>
      <c r="C54" s="144">
        <v>332140.66399999999</v>
      </c>
      <c r="D54" s="144">
        <v>503363.14299999998</v>
      </c>
      <c r="E54" s="144">
        <v>72438.304999999993</v>
      </c>
      <c r="F54" s="144">
        <v>10720392.677999999</v>
      </c>
      <c r="G54" s="144">
        <v>11628334.789999999</v>
      </c>
      <c r="H54" s="144">
        <v>236432.516</v>
      </c>
      <c r="I54" s="144">
        <v>453784.33900000004</v>
      </c>
      <c r="J54" s="144">
        <v>690216.85499999998</v>
      </c>
      <c r="K54" s="144">
        <v>110116.201</v>
      </c>
      <c r="L54" s="144">
        <v>235461.696</v>
      </c>
      <c r="M54" s="144">
        <v>345577.897</v>
      </c>
      <c r="N54" s="145">
        <v>12664129.541999999</v>
      </c>
    </row>
    <row r="55" spans="2:14" s="54" customFormat="1" ht="14.1" customHeight="1" x14ac:dyDescent="0.2">
      <c r="B55" s="63" t="s">
        <v>142</v>
      </c>
      <c r="C55" s="60">
        <v>75892.087670000023</v>
      </c>
      <c r="D55" s="60">
        <v>72276.751140000022</v>
      </c>
      <c r="E55" s="60">
        <v>12898.588220000001</v>
      </c>
      <c r="F55" s="60">
        <v>1829766.6908099998</v>
      </c>
      <c r="G55" s="60">
        <v>1990834.11784</v>
      </c>
      <c r="H55" s="60">
        <v>21394.781199999998</v>
      </c>
      <c r="I55" s="60">
        <v>22923.964120000004</v>
      </c>
      <c r="J55" s="60">
        <v>44318.745320000002</v>
      </c>
      <c r="K55" s="60">
        <v>4249.8900300000005</v>
      </c>
      <c r="L55" s="60">
        <v>35079.487999999998</v>
      </c>
      <c r="M55" s="60">
        <v>39329.37803</v>
      </c>
      <c r="N55" s="61">
        <v>2074482.24119</v>
      </c>
    </row>
    <row r="56" spans="2:14" s="54" customFormat="1" ht="14.1" customHeight="1" x14ac:dyDescent="0.2">
      <c r="B56" s="146" t="s">
        <v>143</v>
      </c>
      <c r="C56" s="60">
        <v>174008.48457000003</v>
      </c>
      <c r="D56" s="60">
        <v>195942.20556999993</v>
      </c>
      <c r="E56" s="60">
        <v>28026.75747</v>
      </c>
      <c r="F56" s="60">
        <v>5276597.28235</v>
      </c>
      <c r="G56" s="60">
        <v>5674574.7299600001</v>
      </c>
      <c r="H56" s="60">
        <v>72303.374859999996</v>
      </c>
      <c r="I56" s="60">
        <v>63328.806960000002</v>
      </c>
      <c r="J56" s="60">
        <v>135632.18182</v>
      </c>
      <c r="K56" s="60">
        <v>26234.935090000003</v>
      </c>
      <c r="L56" s="60">
        <v>111716.19803</v>
      </c>
      <c r="M56" s="60">
        <v>137951.13312000001</v>
      </c>
      <c r="N56" s="61">
        <v>5948158.0449000001</v>
      </c>
    </row>
    <row r="57" spans="2:14" s="54" customFormat="1" ht="14.1" customHeight="1" x14ac:dyDescent="0.2">
      <c r="B57" s="146" t="s">
        <v>144</v>
      </c>
      <c r="C57" s="60">
        <v>250177.73616999993</v>
      </c>
      <c r="D57" s="60">
        <v>316876.8523400001</v>
      </c>
      <c r="E57" s="60">
        <v>44955.372749999995</v>
      </c>
      <c r="F57" s="60">
        <v>7378273.676789999</v>
      </c>
      <c r="G57" s="60">
        <v>7990283.6380499993</v>
      </c>
      <c r="H57" s="60">
        <v>120165.09664</v>
      </c>
      <c r="I57" s="60">
        <v>94395.993849999984</v>
      </c>
      <c r="J57" s="60">
        <v>214561.09048999997</v>
      </c>
      <c r="K57" s="60">
        <v>33264.51311</v>
      </c>
      <c r="L57" s="60">
        <v>140048.04327000002</v>
      </c>
      <c r="M57" s="60">
        <v>173312.55638000002</v>
      </c>
      <c r="N57" s="61">
        <v>8378157.2849199995</v>
      </c>
    </row>
    <row r="58" spans="2:14" s="54" customFormat="1" ht="14.1" customHeight="1" x14ac:dyDescent="0.2">
      <c r="B58" s="143" t="s">
        <v>145</v>
      </c>
      <c r="C58" s="144">
        <v>336582.64644999965</v>
      </c>
      <c r="D58" s="144">
        <v>499103.3502700004</v>
      </c>
      <c r="E58" s="144">
        <v>72357.206789999997</v>
      </c>
      <c r="F58" s="144">
        <v>10952675.217120003</v>
      </c>
      <c r="G58" s="144">
        <v>11860718.420630002</v>
      </c>
      <c r="H58" s="144">
        <v>230696.08763000002</v>
      </c>
      <c r="I58" s="144">
        <v>206313.86820999999</v>
      </c>
      <c r="J58" s="144">
        <v>437009.95584000001</v>
      </c>
      <c r="K58" s="144">
        <v>98148.085370000001</v>
      </c>
      <c r="L58" s="144">
        <v>244056.86588</v>
      </c>
      <c r="M58" s="144">
        <v>342204.95124999998</v>
      </c>
      <c r="N58" s="145">
        <v>12639933.327720003</v>
      </c>
    </row>
    <row r="59" spans="2:14" s="54" customFormat="1" ht="14.1" customHeight="1" x14ac:dyDescent="0.2">
      <c r="B59" s="63" t="s">
        <v>146</v>
      </c>
      <c r="C59" s="60">
        <v>82094.305580000015</v>
      </c>
      <c r="D59" s="60">
        <v>75744.522669999962</v>
      </c>
      <c r="E59" s="60">
        <v>14356.425879999999</v>
      </c>
      <c r="F59" s="60">
        <v>1916220.5897400002</v>
      </c>
      <c r="G59" s="60">
        <v>2088415.8438700002</v>
      </c>
      <c r="H59" s="60">
        <v>16565.105609999999</v>
      </c>
      <c r="I59" s="60">
        <v>36337.843540000002</v>
      </c>
      <c r="J59" s="60">
        <v>52902.94915</v>
      </c>
      <c r="K59" s="60">
        <v>2757.3768700000005</v>
      </c>
      <c r="L59" s="60">
        <v>31387.755939999999</v>
      </c>
      <c r="M59" s="60">
        <v>34145.132810000003</v>
      </c>
      <c r="N59" s="61">
        <v>2175463.9258300001</v>
      </c>
    </row>
    <row r="60" spans="2:14" s="54" customFormat="1" ht="14.1" customHeight="1" x14ac:dyDescent="0.2">
      <c r="B60" s="63" t="s">
        <v>147</v>
      </c>
      <c r="C60" s="60">
        <v>176318.04669999989</v>
      </c>
      <c r="D60" s="60">
        <v>198750.70649999983</v>
      </c>
      <c r="E60" s="60">
        <v>40420.495319999995</v>
      </c>
      <c r="F60" s="60">
        <v>5531128.524319998</v>
      </c>
      <c r="G60" s="60">
        <v>5946617.7728399979</v>
      </c>
      <c r="H60" s="60">
        <v>53721.898679999991</v>
      </c>
      <c r="I60" s="60">
        <v>70499.947389999987</v>
      </c>
      <c r="J60" s="60">
        <v>124221.84606999997</v>
      </c>
      <c r="K60" s="60">
        <v>28286.457870000002</v>
      </c>
      <c r="L60" s="60">
        <v>100048.75468</v>
      </c>
      <c r="M60" s="60">
        <v>128335.21255</v>
      </c>
      <c r="N60" s="61">
        <v>6199174.8314599982</v>
      </c>
    </row>
    <row r="61" spans="2:14" s="54" customFormat="1" ht="14.1" customHeight="1" x14ac:dyDescent="0.2">
      <c r="B61" s="63" t="s">
        <v>148</v>
      </c>
      <c r="C61" s="60">
        <v>253244.31538000001</v>
      </c>
      <c r="D61" s="60">
        <v>321976.96192999999</v>
      </c>
      <c r="E61" s="60">
        <v>46952.666669999999</v>
      </c>
      <c r="F61" s="60">
        <v>7812933.2943699965</v>
      </c>
      <c r="G61" s="60">
        <v>8435107.2383499965</v>
      </c>
      <c r="H61" s="60">
        <v>95227.236479999963</v>
      </c>
      <c r="I61" s="60">
        <v>91575.745180000013</v>
      </c>
      <c r="J61" s="60">
        <v>186802.98165999999</v>
      </c>
      <c r="K61" s="60">
        <v>37465.311070000003</v>
      </c>
      <c r="L61" s="60">
        <v>117931.31419</v>
      </c>
      <c r="M61" s="60">
        <v>155396.62526</v>
      </c>
      <c r="N61" s="61">
        <v>8777306.8452699948</v>
      </c>
    </row>
    <row r="62" spans="2:14" s="54" customFormat="1" ht="14.1" customHeight="1" x14ac:dyDescent="0.2">
      <c r="B62" s="143" t="s">
        <v>149</v>
      </c>
      <c r="C62" s="144">
        <v>349360.45908000006</v>
      </c>
      <c r="D62" s="144">
        <v>513900.94817999972</v>
      </c>
      <c r="E62" s="144">
        <v>74323.16872999999</v>
      </c>
      <c r="F62" s="144">
        <v>11482750.494169995</v>
      </c>
      <c r="G62" s="144">
        <v>12420335.070159994</v>
      </c>
      <c r="H62" s="144">
        <v>188543.18935999996</v>
      </c>
      <c r="I62" s="144">
        <v>203037.69319000005</v>
      </c>
      <c r="J62" s="144">
        <v>391580.88254999998</v>
      </c>
      <c r="K62" s="144">
        <v>136392.80147000001</v>
      </c>
      <c r="L62" s="144">
        <v>259298.74486000001</v>
      </c>
      <c r="M62" s="144">
        <v>395691.54633000004</v>
      </c>
      <c r="N62" s="145">
        <v>13207607.499039993</v>
      </c>
    </row>
    <row r="63" spans="2:14" s="54" customFormat="1" ht="14.1" customHeight="1" x14ac:dyDescent="0.2">
      <c r="B63" s="63" t="s">
        <v>150</v>
      </c>
      <c r="C63" s="60">
        <v>77705.819630000013</v>
      </c>
      <c r="D63" s="60">
        <v>74952.659010000047</v>
      </c>
      <c r="E63" s="60">
        <v>15673.9638</v>
      </c>
      <c r="F63" s="60">
        <v>1985348.3214200006</v>
      </c>
      <c r="G63" s="60">
        <v>2153680.7638600008</v>
      </c>
      <c r="H63" s="60">
        <v>15788.354740000001</v>
      </c>
      <c r="I63" s="60">
        <v>34681.756160000004</v>
      </c>
      <c r="J63" s="60">
        <v>50470.110900000007</v>
      </c>
      <c r="K63" s="60">
        <v>3624.9463299999998</v>
      </c>
      <c r="L63" s="60">
        <v>35772.381179999997</v>
      </c>
      <c r="M63" s="60">
        <v>39397.327509999996</v>
      </c>
      <c r="N63" s="61">
        <v>2243548.2022700012</v>
      </c>
    </row>
    <row r="64" spans="2:14" s="54" customFormat="1" ht="14.1" customHeight="1" x14ac:dyDescent="0.2">
      <c r="B64" s="63" t="s">
        <v>151</v>
      </c>
      <c r="C64" s="60">
        <v>171809.26236000002</v>
      </c>
      <c r="D64" s="60">
        <v>208723.14116999999</v>
      </c>
      <c r="E64" s="60">
        <v>24021.17985</v>
      </c>
      <c r="F64" s="60">
        <v>5799934.6347399987</v>
      </c>
      <c r="G64" s="60">
        <v>6204488.2181199985</v>
      </c>
      <c r="H64" s="60">
        <v>55158.631800000003</v>
      </c>
      <c r="I64" s="60">
        <v>68880.974600000016</v>
      </c>
      <c r="J64" s="60">
        <v>124039.60640000002</v>
      </c>
      <c r="K64" s="60">
        <v>28693.932929999999</v>
      </c>
      <c r="L64" s="60">
        <v>98741.89903</v>
      </c>
      <c r="M64" s="60">
        <v>127435.83196</v>
      </c>
      <c r="N64" s="61">
        <v>6455963.6564799985</v>
      </c>
    </row>
    <row r="65" spans="2:14" s="54" customFormat="1" ht="14.1" customHeight="1" x14ac:dyDescent="0.2">
      <c r="B65" s="63" t="s">
        <v>152</v>
      </c>
      <c r="C65" s="60">
        <v>252404.21423000001</v>
      </c>
      <c r="D65" s="60">
        <v>337038.25710000005</v>
      </c>
      <c r="E65" s="60">
        <v>35884.118770000001</v>
      </c>
      <c r="F65" s="60">
        <v>8144575.5458499994</v>
      </c>
      <c r="G65" s="60">
        <v>8769902.1359499991</v>
      </c>
      <c r="H65" s="60">
        <v>83489.698940000002</v>
      </c>
      <c r="I65" s="60">
        <v>102133.22542</v>
      </c>
      <c r="J65" s="60">
        <v>185622.92436</v>
      </c>
      <c r="K65" s="60">
        <v>65948.395220000006</v>
      </c>
      <c r="L65" s="60">
        <v>121712.7026</v>
      </c>
      <c r="M65" s="60">
        <v>187661.09782000002</v>
      </c>
      <c r="N65" s="61">
        <v>9143186.1581299994</v>
      </c>
    </row>
    <row r="66" spans="2:14" s="54" customFormat="1" ht="14.1" customHeight="1" x14ac:dyDescent="0.2">
      <c r="B66" s="143" t="s">
        <v>153</v>
      </c>
      <c r="C66" s="144">
        <v>348845.45134999999</v>
      </c>
      <c r="D66" s="144">
        <v>533855.12502999988</v>
      </c>
      <c r="E66" s="144">
        <v>53263.002570000004</v>
      </c>
      <c r="F66" s="144">
        <v>11818296.009159997</v>
      </c>
      <c r="G66" s="144">
        <v>12754259.588109996</v>
      </c>
      <c r="H66" s="144">
        <v>171180.53685000003</v>
      </c>
      <c r="I66" s="144">
        <v>210603.24331000002</v>
      </c>
      <c r="J66" s="144">
        <v>381783.78016000008</v>
      </c>
      <c r="K66" s="144">
        <v>139798.82493</v>
      </c>
      <c r="L66" s="144">
        <v>250402.88118</v>
      </c>
      <c r="M66" s="144">
        <v>390201.70611000003</v>
      </c>
      <c r="N66" s="145">
        <v>13526245.074379997</v>
      </c>
    </row>
    <row r="67" spans="2:14" s="54" customFormat="1" ht="14.1" customHeight="1" x14ac:dyDescent="0.2">
      <c r="B67" s="63" t="s">
        <v>154</v>
      </c>
      <c r="C67" s="60">
        <v>78533.384159999972</v>
      </c>
      <c r="D67" s="60">
        <v>80312.26241000001</v>
      </c>
      <c r="E67" s="60">
        <v>9955.7109300000011</v>
      </c>
      <c r="F67" s="60">
        <v>2090885.8276400003</v>
      </c>
      <c r="G67" s="60">
        <v>2259687.1851400002</v>
      </c>
      <c r="H67" s="60">
        <v>14737.52162</v>
      </c>
      <c r="I67" s="60">
        <v>26879.672469999998</v>
      </c>
      <c r="J67" s="60">
        <v>41617.194089999997</v>
      </c>
      <c r="K67" s="60">
        <v>4325.0398100000002</v>
      </c>
      <c r="L67" s="60">
        <v>24900.80358</v>
      </c>
      <c r="M67" s="60">
        <v>29225.843390000002</v>
      </c>
      <c r="N67" s="61">
        <v>2330530.2226200001</v>
      </c>
    </row>
    <row r="68" spans="2:14" s="54" customFormat="1" ht="14.1" customHeight="1" x14ac:dyDescent="0.2">
      <c r="B68" s="63" t="s">
        <v>155</v>
      </c>
      <c r="C68" s="60">
        <v>173481.28693999999</v>
      </c>
      <c r="D68" s="60">
        <v>211501.02447999999</v>
      </c>
      <c r="E68" s="60">
        <v>20029.882310000001</v>
      </c>
      <c r="F68" s="60">
        <v>6021345.4701199997</v>
      </c>
      <c r="G68" s="60">
        <v>6426357.6638500001</v>
      </c>
      <c r="H68" s="60">
        <v>43600.215259999997</v>
      </c>
      <c r="I68" s="60">
        <v>48174.629069999995</v>
      </c>
      <c r="J68" s="60">
        <v>91774.844329999993</v>
      </c>
      <c r="K68" s="60">
        <v>27546.796149999998</v>
      </c>
      <c r="L68" s="60">
        <v>86859.60716</v>
      </c>
      <c r="M68" s="60">
        <v>114406.40330999999</v>
      </c>
      <c r="N68" s="61">
        <v>6632538.9114899999</v>
      </c>
    </row>
    <row r="69" spans="2:14" s="54" customFormat="1" ht="14.1" customHeight="1" x14ac:dyDescent="0.2">
      <c r="B69" s="63" t="s">
        <v>156</v>
      </c>
      <c r="C69" s="60">
        <v>252850.52562000003</v>
      </c>
      <c r="D69" s="60">
        <v>346556.12115000002</v>
      </c>
      <c r="E69" s="60">
        <v>30581.273689999998</v>
      </c>
      <c r="F69" s="60">
        <v>8414863.8724600002</v>
      </c>
      <c r="G69" s="60">
        <v>9044851.7929200009</v>
      </c>
      <c r="H69" s="60">
        <v>76742.50443999999</v>
      </c>
      <c r="I69" s="60">
        <v>80668.722229999999</v>
      </c>
      <c r="J69" s="60">
        <v>157411.22667</v>
      </c>
      <c r="K69" s="60">
        <v>38451.70304</v>
      </c>
      <c r="L69" s="60">
        <v>109830.41073999999</v>
      </c>
      <c r="M69" s="60">
        <v>148282.11377999999</v>
      </c>
      <c r="N69" s="61">
        <v>9350545.1333700009</v>
      </c>
    </row>
    <row r="70" spans="2:14" s="54" customFormat="1" ht="14.1" customHeight="1" x14ac:dyDescent="0.2">
      <c r="B70" s="143" t="s">
        <v>157</v>
      </c>
      <c r="C70" s="144">
        <v>352848.12417999998</v>
      </c>
      <c r="D70" s="144">
        <v>566907.89358000003</v>
      </c>
      <c r="E70" s="144">
        <v>45930.558040000004</v>
      </c>
      <c r="F70" s="144">
        <v>12075763.29249</v>
      </c>
      <c r="G70" s="144">
        <v>13041449.86829</v>
      </c>
      <c r="H70" s="144">
        <v>166822.17024000001</v>
      </c>
      <c r="I70" s="144">
        <v>164869.74596999999</v>
      </c>
      <c r="J70" s="144">
        <v>331691.91621</v>
      </c>
      <c r="K70" s="144">
        <v>134923.30268999998</v>
      </c>
      <c r="L70" s="144">
        <v>256186.21432</v>
      </c>
      <c r="M70" s="144">
        <v>391109.51700999995</v>
      </c>
      <c r="N70" s="145">
        <v>13764251.301509999</v>
      </c>
    </row>
    <row r="71" spans="2:14" s="54" customFormat="1" ht="14.1" customHeight="1" x14ac:dyDescent="0.2">
      <c r="B71" s="63" t="s">
        <v>158</v>
      </c>
      <c r="C71" s="60">
        <v>79533.471369999999</v>
      </c>
      <c r="D71" s="60">
        <v>89454.500050000002</v>
      </c>
      <c r="E71" s="60">
        <v>9018.7893299999996</v>
      </c>
      <c r="F71" s="60">
        <v>2114358.9878099998</v>
      </c>
      <c r="G71" s="60">
        <v>2292365.7485599997</v>
      </c>
      <c r="H71" s="60">
        <v>17031.917870000001</v>
      </c>
      <c r="I71" s="60">
        <v>34108.826000000001</v>
      </c>
      <c r="J71" s="60">
        <v>51140.743870000006</v>
      </c>
      <c r="K71" s="60">
        <v>1211.1866500000001</v>
      </c>
      <c r="L71" s="60">
        <v>20790.17858</v>
      </c>
      <c r="M71" s="60">
        <v>22001.365229999999</v>
      </c>
      <c r="N71" s="61">
        <v>2365507.8576599997</v>
      </c>
    </row>
    <row r="72" spans="2:14" s="54" customFormat="1" ht="14.1" customHeight="1" x14ac:dyDescent="0.2">
      <c r="B72" s="63" t="s">
        <v>159</v>
      </c>
      <c r="C72" s="60">
        <v>177242.26238</v>
      </c>
      <c r="D72" s="60">
        <v>235242.04992000002</v>
      </c>
      <c r="E72" s="60">
        <v>18889.071129999997</v>
      </c>
      <c r="F72" s="60">
        <v>6295494.9357200004</v>
      </c>
      <c r="G72" s="60">
        <v>6726868.3191500008</v>
      </c>
      <c r="H72" s="60">
        <v>56281.298750000002</v>
      </c>
      <c r="I72" s="60">
        <v>70564.156950000004</v>
      </c>
      <c r="J72" s="60">
        <v>126845.45570000001</v>
      </c>
      <c r="K72" s="60">
        <v>25503.643</v>
      </c>
      <c r="L72" s="60">
        <v>84598.357000000004</v>
      </c>
      <c r="M72" s="60">
        <v>110102</v>
      </c>
      <c r="N72" s="61">
        <v>6963815.7748500006</v>
      </c>
    </row>
    <row r="73" spans="2:14" s="54" customFormat="1" ht="14.1" customHeight="1" x14ac:dyDescent="0.2">
      <c r="B73" s="63" t="s">
        <v>160</v>
      </c>
      <c r="C73" s="60">
        <v>259839.44830000002</v>
      </c>
      <c r="D73" s="60">
        <v>386291.26605999999</v>
      </c>
      <c r="E73" s="60">
        <v>28979.810509999999</v>
      </c>
      <c r="F73" s="60">
        <v>8747113.7732699998</v>
      </c>
      <c r="G73" s="60">
        <v>9422224.2981400006</v>
      </c>
      <c r="H73" s="60">
        <v>96156.906049999991</v>
      </c>
      <c r="I73" s="60">
        <v>102685.17624</v>
      </c>
      <c r="J73" s="60">
        <v>198842.08228999999</v>
      </c>
      <c r="K73" s="60">
        <v>40321.506699999998</v>
      </c>
      <c r="L73" s="60">
        <v>100868.53573999999</v>
      </c>
      <c r="M73" s="60">
        <v>141190.04243999999</v>
      </c>
      <c r="N73" s="61">
        <v>9762256.422869999</v>
      </c>
    </row>
    <row r="74" spans="2:14" s="54" customFormat="1" ht="14.1" customHeight="1" x14ac:dyDescent="0.2">
      <c r="B74" s="143" t="s">
        <v>161</v>
      </c>
      <c r="C74" s="144">
        <v>363027.42817999999</v>
      </c>
      <c r="D74" s="144">
        <v>602269.67906999995</v>
      </c>
      <c r="E74" s="144">
        <v>42009.507969999999</v>
      </c>
      <c r="F74" s="144">
        <v>13524532.529130001</v>
      </c>
      <c r="G74" s="144">
        <f t="shared" ref="G74" si="0">SUM(C74:F74)</f>
        <v>14531839.14435</v>
      </c>
      <c r="H74" s="144">
        <v>192636.35058999999</v>
      </c>
      <c r="I74" s="144">
        <v>185974.82791000002</v>
      </c>
      <c r="J74" s="144">
        <f t="shared" ref="J74" si="1">SUM(H74:I74)</f>
        <v>378611.17850000004</v>
      </c>
      <c r="K74" s="144">
        <v>130756.87337999999</v>
      </c>
      <c r="L74" s="144">
        <v>253948.71432</v>
      </c>
      <c r="M74" s="144">
        <f t="shared" ref="M74" si="2">SUM(K74:L74)</f>
        <v>384705.58769999997</v>
      </c>
      <c r="N74" s="145">
        <f t="shared" ref="N74:N76" si="3">SUM(G74,J74,M74)</f>
        <v>15295155.91055</v>
      </c>
    </row>
    <row r="75" spans="2:14" s="54" customFormat="1" ht="14.1" customHeight="1" x14ac:dyDescent="0.2">
      <c r="B75" s="63" t="s">
        <v>162</v>
      </c>
      <c r="C75" s="60">
        <v>82115.126850000001</v>
      </c>
      <c r="D75" s="60">
        <v>81843.764250000007</v>
      </c>
      <c r="E75" s="60">
        <v>8358.3218500000003</v>
      </c>
      <c r="F75" s="60">
        <v>2172102.02569</v>
      </c>
      <c r="G75" s="60">
        <f t="shared" ref="G75:G76" si="4">SUM(C75:F75)</f>
        <v>2344419.2386400001</v>
      </c>
      <c r="H75" s="60">
        <v>19307.179329999999</v>
      </c>
      <c r="I75" s="60">
        <v>16621.383979999999</v>
      </c>
      <c r="J75" s="60">
        <f t="shared" ref="J75:J76" si="5">SUM(H75:I75)</f>
        <v>35928.563309999998</v>
      </c>
      <c r="K75" s="60">
        <v>490.1</v>
      </c>
      <c r="L75" s="60">
        <v>55038.668399999995</v>
      </c>
      <c r="M75" s="60">
        <f t="shared" ref="M75:M76" si="6">SUM(K75:L75)</f>
        <v>55528.768399999994</v>
      </c>
      <c r="N75" s="61">
        <f t="shared" si="3"/>
        <v>2435876.5703500002</v>
      </c>
    </row>
    <row r="76" spans="2:14" s="54" customFormat="1" ht="14.1" customHeight="1" x14ac:dyDescent="0.2">
      <c r="B76" s="146" t="s">
        <v>163</v>
      </c>
      <c r="C76" s="60">
        <v>183660.41552000001</v>
      </c>
      <c r="D76" s="60">
        <v>216117.59128000002</v>
      </c>
      <c r="E76" s="60">
        <v>17437.08959</v>
      </c>
      <c r="F76" s="60">
        <v>6351878.1988799991</v>
      </c>
      <c r="G76" s="60">
        <f t="shared" si="4"/>
        <v>6769093.2952699987</v>
      </c>
      <c r="H76" s="60">
        <v>75001.19292999999</v>
      </c>
      <c r="I76" s="60">
        <v>35808.176400000004</v>
      </c>
      <c r="J76" s="60">
        <f t="shared" si="5"/>
        <v>110809.36932999999</v>
      </c>
      <c r="K76" s="60">
        <v>19845.778780000001</v>
      </c>
      <c r="L76" s="60">
        <v>116496.84698</v>
      </c>
      <c r="M76" s="60">
        <f t="shared" si="6"/>
        <v>136342.62576</v>
      </c>
      <c r="N76" s="61">
        <f t="shared" si="3"/>
        <v>7016245.2903599991</v>
      </c>
    </row>
    <row r="77" spans="2:14" s="54" customFormat="1" ht="14.1" customHeight="1" x14ac:dyDescent="0.2">
      <c r="B77" s="146" t="s">
        <v>164</v>
      </c>
      <c r="C77" s="60">
        <v>266524.89887999999</v>
      </c>
      <c r="D77" s="60">
        <v>359223.86669000005</v>
      </c>
      <c r="E77" s="60">
        <v>26758.460990000003</v>
      </c>
      <c r="F77" s="60">
        <v>8925580.3716899995</v>
      </c>
      <c r="G77" s="60">
        <v>9578087.5982499998</v>
      </c>
      <c r="H77" s="60">
        <v>125092.41791</v>
      </c>
      <c r="I77" s="60">
        <v>68494.361690000005</v>
      </c>
      <c r="J77" s="60">
        <v>193586.77960000001</v>
      </c>
      <c r="K77" s="60">
        <v>58416.28067</v>
      </c>
      <c r="L77" s="60">
        <v>136367.02556000001</v>
      </c>
      <c r="M77" s="60">
        <v>194783.30623000002</v>
      </c>
      <c r="N77" s="61">
        <v>9966457.6840799991</v>
      </c>
    </row>
    <row r="78" spans="2:14" s="54" customFormat="1" ht="14.1" customHeight="1" x14ac:dyDescent="0.2">
      <c r="B78" s="143" t="s">
        <v>165</v>
      </c>
      <c r="C78" s="144">
        <v>374935.50159999996</v>
      </c>
      <c r="D78" s="144">
        <v>579722.18845000002</v>
      </c>
      <c r="E78" s="144">
        <v>38779.29421</v>
      </c>
      <c r="F78" s="144">
        <v>13670922.39505</v>
      </c>
      <c r="G78" s="144">
        <f t="shared" ref="G78" si="7">SUM(C78:F78)</f>
        <v>14664359.379310001</v>
      </c>
      <c r="H78" s="144">
        <v>243963.06373000002</v>
      </c>
      <c r="I78" s="144">
        <v>154658.52169999998</v>
      </c>
      <c r="J78" s="144">
        <f t="shared" ref="J78" si="8">SUM(H78:I78)</f>
        <v>398621.58542999998</v>
      </c>
      <c r="K78" s="144">
        <v>113237.70275</v>
      </c>
      <c r="L78" s="144">
        <v>268447.20405</v>
      </c>
      <c r="M78" s="144">
        <f t="shared" ref="M78" si="9">SUM(K78:L78)</f>
        <v>381684.9068</v>
      </c>
      <c r="N78" s="145">
        <f t="shared" ref="N78" si="10">SUM(G78,J78,M78)</f>
        <v>15444665.871540001</v>
      </c>
    </row>
    <row r="79" spans="2:14" s="54" customFormat="1" ht="14.1" customHeight="1" x14ac:dyDescent="0.2">
      <c r="B79" s="63" t="s">
        <v>166</v>
      </c>
      <c r="C79" s="60">
        <v>87001.152250000014</v>
      </c>
      <c r="D79" s="60">
        <v>88903.493260000003</v>
      </c>
      <c r="E79" s="60">
        <v>7550.1628199999996</v>
      </c>
      <c r="F79" s="60">
        <v>2314480.11314</v>
      </c>
      <c r="G79" s="60">
        <v>2497934.9214699999</v>
      </c>
      <c r="H79" s="60">
        <v>20350.473320000001</v>
      </c>
      <c r="I79" s="60">
        <v>9652.3230999999996</v>
      </c>
      <c r="J79" s="60">
        <v>30002.796419999999</v>
      </c>
      <c r="K79" s="60">
        <v>583.00422000000003</v>
      </c>
      <c r="L79" s="60">
        <v>32152.32143</v>
      </c>
      <c r="M79" s="60">
        <v>32735.325649999999</v>
      </c>
      <c r="N79" s="61">
        <v>2560673.04354</v>
      </c>
    </row>
    <row r="80" spans="2:14" s="54" customFormat="1" ht="14.1" customHeight="1" x14ac:dyDescent="0.2">
      <c r="B80" s="63" t="s">
        <v>167</v>
      </c>
      <c r="C80" s="60">
        <v>193196.59117999999</v>
      </c>
      <c r="D80" s="60">
        <v>234285.3787</v>
      </c>
      <c r="E80" s="60">
        <v>16015.245919999998</v>
      </c>
      <c r="F80" s="60">
        <v>6745639.2443100009</v>
      </c>
      <c r="G80" s="60">
        <v>7189136.4601100013</v>
      </c>
      <c r="H80" s="60">
        <v>81558.107500000013</v>
      </c>
      <c r="I80" s="60">
        <v>42496.376210000002</v>
      </c>
      <c r="J80" s="60">
        <v>124054.48371000001</v>
      </c>
      <c r="K80" s="60">
        <v>22920.477630000001</v>
      </c>
      <c r="L80" s="60">
        <v>84922.642859999993</v>
      </c>
      <c r="M80" s="60">
        <v>107843.12049</v>
      </c>
      <c r="N80" s="61">
        <v>7421034.0643100012</v>
      </c>
    </row>
    <row r="81" spans="2:19" s="54" customFormat="1" ht="14.1" customHeight="1" x14ac:dyDescent="0.2">
      <c r="B81" s="146" t="s">
        <v>168</v>
      </c>
      <c r="C81" s="60">
        <v>284105.53099999996</v>
      </c>
      <c r="D81" s="60">
        <v>374882.55199999997</v>
      </c>
      <c r="E81" s="60">
        <v>24081.172000000002</v>
      </c>
      <c r="F81" s="60">
        <v>9443128.9719999991</v>
      </c>
      <c r="G81" s="60">
        <f t="shared" ref="G81" si="11">SUM(C81:F81)</f>
        <v>10126198.226999998</v>
      </c>
      <c r="H81" s="60">
        <v>135856.367</v>
      </c>
      <c r="I81" s="60">
        <v>70777.963999999993</v>
      </c>
      <c r="J81" s="60">
        <f t="shared" ref="J81" si="12">SUM(H81:I81)</f>
        <v>206634.33100000001</v>
      </c>
      <c r="K81" s="60">
        <v>59683.087999999996</v>
      </c>
      <c r="L81" s="60">
        <v>156040.67800000001</v>
      </c>
      <c r="M81" s="60">
        <f t="shared" ref="M81" si="13">SUM(K81:L81)</f>
        <v>215723.766</v>
      </c>
      <c r="N81" s="61">
        <f t="shared" ref="N81" si="14">SUM(G81,J81,M81)</f>
        <v>10548556.323999999</v>
      </c>
    </row>
    <row r="82" spans="2:19" s="54" customFormat="1" ht="14.1" customHeight="1" x14ac:dyDescent="0.2">
      <c r="B82" s="143" t="s">
        <v>169</v>
      </c>
      <c r="C82" s="144">
        <v>393442</v>
      </c>
      <c r="D82" s="144">
        <v>604118</v>
      </c>
      <c r="E82" s="144">
        <v>34443</v>
      </c>
      <c r="F82" s="144">
        <v>14193096</v>
      </c>
      <c r="G82" s="144">
        <v>15225100</v>
      </c>
      <c r="H82" s="144">
        <v>290012</v>
      </c>
      <c r="I82" s="144">
        <v>180842</v>
      </c>
      <c r="J82" s="144">
        <v>470854</v>
      </c>
      <c r="K82" s="144">
        <v>117322</v>
      </c>
      <c r="L82" s="144">
        <v>319724</v>
      </c>
      <c r="M82" s="144">
        <v>437045</v>
      </c>
      <c r="N82" s="145">
        <v>16132999</v>
      </c>
    </row>
    <row r="83" spans="2:19" s="54" customFormat="1" ht="14.1" customHeight="1" x14ac:dyDescent="0.2">
      <c r="B83" s="63" t="s">
        <v>170</v>
      </c>
      <c r="C83" s="60">
        <v>89190.269849999997</v>
      </c>
      <c r="D83" s="60">
        <v>91866.790529999998</v>
      </c>
      <c r="E83" s="60">
        <v>7045.4595399999998</v>
      </c>
      <c r="F83" s="60">
        <v>2394989.84357</v>
      </c>
      <c r="G83" s="60">
        <v>2583092.3634899999</v>
      </c>
      <c r="H83" s="60">
        <v>32239.696319999999</v>
      </c>
      <c r="I83" s="60">
        <v>5359.2450799999997</v>
      </c>
      <c r="J83" s="60">
        <v>37598.941399999996</v>
      </c>
      <c r="K83" s="60">
        <v>1329.11393</v>
      </c>
      <c r="L83" s="60">
        <v>29228.03572</v>
      </c>
      <c r="M83" s="60">
        <v>30557.149649999999</v>
      </c>
      <c r="N83" s="61">
        <v>2651248.4545399998</v>
      </c>
    </row>
    <row r="84" spans="2:19" s="54" customFormat="1" ht="14.1" customHeight="1" x14ac:dyDescent="0.2">
      <c r="B84" s="63" t="s">
        <v>171</v>
      </c>
      <c r="C84" s="60">
        <v>197918.35867000002</v>
      </c>
      <c r="D84" s="60">
        <v>234935.59905000002</v>
      </c>
      <c r="E84" s="60">
        <v>15834.0175</v>
      </c>
      <c r="F84" s="60">
        <v>6944914.8468299992</v>
      </c>
      <c r="G84" s="60">
        <v>7393602.8220499996</v>
      </c>
      <c r="H84" s="60">
        <v>84357.69889</v>
      </c>
      <c r="I84" s="60">
        <v>25079.497229999997</v>
      </c>
      <c r="J84" s="60">
        <v>109437.19611999999</v>
      </c>
      <c r="K84" s="60">
        <v>29530.447389999998</v>
      </c>
      <c r="L84" s="60">
        <v>63564.404760000005</v>
      </c>
      <c r="M84" s="60">
        <v>93094.852150000006</v>
      </c>
      <c r="N84" s="61">
        <v>7596134.8703199998</v>
      </c>
    </row>
    <row r="85" spans="2:19" s="54" customFormat="1" ht="14.1" customHeight="1" x14ac:dyDescent="0.2">
      <c r="B85" s="63" t="s">
        <v>172</v>
      </c>
      <c r="C85" s="60">
        <v>291394.85599999997</v>
      </c>
      <c r="D85" s="60">
        <v>383329.07</v>
      </c>
      <c r="E85" s="60">
        <v>22088.802</v>
      </c>
      <c r="F85" s="60">
        <v>9652365.1359999999</v>
      </c>
      <c r="G85" s="60">
        <v>10349177.864</v>
      </c>
      <c r="H85" s="60">
        <v>142411.24000000002</v>
      </c>
      <c r="I85" s="60">
        <v>38503.981</v>
      </c>
      <c r="J85" s="60">
        <v>180915.22100000002</v>
      </c>
      <c r="K85" s="60">
        <v>83048.228000000003</v>
      </c>
      <c r="L85" s="60">
        <v>83465.773000000001</v>
      </c>
      <c r="M85" s="60">
        <v>166514.00099999999</v>
      </c>
      <c r="N85" s="61">
        <v>10696607.086000001</v>
      </c>
    </row>
    <row r="86" spans="2:19" s="54" customFormat="1" ht="14.1" customHeight="1" x14ac:dyDescent="0.2">
      <c r="B86" s="143" t="s">
        <v>173</v>
      </c>
      <c r="C86" s="144">
        <v>404332.67858000001</v>
      </c>
      <c r="D86" s="144">
        <v>609925.23644999997</v>
      </c>
      <c r="E86" s="144">
        <v>33047.739390000002</v>
      </c>
      <c r="F86" s="144">
        <v>13057594.253389999</v>
      </c>
      <c r="G86" s="144">
        <v>14104899.907809999</v>
      </c>
      <c r="H86" s="144">
        <v>251242.42139000003</v>
      </c>
      <c r="I86" s="144">
        <v>133963.79654000001</v>
      </c>
      <c r="J86" s="144">
        <v>385206.21793000004</v>
      </c>
      <c r="K86" s="144">
        <v>94474.652790000007</v>
      </c>
      <c r="L86" s="144">
        <v>222372.14283999999</v>
      </c>
      <c r="M86" s="144">
        <v>316846.79563000001</v>
      </c>
      <c r="N86" s="145">
        <v>14806952.92137</v>
      </c>
    </row>
    <row r="87" spans="2:19" s="54" customFormat="1" ht="14.1" customHeight="1" x14ac:dyDescent="0.2">
      <c r="B87" s="63" t="s">
        <v>174</v>
      </c>
      <c r="C87" s="60">
        <v>91385.130529999995</v>
      </c>
      <c r="D87" s="60">
        <v>87900.980039999995</v>
      </c>
      <c r="E87" s="60">
        <v>5860.7397700000001</v>
      </c>
      <c r="F87" s="60">
        <v>2219363.7220900003</v>
      </c>
      <c r="G87" s="60">
        <v>2404510.5724300002</v>
      </c>
      <c r="H87" s="60">
        <v>28890.444770000002</v>
      </c>
      <c r="I87" s="60">
        <v>5176.1370800000004</v>
      </c>
      <c r="J87" s="60">
        <v>34066.581850000002</v>
      </c>
      <c r="K87" s="60">
        <v>61309.274279999998</v>
      </c>
      <c r="L87" s="60">
        <v>30296.994039999998</v>
      </c>
      <c r="M87" s="60">
        <v>91606.268320000003</v>
      </c>
      <c r="N87" s="61">
        <v>2530183.4226000002</v>
      </c>
    </row>
    <row r="88" spans="2:19" s="54" customFormat="1" ht="14.1" customHeight="1" x14ac:dyDescent="0.2">
      <c r="B88" s="63" t="s">
        <v>175</v>
      </c>
      <c r="C88" s="60">
        <v>205620.94478999998</v>
      </c>
      <c r="D88" s="60">
        <v>248593.74124</v>
      </c>
      <c r="E88" s="60">
        <v>17373.728000000003</v>
      </c>
      <c r="F88" s="60">
        <v>6476635.9531200007</v>
      </c>
      <c r="G88" s="60">
        <v>6948224.3671500003</v>
      </c>
      <c r="H88" s="60">
        <v>86154.646999999997</v>
      </c>
      <c r="I88" s="60">
        <v>35331.765430000007</v>
      </c>
      <c r="J88" s="60">
        <v>121486.41243</v>
      </c>
      <c r="K88" s="60">
        <v>62600.026570000002</v>
      </c>
      <c r="L88" s="60">
        <v>63493.988079999996</v>
      </c>
      <c r="M88" s="60">
        <v>126094.01465</v>
      </c>
      <c r="N88" s="61">
        <v>7195804.7942300001</v>
      </c>
    </row>
    <row r="89" spans="2:19" s="54" customFormat="1" ht="14.1" customHeight="1" x14ac:dyDescent="0.2">
      <c r="B89" s="63" t="s">
        <v>176</v>
      </c>
      <c r="C89" s="60">
        <v>297722.19377000001</v>
      </c>
      <c r="D89" s="60">
        <v>409396.08999999997</v>
      </c>
      <c r="E89" s="60">
        <v>19269.810369999999</v>
      </c>
      <c r="F89" s="60">
        <v>9123082.3072100002</v>
      </c>
      <c r="G89" s="60">
        <v>9849470.4013500009</v>
      </c>
      <c r="H89" s="60">
        <v>152326.68402000002</v>
      </c>
      <c r="I89" s="60">
        <v>79951.146020000015</v>
      </c>
      <c r="J89" s="60">
        <v>232277.83004000003</v>
      </c>
      <c r="K89" s="60">
        <v>100012.91462000001</v>
      </c>
      <c r="L89" s="60">
        <v>84547.648710000009</v>
      </c>
      <c r="M89" s="60">
        <v>184560.56333000003</v>
      </c>
      <c r="N89" s="61">
        <v>10266308.794720002</v>
      </c>
    </row>
    <row r="90" spans="2:19" s="54" customFormat="1" ht="14.1" customHeight="1" x14ac:dyDescent="0.2">
      <c r="B90" s="143" t="s">
        <v>177</v>
      </c>
      <c r="C90" s="144">
        <v>413498.79783</v>
      </c>
      <c r="D90" s="144">
        <v>640017.64320000005</v>
      </c>
      <c r="E90" s="144">
        <v>28540.306369999998</v>
      </c>
      <c r="F90" s="144">
        <v>14895801.254280001</v>
      </c>
      <c r="G90" s="144">
        <v>15977858.001680002</v>
      </c>
      <c r="H90" s="144">
        <v>307879.46109</v>
      </c>
      <c r="I90" s="144">
        <v>216997.19188</v>
      </c>
      <c r="J90" s="144">
        <v>524876.65296999994</v>
      </c>
      <c r="K90" s="144">
        <v>128586.60620000001</v>
      </c>
      <c r="L90" s="144">
        <v>257894.97641</v>
      </c>
      <c r="M90" s="144">
        <v>386481.58261000004</v>
      </c>
      <c r="N90" s="145">
        <v>16889216.237260003</v>
      </c>
    </row>
    <row r="91" spans="2:19" s="54" customFormat="1" ht="14.1" customHeight="1" x14ac:dyDescent="0.2">
      <c r="B91" s="63" t="s">
        <v>178</v>
      </c>
      <c r="C91" s="60">
        <v>92535.215590000007</v>
      </c>
      <c r="D91" s="60">
        <v>92415.117159999994</v>
      </c>
      <c r="E91" s="60">
        <v>10327.733670000001</v>
      </c>
      <c r="F91" s="60">
        <v>2570433.9156300002</v>
      </c>
      <c r="G91" s="60">
        <v>2765711.9820500002</v>
      </c>
      <c r="H91" s="60">
        <v>33568.137260000003</v>
      </c>
      <c r="I91" s="60">
        <v>31563.722799999996</v>
      </c>
      <c r="J91" s="60">
        <v>65131.860059999999</v>
      </c>
      <c r="K91" s="60">
        <v>7786.1768000000002</v>
      </c>
      <c r="L91" s="60">
        <v>32077.94641</v>
      </c>
      <c r="M91" s="60">
        <v>39864.123209999998</v>
      </c>
      <c r="N91" s="61">
        <v>2870707.96532</v>
      </c>
    </row>
    <row r="92" spans="2:19" s="54" customFormat="1" ht="14.1" customHeight="1" x14ac:dyDescent="0.2">
      <c r="B92" s="63" t="s">
        <v>179</v>
      </c>
      <c r="C92" s="60">
        <v>208608.92584000001</v>
      </c>
      <c r="D92" s="60">
        <v>258243.69015000004</v>
      </c>
      <c r="E92" s="60">
        <v>11769.931129999999</v>
      </c>
      <c r="F92" s="60">
        <v>6847547.2906299997</v>
      </c>
      <c r="G92" s="60">
        <v>7326169.8377499999</v>
      </c>
      <c r="H92" s="60">
        <v>103962.43912</v>
      </c>
      <c r="I92" s="60">
        <v>115665.82892</v>
      </c>
      <c r="J92" s="60">
        <v>219628.26804</v>
      </c>
      <c r="K92" s="60">
        <v>61384.573280000004</v>
      </c>
      <c r="L92" s="60">
        <v>72968.988069999992</v>
      </c>
      <c r="M92" s="60">
        <v>134353.56135</v>
      </c>
      <c r="N92" s="61">
        <v>7680151.6671400005</v>
      </c>
    </row>
    <row r="93" spans="2:19" s="54" customFormat="1" ht="14.1" customHeight="1" x14ac:dyDescent="0.2">
      <c r="B93" s="146" t="s">
        <v>180</v>
      </c>
      <c r="C93" s="60">
        <v>306135.15841000003</v>
      </c>
      <c r="D93" s="60">
        <v>423427.65203999996</v>
      </c>
      <c r="E93" s="60">
        <v>27476.69759</v>
      </c>
      <c r="F93" s="60">
        <v>10225099.268139999</v>
      </c>
      <c r="G93" s="60">
        <f t="shared" ref="G93" si="15">SUM(C93:F93)</f>
        <v>10982138.776179999</v>
      </c>
      <c r="H93" s="60">
        <v>163322.08283</v>
      </c>
      <c r="I93" s="60">
        <v>140169.52262</v>
      </c>
      <c r="J93" s="60">
        <f t="shared" ref="J93" si="16">SUM(H93:I93)</f>
        <v>303491.60545000003</v>
      </c>
      <c r="K93" s="60">
        <v>65527.565399999992</v>
      </c>
      <c r="L93" s="60">
        <v>240097.98243999999</v>
      </c>
      <c r="M93" s="60">
        <f t="shared" ref="M93" si="17">SUM(K93:L93)</f>
        <v>305625.54784000001</v>
      </c>
      <c r="N93" s="61">
        <f t="shared" ref="N93" si="18">SUM(G93,J93,M93)</f>
        <v>11591255.929469999</v>
      </c>
    </row>
    <row r="94" spans="2:19" s="54" customFormat="1" ht="14.1" customHeight="1" x14ac:dyDescent="0.2">
      <c r="B94" s="143" t="s">
        <v>181</v>
      </c>
      <c r="C94" s="144">
        <v>430505.08078999998</v>
      </c>
      <c r="D94" s="144">
        <v>676898.71210999996</v>
      </c>
      <c r="E94" s="144">
        <v>32968.93116</v>
      </c>
      <c r="F94" s="144">
        <v>15737537.867490001</v>
      </c>
      <c r="G94" s="144">
        <v>16877910.59155</v>
      </c>
      <c r="H94" s="144">
        <v>333847.81641000003</v>
      </c>
      <c r="I94" s="144">
        <v>493686.95253000001</v>
      </c>
      <c r="J94" s="144">
        <v>827534.7689400001</v>
      </c>
      <c r="K94" s="144">
        <v>116295.02957</v>
      </c>
      <c r="L94" s="144">
        <v>263203.30981000001</v>
      </c>
      <c r="M94" s="144">
        <v>379498.33938000002</v>
      </c>
      <c r="N94" s="145">
        <v>18084943.699870002</v>
      </c>
      <c r="S94" s="205"/>
    </row>
    <row r="95" spans="2:19" s="54" customFormat="1" ht="14.1" customHeight="1" x14ac:dyDescent="0.2">
      <c r="B95" s="63" t="s">
        <v>182</v>
      </c>
      <c r="C95" s="60">
        <v>99230.717180000007</v>
      </c>
      <c r="D95" s="60">
        <v>103428.91568999999</v>
      </c>
      <c r="E95" s="60">
        <v>23051.146580000001</v>
      </c>
      <c r="F95" s="60">
        <v>2730481.8474500002</v>
      </c>
      <c r="G95" s="60">
        <v>2956192.6269</v>
      </c>
      <c r="H95" s="60">
        <v>30605.149590000001</v>
      </c>
      <c r="I95" s="60">
        <v>13739.764720000001</v>
      </c>
      <c r="J95" s="60">
        <v>44344.91431</v>
      </c>
      <c r="K95" s="60">
        <v>5755.4847400000008</v>
      </c>
      <c r="L95" s="60">
        <v>72813.28572</v>
      </c>
      <c r="M95" s="60">
        <v>78568.77046</v>
      </c>
      <c r="N95" s="61">
        <v>3079106.3116699997</v>
      </c>
      <c r="R95" s="205"/>
    </row>
    <row r="96" spans="2:19" s="54" customFormat="1" ht="14.1" customHeight="1" x14ac:dyDescent="0.2">
      <c r="B96" s="63" t="s">
        <v>183</v>
      </c>
      <c r="C96" s="60">
        <v>221851.44893000001</v>
      </c>
      <c r="D96" s="60">
        <v>280226.24498000002</v>
      </c>
      <c r="E96" s="60">
        <v>38240.239570000005</v>
      </c>
      <c r="F96" s="60">
        <v>7650925.4668499995</v>
      </c>
      <c r="G96" s="60">
        <v>8191243.4003299996</v>
      </c>
      <c r="H96" s="60">
        <v>122136.24807</v>
      </c>
      <c r="I96" s="60">
        <v>89135.551240000001</v>
      </c>
      <c r="J96" s="60">
        <v>211271.79931</v>
      </c>
      <c r="K96" s="60">
        <v>12636.071099999999</v>
      </c>
      <c r="L96" s="60">
        <v>93992.57144</v>
      </c>
      <c r="M96" s="60">
        <v>106628.64254</v>
      </c>
      <c r="N96" s="61">
        <v>8509143.8421800006</v>
      </c>
    </row>
    <row r="97" spans="2:14" s="54" customFormat="1" ht="14.1" customHeight="1" x14ac:dyDescent="0.2">
      <c r="B97" s="63" t="s">
        <v>184</v>
      </c>
      <c r="C97" s="60">
        <v>323546.13890000002</v>
      </c>
      <c r="D97" s="60">
        <v>454387.31006000005</v>
      </c>
      <c r="E97" s="60">
        <v>54607.908779999991</v>
      </c>
      <c r="F97" s="60">
        <v>11309812.020990001</v>
      </c>
      <c r="G97" s="60">
        <v>12142353.378730001</v>
      </c>
      <c r="H97" s="60">
        <v>205358.13448000001</v>
      </c>
      <c r="I97" s="60">
        <v>124153.11861999999</v>
      </c>
      <c r="J97" s="60">
        <v>329511.25309999997</v>
      </c>
      <c r="K97" s="60">
        <v>72993.174729999999</v>
      </c>
      <c r="L97" s="60">
        <v>231486.52399999998</v>
      </c>
      <c r="M97" s="60">
        <v>304479.69872999995</v>
      </c>
      <c r="N97" s="61">
        <v>12776344.330560001</v>
      </c>
    </row>
    <row r="98" spans="2:14" s="54" customFormat="1" ht="14.1" customHeight="1" x14ac:dyDescent="0.2">
      <c r="B98" s="143" t="s">
        <v>185</v>
      </c>
      <c r="C98" s="144">
        <v>452234.71756999992</v>
      </c>
      <c r="D98" s="144">
        <v>727919.59782999987</v>
      </c>
      <c r="E98" s="144">
        <v>61308.048539999996</v>
      </c>
      <c r="F98" s="144">
        <v>16794725.041389998</v>
      </c>
      <c r="G98" s="144">
        <v>18036187.405329999</v>
      </c>
      <c r="H98" s="144">
        <v>407616.69057000004</v>
      </c>
      <c r="I98" s="144">
        <v>442978.23529000004</v>
      </c>
      <c r="J98" s="144">
        <v>850594.92586000008</v>
      </c>
      <c r="K98" s="144">
        <v>157529.64196000001</v>
      </c>
      <c r="L98" s="144">
        <v>293740.80988000002</v>
      </c>
      <c r="M98" s="144">
        <v>451270.45183999999</v>
      </c>
      <c r="N98" s="145">
        <v>19338052.783029996</v>
      </c>
    </row>
    <row r="99" spans="2:14" s="54" customFormat="1" ht="14.1" customHeight="1" x14ac:dyDescent="0.2">
      <c r="B99" s="63" t="s">
        <v>218</v>
      </c>
      <c r="C99" s="60">
        <v>104080.49741</v>
      </c>
      <c r="D99" s="60">
        <v>104659.13400000002</v>
      </c>
      <c r="E99" s="60">
        <v>30918.699379999998</v>
      </c>
      <c r="F99" s="60">
        <v>2897520.6012200001</v>
      </c>
      <c r="G99" s="60">
        <v>3137178.9320100001</v>
      </c>
      <c r="H99" s="60">
        <v>38670.993650000004</v>
      </c>
      <c r="I99" s="60">
        <v>6471.8480899999995</v>
      </c>
      <c r="J99" s="60">
        <v>45142.841740000003</v>
      </c>
      <c r="K99" s="60">
        <v>23002.563810000003</v>
      </c>
      <c r="L99" s="60">
        <v>91729.952369999999</v>
      </c>
      <c r="M99" s="60">
        <v>114732.51618000001</v>
      </c>
      <c r="N99" s="61">
        <v>3297054.28993</v>
      </c>
    </row>
    <row r="100" spans="2:14" s="54" customFormat="1" ht="14.1" customHeight="1" x14ac:dyDescent="0.2">
      <c r="B100" s="63" t="s">
        <v>219</v>
      </c>
      <c r="C100" s="60">
        <v>231129.85499999998</v>
      </c>
      <c r="D100" s="60">
        <v>295103.23200000002</v>
      </c>
      <c r="E100" s="60">
        <v>47225.13</v>
      </c>
      <c r="F100" s="60">
        <v>7966924.7060000002</v>
      </c>
      <c r="G100" s="60">
        <v>8540382.9230000004</v>
      </c>
      <c r="H100" s="60">
        <v>123779.268</v>
      </c>
      <c r="I100" s="60">
        <v>43997.845000000001</v>
      </c>
      <c r="J100" s="60">
        <v>167777.11300000001</v>
      </c>
      <c r="K100" s="60">
        <v>28093.652000000002</v>
      </c>
      <c r="L100" s="60">
        <v>119575.90400000001</v>
      </c>
      <c r="M100" s="60">
        <v>147669.55600000001</v>
      </c>
      <c r="N100" s="61">
        <v>8855829.5920000002</v>
      </c>
    </row>
    <row r="101" spans="2:14" s="54" customFormat="1" ht="14.1" customHeight="1" x14ac:dyDescent="0.2">
      <c r="B101" s="63" t="s">
        <v>220</v>
      </c>
      <c r="C101" s="60">
        <v>342364.402</v>
      </c>
      <c r="D101" s="60">
        <v>482203.95499999996</v>
      </c>
      <c r="E101" s="60">
        <v>63532.734000000004</v>
      </c>
      <c r="F101" s="60">
        <v>11841442.403999999</v>
      </c>
      <c r="G101" s="60">
        <v>12729543.494999999</v>
      </c>
      <c r="H101" s="60">
        <v>212035.158</v>
      </c>
      <c r="I101" s="60">
        <v>67330.305000000008</v>
      </c>
      <c r="J101" s="60">
        <v>279365.46299999999</v>
      </c>
      <c r="K101" s="60">
        <v>28921.308000000001</v>
      </c>
      <c r="L101" s="60">
        <v>261227.87699999998</v>
      </c>
      <c r="M101" s="60">
        <v>290149.185</v>
      </c>
      <c r="N101" s="61">
        <v>13299058.142999999</v>
      </c>
    </row>
    <row r="102" spans="2:14" s="54" customFormat="1" ht="14.1" customHeight="1" x14ac:dyDescent="0.2">
      <c r="B102" s="143" t="s">
        <v>221</v>
      </c>
      <c r="C102" s="144">
        <v>477935.82799999998</v>
      </c>
      <c r="D102" s="144">
        <v>776089.48900000006</v>
      </c>
      <c r="E102" s="144">
        <v>68146.135000000009</v>
      </c>
      <c r="F102" s="144">
        <v>16959152.630999997</v>
      </c>
      <c r="G102" s="144">
        <v>18281324.082999997</v>
      </c>
      <c r="H102" s="144">
        <v>400639.18299999996</v>
      </c>
      <c r="I102" s="144">
        <v>203335.23599999998</v>
      </c>
      <c r="J102" s="144">
        <v>603974.41899999999</v>
      </c>
      <c r="K102" s="144">
        <v>98921.019</v>
      </c>
      <c r="L102" s="144">
        <v>284156.18199999997</v>
      </c>
      <c r="M102" s="144">
        <v>383077.201</v>
      </c>
      <c r="N102" s="145">
        <v>19268375.702999998</v>
      </c>
    </row>
    <row r="103" spans="2:14" s="54" customFormat="1" ht="14.1" customHeight="1" x14ac:dyDescent="0.2">
      <c r="B103" s="63" t="s">
        <v>225</v>
      </c>
      <c r="C103" s="60">
        <v>105946.32644999999</v>
      </c>
      <c r="D103" s="60">
        <v>119649.71425</v>
      </c>
      <c r="E103" s="60">
        <v>25084.246859999999</v>
      </c>
      <c r="F103" s="60">
        <v>2992349.7248800001</v>
      </c>
      <c r="G103" s="60">
        <v>3243030.0124400002</v>
      </c>
      <c r="H103" s="60">
        <v>44404.652489999993</v>
      </c>
      <c r="I103" s="60">
        <v>19923.32735</v>
      </c>
      <c r="J103" s="60">
        <v>64327.979839999993</v>
      </c>
      <c r="K103" s="60">
        <v>16719.106019999999</v>
      </c>
      <c r="L103" s="60">
        <v>62862.305339999999</v>
      </c>
      <c r="M103" s="60">
        <v>79581.411359999998</v>
      </c>
      <c r="N103" s="61">
        <v>3386939.4036400001</v>
      </c>
    </row>
    <row r="104" spans="2:14" s="54" customFormat="1" ht="14.1" customHeight="1" x14ac:dyDescent="0.2">
      <c r="B104" s="63" t="s">
        <v>226</v>
      </c>
      <c r="C104" s="60">
        <f>'[2]gastos ddff'!F9</f>
        <v>515606.82900000003</v>
      </c>
      <c r="D104" s="60">
        <f>'[2]gastos ddff'!G10</f>
        <v>322521.84716</v>
      </c>
      <c r="E104" s="60">
        <f>'[2]gastos ddff'!G11</f>
        <v>36842.728660000001</v>
      </c>
      <c r="F104" s="60">
        <f>'[2]gastos ddff'!G12</f>
        <v>8335221.0179099999</v>
      </c>
      <c r="G104" s="60">
        <f>SUM(C104:F104)</f>
        <v>9210192.4227300007</v>
      </c>
      <c r="H104" s="60">
        <f>'[2]gastos ddff'!G13</f>
        <v>131001.70110999999</v>
      </c>
      <c r="I104" s="60">
        <f>'[2]gastos ddff'!G14</f>
        <v>43308.728049999998</v>
      </c>
      <c r="J104" s="60">
        <f>SUM(H104:I104)</f>
        <v>174310.42916</v>
      </c>
      <c r="K104" s="60">
        <f>'[2]gastos ddff'!G15</f>
        <v>20741.69181</v>
      </c>
      <c r="L104" s="60">
        <f>'[2]gastos ddff'!G16</f>
        <v>92185.610679999998</v>
      </c>
      <c r="M104" s="60">
        <f>SUM(K104:L104)</f>
        <v>112927.30249</v>
      </c>
      <c r="N104" s="61">
        <f>G104+J104+M104</f>
        <v>9497430.1543800011</v>
      </c>
    </row>
    <row r="105" spans="2:14" s="54" customFormat="1" ht="14.1" customHeight="1" x14ac:dyDescent="0.2">
      <c r="B105" s="146" t="s">
        <v>227</v>
      </c>
      <c r="C105" s="60">
        <f>'[1]gastos ddff'!G9</f>
        <v>346212.50899999996</v>
      </c>
      <c r="D105" s="60">
        <f>'[1]gastos ddff'!G10</f>
        <v>514872.77899999998</v>
      </c>
      <c r="E105" s="60">
        <f>'[1]gastos ddff'!G11</f>
        <v>48927.328000000001</v>
      </c>
      <c r="F105" s="60">
        <f>'[1]gastos ddff'!G12</f>
        <v>12339642.932</v>
      </c>
      <c r="G105" s="60">
        <f>SUM(C105:F105)</f>
        <v>13249655.548</v>
      </c>
      <c r="H105" s="60">
        <f>'[1]gastos ddff'!G13</f>
        <v>236649.12099999998</v>
      </c>
      <c r="I105" s="60">
        <f>'[1]gastos ddff'!G14</f>
        <v>65390.017999999996</v>
      </c>
      <c r="J105" s="60">
        <f>SUM(H105:I105)</f>
        <v>302039.13899999997</v>
      </c>
      <c r="K105" s="60">
        <f>'[1]gastos ddff'!G15</f>
        <v>29546.203000000001</v>
      </c>
      <c r="L105" s="60">
        <f>'[1]gastos ddff'!G16</f>
        <v>258785.44</v>
      </c>
      <c r="M105" s="60">
        <f>SUM(K105:L105)</f>
        <v>288331.64299999998</v>
      </c>
      <c r="N105" s="61">
        <f>G105+J105+M105</f>
        <v>13840026.33</v>
      </c>
    </row>
    <row r="106" spans="2:14" s="54" customFormat="1" ht="14.1" customHeight="1" x14ac:dyDescent="0.2">
      <c r="B106" s="143" t="s">
        <v>228</v>
      </c>
      <c r="C106" s="144">
        <f>+'gastos ddff'!G9</f>
        <v>481327.80299999996</v>
      </c>
      <c r="D106" s="144">
        <f>+'gastos ddff'!G10</f>
        <v>838484.58455000003</v>
      </c>
      <c r="E106" s="144">
        <f>+'gastos ddff'!G11</f>
        <v>52101.994570000003</v>
      </c>
      <c r="F106" s="144">
        <f>+'gastos ddff'!G12</f>
        <v>18564891.1479</v>
      </c>
      <c r="G106" s="144">
        <f>+'gastos ddff'!G20</f>
        <v>19936805.530019999</v>
      </c>
      <c r="H106" s="144">
        <f>+'gastos ddff'!G13</f>
        <v>434449.35836999997</v>
      </c>
      <c r="I106" s="144">
        <f>+'gastos ddff'!G14</f>
        <v>266215.22773000004</v>
      </c>
      <c r="J106" s="144">
        <f>+'gastos ddff'!G21</f>
        <v>700664.58609999996</v>
      </c>
      <c r="K106" s="144">
        <f>+'gastos ddff'!G15</f>
        <v>108165.88884</v>
      </c>
      <c r="L106" s="144">
        <f>+'gastos ddff'!G16</f>
        <v>285056.60259999998</v>
      </c>
      <c r="M106" s="144">
        <f>+'gastos ddff'!G22</f>
        <v>393222.49144000001</v>
      </c>
      <c r="N106" s="145">
        <f>+'gastos ddff'!G24</f>
        <v>21030692.607560001</v>
      </c>
    </row>
    <row r="107" spans="2:14" s="54" customFormat="1" ht="3.9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2:14" x14ac:dyDescent="0.2">
      <c r="B108" s="287" t="s">
        <v>43</v>
      </c>
      <c r="C108" s="287"/>
      <c r="G108" s="204"/>
      <c r="J108" s="204"/>
      <c r="M108" s="204"/>
      <c r="N108" s="204"/>
    </row>
  </sheetData>
  <mergeCells count="1">
    <mergeCell ref="B108:C108"/>
  </mergeCells>
  <phoneticPr fontId="19" type="noConversion"/>
  <hyperlinks>
    <hyperlink ref="B108" location="Índice!A1" display="◄ volver al menu" xr:uid="{00000000-0004-0000-0900-000000000000}"/>
    <hyperlink ref="B108:C108" location="Índice!A1" tooltip="Volver al índice" display="◄ volver al menu" xr:uid="{00000000-0004-0000-0900-000001000000}"/>
  </hyperlinks>
  <printOptions horizontalCentered="1"/>
  <pageMargins left="0" right="0" top="0" bottom="0" header="0" footer="0"/>
  <pageSetup paperSize="9" scale="76" orientation="portrait" r:id="rId1"/>
  <headerFooter alignWithMargins="0"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2"/>
    <pageSetUpPr fitToPage="1"/>
  </sheetPr>
  <dimension ref="A1:Q110"/>
  <sheetViews>
    <sheetView showGridLines="0" zoomScaleNormal="100" workbookViewId="0">
      <pane xSplit="2" ySplit="5" topLeftCell="C91" activePane="bottomRight" state="frozen"/>
      <selection pane="topRight"/>
      <selection pane="bottomLeft"/>
      <selection pane="bottomRight" activeCell="I122" sqref="I122"/>
    </sheetView>
  </sheetViews>
  <sheetFormatPr baseColWidth="10" defaultColWidth="11.42578125" defaultRowHeight="15.75" x14ac:dyDescent="0.25"/>
  <cols>
    <col min="1" max="1" width="2.28515625" style="13" customWidth="1"/>
    <col min="2" max="2" width="9.7109375" style="57" customWidth="1"/>
    <col min="3" max="4" width="10.85546875" style="57" bestFit="1" customWidth="1"/>
    <col min="5" max="6" width="10" style="57" customWidth="1"/>
    <col min="7" max="7" width="9.85546875" style="57" customWidth="1"/>
    <col min="8" max="8" width="10.7109375" style="57" bestFit="1" customWidth="1"/>
    <col min="9" max="10" width="10" style="57" customWidth="1"/>
    <col min="11" max="11" width="9.85546875" style="57" customWidth="1"/>
    <col min="12" max="13" width="10" style="57" customWidth="1"/>
    <col min="14" max="14" width="9.85546875" style="57" customWidth="1"/>
    <col min="15" max="15" width="13.140625" style="57" customWidth="1"/>
    <col min="16" max="16" width="17.28515625" bestFit="1" customWidth="1"/>
    <col min="17" max="17" width="12" bestFit="1" customWidth="1"/>
  </cols>
  <sheetData>
    <row r="1" spans="2:15" s="62" customFormat="1" x14ac:dyDescent="0.2">
      <c r="B1" s="62" t="s">
        <v>7</v>
      </c>
      <c r="O1" s="130" t="str">
        <f>Índice!B8</f>
        <v>4ºTrimestre 2025</v>
      </c>
    </row>
    <row r="2" spans="2:15" s="54" customFormat="1" ht="18" customHeight="1" x14ac:dyDescent="0.2">
      <c r="B2" s="88" t="s">
        <v>186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s="54" customFormat="1" ht="13.5" customHeight="1" x14ac:dyDescent="0.2">
      <c r="B3" s="89" t="s">
        <v>187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2:15" s="54" customFormat="1" ht="14.2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1" t="s">
        <v>80</v>
      </c>
    </row>
    <row r="5" spans="2:15" s="58" customFormat="1" ht="33" customHeight="1" x14ac:dyDescent="0.2">
      <c r="B5" s="90" t="s">
        <v>81</v>
      </c>
      <c r="C5" s="91" t="s">
        <v>188</v>
      </c>
      <c r="D5" s="91" t="s">
        <v>189</v>
      </c>
      <c r="E5" s="91" t="s">
        <v>190</v>
      </c>
      <c r="F5" s="91" t="s">
        <v>85</v>
      </c>
      <c r="G5" s="91" t="s">
        <v>191</v>
      </c>
      <c r="H5" s="92" t="s">
        <v>86</v>
      </c>
      <c r="I5" s="91" t="s">
        <v>192</v>
      </c>
      <c r="J5" s="91" t="s">
        <v>193</v>
      </c>
      <c r="K5" s="92" t="s">
        <v>194</v>
      </c>
      <c r="L5" s="91" t="s">
        <v>90</v>
      </c>
      <c r="M5" s="91" t="s">
        <v>195</v>
      </c>
      <c r="N5" s="92" t="s">
        <v>92</v>
      </c>
      <c r="O5" s="93" t="s">
        <v>93</v>
      </c>
    </row>
    <row r="6" spans="2:15" s="54" customFormat="1" ht="5.0999999999999996" customHeight="1" x14ac:dyDescent="0.2">
      <c r="B6" s="55"/>
      <c r="C6" s="55"/>
      <c r="D6" s="55"/>
      <c r="E6" s="55"/>
      <c r="F6" s="55"/>
      <c r="G6" s="62"/>
      <c r="H6" s="55"/>
      <c r="I6" s="55"/>
      <c r="J6" s="62"/>
      <c r="K6" s="55"/>
      <c r="L6" s="55"/>
      <c r="M6" s="55"/>
      <c r="N6" s="62"/>
      <c r="O6" s="62"/>
    </row>
    <row r="7" spans="2:15" s="54" customFormat="1" ht="14.1" customHeight="1" x14ac:dyDescent="0.2">
      <c r="B7" s="143" t="s">
        <v>94</v>
      </c>
      <c r="C7" s="144">
        <v>2482406</v>
      </c>
      <c r="D7" s="144">
        <v>1920909</v>
      </c>
      <c r="E7" s="144">
        <v>110341</v>
      </c>
      <c r="F7" s="144">
        <v>162980</v>
      </c>
      <c r="G7" s="144">
        <v>55732</v>
      </c>
      <c r="H7" s="144">
        <v>4732369</v>
      </c>
      <c r="I7" s="144">
        <v>3418</v>
      </c>
      <c r="J7" s="144">
        <v>46546</v>
      </c>
      <c r="K7" s="144">
        <v>49964</v>
      </c>
      <c r="L7" s="144">
        <v>13496</v>
      </c>
      <c r="M7" s="144">
        <v>167682</v>
      </c>
      <c r="N7" s="144">
        <v>181179</v>
      </c>
      <c r="O7" s="145">
        <v>4963512</v>
      </c>
    </row>
    <row r="8" spans="2:15" s="54" customFormat="1" ht="14.1" customHeight="1" x14ac:dyDescent="0.2">
      <c r="B8" s="143" t="s">
        <v>95</v>
      </c>
      <c r="C8" s="144">
        <v>2740571</v>
      </c>
      <c r="D8" s="144">
        <v>2111168</v>
      </c>
      <c r="E8" s="144">
        <v>125821</v>
      </c>
      <c r="F8" s="144">
        <v>231651</v>
      </c>
      <c r="G8" s="144">
        <v>64159</v>
      </c>
      <c r="H8" s="144">
        <v>5273369</v>
      </c>
      <c r="I8" s="144">
        <v>1526</v>
      </c>
      <c r="J8" s="144">
        <v>52866</v>
      </c>
      <c r="K8" s="144">
        <v>54392</v>
      </c>
      <c r="L8" s="144">
        <v>14726</v>
      </c>
      <c r="M8" s="144">
        <v>112974</v>
      </c>
      <c r="N8" s="144">
        <v>127700</v>
      </c>
      <c r="O8" s="145">
        <v>5455462</v>
      </c>
    </row>
    <row r="9" spans="2:15" s="54" customFormat="1" ht="14.1" customHeight="1" x14ac:dyDescent="0.2">
      <c r="B9" s="143" t="s">
        <v>96</v>
      </c>
      <c r="C9" s="144">
        <v>2869628</v>
      </c>
      <c r="D9" s="144">
        <v>2971350</v>
      </c>
      <c r="E9" s="144">
        <v>104363</v>
      </c>
      <c r="F9" s="144">
        <v>233042</v>
      </c>
      <c r="G9" s="144">
        <v>46395</v>
      </c>
      <c r="H9" s="144">
        <v>6224778</v>
      </c>
      <c r="I9" s="144">
        <v>1502</v>
      </c>
      <c r="J9" s="144">
        <v>71098</v>
      </c>
      <c r="K9" s="144">
        <v>72600</v>
      </c>
      <c r="L9" s="144">
        <v>15731</v>
      </c>
      <c r="M9" s="144">
        <v>38100</v>
      </c>
      <c r="N9" s="144">
        <v>53831</v>
      </c>
      <c r="O9" s="145">
        <v>6351210</v>
      </c>
    </row>
    <row r="10" spans="2:15" s="54" customFormat="1" ht="14.1" customHeight="1" x14ac:dyDescent="0.2">
      <c r="B10" s="143" t="s">
        <v>97</v>
      </c>
      <c r="C10" s="144">
        <v>3279309</v>
      </c>
      <c r="D10" s="144">
        <v>3433081</v>
      </c>
      <c r="E10" s="144">
        <v>115120</v>
      </c>
      <c r="F10" s="144">
        <v>214785</v>
      </c>
      <c r="G10" s="144">
        <v>25785</v>
      </c>
      <c r="H10" s="144">
        <v>7068080</v>
      </c>
      <c r="I10" s="144">
        <v>2938</v>
      </c>
      <c r="J10" s="144">
        <v>68564</v>
      </c>
      <c r="K10" s="144">
        <v>71502</v>
      </c>
      <c r="L10" s="144">
        <v>11718</v>
      </c>
      <c r="M10" s="144">
        <v>173438</v>
      </c>
      <c r="N10" s="144">
        <v>185156</v>
      </c>
      <c r="O10" s="145">
        <v>7324737</v>
      </c>
    </row>
    <row r="11" spans="2:15" s="54" customFormat="1" ht="14.1" customHeight="1" x14ac:dyDescent="0.2">
      <c r="B11" s="143" t="s">
        <v>98</v>
      </c>
      <c r="C11" s="144">
        <v>3473942</v>
      </c>
      <c r="D11" s="144">
        <v>3831110</v>
      </c>
      <c r="E11" s="144">
        <v>111230</v>
      </c>
      <c r="F11" s="144">
        <v>184502</v>
      </c>
      <c r="G11" s="144">
        <v>23833</v>
      </c>
      <c r="H11" s="144">
        <v>7624617</v>
      </c>
      <c r="I11" s="144">
        <v>7945</v>
      </c>
      <c r="J11" s="144">
        <v>46550</v>
      </c>
      <c r="K11" s="144">
        <v>54495</v>
      </c>
      <c r="L11" s="144">
        <v>12347</v>
      </c>
      <c r="M11" s="144">
        <v>30051</v>
      </c>
      <c r="N11" s="144">
        <v>42397</v>
      </c>
      <c r="O11" s="145">
        <v>7721509</v>
      </c>
    </row>
    <row r="12" spans="2:15" s="54" customFormat="1" ht="14.1" customHeight="1" x14ac:dyDescent="0.2">
      <c r="B12" s="143" t="s">
        <v>99</v>
      </c>
      <c r="C12" s="144">
        <v>3694695</v>
      </c>
      <c r="D12" s="144">
        <v>4270170</v>
      </c>
      <c r="E12" s="144">
        <v>108813</v>
      </c>
      <c r="F12" s="144">
        <v>139959</v>
      </c>
      <c r="G12" s="144">
        <v>33612</v>
      </c>
      <c r="H12" s="144">
        <v>8247248</v>
      </c>
      <c r="I12" s="144">
        <v>9455</v>
      </c>
      <c r="J12" s="144">
        <v>53234</v>
      </c>
      <c r="K12" s="144">
        <v>62689</v>
      </c>
      <c r="L12" s="144">
        <v>15043</v>
      </c>
      <c r="M12" s="144" t="s">
        <v>196</v>
      </c>
      <c r="N12" s="144">
        <v>15043</v>
      </c>
      <c r="O12" s="145">
        <v>8324980</v>
      </c>
    </row>
    <row r="13" spans="2:15" s="54" customFormat="1" ht="14.1" customHeight="1" x14ac:dyDescent="0.2">
      <c r="B13" s="143" t="s">
        <v>100</v>
      </c>
      <c r="C13" s="144">
        <v>3920977</v>
      </c>
      <c r="D13" s="144">
        <v>4260605</v>
      </c>
      <c r="E13" s="144">
        <v>123129</v>
      </c>
      <c r="F13" s="144">
        <v>114884</v>
      </c>
      <c r="G13" s="144">
        <v>38529</v>
      </c>
      <c r="H13" s="144">
        <v>8458123</v>
      </c>
      <c r="I13" s="144">
        <v>8561</v>
      </c>
      <c r="J13" s="144">
        <v>106780</v>
      </c>
      <c r="K13" s="144">
        <v>115342</v>
      </c>
      <c r="L13" s="144">
        <v>20882</v>
      </c>
      <c r="M13" s="144">
        <v>122218</v>
      </c>
      <c r="N13" s="144">
        <v>143100</v>
      </c>
      <c r="O13" s="145">
        <v>8716565</v>
      </c>
    </row>
    <row r="14" spans="2:15" s="54" customFormat="1" ht="14.1" customHeight="1" x14ac:dyDescent="0.2">
      <c r="B14" s="143" t="s">
        <v>101</v>
      </c>
      <c r="C14" s="144">
        <v>4104261</v>
      </c>
      <c r="D14" s="144">
        <v>4486721</v>
      </c>
      <c r="E14" s="144">
        <v>140395</v>
      </c>
      <c r="F14" s="144">
        <v>199952</v>
      </c>
      <c r="G14" s="144">
        <v>33114</v>
      </c>
      <c r="H14" s="144">
        <v>8964444</v>
      </c>
      <c r="I14" s="144">
        <v>11442</v>
      </c>
      <c r="J14" s="144">
        <v>110036</v>
      </c>
      <c r="K14" s="144">
        <v>121477</v>
      </c>
      <c r="L14" s="144">
        <v>6680</v>
      </c>
      <c r="M14" s="144">
        <v>195000</v>
      </c>
      <c r="N14" s="144">
        <v>201680</v>
      </c>
      <c r="O14" s="145">
        <v>9287601</v>
      </c>
    </row>
    <row r="15" spans="2:15" s="54" customFormat="1" ht="14.1" customHeight="1" x14ac:dyDescent="0.2">
      <c r="B15" s="63" t="s">
        <v>102</v>
      </c>
      <c r="C15" s="60">
        <v>939179.9471799999</v>
      </c>
      <c r="D15" s="60">
        <v>972949.92218000011</v>
      </c>
      <c r="E15" s="60">
        <v>57942.552289999992</v>
      </c>
      <c r="F15" s="60">
        <v>54586.25218000001</v>
      </c>
      <c r="G15" s="60">
        <v>1733.47867</v>
      </c>
      <c r="H15" s="60">
        <v>2026392.1525000001</v>
      </c>
      <c r="I15" s="60">
        <v>33.909970000000001</v>
      </c>
      <c r="J15" s="60">
        <v>12135.395349999999</v>
      </c>
      <c r="K15" s="60">
        <v>12169.305319999999</v>
      </c>
      <c r="L15" s="60">
        <v>1638.1512799999998</v>
      </c>
      <c r="M15" s="60">
        <v>0</v>
      </c>
      <c r="N15" s="60">
        <v>1638.1512799999998</v>
      </c>
      <c r="O15" s="61">
        <v>2040199.6091000002</v>
      </c>
    </row>
    <row r="16" spans="2:15" s="54" customFormat="1" ht="14.1" customHeight="1" x14ac:dyDescent="0.2">
      <c r="B16" s="146" t="s">
        <v>103</v>
      </c>
      <c r="C16" s="60">
        <v>1460465.34</v>
      </c>
      <c r="D16" s="60">
        <v>2087445.1929500005</v>
      </c>
      <c r="E16" s="60">
        <v>90741.713380000001</v>
      </c>
      <c r="F16" s="60">
        <v>107944.79014000001</v>
      </c>
      <c r="G16" s="60">
        <v>7233.6615899999997</v>
      </c>
      <c r="H16" s="60">
        <v>3753830.6980600012</v>
      </c>
      <c r="I16" s="60">
        <v>939.61171999999988</v>
      </c>
      <c r="J16" s="60">
        <v>22985.099940000004</v>
      </c>
      <c r="K16" s="60">
        <v>23924.711660000004</v>
      </c>
      <c r="L16" s="60">
        <v>2413.0501100000001</v>
      </c>
      <c r="M16" s="60">
        <v>0</v>
      </c>
      <c r="N16" s="60">
        <v>2413.0501100000001</v>
      </c>
      <c r="O16" s="61">
        <v>3780168.4598300015</v>
      </c>
    </row>
    <row r="17" spans="2:15" s="54" customFormat="1" ht="14.1" customHeight="1" x14ac:dyDescent="0.2">
      <c r="B17" s="63" t="s">
        <v>104</v>
      </c>
      <c r="C17" s="60">
        <v>3117502.5734599996</v>
      </c>
      <c r="D17" s="60">
        <v>3104043.5572299999</v>
      </c>
      <c r="E17" s="60">
        <v>124080.02862999999</v>
      </c>
      <c r="F17" s="60">
        <v>135580.20965999999</v>
      </c>
      <c r="G17" s="60">
        <v>11749.346030000001</v>
      </c>
      <c r="H17" s="60">
        <v>6492955.7189799976</v>
      </c>
      <c r="I17" s="60">
        <v>2674.08527</v>
      </c>
      <c r="J17" s="60">
        <v>51351.228109999996</v>
      </c>
      <c r="K17" s="60">
        <v>54025.31338</v>
      </c>
      <c r="L17" s="60">
        <v>5377.0977400000002</v>
      </c>
      <c r="M17" s="60">
        <v>0</v>
      </c>
      <c r="N17" s="60">
        <v>5377.0977400000002</v>
      </c>
      <c r="O17" s="61">
        <v>6552358.1300999979</v>
      </c>
    </row>
    <row r="18" spans="2:15" s="54" customFormat="1" ht="14.1" customHeight="1" x14ac:dyDescent="0.2">
      <c r="B18" s="143" t="s">
        <v>105</v>
      </c>
      <c r="C18" s="144">
        <v>4213339.2800099999</v>
      </c>
      <c r="D18" s="144">
        <v>4878087.10035</v>
      </c>
      <c r="E18" s="144">
        <v>153858.85781999992</v>
      </c>
      <c r="F18" s="144">
        <v>226058.46333999999</v>
      </c>
      <c r="G18" s="144">
        <v>25357.563480000001</v>
      </c>
      <c r="H18" s="144">
        <v>9496701.265689997</v>
      </c>
      <c r="I18" s="144">
        <v>2848.8905500000001</v>
      </c>
      <c r="J18" s="144">
        <v>131804.26333000002</v>
      </c>
      <c r="K18" s="144">
        <v>134653.15388000003</v>
      </c>
      <c r="L18" s="144">
        <v>6535.7724799999996</v>
      </c>
      <c r="M18" s="144">
        <v>61000</v>
      </c>
      <c r="N18" s="144">
        <v>67535.77248</v>
      </c>
      <c r="O18" s="145">
        <v>9698890.1920499969</v>
      </c>
    </row>
    <row r="19" spans="2:15" s="54" customFormat="1" ht="14.1" customHeight="1" x14ac:dyDescent="0.2">
      <c r="B19" s="63" t="s">
        <v>106</v>
      </c>
      <c r="C19" s="60">
        <v>989315.70326999994</v>
      </c>
      <c r="D19" s="60">
        <v>1173950.5950399998</v>
      </c>
      <c r="E19" s="60">
        <v>36263.356210000005</v>
      </c>
      <c r="F19" s="60">
        <v>19829.655220000001</v>
      </c>
      <c r="G19" s="60">
        <v>2136.04441</v>
      </c>
      <c r="H19" s="60">
        <v>2221495.3578300001</v>
      </c>
      <c r="I19" s="60">
        <v>109.26436000000001</v>
      </c>
      <c r="J19" s="60">
        <v>12233.920649999996</v>
      </c>
      <c r="K19" s="60">
        <v>12343.185009999996</v>
      </c>
      <c r="L19" s="60">
        <v>1494.5275999999999</v>
      </c>
      <c r="M19" s="60">
        <v>0</v>
      </c>
      <c r="N19" s="60">
        <v>1494.5275999999999</v>
      </c>
      <c r="O19" s="61">
        <v>2235333.0704400004</v>
      </c>
    </row>
    <row r="20" spans="2:15" s="54" customFormat="1" ht="14.1" customHeight="1" x14ac:dyDescent="0.2">
      <c r="B20" s="146" t="s">
        <v>107</v>
      </c>
      <c r="C20" s="60">
        <v>1469836.9740599999</v>
      </c>
      <c r="D20" s="60">
        <v>2368620.1567800003</v>
      </c>
      <c r="E20" s="60">
        <v>78352.632780000014</v>
      </c>
      <c r="F20" s="60">
        <v>72205.024850000031</v>
      </c>
      <c r="G20" s="60">
        <v>5586.09836</v>
      </c>
      <c r="H20" s="60">
        <v>3994600.8868300007</v>
      </c>
      <c r="I20" s="60">
        <v>990.54293999999993</v>
      </c>
      <c r="J20" s="60">
        <v>29972.72982</v>
      </c>
      <c r="K20" s="60">
        <v>30963.27276</v>
      </c>
      <c r="L20" s="60">
        <v>2225.8579799999998</v>
      </c>
      <c r="M20" s="60">
        <v>134000</v>
      </c>
      <c r="N20" s="60">
        <v>136225.85798</v>
      </c>
      <c r="O20" s="61">
        <v>4161790.0175700006</v>
      </c>
    </row>
    <row r="21" spans="2:15" s="54" customFormat="1" ht="14.1" customHeight="1" x14ac:dyDescent="0.2">
      <c r="B21" s="63" t="s">
        <v>108</v>
      </c>
      <c r="C21" s="60">
        <v>3212390.9032700001</v>
      </c>
      <c r="D21" s="60">
        <v>3526864.27819</v>
      </c>
      <c r="E21" s="60">
        <v>112885.8051</v>
      </c>
      <c r="F21" s="60">
        <v>120979.44720999995</v>
      </c>
      <c r="G21" s="60">
        <v>8370.5551599999999</v>
      </c>
      <c r="H21" s="60">
        <v>6981490.9947800003</v>
      </c>
      <c r="I21" s="60">
        <v>2102.71207</v>
      </c>
      <c r="J21" s="60">
        <v>68136.975699999995</v>
      </c>
      <c r="K21" s="60">
        <v>70239.68776999999</v>
      </c>
      <c r="L21" s="60">
        <v>1821.9196099999999</v>
      </c>
      <c r="M21" s="60">
        <v>134000</v>
      </c>
      <c r="N21" s="60">
        <v>135821.91961000001</v>
      </c>
      <c r="O21" s="61">
        <v>7187552.6021600002</v>
      </c>
    </row>
    <row r="22" spans="2:15" s="54" customFormat="1" ht="12" customHeight="1" x14ac:dyDescent="0.2">
      <c r="B22" s="143" t="s">
        <v>109</v>
      </c>
      <c r="C22" s="144">
        <v>4401057.0020000003</v>
      </c>
      <c r="D22" s="144">
        <v>5506492</v>
      </c>
      <c r="E22" s="144">
        <v>159632</v>
      </c>
      <c r="F22" s="144">
        <v>169046</v>
      </c>
      <c r="G22" s="144">
        <v>22596</v>
      </c>
      <c r="H22" s="144">
        <v>10258822</v>
      </c>
      <c r="I22" s="144">
        <v>3094</v>
      </c>
      <c r="J22" s="144">
        <v>144039</v>
      </c>
      <c r="K22" s="144">
        <v>147133</v>
      </c>
      <c r="L22" s="144">
        <v>2148</v>
      </c>
      <c r="M22" s="144">
        <v>146001</v>
      </c>
      <c r="N22" s="144">
        <v>148149</v>
      </c>
      <c r="O22" s="145">
        <v>10554104</v>
      </c>
    </row>
    <row r="23" spans="2:15" s="54" customFormat="1" ht="12" customHeight="1" x14ac:dyDescent="0.2">
      <c r="B23" s="63" t="s">
        <v>110</v>
      </c>
      <c r="C23" s="60">
        <v>1062248.4980000001</v>
      </c>
      <c r="D23" s="60">
        <v>1211680.442</v>
      </c>
      <c r="E23" s="60">
        <v>36450</v>
      </c>
      <c r="F23" s="60">
        <v>25008</v>
      </c>
      <c r="G23" s="60">
        <v>1177</v>
      </c>
      <c r="H23" s="60">
        <v>2336564</v>
      </c>
      <c r="I23" s="60">
        <v>513</v>
      </c>
      <c r="J23" s="60">
        <v>1271</v>
      </c>
      <c r="K23" s="60">
        <v>1784</v>
      </c>
      <c r="L23" s="60">
        <v>1474</v>
      </c>
      <c r="M23" s="60">
        <v>0</v>
      </c>
      <c r="N23" s="60">
        <v>1474</v>
      </c>
      <c r="O23" s="61">
        <v>2339822</v>
      </c>
    </row>
    <row r="24" spans="2:15" s="54" customFormat="1" ht="12" customHeight="1" x14ac:dyDescent="0.2">
      <c r="B24" s="146" t="s">
        <v>111</v>
      </c>
      <c r="C24" s="60">
        <v>1609546.03</v>
      </c>
      <c r="D24" s="60">
        <v>2621723.0070000002</v>
      </c>
      <c r="E24" s="60">
        <v>83500</v>
      </c>
      <c r="F24" s="60">
        <v>82844</v>
      </c>
      <c r="G24" s="60">
        <v>4180</v>
      </c>
      <c r="H24" s="60">
        <v>4401793</v>
      </c>
      <c r="I24" s="60">
        <v>1851</v>
      </c>
      <c r="J24" s="60">
        <v>6238</v>
      </c>
      <c r="K24" s="60">
        <v>8089</v>
      </c>
      <c r="L24" s="60">
        <v>2092</v>
      </c>
      <c r="M24" s="60">
        <v>0</v>
      </c>
      <c r="N24" s="60">
        <v>2092</v>
      </c>
      <c r="O24" s="61">
        <v>4411974</v>
      </c>
    </row>
    <row r="25" spans="2:15" s="54" customFormat="1" ht="12" customHeight="1" x14ac:dyDescent="0.2">
      <c r="B25" s="63" t="s">
        <v>112</v>
      </c>
      <c r="C25" s="60">
        <v>3718027.9330000002</v>
      </c>
      <c r="D25" s="60">
        <v>4103529.0670000003</v>
      </c>
      <c r="E25" s="60">
        <v>121939.59680999999</v>
      </c>
      <c r="F25" s="60">
        <v>125503.63628000001</v>
      </c>
      <c r="G25" s="60">
        <v>9009.0658700000004</v>
      </c>
      <c r="H25" s="60">
        <v>8078009.3091900004</v>
      </c>
      <c r="I25" s="60">
        <v>8465.8343999999997</v>
      </c>
      <c r="J25" s="60">
        <v>39717.823810000002</v>
      </c>
      <c r="K25" s="60">
        <v>48183.658210000001</v>
      </c>
      <c r="L25" s="60">
        <v>2464.7209599999996</v>
      </c>
      <c r="M25" s="60">
        <v>114000.03632</v>
      </c>
      <c r="N25" s="60">
        <v>116464.75728000001</v>
      </c>
      <c r="O25" s="61">
        <v>8242657.72468</v>
      </c>
    </row>
    <row r="26" spans="2:15" s="54" customFormat="1" ht="12" customHeight="1" x14ac:dyDescent="0.2">
      <c r="B26" s="143" t="s">
        <v>113</v>
      </c>
      <c r="C26" s="144">
        <v>5110120.477</v>
      </c>
      <c r="D26" s="144">
        <v>6111916.8709999993</v>
      </c>
      <c r="E26" s="144">
        <v>168541.04360999999</v>
      </c>
      <c r="F26" s="144">
        <v>276416.07987999998</v>
      </c>
      <c r="G26" s="144">
        <v>26925.206529999996</v>
      </c>
      <c r="H26" s="144">
        <v>11693919.689489998</v>
      </c>
      <c r="I26" s="144">
        <v>12619.77821</v>
      </c>
      <c r="J26" s="144">
        <v>115712.90562000001</v>
      </c>
      <c r="K26" s="144">
        <v>128332.68383000001</v>
      </c>
      <c r="L26" s="144">
        <v>2971.7300399999999</v>
      </c>
      <c r="M26" s="144">
        <v>126000</v>
      </c>
      <c r="N26" s="144">
        <v>128971.73003999999</v>
      </c>
      <c r="O26" s="145">
        <v>11951224.103359999</v>
      </c>
    </row>
    <row r="27" spans="2:15" s="54" customFormat="1" ht="12" customHeight="1" x14ac:dyDescent="0.2">
      <c r="B27" s="63" t="s">
        <v>114</v>
      </c>
      <c r="C27" s="60">
        <v>1176821.6290000002</v>
      </c>
      <c r="D27" s="60">
        <v>1453966.1679999998</v>
      </c>
      <c r="E27" s="60">
        <v>50168.169349999996</v>
      </c>
      <c r="F27" s="60">
        <v>27664.72206</v>
      </c>
      <c r="G27" s="60">
        <v>1953.8475899999999</v>
      </c>
      <c r="H27" s="60">
        <v>2710574.5450599999</v>
      </c>
      <c r="I27" s="60">
        <v>618.3540099999999</v>
      </c>
      <c r="J27" s="60">
        <v>1687.2726399999999</v>
      </c>
      <c r="K27" s="60">
        <v>2305.6266499999997</v>
      </c>
      <c r="L27" s="60">
        <v>1597.9601600000001</v>
      </c>
      <c r="M27" s="60">
        <v>0</v>
      </c>
      <c r="N27" s="60">
        <v>1597.9601600000001</v>
      </c>
      <c r="O27" s="61">
        <v>2714478.1318699997</v>
      </c>
    </row>
    <row r="28" spans="2:15" s="54" customFormat="1" ht="12" customHeight="1" x14ac:dyDescent="0.2">
      <c r="B28" s="146" t="s">
        <v>115</v>
      </c>
      <c r="C28" s="60">
        <v>1885278.862</v>
      </c>
      <c r="D28" s="60">
        <v>2997576.3029999994</v>
      </c>
      <c r="E28" s="60">
        <v>95898.283310000013</v>
      </c>
      <c r="F28" s="60">
        <v>124909.46119999999</v>
      </c>
      <c r="G28" s="60">
        <v>7204.0071600000001</v>
      </c>
      <c r="H28" s="60">
        <v>5110866.9261999996</v>
      </c>
      <c r="I28" s="60">
        <v>9537.5309800000014</v>
      </c>
      <c r="J28" s="60">
        <v>47352.926590000003</v>
      </c>
      <c r="K28" s="60">
        <v>56890.457570000006</v>
      </c>
      <c r="L28" s="60">
        <v>2317.01262</v>
      </c>
      <c r="M28" s="60">
        <v>0</v>
      </c>
      <c r="N28" s="60">
        <v>2317.01262</v>
      </c>
      <c r="O28" s="61">
        <v>5170074.3963899994</v>
      </c>
    </row>
    <row r="29" spans="2:15" s="54" customFormat="1" ht="12" customHeight="1" x14ac:dyDescent="0.2">
      <c r="B29" s="63" t="s">
        <v>116</v>
      </c>
      <c r="C29" s="60">
        <v>4257261.3540000003</v>
      </c>
      <c r="D29" s="60">
        <v>4504814.4040000001</v>
      </c>
      <c r="E29" s="60">
        <v>143256.35253999999</v>
      </c>
      <c r="F29" s="60">
        <v>160274.58525</v>
      </c>
      <c r="G29" s="60">
        <v>17401.410980000001</v>
      </c>
      <c r="H29" s="60">
        <v>9083007.1162599977</v>
      </c>
      <c r="I29" s="60">
        <v>10997.256949999999</v>
      </c>
      <c r="J29" s="60">
        <v>70774.606490000006</v>
      </c>
      <c r="K29" s="60">
        <v>81771.863440000001</v>
      </c>
      <c r="L29" s="60">
        <v>2735.2029299999999</v>
      </c>
      <c r="M29" s="60">
        <v>-284.66336000000001</v>
      </c>
      <c r="N29" s="60">
        <v>2450.5395699999999</v>
      </c>
      <c r="O29" s="61">
        <v>9167229.5192699973</v>
      </c>
    </row>
    <row r="30" spans="2:15" s="54" customFormat="1" ht="14.1" customHeight="1" x14ac:dyDescent="0.2">
      <c r="B30" s="143" t="s">
        <v>117</v>
      </c>
      <c r="C30" s="144">
        <v>5748225.1030000001</v>
      </c>
      <c r="D30" s="144">
        <v>6762176.3869999992</v>
      </c>
      <c r="E30" s="144">
        <v>205793.72774999999</v>
      </c>
      <c r="F30" s="144">
        <v>300560.65139999997</v>
      </c>
      <c r="G30" s="144">
        <v>41024.425520000004</v>
      </c>
      <c r="H30" s="144">
        <v>13057780.303699998</v>
      </c>
      <c r="I30" s="144">
        <v>11293.38998</v>
      </c>
      <c r="J30" s="144">
        <v>121058.92491</v>
      </c>
      <c r="K30" s="144">
        <v>132352.31489000001</v>
      </c>
      <c r="L30" s="144">
        <v>21181.424569999999</v>
      </c>
      <c r="M30" s="144">
        <v>127215.33663999999</v>
      </c>
      <c r="N30" s="144">
        <v>148396.76121</v>
      </c>
      <c r="O30" s="145">
        <v>13338529.379799997</v>
      </c>
    </row>
    <row r="31" spans="2:15" s="54" customFormat="1" ht="14.1" customHeight="1" x14ac:dyDescent="0.2">
      <c r="B31" s="63" t="s">
        <v>118</v>
      </c>
      <c r="C31" s="60">
        <v>1345883.943</v>
      </c>
      <c r="D31" s="60">
        <v>1519741.101</v>
      </c>
      <c r="E31" s="60">
        <v>58125.425200000005</v>
      </c>
      <c r="F31" s="60">
        <v>49567.177409999997</v>
      </c>
      <c r="G31" s="60">
        <v>3876.2579599999999</v>
      </c>
      <c r="H31" s="60">
        <v>2977193.9151500002</v>
      </c>
      <c r="I31" s="60">
        <v>150.12202000000002</v>
      </c>
      <c r="J31" s="60">
        <v>24451.082030000001</v>
      </c>
      <c r="K31" s="60">
        <v>24601.20405</v>
      </c>
      <c r="L31" s="60">
        <v>1403.4939899999999</v>
      </c>
      <c r="M31" s="60"/>
      <c r="N31" s="60">
        <v>1403.4939899999999</v>
      </c>
      <c r="O31" s="61">
        <v>3003198.6131899999</v>
      </c>
    </row>
    <row r="32" spans="2:15" s="54" customFormat="1" ht="14.1" customHeight="1" x14ac:dyDescent="0.2">
      <c r="B32" s="146" t="s">
        <v>119</v>
      </c>
      <c r="C32" s="60">
        <v>2202901.4619999998</v>
      </c>
      <c r="D32" s="60">
        <v>3031111.0010000002</v>
      </c>
      <c r="E32" s="60">
        <v>111737.28358</v>
      </c>
      <c r="F32" s="60">
        <v>149266.05602000002</v>
      </c>
      <c r="G32" s="60">
        <v>9838.4553999999989</v>
      </c>
      <c r="H32" s="60">
        <v>5504854.2679600008</v>
      </c>
      <c r="I32" s="60">
        <v>2686.7286899999999</v>
      </c>
      <c r="J32" s="60">
        <v>31112.761000000002</v>
      </c>
      <c r="K32" s="60">
        <v>33799.489690000002</v>
      </c>
      <c r="L32" s="60">
        <v>2254.2985699999999</v>
      </c>
      <c r="M32" s="60"/>
      <c r="N32" s="60">
        <v>2254.2985699999999</v>
      </c>
      <c r="O32" s="61">
        <v>5540908.0562200006</v>
      </c>
    </row>
    <row r="33" spans="2:15" s="54" customFormat="1" ht="14.1" customHeight="1" x14ac:dyDescent="0.2">
      <c r="B33" s="63" t="s">
        <v>120</v>
      </c>
      <c r="C33" s="60">
        <v>5078000.6869999999</v>
      </c>
      <c r="D33" s="60">
        <v>4721671.193</v>
      </c>
      <c r="E33" s="60">
        <v>159709.58622000008</v>
      </c>
      <c r="F33" s="60">
        <v>227404.74912000005</v>
      </c>
      <c r="G33" s="60">
        <v>25017.604600000002</v>
      </c>
      <c r="H33" s="60">
        <v>10211803.831710001</v>
      </c>
      <c r="I33" s="60">
        <v>2687.4636899999996</v>
      </c>
      <c r="J33" s="60">
        <v>34765.907060000005</v>
      </c>
      <c r="K33" s="60">
        <v>37453.370750000002</v>
      </c>
      <c r="L33" s="60">
        <v>2751.0821799999999</v>
      </c>
      <c r="M33" s="60"/>
      <c r="N33" s="60">
        <v>2751.0821799999999</v>
      </c>
      <c r="O33" s="61">
        <v>10252008.284640003</v>
      </c>
    </row>
    <row r="34" spans="2:15" s="54" customFormat="1" ht="14.1" customHeight="1" x14ac:dyDescent="0.2">
      <c r="B34" s="143" t="s">
        <v>121</v>
      </c>
      <c r="C34" s="144">
        <v>6742757.6910000006</v>
      </c>
      <c r="D34" s="144">
        <v>6988136.068</v>
      </c>
      <c r="E34" s="144">
        <v>311380.44316999998</v>
      </c>
      <c r="F34" s="144">
        <v>456661.03697999998</v>
      </c>
      <c r="G34" s="144">
        <v>50542.391019999995</v>
      </c>
      <c r="H34" s="144">
        <v>14549477.635739999</v>
      </c>
      <c r="I34" s="144">
        <v>2876.328</v>
      </c>
      <c r="J34" s="144">
        <v>79475.683839999998</v>
      </c>
      <c r="K34" s="144">
        <v>82352.011839999992</v>
      </c>
      <c r="L34" s="144">
        <v>20519.207859999999</v>
      </c>
      <c r="M34" s="144">
        <v>59000</v>
      </c>
      <c r="N34" s="144">
        <v>79519.207859999995</v>
      </c>
      <c r="O34" s="145">
        <v>14711348.85544</v>
      </c>
    </row>
    <row r="35" spans="2:15" s="54" customFormat="1" ht="14.1" customHeight="1" x14ac:dyDescent="0.2">
      <c r="B35" s="63" t="s">
        <v>122</v>
      </c>
      <c r="C35" s="60">
        <v>1485134.1980000001</v>
      </c>
      <c r="D35" s="60">
        <v>1574463.3739999998</v>
      </c>
      <c r="E35" s="60">
        <v>50740.031230000001</v>
      </c>
      <c r="F35" s="60">
        <v>34769.318310000002</v>
      </c>
      <c r="G35" s="60">
        <v>1781.7704199999998</v>
      </c>
      <c r="H35" s="60">
        <v>3146888.7007200001</v>
      </c>
      <c r="I35" s="60">
        <v>450.36179000000004</v>
      </c>
      <c r="J35" s="60">
        <v>29827.19657</v>
      </c>
      <c r="K35" s="60">
        <v>30277.558359999999</v>
      </c>
      <c r="L35" s="60">
        <v>602.66660999999999</v>
      </c>
      <c r="M35" s="60"/>
      <c r="N35" s="60">
        <v>602.66660999999999</v>
      </c>
      <c r="O35" s="61">
        <v>3177768.9256900004</v>
      </c>
    </row>
    <row r="36" spans="2:15" s="54" customFormat="1" ht="14.1" customHeight="1" x14ac:dyDescent="0.2">
      <c r="B36" s="146" t="s">
        <v>123</v>
      </c>
      <c r="C36" s="60">
        <v>2354760</v>
      </c>
      <c r="D36" s="60">
        <v>3093615</v>
      </c>
      <c r="E36" s="60">
        <v>109390.76798999999</v>
      </c>
      <c r="F36" s="60">
        <v>197615.38926999999</v>
      </c>
      <c r="G36" s="60">
        <v>8343.2305699999997</v>
      </c>
      <c r="H36" s="60">
        <v>5763722.3967499994</v>
      </c>
      <c r="I36" s="60">
        <v>2863.3422499999997</v>
      </c>
      <c r="J36" s="60">
        <v>60106.944179999999</v>
      </c>
      <c r="K36" s="60">
        <v>62970.28643</v>
      </c>
      <c r="L36" s="60">
        <v>2009.9333299999998</v>
      </c>
      <c r="M36" s="60"/>
      <c r="N36" s="60">
        <v>2009.9333299999998</v>
      </c>
      <c r="O36" s="61">
        <v>5828702.6165100001</v>
      </c>
    </row>
    <row r="37" spans="2:15" s="54" customFormat="1" ht="14.1" customHeight="1" x14ac:dyDescent="0.2">
      <c r="B37" s="63" t="s">
        <v>124</v>
      </c>
      <c r="C37" s="60">
        <v>5141433.0219999999</v>
      </c>
      <c r="D37" s="60">
        <v>4465541.8899999997</v>
      </c>
      <c r="E37" s="60">
        <v>174348.46268</v>
      </c>
      <c r="F37" s="60">
        <v>259804.63389</v>
      </c>
      <c r="G37" s="60">
        <v>28642.50865</v>
      </c>
      <c r="H37" s="60">
        <v>10069770.522639999</v>
      </c>
      <c r="I37" s="60">
        <v>2912.9846200000002</v>
      </c>
      <c r="J37" s="60">
        <v>124834.86892000001</v>
      </c>
      <c r="K37" s="60">
        <v>127747.85354000001</v>
      </c>
      <c r="L37" s="60">
        <v>2409.31594</v>
      </c>
      <c r="M37" s="60">
        <v>53500</v>
      </c>
      <c r="N37" s="60">
        <v>55909.31594</v>
      </c>
      <c r="O37" s="61">
        <v>10253427.692119999</v>
      </c>
    </row>
    <row r="38" spans="2:15" s="54" customFormat="1" ht="14.1" customHeight="1" x14ac:dyDescent="0.2">
      <c r="B38" s="143" t="s">
        <v>125</v>
      </c>
      <c r="C38" s="144">
        <v>6671569.2429999989</v>
      </c>
      <c r="D38" s="144">
        <v>6181558.091</v>
      </c>
      <c r="E38" s="144">
        <v>257680.20463999998</v>
      </c>
      <c r="F38" s="144">
        <v>799252.26084</v>
      </c>
      <c r="G38" s="144">
        <v>50507.388229999997</v>
      </c>
      <c r="H38" s="144">
        <v>13960567.49174</v>
      </c>
      <c r="I38" s="144">
        <v>6153.3353500000003</v>
      </c>
      <c r="J38" s="144">
        <v>159158.12074000001</v>
      </c>
      <c r="K38" s="144">
        <v>165311.45609000002</v>
      </c>
      <c r="L38" s="144">
        <v>2892.5077699999997</v>
      </c>
      <c r="M38" s="144">
        <v>213500</v>
      </c>
      <c r="N38" s="144">
        <v>216392.50777</v>
      </c>
      <c r="O38" s="145">
        <v>14342271.455599999</v>
      </c>
    </row>
    <row r="39" spans="2:15" s="54" customFormat="1" ht="14.1" customHeight="1" x14ac:dyDescent="0.2">
      <c r="B39" s="63" t="s">
        <v>126</v>
      </c>
      <c r="C39" s="60">
        <v>1438792.69</v>
      </c>
      <c r="D39" s="60">
        <v>1472813.324</v>
      </c>
      <c r="E39" s="60">
        <v>61874.215989999997</v>
      </c>
      <c r="F39" s="60">
        <v>55219.30674</v>
      </c>
      <c r="G39" s="60">
        <v>540.49333000000001</v>
      </c>
      <c r="H39" s="60">
        <v>3029240.04097</v>
      </c>
      <c r="I39" s="60">
        <v>91.01606000000001</v>
      </c>
      <c r="J39" s="60">
        <v>1148.8154400000001</v>
      </c>
      <c r="K39" s="60">
        <v>1239.8315</v>
      </c>
      <c r="L39" s="60">
        <v>28526.086089999997</v>
      </c>
      <c r="M39" s="60"/>
      <c r="N39" s="60">
        <v>28526.086089999997</v>
      </c>
      <c r="O39" s="61">
        <v>3059005.9585599997</v>
      </c>
    </row>
    <row r="40" spans="2:15" s="54" customFormat="1" ht="14.1" customHeight="1" x14ac:dyDescent="0.2">
      <c r="B40" s="146" t="s">
        <v>127</v>
      </c>
      <c r="C40" s="60">
        <v>1840289</v>
      </c>
      <c r="D40" s="60">
        <v>2603410</v>
      </c>
      <c r="E40" s="60">
        <v>122530.07016</v>
      </c>
      <c r="F40" s="60">
        <v>592798.23418000003</v>
      </c>
      <c r="G40" s="60">
        <v>1719.5084099999999</v>
      </c>
      <c r="H40" s="60">
        <v>5160747.8554099994</v>
      </c>
      <c r="I40" s="60">
        <v>244.48903999999999</v>
      </c>
      <c r="J40" s="60">
        <v>44084.949250000005</v>
      </c>
      <c r="K40" s="60">
        <v>44329.438290000006</v>
      </c>
      <c r="L40" s="60">
        <v>30529.216420000001</v>
      </c>
      <c r="M40" s="60">
        <v>270000</v>
      </c>
      <c r="N40" s="60">
        <v>300529.21642000001</v>
      </c>
      <c r="O40" s="61">
        <v>5505606.5101199998</v>
      </c>
    </row>
    <row r="41" spans="2:15" s="54" customFormat="1" ht="14.1" customHeight="1" x14ac:dyDescent="0.2">
      <c r="B41" s="63" t="s">
        <v>128</v>
      </c>
      <c r="C41" s="60">
        <v>3950044.2850000001</v>
      </c>
      <c r="D41" s="60">
        <v>3611574.2989999996</v>
      </c>
      <c r="E41" s="60">
        <v>190728.85172999999</v>
      </c>
      <c r="F41" s="60">
        <v>676375.42958999996</v>
      </c>
      <c r="G41" s="60">
        <v>6735.4675499999994</v>
      </c>
      <c r="H41" s="60">
        <v>8435458.3420800008</v>
      </c>
      <c r="I41" s="60">
        <v>2118.2847200000001</v>
      </c>
      <c r="J41" s="60">
        <v>61911.173949999997</v>
      </c>
      <c r="K41" s="60">
        <v>64029.45867</v>
      </c>
      <c r="L41" s="60">
        <v>30905.002679999998</v>
      </c>
      <c r="M41" s="60">
        <v>270000</v>
      </c>
      <c r="N41" s="60">
        <v>300905.00267999998</v>
      </c>
      <c r="O41" s="61">
        <v>8800392.8034300003</v>
      </c>
    </row>
    <row r="42" spans="2:15" s="54" customFormat="1" ht="14.1" customHeight="1" x14ac:dyDescent="0.2">
      <c r="B42" s="143" t="s">
        <v>129</v>
      </c>
      <c r="C42" s="144">
        <v>5455108.5329299979</v>
      </c>
      <c r="D42" s="144">
        <v>5769079.4238700019</v>
      </c>
      <c r="E42" s="144">
        <v>252818.35672999991</v>
      </c>
      <c r="F42" s="144">
        <v>1018980.0208200002</v>
      </c>
      <c r="G42" s="144">
        <v>13860.97004</v>
      </c>
      <c r="H42" s="144">
        <v>12509847.304389996</v>
      </c>
      <c r="I42" s="144">
        <v>2491.9030200000002</v>
      </c>
      <c r="J42" s="144">
        <v>112332.14218</v>
      </c>
      <c r="K42" s="144">
        <v>114824.04519999999</v>
      </c>
      <c r="L42" s="144">
        <v>31281.854199999998</v>
      </c>
      <c r="M42" s="144">
        <v>354000</v>
      </c>
      <c r="N42" s="144">
        <v>385281.8542</v>
      </c>
      <c r="O42" s="145">
        <v>13009953.203789996</v>
      </c>
    </row>
    <row r="43" spans="2:15" s="54" customFormat="1" ht="14.1" customHeight="1" x14ac:dyDescent="0.2">
      <c r="B43" s="63" t="s">
        <v>130</v>
      </c>
      <c r="C43" s="60">
        <v>1395062.0739399996</v>
      </c>
      <c r="D43" s="60">
        <v>1507409.8815200001</v>
      </c>
      <c r="E43" s="60">
        <v>67154.433539999998</v>
      </c>
      <c r="F43" s="60">
        <v>80033.749489999973</v>
      </c>
      <c r="G43" s="60">
        <v>324.29649000000001</v>
      </c>
      <c r="H43" s="60">
        <v>3049984.4349799994</v>
      </c>
      <c r="I43" s="60">
        <v>196.73939000000001</v>
      </c>
      <c r="J43" s="60">
        <v>38715.082949999989</v>
      </c>
      <c r="K43" s="60">
        <v>38911.822339999992</v>
      </c>
      <c r="L43" s="60">
        <v>30985.465400000001</v>
      </c>
      <c r="M43" s="60">
        <v>0</v>
      </c>
      <c r="N43" s="60">
        <v>30985.465400000001</v>
      </c>
      <c r="O43" s="61">
        <v>3119881.7227199995</v>
      </c>
    </row>
    <row r="44" spans="2:15" s="54" customFormat="1" ht="14.1" customHeight="1" x14ac:dyDescent="0.2">
      <c r="B44" s="146" t="s">
        <v>131</v>
      </c>
      <c r="C44" s="60">
        <v>1874458.942710001</v>
      </c>
      <c r="D44" s="60">
        <v>2731267.3937900006</v>
      </c>
      <c r="E44" s="60">
        <v>137634.42600000001</v>
      </c>
      <c r="F44" s="60">
        <v>744992.2459900002</v>
      </c>
      <c r="G44" s="60">
        <v>1334.1993</v>
      </c>
      <c r="H44" s="60">
        <v>5489687.2077900004</v>
      </c>
      <c r="I44" s="60">
        <v>358.52919000000003</v>
      </c>
      <c r="J44" s="60">
        <v>44418.294569999998</v>
      </c>
      <c r="K44" s="60">
        <v>44776.823759999999</v>
      </c>
      <c r="L44" s="60">
        <v>31398.951829999998</v>
      </c>
      <c r="M44" s="60">
        <v>150000.57750000001</v>
      </c>
      <c r="N44" s="60">
        <v>181399.52933000002</v>
      </c>
      <c r="O44" s="61">
        <v>5715863.5608800007</v>
      </c>
    </row>
    <row r="45" spans="2:15" s="54" customFormat="1" ht="14.1" customHeight="1" x14ac:dyDescent="0.2">
      <c r="B45" s="63" t="s">
        <v>132</v>
      </c>
      <c r="C45" s="60">
        <v>3829845.7275500009</v>
      </c>
      <c r="D45" s="60">
        <v>4037114.0431400011</v>
      </c>
      <c r="E45" s="60">
        <v>207874.95858999999</v>
      </c>
      <c r="F45" s="60">
        <v>862839.79817000031</v>
      </c>
      <c r="G45" s="60">
        <v>3612.0176800000004</v>
      </c>
      <c r="H45" s="60">
        <v>8941286.5451300032</v>
      </c>
      <c r="I45" s="60">
        <v>404.91077999999999</v>
      </c>
      <c r="J45" s="60">
        <v>92881.538560000001</v>
      </c>
      <c r="K45" s="60">
        <v>93286.449340000006</v>
      </c>
      <c r="L45" s="60">
        <v>31838.411939999998</v>
      </c>
      <c r="M45" s="60">
        <v>150000</v>
      </c>
      <c r="N45" s="60">
        <v>181838.41193999999</v>
      </c>
      <c r="O45" s="61">
        <v>9216411.4064100031</v>
      </c>
    </row>
    <row r="46" spans="2:15" s="54" customFormat="1" ht="14.1" customHeight="1" x14ac:dyDescent="0.2">
      <c r="B46" s="143" t="s">
        <v>133</v>
      </c>
      <c r="C46" s="144">
        <v>5321089.7570099998</v>
      </c>
      <c r="D46" s="144">
        <v>6140971.2251499994</v>
      </c>
      <c r="E46" s="144">
        <v>300220.63456999999</v>
      </c>
      <c r="F46" s="144">
        <v>1098147.8336899998</v>
      </c>
      <c r="G46" s="144">
        <v>12072.992760000001</v>
      </c>
      <c r="H46" s="144">
        <v>12872502.44318</v>
      </c>
      <c r="I46" s="144">
        <v>660.3152</v>
      </c>
      <c r="J46" s="144">
        <v>111388.26953999998</v>
      </c>
      <c r="K46" s="144">
        <v>112048.58473999998</v>
      </c>
      <c r="L46" s="144">
        <v>39508.477579999992</v>
      </c>
      <c r="M46" s="144">
        <v>494048.24421999999</v>
      </c>
      <c r="N46" s="144">
        <v>533556.72179999994</v>
      </c>
      <c r="O46" s="145">
        <v>13518107.74972</v>
      </c>
    </row>
    <row r="47" spans="2:15" s="54" customFormat="1" ht="14.1" customHeight="1" x14ac:dyDescent="0.2">
      <c r="B47" s="63" t="s">
        <v>134</v>
      </c>
      <c r="C47" s="60">
        <v>1468685.1697299993</v>
      </c>
      <c r="D47" s="60">
        <v>1457597.0173500003</v>
      </c>
      <c r="E47" s="60">
        <v>67033.935820000013</v>
      </c>
      <c r="F47" s="60">
        <v>66155.373990000007</v>
      </c>
      <c r="G47" s="60">
        <v>166.48018000000002</v>
      </c>
      <c r="H47" s="60">
        <f t="shared" ref="H47:H52" si="0">SUM(C47:G47)</f>
        <v>3059637.97707</v>
      </c>
      <c r="I47" s="60">
        <v>362.62821000000002</v>
      </c>
      <c r="J47" s="60">
        <v>39057.539589999986</v>
      </c>
      <c r="K47" s="60">
        <f t="shared" ref="K47:K52" si="1">SUM(I47:J47)</f>
        <v>39420.167799999988</v>
      </c>
      <c r="L47" s="60">
        <v>34193.462239999993</v>
      </c>
      <c r="M47" s="60">
        <v>68800</v>
      </c>
      <c r="N47" s="60">
        <f t="shared" ref="N47:N52" si="2">SUM(L47:M47)</f>
        <v>102993.46223999999</v>
      </c>
      <c r="O47" s="61">
        <f t="shared" ref="O47:O52" si="3">SUM(H47,K47,N47)</f>
        <v>3202051.6071099997</v>
      </c>
    </row>
    <row r="48" spans="2:15" s="54" customFormat="1" ht="14.1" customHeight="1" x14ac:dyDescent="0.2">
      <c r="B48" s="146" t="s">
        <v>135</v>
      </c>
      <c r="C48" s="60">
        <v>2039860.9659500001</v>
      </c>
      <c r="D48" s="60">
        <v>2833756.8291600007</v>
      </c>
      <c r="E48" s="60">
        <v>157916.81160000002</v>
      </c>
      <c r="F48" s="60">
        <v>259578.27382</v>
      </c>
      <c r="G48" s="60">
        <v>759.89880000000005</v>
      </c>
      <c r="H48" s="60">
        <f t="shared" si="0"/>
        <v>5291872.7793299994</v>
      </c>
      <c r="I48" s="60">
        <v>1102.76514</v>
      </c>
      <c r="J48" s="60">
        <v>44940.965199999999</v>
      </c>
      <c r="K48" s="60">
        <f t="shared" si="1"/>
        <v>46043.730340000002</v>
      </c>
      <c r="L48" s="60">
        <v>34656.580719999998</v>
      </c>
      <c r="M48" s="60">
        <v>88800</v>
      </c>
      <c r="N48" s="60">
        <f t="shared" si="2"/>
        <v>123456.58072</v>
      </c>
      <c r="O48" s="61">
        <f t="shared" si="3"/>
        <v>5461373.0903899996</v>
      </c>
    </row>
    <row r="49" spans="2:15" s="54" customFormat="1" ht="14.1" customHeight="1" x14ac:dyDescent="0.2">
      <c r="B49" s="63" t="s">
        <v>136</v>
      </c>
      <c r="C49" s="60">
        <v>4273565.3111800002</v>
      </c>
      <c r="D49" s="60">
        <v>4166813.3407799983</v>
      </c>
      <c r="E49" s="60">
        <v>240517.68559000015</v>
      </c>
      <c r="F49" s="60">
        <v>386969.67847999989</v>
      </c>
      <c r="G49" s="60">
        <v>4187.2492899999997</v>
      </c>
      <c r="H49" s="60">
        <f t="shared" si="0"/>
        <v>9072053.2653199993</v>
      </c>
      <c r="I49" s="60">
        <v>1482.2889799999998</v>
      </c>
      <c r="J49" s="60">
        <v>68664.515669999993</v>
      </c>
      <c r="K49" s="60">
        <f t="shared" si="1"/>
        <v>70146.804649999991</v>
      </c>
      <c r="L49" s="60">
        <v>35050.277869999998</v>
      </c>
      <c r="M49" s="60">
        <v>88800</v>
      </c>
      <c r="N49" s="60">
        <f t="shared" si="2"/>
        <v>123850.27786999999</v>
      </c>
      <c r="O49" s="61">
        <f t="shared" si="3"/>
        <v>9266050.3478399981</v>
      </c>
    </row>
    <row r="50" spans="2:15" s="54" customFormat="1" ht="14.1" customHeight="1" x14ac:dyDescent="0.2">
      <c r="B50" s="143" t="s">
        <v>137</v>
      </c>
      <c r="C50" s="144">
        <v>5783519.7919700034</v>
      </c>
      <c r="D50" s="144">
        <v>5931998.6913799979</v>
      </c>
      <c r="E50" s="144">
        <v>348449.38757000002</v>
      </c>
      <c r="F50" s="144">
        <v>788023.90935000032</v>
      </c>
      <c r="G50" s="144">
        <v>19422.095139999994</v>
      </c>
      <c r="H50" s="144">
        <f t="shared" si="0"/>
        <v>12871413.875410002</v>
      </c>
      <c r="I50" s="144">
        <v>2735.7589200000002</v>
      </c>
      <c r="J50" s="144">
        <v>150023.42670999997</v>
      </c>
      <c r="K50" s="144">
        <f t="shared" si="1"/>
        <v>152759.18562999996</v>
      </c>
      <c r="L50" s="144">
        <v>60844.466780000002</v>
      </c>
      <c r="M50" s="144">
        <v>371600</v>
      </c>
      <c r="N50" s="144">
        <f t="shared" si="2"/>
        <v>432444.46678000002</v>
      </c>
      <c r="O50" s="145">
        <f t="shared" si="3"/>
        <v>13456617.52782</v>
      </c>
    </row>
    <row r="51" spans="2:15" s="54" customFormat="1" ht="14.1" customHeight="1" x14ac:dyDescent="0.2">
      <c r="B51" s="63" t="s">
        <v>138</v>
      </c>
      <c r="C51" s="60">
        <v>1556455.9223299993</v>
      </c>
      <c r="D51" s="60">
        <v>1439868.5280499998</v>
      </c>
      <c r="E51" s="60">
        <v>72762.623290000018</v>
      </c>
      <c r="F51" s="60">
        <v>1914.5074399999992</v>
      </c>
      <c r="G51" s="60">
        <v>554.21057999999994</v>
      </c>
      <c r="H51" s="60">
        <f t="shared" si="0"/>
        <v>3071555.7916899994</v>
      </c>
      <c r="I51" s="60">
        <v>804.04844000000014</v>
      </c>
      <c r="J51" s="60">
        <v>9009.6111300000011</v>
      </c>
      <c r="K51" s="60">
        <f t="shared" si="1"/>
        <v>9813.6595700000016</v>
      </c>
      <c r="L51" s="60">
        <v>34091.407589999995</v>
      </c>
      <c r="M51" s="60">
        <v>146570</v>
      </c>
      <c r="N51" s="60">
        <f t="shared" si="2"/>
        <v>180661.40758999999</v>
      </c>
      <c r="O51" s="61">
        <f t="shared" si="3"/>
        <v>3262030.8588499995</v>
      </c>
    </row>
    <row r="52" spans="2:15" s="54" customFormat="1" ht="14.1" customHeight="1" x14ac:dyDescent="0.2">
      <c r="B52" s="146" t="s">
        <v>139</v>
      </c>
      <c r="C52" s="60">
        <v>2115046.9473199984</v>
      </c>
      <c r="D52" s="60">
        <v>2651386.9950199984</v>
      </c>
      <c r="E52" s="60">
        <v>270071.14218999998</v>
      </c>
      <c r="F52" s="60">
        <v>128079.03589</v>
      </c>
      <c r="G52" s="60">
        <v>926.19476999999995</v>
      </c>
      <c r="H52" s="60">
        <f t="shared" si="0"/>
        <v>5165510.3151899967</v>
      </c>
      <c r="I52" s="60">
        <v>924.81732999999997</v>
      </c>
      <c r="J52" s="60">
        <v>9728.3471800000007</v>
      </c>
      <c r="K52" s="60">
        <f t="shared" si="1"/>
        <v>10653.164510000001</v>
      </c>
      <c r="L52" s="60">
        <v>34511.705099999999</v>
      </c>
      <c r="M52" s="60">
        <v>250570</v>
      </c>
      <c r="N52" s="60">
        <f t="shared" si="2"/>
        <v>285081.70510000002</v>
      </c>
      <c r="O52" s="61">
        <f t="shared" si="3"/>
        <v>5461245.1847999962</v>
      </c>
    </row>
    <row r="53" spans="2:15" s="54" customFormat="1" ht="14.1" customHeight="1" x14ac:dyDescent="0.2">
      <c r="B53" s="63" t="s">
        <v>140</v>
      </c>
      <c r="C53" s="60">
        <v>4312505.0965700001</v>
      </c>
      <c r="D53" s="60">
        <v>3930750.4379800009</v>
      </c>
      <c r="E53" s="60">
        <v>459502.56319000002</v>
      </c>
      <c r="F53" s="60">
        <v>169739.05684</v>
      </c>
      <c r="G53" s="60">
        <v>4867.8537200000019</v>
      </c>
      <c r="H53" s="60">
        <v>8877365.0083000008</v>
      </c>
      <c r="I53" s="60">
        <v>1296.34265</v>
      </c>
      <c r="J53" s="60">
        <v>22045.297529999996</v>
      </c>
      <c r="K53" s="60">
        <v>23341.640179999995</v>
      </c>
      <c r="L53" s="60">
        <v>45083.851499999997</v>
      </c>
      <c r="M53" s="60">
        <v>250570</v>
      </c>
      <c r="N53" s="60">
        <v>295653.85149999999</v>
      </c>
      <c r="O53" s="61">
        <v>9196360.4999800008</v>
      </c>
    </row>
    <row r="54" spans="2:15" s="54" customFormat="1" ht="14.1" customHeight="1" x14ac:dyDescent="0.2">
      <c r="B54" s="143" t="s">
        <v>141</v>
      </c>
      <c r="C54" s="144">
        <v>5843582.5949999997</v>
      </c>
      <c r="D54" s="144">
        <v>5813085.2560000001</v>
      </c>
      <c r="E54" s="144">
        <v>567346.81500000006</v>
      </c>
      <c r="F54" s="144">
        <v>361558.55599999998</v>
      </c>
      <c r="G54" s="144">
        <v>13398.877</v>
      </c>
      <c r="H54" s="144">
        <v>12598972.098999999</v>
      </c>
      <c r="I54" s="144">
        <v>1475.694</v>
      </c>
      <c r="J54" s="144">
        <v>26451.758999999998</v>
      </c>
      <c r="K54" s="144">
        <v>27927.452999999998</v>
      </c>
      <c r="L54" s="144">
        <v>12499.751999999999</v>
      </c>
      <c r="M54" s="144">
        <v>348570</v>
      </c>
      <c r="N54" s="144">
        <v>361069.75199999998</v>
      </c>
      <c r="O54" s="145">
        <v>12987969.304</v>
      </c>
    </row>
    <row r="55" spans="2:15" s="54" customFormat="1" ht="14.1" customHeight="1" x14ac:dyDescent="0.2">
      <c r="B55" s="63" t="s">
        <v>142</v>
      </c>
      <c r="C55" s="60">
        <v>1472226.1926500001</v>
      </c>
      <c r="D55" s="60">
        <v>1406323.9211800001</v>
      </c>
      <c r="E55" s="60">
        <v>114088.04650999997</v>
      </c>
      <c r="F55" s="60">
        <v>48046.504680000005</v>
      </c>
      <c r="G55" s="60">
        <v>570.5308</v>
      </c>
      <c r="H55" s="60">
        <v>3041255.1958199996</v>
      </c>
      <c r="I55" s="60">
        <v>158.41879</v>
      </c>
      <c r="J55" s="60">
        <v>11970.528469999999</v>
      </c>
      <c r="K55" s="60">
        <v>12128.947259999999</v>
      </c>
      <c r="L55" s="60">
        <v>968.96451999999999</v>
      </c>
      <c r="M55" s="60">
        <v>0</v>
      </c>
      <c r="N55" s="60">
        <v>968.96451999999999</v>
      </c>
      <c r="O55" s="61">
        <v>3054353.1075999993</v>
      </c>
    </row>
    <row r="56" spans="2:15" s="54" customFormat="1" ht="14.1" customHeight="1" x14ac:dyDescent="0.2">
      <c r="B56" s="146" t="s">
        <v>143</v>
      </c>
      <c r="C56" s="60">
        <v>2101462.6089700004</v>
      </c>
      <c r="D56" s="60">
        <v>2630065.9887399999</v>
      </c>
      <c r="E56" s="60">
        <v>174132.94608999995</v>
      </c>
      <c r="F56" s="60">
        <v>144723.16143000001</v>
      </c>
      <c r="G56" s="60">
        <v>1280.23224</v>
      </c>
      <c r="H56" s="60">
        <v>5051664.9374700002</v>
      </c>
      <c r="I56" s="60">
        <v>406.87169000000006</v>
      </c>
      <c r="J56" s="60">
        <v>13582.76744</v>
      </c>
      <c r="K56" s="60">
        <v>13989.63913</v>
      </c>
      <c r="L56" s="60">
        <v>1320.56962</v>
      </c>
      <c r="M56" s="60">
        <v>126340</v>
      </c>
      <c r="N56" s="60">
        <v>127660.56961999999</v>
      </c>
      <c r="O56" s="61">
        <v>5193315.1462200005</v>
      </c>
    </row>
    <row r="57" spans="2:15" s="54" customFormat="1" ht="14.1" customHeight="1" x14ac:dyDescent="0.2">
      <c r="B57" s="146" t="s">
        <v>144</v>
      </c>
      <c r="C57" s="60">
        <v>4364841.0844099987</v>
      </c>
      <c r="D57" s="60">
        <v>4029646.5348300012</v>
      </c>
      <c r="E57" s="60">
        <v>243121.17850000001</v>
      </c>
      <c r="F57" s="60">
        <v>202167.80866000001</v>
      </c>
      <c r="G57" s="60">
        <v>2017.5217999999998</v>
      </c>
      <c r="H57" s="60">
        <v>8841794.128200002</v>
      </c>
      <c r="I57" s="60">
        <v>453.19792000000007</v>
      </c>
      <c r="J57" s="60">
        <v>15276.975460000001</v>
      </c>
      <c r="K57" s="60">
        <v>15730.173380000002</v>
      </c>
      <c r="L57" s="60">
        <v>1691.77827</v>
      </c>
      <c r="M57" s="60">
        <v>262340</v>
      </c>
      <c r="N57" s="60">
        <v>264031.77827000001</v>
      </c>
      <c r="O57" s="61">
        <v>9121556.0798500031</v>
      </c>
    </row>
    <row r="58" spans="2:15" s="54" customFormat="1" ht="14.1" customHeight="1" x14ac:dyDescent="0.2">
      <c r="B58" s="143" t="s">
        <v>145</v>
      </c>
      <c r="C58" s="144">
        <v>5907446.8366999971</v>
      </c>
      <c r="D58" s="144">
        <v>5948101.4555100016</v>
      </c>
      <c r="E58" s="144">
        <v>334988.46451000008</v>
      </c>
      <c r="F58" s="144">
        <v>391198.14286999998</v>
      </c>
      <c r="G58" s="144">
        <v>9565.1587</v>
      </c>
      <c r="H58" s="144">
        <v>12591300.058289997</v>
      </c>
      <c r="I58" s="144">
        <v>2028.95571</v>
      </c>
      <c r="J58" s="144">
        <v>37446.527279999995</v>
      </c>
      <c r="K58" s="144">
        <v>39475.482989999997</v>
      </c>
      <c r="L58" s="144">
        <v>2116.3309300000001</v>
      </c>
      <c r="M58" s="144">
        <v>336340</v>
      </c>
      <c r="N58" s="144">
        <v>338456.33093</v>
      </c>
      <c r="O58" s="145">
        <v>12969231.872209998</v>
      </c>
    </row>
    <row r="59" spans="2:15" s="54" customFormat="1" ht="14.1" customHeight="1" x14ac:dyDescent="0.2">
      <c r="B59" s="146" t="s">
        <v>146</v>
      </c>
      <c r="C59" s="60">
        <v>1439763.60629</v>
      </c>
      <c r="D59" s="60">
        <v>1433054.7731699999</v>
      </c>
      <c r="E59" s="60">
        <v>77310.739460000012</v>
      </c>
      <c r="F59" s="60">
        <v>9602.9211499999983</v>
      </c>
      <c r="G59" s="60">
        <v>457.38430000000005</v>
      </c>
      <c r="H59" s="60">
        <v>2960189.4243699997</v>
      </c>
      <c r="I59" s="60">
        <v>614.40313999999989</v>
      </c>
      <c r="J59" s="60">
        <v>4833.2294199999997</v>
      </c>
      <c r="K59" s="60">
        <v>5447.63256</v>
      </c>
      <c r="L59" s="60">
        <v>894.02665999999999</v>
      </c>
      <c r="M59" s="60">
        <v>0</v>
      </c>
      <c r="N59" s="60">
        <v>894.02665999999999</v>
      </c>
      <c r="O59" s="61">
        <v>2966531.0835899995</v>
      </c>
    </row>
    <row r="60" spans="2:15" s="54" customFormat="1" ht="14.1" customHeight="1" x14ac:dyDescent="0.2">
      <c r="B60" s="146" t="s">
        <v>147</v>
      </c>
      <c r="C60" s="60">
        <v>2108618.6284499997</v>
      </c>
      <c r="D60" s="60">
        <v>2888698.6802799995</v>
      </c>
      <c r="E60" s="60">
        <v>149182.99654000005</v>
      </c>
      <c r="F60" s="60">
        <v>212668.41856000002</v>
      </c>
      <c r="G60" s="60">
        <v>1432.4422400000001</v>
      </c>
      <c r="H60" s="60">
        <v>5360601.1660699984</v>
      </c>
      <c r="I60" s="60">
        <v>860.86623999999995</v>
      </c>
      <c r="J60" s="60">
        <v>14833.275100000001</v>
      </c>
      <c r="K60" s="60">
        <v>15694.14134</v>
      </c>
      <c r="L60" s="60">
        <v>1271.7226900000001</v>
      </c>
      <c r="M60" s="60">
        <v>101100</v>
      </c>
      <c r="N60" s="60">
        <v>102371.72269</v>
      </c>
      <c r="O60" s="61">
        <v>5478667.0300999982</v>
      </c>
    </row>
    <row r="61" spans="2:15" s="54" customFormat="1" ht="14.1" customHeight="1" x14ac:dyDescent="0.2">
      <c r="B61" s="146" t="s">
        <v>148</v>
      </c>
      <c r="C61" s="60">
        <v>4252935.1517299982</v>
      </c>
      <c r="D61" s="60">
        <v>4492163.5031899987</v>
      </c>
      <c r="E61" s="60">
        <v>219014.06944999986</v>
      </c>
      <c r="F61" s="60">
        <v>239445.68100000001</v>
      </c>
      <c r="G61" s="60">
        <v>2617.1501500000008</v>
      </c>
      <c r="H61" s="60">
        <v>9206175.5555199962</v>
      </c>
      <c r="I61" s="60">
        <v>913.43938000000003</v>
      </c>
      <c r="J61" s="60">
        <v>31864.216950000002</v>
      </c>
      <c r="K61" s="60">
        <v>32777.656330000005</v>
      </c>
      <c r="L61" s="60">
        <v>1582.7240500000003</v>
      </c>
      <c r="M61" s="60">
        <v>263500</v>
      </c>
      <c r="N61" s="60">
        <v>265082.72405000002</v>
      </c>
      <c r="O61" s="61">
        <v>9504035.9358999971</v>
      </c>
    </row>
    <row r="62" spans="2:15" s="54" customFormat="1" ht="14.1" customHeight="1" x14ac:dyDescent="0.2">
      <c r="B62" s="143" t="s">
        <v>149</v>
      </c>
      <c r="C62" s="144">
        <v>5905830.1388199991</v>
      </c>
      <c r="D62" s="144">
        <v>6505459.3252799949</v>
      </c>
      <c r="E62" s="144">
        <v>298131.60395999975</v>
      </c>
      <c r="F62" s="144">
        <v>402571.66092000029</v>
      </c>
      <c r="G62" s="144">
        <v>10104.00945</v>
      </c>
      <c r="H62" s="144">
        <v>13122096.738429993</v>
      </c>
      <c r="I62" s="144">
        <v>1390.94921</v>
      </c>
      <c r="J62" s="144">
        <v>46717.245029999998</v>
      </c>
      <c r="K62" s="144">
        <v>48108.194239999997</v>
      </c>
      <c r="L62" s="144">
        <v>1913.3462</v>
      </c>
      <c r="M62" s="144">
        <v>263500</v>
      </c>
      <c r="N62" s="144">
        <v>265413.34620000003</v>
      </c>
      <c r="O62" s="145">
        <v>13435618.278869994</v>
      </c>
    </row>
    <row r="63" spans="2:15" s="54" customFormat="1" ht="14.1" customHeight="1" x14ac:dyDescent="0.2">
      <c r="B63" s="63" t="s">
        <v>150</v>
      </c>
      <c r="C63" s="60">
        <v>1200119.21206</v>
      </c>
      <c r="D63" s="60">
        <v>1384009.3763500003</v>
      </c>
      <c r="E63" s="60">
        <v>79702.892930000002</v>
      </c>
      <c r="F63" s="60">
        <v>5269.4430100000009</v>
      </c>
      <c r="G63" s="60">
        <v>456.32348999999999</v>
      </c>
      <c r="H63" s="60">
        <v>2669557.2478400003</v>
      </c>
      <c r="I63" s="60">
        <v>189.39101000000002</v>
      </c>
      <c r="J63" s="60">
        <v>890.18865000000005</v>
      </c>
      <c r="K63" s="60">
        <v>1079.5796600000001</v>
      </c>
      <c r="L63" s="60">
        <v>882.42489999999998</v>
      </c>
      <c r="M63" s="60">
        <v>0</v>
      </c>
      <c r="N63" s="60">
        <v>882.42489999999998</v>
      </c>
      <c r="O63" s="61">
        <v>2671519.2524000001</v>
      </c>
    </row>
    <row r="64" spans="2:15" s="54" customFormat="1" ht="14.1" customHeight="1" x14ac:dyDescent="0.2">
      <c r="B64" s="63" t="s">
        <v>151</v>
      </c>
      <c r="C64" s="60">
        <v>2133924.9182599992</v>
      </c>
      <c r="D64" s="60">
        <v>2896641.9378400007</v>
      </c>
      <c r="E64" s="60">
        <v>148032.46057000002</v>
      </c>
      <c r="F64" s="60">
        <v>163778.07893999998</v>
      </c>
      <c r="G64" s="60">
        <v>1151.6048900000001</v>
      </c>
      <c r="H64" s="60">
        <v>5343529.000500001</v>
      </c>
      <c r="I64" s="60">
        <v>907.60027000000014</v>
      </c>
      <c r="J64" s="60">
        <v>6563.6020600000002</v>
      </c>
      <c r="K64" s="60">
        <v>7471.2023300000001</v>
      </c>
      <c r="L64" s="60">
        <v>1275.8772099999999</v>
      </c>
      <c r="M64" s="60">
        <v>213700</v>
      </c>
      <c r="N64" s="60">
        <v>214975.87721000001</v>
      </c>
      <c r="O64" s="61">
        <v>5565976.0800400004</v>
      </c>
    </row>
    <row r="65" spans="2:15" s="54" customFormat="1" ht="14.1" customHeight="1" x14ac:dyDescent="0.2">
      <c r="B65" s="63" t="s">
        <v>152</v>
      </c>
      <c r="C65" s="60">
        <v>4360056.4840499982</v>
      </c>
      <c r="D65" s="60">
        <v>4429507.175280001</v>
      </c>
      <c r="E65" s="60">
        <v>209392.53026999999</v>
      </c>
      <c r="F65" s="60">
        <v>194311.29624</v>
      </c>
      <c r="G65" s="60">
        <v>1943.5295599999999</v>
      </c>
      <c r="H65" s="60">
        <v>9195211.0153999981</v>
      </c>
      <c r="I65" s="60">
        <v>908.99748999999986</v>
      </c>
      <c r="J65" s="60">
        <v>6956.2964300000003</v>
      </c>
      <c r="K65" s="60">
        <v>7865.2939200000001</v>
      </c>
      <c r="L65" s="60">
        <v>1601.2628300000001</v>
      </c>
      <c r="M65" s="60">
        <v>213700</v>
      </c>
      <c r="N65" s="60">
        <v>215301.26282999999</v>
      </c>
      <c r="O65" s="61">
        <v>9418377.5721499976</v>
      </c>
    </row>
    <row r="66" spans="2:15" s="54" customFormat="1" ht="14.1" customHeight="1" x14ac:dyDescent="0.2">
      <c r="B66" s="143" t="s">
        <v>153</v>
      </c>
      <c r="C66" s="144">
        <v>6001370.0650799982</v>
      </c>
      <c r="D66" s="144">
        <v>6594868.8064099997</v>
      </c>
      <c r="E66" s="144">
        <v>280452.34574999998</v>
      </c>
      <c r="F66" s="144">
        <v>458112.59478999994</v>
      </c>
      <c r="G66" s="144">
        <v>2819.6823300000005</v>
      </c>
      <c r="H66" s="144">
        <v>13337623.494359998</v>
      </c>
      <c r="I66" s="144">
        <v>1315.5387800000001</v>
      </c>
      <c r="J66" s="144">
        <v>19430.7346</v>
      </c>
      <c r="K66" s="144">
        <v>20746.273379999999</v>
      </c>
      <c r="L66" s="144">
        <v>2813.32314</v>
      </c>
      <c r="M66" s="144">
        <v>265900</v>
      </c>
      <c r="N66" s="144">
        <v>268713.32313999999</v>
      </c>
      <c r="O66" s="145">
        <v>13627083.090879999</v>
      </c>
    </row>
    <row r="67" spans="2:15" s="54" customFormat="1" ht="14.1" customHeight="1" x14ac:dyDescent="0.2">
      <c r="B67" s="63" t="s">
        <v>154</v>
      </c>
      <c r="C67" s="60">
        <v>1230473.1208800001</v>
      </c>
      <c r="D67" s="60">
        <v>1374029.4812100001</v>
      </c>
      <c r="E67" s="60">
        <v>63292.468959999998</v>
      </c>
      <c r="F67" s="60">
        <v>3836.9675699999998</v>
      </c>
      <c r="G67" s="60">
        <v>275.05588999999998</v>
      </c>
      <c r="H67" s="60">
        <v>2671907.0945100002</v>
      </c>
      <c r="I67" s="60">
        <v>336.23822000000001</v>
      </c>
      <c r="J67" s="60">
        <v>10466.154550000001</v>
      </c>
      <c r="K67" s="60">
        <v>10802.39277</v>
      </c>
      <c r="L67" s="60">
        <v>773.62111000000004</v>
      </c>
      <c r="M67" s="60">
        <v>62000</v>
      </c>
      <c r="N67" s="60">
        <v>62773.62111</v>
      </c>
      <c r="O67" s="61">
        <v>2745483.1083900002</v>
      </c>
    </row>
    <row r="68" spans="2:15" s="54" customFormat="1" ht="14.1" customHeight="1" x14ac:dyDescent="0.2">
      <c r="B68" s="63" t="s">
        <v>155</v>
      </c>
      <c r="C68" s="60">
        <v>2176983.3433000008</v>
      </c>
      <c r="D68" s="60">
        <v>3040659.5118999993</v>
      </c>
      <c r="E68" s="60">
        <v>144158.98132000002</v>
      </c>
      <c r="F68" s="60">
        <v>167844.06443000003</v>
      </c>
      <c r="G68" s="60">
        <v>671.18016999999998</v>
      </c>
      <c r="H68" s="60">
        <v>5530317.0811200002</v>
      </c>
      <c r="I68" s="60">
        <v>1040.3192899999999</v>
      </c>
      <c r="J68" s="60">
        <v>14439.68763</v>
      </c>
      <c r="K68" s="60">
        <v>15480.00692</v>
      </c>
      <c r="L68" s="60">
        <v>1184.4502299999999</v>
      </c>
      <c r="M68" s="60">
        <v>235388</v>
      </c>
      <c r="N68" s="60">
        <v>236572.45022999999</v>
      </c>
      <c r="O68" s="61">
        <v>5782369.5382699994</v>
      </c>
    </row>
    <row r="69" spans="2:15" s="54" customFormat="1" ht="14.1" customHeight="1" x14ac:dyDescent="0.2">
      <c r="B69" s="63" t="s">
        <v>156</v>
      </c>
      <c r="C69" s="60">
        <v>4490125.8047999982</v>
      </c>
      <c r="D69" s="60">
        <v>4668542.5276899999</v>
      </c>
      <c r="E69" s="60">
        <v>211386.86246000003</v>
      </c>
      <c r="F69" s="60">
        <v>198214.12148000003</v>
      </c>
      <c r="G69" s="60">
        <v>1425.43588</v>
      </c>
      <c r="H69" s="60">
        <v>9569694.7523099966</v>
      </c>
      <c r="I69" s="60">
        <v>1407.0822499999999</v>
      </c>
      <c r="J69" s="60">
        <v>16919.648000000001</v>
      </c>
      <c r="K69" s="60">
        <v>18326.730250000001</v>
      </c>
      <c r="L69" s="60">
        <v>51954.743399999999</v>
      </c>
      <c r="M69" s="60">
        <v>210488</v>
      </c>
      <c r="N69" s="60">
        <v>262442.74339999998</v>
      </c>
      <c r="O69" s="61">
        <v>9850464.2259599958</v>
      </c>
    </row>
    <row r="70" spans="2:15" s="54" customFormat="1" ht="14.1" customHeight="1" x14ac:dyDescent="0.2">
      <c r="B70" s="143" t="s">
        <v>157</v>
      </c>
      <c r="C70" s="144">
        <v>6253802.3231899962</v>
      </c>
      <c r="D70" s="144">
        <v>6818033.0379599994</v>
      </c>
      <c r="E70" s="144">
        <v>301396.69112000015</v>
      </c>
      <c r="F70" s="144">
        <v>394858.11183000007</v>
      </c>
      <c r="G70" s="144">
        <v>2025.4979600000004</v>
      </c>
      <c r="H70" s="144">
        <v>13770115.662059996</v>
      </c>
      <c r="I70" s="144">
        <v>7939.6054600000007</v>
      </c>
      <c r="J70" s="144">
        <v>20744.893049999999</v>
      </c>
      <c r="K70" s="144">
        <v>28684.498509999998</v>
      </c>
      <c r="L70" s="144">
        <v>52364.481339999998</v>
      </c>
      <c r="M70" s="144">
        <v>210488</v>
      </c>
      <c r="N70" s="144">
        <v>262852.48134</v>
      </c>
      <c r="O70" s="145">
        <v>14061652.641909996</v>
      </c>
    </row>
    <row r="71" spans="2:15" s="54" customFormat="1" ht="14.1" customHeight="1" x14ac:dyDescent="0.2">
      <c r="B71" s="63" t="s">
        <v>158</v>
      </c>
      <c r="C71" s="60">
        <v>1370144.5211</v>
      </c>
      <c r="D71" s="60">
        <v>1516380.5593699997</v>
      </c>
      <c r="E71" s="60">
        <v>54305.801969999993</v>
      </c>
      <c r="F71" s="60">
        <v>3599.2057099999997</v>
      </c>
      <c r="G71" s="60">
        <v>300.17604999999998</v>
      </c>
      <c r="H71" s="60">
        <v>2944730.2641999992</v>
      </c>
      <c r="I71" s="60">
        <v>59.652500000000003</v>
      </c>
      <c r="J71" s="60">
        <v>1877.6568699999998</v>
      </c>
      <c r="K71" s="60">
        <v>1937.3093699999997</v>
      </c>
      <c r="L71" s="60">
        <v>53750.970450000001</v>
      </c>
      <c r="M71" s="60">
        <v>41000</v>
      </c>
      <c r="N71" s="60">
        <v>94750.970449999993</v>
      </c>
      <c r="O71" s="61">
        <v>3041418.544019999</v>
      </c>
    </row>
    <row r="72" spans="2:15" s="54" customFormat="1" ht="14.1" customHeight="1" x14ac:dyDescent="0.2">
      <c r="B72" s="63" t="s">
        <v>159</v>
      </c>
      <c r="C72" s="60">
        <v>2534607.91408</v>
      </c>
      <c r="D72" s="60">
        <v>3546370.6723699998</v>
      </c>
      <c r="E72" s="60">
        <v>141476.16193</v>
      </c>
      <c r="F72" s="60">
        <v>231972.79452999998</v>
      </c>
      <c r="G72" s="60">
        <v>708.81054000000006</v>
      </c>
      <c r="H72" s="60">
        <v>6455136.3534499994</v>
      </c>
      <c r="I72" s="60">
        <v>732.75775999999996</v>
      </c>
      <c r="J72" s="60">
        <v>8122.7907000000005</v>
      </c>
      <c r="K72" s="60">
        <v>8855.54846</v>
      </c>
      <c r="L72" s="60">
        <v>55971.420480000001</v>
      </c>
      <c r="M72" s="60">
        <v>187288</v>
      </c>
      <c r="N72" s="60">
        <v>243259.42048</v>
      </c>
      <c r="O72" s="61">
        <v>6707251.3223899994</v>
      </c>
    </row>
    <row r="73" spans="2:15" s="54" customFormat="1" ht="14.1" customHeight="1" x14ac:dyDescent="0.2">
      <c r="B73" s="63" t="s">
        <v>160</v>
      </c>
      <c r="C73" s="60">
        <v>5043446.55437</v>
      </c>
      <c r="D73" s="60">
        <v>5324843.1419699993</v>
      </c>
      <c r="E73" s="60">
        <v>207738.57191999999</v>
      </c>
      <c r="F73" s="60">
        <v>319190.72146999999</v>
      </c>
      <c r="G73" s="60">
        <v>1029.1823899999999</v>
      </c>
      <c r="H73" s="60">
        <v>10896248.172119999</v>
      </c>
      <c r="I73" s="60">
        <v>960.24486999999999</v>
      </c>
      <c r="J73" s="60">
        <v>9135.75072</v>
      </c>
      <c r="K73" s="60">
        <v>10095.99559</v>
      </c>
      <c r="L73" s="60">
        <v>57695.874000000003</v>
      </c>
      <c r="M73" s="60">
        <v>187288</v>
      </c>
      <c r="N73" s="60">
        <v>244983.87400000001</v>
      </c>
      <c r="O73" s="61">
        <v>11151328.041709999</v>
      </c>
    </row>
    <row r="74" spans="2:15" s="54" customFormat="1" ht="14.1" customHeight="1" x14ac:dyDescent="0.2">
      <c r="B74" s="143" t="s">
        <v>161</v>
      </c>
      <c r="C74" s="144">
        <v>6570557.3140999991</v>
      </c>
      <c r="D74" s="144">
        <v>7766653.9062399995</v>
      </c>
      <c r="E74" s="144">
        <v>277685.36982999998</v>
      </c>
      <c r="F74" s="144">
        <v>484638.22933999996</v>
      </c>
      <c r="G74" s="144">
        <v>1562.83889</v>
      </c>
      <c r="H74" s="144">
        <f t="shared" ref="H74:H76" si="4">SUM(C74:G74)</f>
        <v>15101097.658399997</v>
      </c>
      <c r="I74" s="144">
        <v>2173.88319</v>
      </c>
      <c r="J74" s="144">
        <v>16342.592619999998</v>
      </c>
      <c r="K74" s="144">
        <f t="shared" ref="K74:K76" si="5">SUM(I74:J74)</f>
        <v>18516.475809999996</v>
      </c>
      <c r="L74" s="144">
        <v>58899.937599999997</v>
      </c>
      <c r="M74" s="144">
        <v>187288</v>
      </c>
      <c r="N74" s="144">
        <f t="shared" ref="N74:N76" si="6">SUM(L74:M74)</f>
        <v>246187.9376</v>
      </c>
      <c r="O74" s="145">
        <f t="shared" ref="O74:O76" si="7">SUM(H74,K74,N74)</f>
        <v>15365802.071809998</v>
      </c>
    </row>
    <row r="75" spans="2:15" s="54" customFormat="1" ht="14.1" customHeight="1" x14ac:dyDescent="0.2">
      <c r="B75" s="63" t="s">
        <v>162</v>
      </c>
      <c r="C75" s="60">
        <v>1610876.8380099998</v>
      </c>
      <c r="D75" s="60">
        <v>1529153.6028300002</v>
      </c>
      <c r="E75" s="60">
        <v>58292.830370000011</v>
      </c>
      <c r="F75" s="60">
        <v>5672.9210699999994</v>
      </c>
      <c r="G75" s="60">
        <v>354.22222999999997</v>
      </c>
      <c r="H75" s="60">
        <f t="shared" si="4"/>
        <v>3204350.4145100005</v>
      </c>
      <c r="I75" s="60">
        <v>200.99336</v>
      </c>
      <c r="J75" s="60">
        <v>3590.0370399999997</v>
      </c>
      <c r="K75" s="60">
        <f t="shared" si="5"/>
        <v>3791.0303999999996</v>
      </c>
      <c r="L75" s="60">
        <v>736.99995999999999</v>
      </c>
      <c r="M75" s="60">
        <v>0</v>
      </c>
      <c r="N75" s="60">
        <f t="shared" si="6"/>
        <v>736.99995999999999</v>
      </c>
      <c r="O75" s="61">
        <f t="shared" si="7"/>
        <v>3208878.4448700007</v>
      </c>
    </row>
    <row r="76" spans="2:15" s="54" customFormat="1" ht="14.1" customHeight="1" x14ac:dyDescent="0.2">
      <c r="B76" s="63" t="s">
        <v>163</v>
      </c>
      <c r="C76" s="60">
        <v>2793336.8265800001</v>
      </c>
      <c r="D76" s="60">
        <v>3247867.1437499998</v>
      </c>
      <c r="E76" s="60">
        <v>119430.01649000001</v>
      </c>
      <c r="F76" s="60">
        <v>143624.0539</v>
      </c>
      <c r="G76" s="60">
        <v>1879.9915800000001</v>
      </c>
      <c r="H76" s="60">
        <f t="shared" si="4"/>
        <v>6306138.0323000001</v>
      </c>
      <c r="I76" s="60">
        <v>1298.84573</v>
      </c>
      <c r="J76" s="60">
        <v>8611.5752900000007</v>
      </c>
      <c r="K76" s="60">
        <f t="shared" si="5"/>
        <v>9910.4210200000016</v>
      </c>
      <c r="L76" s="60">
        <v>56220.411289999996</v>
      </c>
      <c r="M76" s="60">
        <v>184186</v>
      </c>
      <c r="N76" s="60">
        <f t="shared" si="6"/>
        <v>240406.41128999999</v>
      </c>
      <c r="O76" s="61">
        <f t="shared" si="7"/>
        <v>6556454.8646100005</v>
      </c>
    </row>
    <row r="77" spans="2:15" s="54" customFormat="1" ht="14.1" customHeight="1" x14ac:dyDescent="0.2">
      <c r="B77" s="63" t="s">
        <v>164</v>
      </c>
      <c r="C77" s="60">
        <v>5455513.4812199995</v>
      </c>
      <c r="D77" s="60">
        <v>5182300.5093399994</v>
      </c>
      <c r="E77" s="60">
        <v>195582.05281999998</v>
      </c>
      <c r="F77" s="60">
        <v>175489.68612</v>
      </c>
      <c r="G77" s="60">
        <v>1994.0689199999999</v>
      </c>
      <c r="H77" s="60">
        <v>11010879.798419999</v>
      </c>
      <c r="I77" s="60">
        <v>3086.2590600000003</v>
      </c>
      <c r="J77" s="60">
        <v>9795.4577599999993</v>
      </c>
      <c r="K77" s="60">
        <v>12881.71682</v>
      </c>
      <c r="L77" s="60">
        <v>56598.262310000006</v>
      </c>
      <c r="M77" s="60">
        <v>184186</v>
      </c>
      <c r="N77" s="60">
        <v>240784.26231000002</v>
      </c>
      <c r="O77" s="61">
        <v>11264545.777549999</v>
      </c>
    </row>
    <row r="78" spans="2:15" s="54" customFormat="1" ht="14.1" customHeight="1" x14ac:dyDescent="0.2">
      <c r="B78" s="143" t="s">
        <v>165</v>
      </c>
      <c r="C78" s="144">
        <v>7309835.2339999992</v>
      </c>
      <c r="D78" s="144">
        <v>7647386.6908299997</v>
      </c>
      <c r="E78" s="144">
        <v>269351.32853</v>
      </c>
      <c r="F78" s="144">
        <v>254733.08489</v>
      </c>
      <c r="G78" s="144">
        <v>2461.3207500000003</v>
      </c>
      <c r="H78" s="144">
        <v>15483767.659</v>
      </c>
      <c r="I78" s="144">
        <v>3391.4502700000003</v>
      </c>
      <c r="J78" s="144">
        <v>19104.758900000001</v>
      </c>
      <c r="K78" s="144">
        <v>22496.209170000002</v>
      </c>
      <c r="L78" s="144">
        <v>59969.606619999999</v>
      </c>
      <c r="M78" s="144">
        <v>184186</v>
      </c>
      <c r="N78" s="144">
        <v>244155.60662000001</v>
      </c>
      <c r="O78" s="145">
        <v>15750419.474790001</v>
      </c>
    </row>
    <row r="79" spans="2:15" s="54" customFormat="1" ht="14.1" customHeight="1" x14ac:dyDescent="0.2">
      <c r="B79" s="63" t="s">
        <v>166</v>
      </c>
      <c r="C79" s="60">
        <v>1619285.50395</v>
      </c>
      <c r="D79" s="60">
        <v>1658926.6426300001</v>
      </c>
      <c r="E79" s="60">
        <v>54834.824469999992</v>
      </c>
      <c r="F79" s="60">
        <v>7984.4880600000006</v>
      </c>
      <c r="G79" s="60">
        <v>273.46504000000004</v>
      </c>
      <c r="H79" s="60">
        <v>3341304.9241500003</v>
      </c>
      <c r="I79" s="60">
        <v>959.0006199999998</v>
      </c>
      <c r="J79" s="60">
        <v>1008.50271</v>
      </c>
      <c r="K79" s="60">
        <v>1967.5033299999998</v>
      </c>
      <c r="L79" s="60">
        <v>55696.08236</v>
      </c>
      <c r="M79" s="60">
        <v>0</v>
      </c>
      <c r="N79" s="60">
        <v>55696.08236</v>
      </c>
      <c r="O79" s="61">
        <v>3398968.5098400004</v>
      </c>
    </row>
    <row r="80" spans="2:15" s="54" customFormat="1" ht="14.1" customHeight="1" x14ac:dyDescent="0.2">
      <c r="B80" s="63" t="s">
        <v>167</v>
      </c>
      <c r="C80" s="60">
        <v>2873147.24022</v>
      </c>
      <c r="D80" s="60">
        <v>3486866.3021399998</v>
      </c>
      <c r="E80" s="60">
        <v>131249.32986</v>
      </c>
      <c r="F80" s="60">
        <v>124423.67726999999</v>
      </c>
      <c r="G80" s="60">
        <v>2408.6186899999998</v>
      </c>
      <c r="H80" s="60">
        <v>6618095.16818</v>
      </c>
      <c r="I80" s="60">
        <v>2161.9384</v>
      </c>
      <c r="J80" s="60">
        <v>11488.220479999998</v>
      </c>
      <c r="K80" s="60">
        <v>13650.158879999999</v>
      </c>
      <c r="L80" s="60">
        <v>56060.057829999998</v>
      </c>
      <c r="M80" s="60">
        <v>119388</v>
      </c>
      <c r="N80" s="60">
        <v>175448.05783000001</v>
      </c>
      <c r="O80" s="61">
        <v>6807193.3848900003</v>
      </c>
    </row>
    <row r="81" spans="2:15" s="54" customFormat="1" ht="14.1" customHeight="1" x14ac:dyDescent="0.2">
      <c r="B81" s="146" t="s">
        <v>168</v>
      </c>
      <c r="C81" s="175">
        <v>5488019.9296699995</v>
      </c>
      <c r="D81" s="175">
        <v>5444798.4082000013</v>
      </c>
      <c r="E81" s="175">
        <v>202511.283</v>
      </c>
      <c r="F81" s="175">
        <v>173193.788</v>
      </c>
      <c r="G81" s="175">
        <v>2585.4749999999999</v>
      </c>
      <c r="H81" s="175">
        <f t="shared" ref="H81" si="8">SUM(C81:G81)</f>
        <v>11311108.883870002</v>
      </c>
      <c r="I81" s="175">
        <v>3096.3130000000001</v>
      </c>
      <c r="J81" s="175">
        <v>18288.800999999999</v>
      </c>
      <c r="K81" s="175">
        <f t="shared" ref="K81" si="9">SUM(I81:J81)</f>
        <v>21385.114000000001</v>
      </c>
      <c r="L81" s="175">
        <v>58923.530999999995</v>
      </c>
      <c r="M81" s="175">
        <v>119388</v>
      </c>
      <c r="N81" s="175">
        <f t="shared" ref="N81" si="10">SUM(L81:M81)</f>
        <v>178311.53099999999</v>
      </c>
      <c r="O81" s="65">
        <f t="shared" ref="O81" si="11">SUM(H81,K81,N81)</f>
        <v>11510805.528870001</v>
      </c>
    </row>
    <row r="82" spans="2:15" s="54" customFormat="1" ht="14.1" customHeight="1" x14ac:dyDescent="0.2">
      <c r="B82" s="143" t="s">
        <v>169</v>
      </c>
      <c r="C82" s="144">
        <v>7455286</v>
      </c>
      <c r="D82" s="144">
        <v>7970341</v>
      </c>
      <c r="E82" s="144">
        <v>269906</v>
      </c>
      <c r="F82" s="144">
        <v>276868</v>
      </c>
      <c r="G82" s="144">
        <v>3749</v>
      </c>
      <c r="H82" s="144">
        <v>15976149</v>
      </c>
      <c r="I82" s="144">
        <v>4710</v>
      </c>
      <c r="J82" s="144">
        <v>25969</v>
      </c>
      <c r="K82" s="144">
        <v>30679</v>
      </c>
      <c r="L82" s="144">
        <v>59278</v>
      </c>
      <c r="M82" s="144">
        <v>119388</v>
      </c>
      <c r="N82" s="144">
        <v>178666</v>
      </c>
      <c r="O82" s="145">
        <v>16185493</v>
      </c>
    </row>
    <row r="83" spans="2:15" s="54" customFormat="1" ht="14.1" customHeight="1" x14ac:dyDescent="0.2">
      <c r="B83" s="63" t="s">
        <v>170</v>
      </c>
      <c r="C83" s="60">
        <v>1757777.8252699999</v>
      </c>
      <c r="D83" s="60">
        <v>1628770.41032</v>
      </c>
      <c r="E83" s="60">
        <v>47396.18002</v>
      </c>
      <c r="F83" s="60">
        <v>10359.11951</v>
      </c>
      <c r="G83" s="60">
        <v>314.12130000000002</v>
      </c>
      <c r="H83" s="60">
        <v>3444617.6564199999</v>
      </c>
      <c r="I83" s="60">
        <v>121.28129000000001</v>
      </c>
      <c r="J83" s="60">
        <v>7790.2964000000002</v>
      </c>
      <c r="K83" s="60">
        <v>7911.5776900000001</v>
      </c>
      <c r="L83" s="60">
        <v>585.98356999999999</v>
      </c>
      <c r="M83" s="60">
        <v>0</v>
      </c>
      <c r="N83" s="60">
        <v>585.98356999999999</v>
      </c>
      <c r="O83" s="61">
        <v>3453115.2176800002</v>
      </c>
    </row>
    <row r="84" spans="2:15" s="54" customFormat="1" ht="14.1" customHeight="1" x14ac:dyDescent="0.2">
      <c r="B84" s="63" t="s">
        <v>171</v>
      </c>
      <c r="C84" s="60">
        <v>2666117.1779799997</v>
      </c>
      <c r="D84" s="60">
        <v>2777145.0237500002</v>
      </c>
      <c r="E84" s="60">
        <v>87505.376250000001</v>
      </c>
      <c r="F84" s="60">
        <v>140564.62770999997</v>
      </c>
      <c r="G84" s="60">
        <v>516.11610999999994</v>
      </c>
      <c r="H84" s="60">
        <v>5671848.3217999991</v>
      </c>
      <c r="I84" s="60">
        <v>178.09354999999999</v>
      </c>
      <c r="J84" s="60">
        <v>16437.28818</v>
      </c>
      <c r="K84" s="60">
        <v>16615.381730000001</v>
      </c>
      <c r="L84" s="60">
        <v>72843.409150000007</v>
      </c>
      <c r="M84" s="60">
        <v>176000</v>
      </c>
      <c r="N84" s="60">
        <v>248843.40915000002</v>
      </c>
      <c r="O84" s="61">
        <v>5937307.1126799984</v>
      </c>
    </row>
    <row r="85" spans="2:15" s="54" customFormat="1" ht="14.1" customHeight="1" x14ac:dyDescent="0.2">
      <c r="B85" s="63" t="s">
        <v>172</v>
      </c>
      <c r="C85" s="60">
        <v>5074708.6109999996</v>
      </c>
      <c r="D85" s="60">
        <v>4524380.7620000001</v>
      </c>
      <c r="E85" s="60">
        <v>148204.342</v>
      </c>
      <c r="F85" s="60">
        <v>182393.72500000001</v>
      </c>
      <c r="G85" s="60">
        <v>2306.2370000000001</v>
      </c>
      <c r="H85" s="60">
        <v>9931993.6769999992</v>
      </c>
      <c r="I85" s="60">
        <v>4211.8270000000002</v>
      </c>
      <c r="J85" s="60">
        <v>20261.892</v>
      </c>
      <c r="K85" s="60">
        <v>24473.719000000001</v>
      </c>
      <c r="L85" s="60">
        <v>73147.164000000004</v>
      </c>
      <c r="M85" s="60">
        <v>176000</v>
      </c>
      <c r="N85" s="60">
        <v>249147.16399999999</v>
      </c>
      <c r="O85" s="61">
        <v>10205614.560000001</v>
      </c>
    </row>
    <row r="86" spans="2:15" s="54" customFormat="1" ht="14.1" customHeight="1" x14ac:dyDescent="0.2">
      <c r="B86" s="143" t="s">
        <v>173</v>
      </c>
      <c r="C86" s="144">
        <v>7161972.5217299983</v>
      </c>
      <c r="D86" s="144">
        <v>6855080.7029899992</v>
      </c>
      <c r="E86" s="144">
        <v>224509.53917999999</v>
      </c>
      <c r="F86" s="144">
        <v>306456.12085000001</v>
      </c>
      <c r="G86" s="144">
        <v>3713.205359999999</v>
      </c>
      <c r="H86" s="144">
        <v>14551732.090109996</v>
      </c>
      <c r="I86" s="144">
        <v>5256.7544399999997</v>
      </c>
      <c r="J86" s="144">
        <v>28415.011059999997</v>
      </c>
      <c r="K86" s="144">
        <v>33671.765499999994</v>
      </c>
      <c r="L86" s="144">
        <v>83218.025740000012</v>
      </c>
      <c r="M86" s="144">
        <v>447052</v>
      </c>
      <c r="N86" s="144">
        <v>530270.02573999995</v>
      </c>
      <c r="O86" s="145">
        <v>15115673.881349996</v>
      </c>
    </row>
    <row r="87" spans="2:15" s="54" customFormat="1" ht="14.1" customHeight="1" x14ac:dyDescent="0.2">
      <c r="B87" s="63" t="s">
        <v>174</v>
      </c>
      <c r="C87" s="60">
        <v>1793955.3646299997</v>
      </c>
      <c r="D87" s="60">
        <v>1431700.6389899999</v>
      </c>
      <c r="E87" s="60">
        <v>49163.697059999999</v>
      </c>
      <c r="F87" s="60">
        <v>7978.8939100000007</v>
      </c>
      <c r="G87" s="60">
        <v>102.44971999999999</v>
      </c>
      <c r="H87" s="60">
        <v>3282901.0443099998</v>
      </c>
      <c r="I87" s="60">
        <v>176.57026999999999</v>
      </c>
      <c r="J87" s="60">
        <v>6649.1663000000008</v>
      </c>
      <c r="K87" s="60">
        <v>6825.7365700000009</v>
      </c>
      <c r="L87" s="60">
        <v>542.20640000000003</v>
      </c>
      <c r="M87" s="60">
        <v>0</v>
      </c>
      <c r="N87" s="60">
        <v>542.20640000000003</v>
      </c>
      <c r="O87" s="61">
        <v>3290268.98728</v>
      </c>
    </row>
    <row r="88" spans="2:15" s="54" customFormat="1" ht="14.1" customHeight="1" x14ac:dyDescent="0.2">
      <c r="B88" s="63" t="s">
        <v>175</v>
      </c>
      <c r="C88" s="60">
        <v>3158710.1591800004</v>
      </c>
      <c r="D88" s="60">
        <v>3315944.4710699995</v>
      </c>
      <c r="E88" s="60">
        <v>108820.88925999997</v>
      </c>
      <c r="F88" s="60">
        <v>425877.90972</v>
      </c>
      <c r="G88" s="60">
        <v>743.16183999999998</v>
      </c>
      <c r="H88" s="60">
        <v>7010096.5910699992</v>
      </c>
      <c r="I88" s="60">
        <v>3258.5250700000001</v>
      </c>
      <c r="J88" s="60">
        <v>13935.320519999997</v>
      </c>
      <c r="K88" s="60">
        <v>17193.845589999997</v>
      </c>
      <c r="L88" s="60">
        <v>107684.43290999999</v>
      </c>
      <c r="M88" s="60">
        <v>216000</v>
      </c>
      <c r="N88" s="60">
        <v>323684.43290999997</v>
      </c>
      <c r="O88" s="61">
        <v>7350974.8695699992</v>
      </c>
    </row>
    <row r="89" spans="2:15" s="54" customFormat="1" ht="14.1" customHeight="1" x14ac:dyDescent="0.2">
      <c r="B89" s="63" t="s">
        <v>176</v>
      </c>
      <c r="C89" s="60">
        <v>5667991.9588299999</v>
      </c>
      <c r="D89" s="60">
        <v>5395025.0127499998</v>
      </c>
      <c r="E89" s="60">
        <v>175000.94596000004</v>
      </c>
      <c r="F89" s="60">
        <v>506448.89724000002</v>
      </c>
      <c r="G89" s="60">
        <v>2974.26991</v>
      </c>
      <c r="H89" s="60">
        <v>11747441.084689999</v>
      </c>
      <c r="I89" s="60">
        <v>4184.5096300000005</v>
      </c>
      <c r="J89" s="60">
        <v>23993.059740000001</v>
      </c>
      <c r="K89" s="60">
        <v>28177.569370000001</v>
      </c>
      <c r="L89" s="60">
        <v>1239.1377299999999</v>
      </c>
      <c r="M89" s="60">
        <v>322800</v>
      </c>
      <c r="N89" s="60">
        <v>324039.13773000002</v>
      </c>
      <c r="O89" s="61">
        <v>12099657.791789999</v>
      </c>
    </row>
    <row r="90" spans="2:15" s="54" customFormat="1" ht="14.1" customHeight="1" x14ac:dyDescent="0.2">
      <c r="B90" s="143" t="s">
        <v>177</v>
      </c>
      <c r="C90" s="144">
        <v>7794879.6746199997</v>
      </c>
      <c r="D90" s="144">
        <v>8152068.1187399998</v>
      </c>
      <c r="E90" s="144">
        <v>242185.43644999998</v>
      </c>
      <c r="F90" s="144">
        <v>593171.41834999993</v>
      </c>
      <c r="G90" s="144">
        <v>3424.6961500000002</v>
      </c>
      <c r="H90" s="144">
        <v>16785729.344310001</v>
      </c>
      <c r="I90" s="144">
        <v>5222.5108300000002</v>
      </c>
      <c r="J90" s="144">
        <v>49867.08425</v>
      </c>
      <c r="K90" s="144">
        <v>55089.595079999999</v>
      </c>
      <c r="L90" s="144">
        <v>2928.01386</v>
      </c>
      <c r="M90" s="144">
        <v>617140</v>
      </c>
      <c r="N90" s="144">
        <v>620068.01385999995</v>
      </c>
      <c r="O90" s="145">
        <v>17460886.953249998</v>
      </c>
    </row>
    <row r="91" spans="2:15" s="54" customFormat="1" ht="14.1" customHeight="1" x14ac:dyDescent="0.2">
      <c r="B91" s="63" t="s">
        <v>178</v>
      </c>
      <c r="C91" s="60">
        <v>1858053.1967600002</v>
      </c>
      <c r="D91" s="60">
        <v>1816798.8162500001</v>
      </c>
      <c r="E91" s="60">
        <v>54862.596279999998</v>
      </c>
      <c r="F91" s="60">
        <v>176307.31158000001</v>
      </c>
      <c r="G91" s="60">
        <v>263.25328999999999</v>
      </c>
      <c r="H91" s="60">
        <v>3906285.1741600004</v>
      </c>
      <c r="I91" s="60">
        <v>761.42746999999997</v>
      </c>
      <c r="J91" s="60">
        <v>12010.669100000001</v>
      </c>
      <c r="K91" s="60">
        <v>12772.096570000002</v>
      </c>
      <c r="L91" s="60">
        <v>1540.0903499999999</v>
      </c>
      <c r="M91" s="60">
        <v>0</v>
      </c>
      <c r="N91" s="60">
        <v>1540.0903499999999</v>
      </c>
      <c r="O91" s="61">
        <v>3920597.3610800006</v>
      </c>
    </row>
    <row r="92" spans="2:15" s="54" customFormat="1" ht="14.1" customHeight="1" x14ac:dyDescent="0.2">
      <c r="B92" s="63" t="s">
        <v>179</v>
      </c>
      <c r="C92" s="60">
        <v>3427120.4117999999</v>
      </c>
      <c r="D92" s="60">
        <v>3733616.0016700001</v>
      </c>
      <c r="E92" s="60">
        <v>111137.63915999999</v>
      </c>
      <c r="F92" s="60">
        <v>319798.44839999999</v>
      </c>
      <c r="G92" s="60">
        <v>623.1078</v>
      </c>
      <c r="H92" s="60">
        <v>7592295.6088300003</v>
      </c>
      <c r="I92" s="60">
        <v>1051.1436800000001</v>
      </c>
      <c r="J92" s="60">
        <v>44153.266360000001</v>
      </c>
      <c r="K92" s="60">
        <v>45204.410040000002</v>
      </c>
      <c r="L92" s="60">
        <v>1852.3462800000002</v>
      </c>
      <c r="M92" s="60">
        <v>60000</v>
      </c>
      <c r="N92" s="60">
        <v>61852.346279999998</v>
      </c>
      <c r="O92" s="61">
        <v>7699352.3651500009</v>
      </c>
    </row>
    <row r="93" spans="2:15" s="54" customFormat="1" ht="14.1" customHeight="1" x14ac:dyDescent="0.2">
      <c r="B93" s="146" t="s">
        <v>180</v>
      </c>
      <c r="C93" s="175">
        <v>6175332.9393800003</v>
      </c>
      <c r="D93" s="175">
        <v>6122089.2580800001</v>
      </c>
      <c r="E93" s="175">
        <v>174534.27339999995</v>
      </c>
      <c r="F93" s="175">
        <v>367568.19289000001</v>
      </c>
      <c r="G93" s="175">
        <v>3531.9380999999998</v>
      </c>
      <c r="H93" s="175">
        <f t="shared" ref="H93" si="12">SUM(C93:G93)</f>
        <v>12843056.601849999</v>
      </c>
      <c r="I93" s="175">
        <v>1120.26395</v>
      </c>
      <c r="J93" s="175">
        <v>56035.467400000001</v>
      </c>
      <c r="K93" s="175">
        <f t="shared" ref="K93" si="13">SUM(I93:J93)</f>
        <v>57155.731350000002</v>
      </c>
      <c r="L93" s="175">
        <v>2140.6023599999999</v>
      </c>
      <c r="M93" s="175">
        <v>60000</v>
      </c>
      <c r="N93" s="175">
        <f t="shared" ref="N93" si="14">SUM(L93:M93)</f>
        <v>62140.602359999997</v>
      </c>
      <c r="O93" s="65">
        <f t="shared" ref="O93" si="15">SUM(H93,K93,N93)</f>
        <v>12962352.935559999</v>
      </c>
    </row>
    <row r="94" spans="2:15" s="54" customFormat="1" ht="14.1" customHeight="1" x14ac:dyDescent="0.2">
      <c r="B94" s="143" t="s">
        <v>181</v>
      </c>
      <c r="C94" s="144">
        <v>8362820.4678400001</v>
      </c>
      <c r="D94" s="144">
        <v>9007873.8269100003</v>
      </c>
      <c r="E94" s="144">
        <v>180777.52430999995</v>
      </c>
      <c r="F94" s="144">
        <v>382771.13406000001</v>
      </c>
      <c r="G94" s="144">
        <v>9501.4323800000002</v>
      </c>
      <c r="H94" s="144">
        <v>17943744.385499999</v>
      </c>
      <c r="I94" s="144">
        <v>2057.0638799999997</v>
      </c>
      <c r="J94" s="144">
        <v>72731.211749999988</v>
      </c>
      <c r="K94" s="144">
        <v>74788.275629999989</v>
      </c>
      <c r="L94" s="144">
        <v>2868.8246799999997</v>
      </c>
      <c r="M94" s="144">
        <v>90000</v>
      </c>
      <c r="N94" s="144">
        <v>92868.824680000005</v>
      </c>
      <c r="O94" s="145">
        <v>18111401.48581</v>
      </c>
    </row>
    <row r="95" spans="2:15" s="54" customFormat="1" ht="14.1" customHeight="1" x14ac:dyDescent="0.2">
      <c r="B95" s="63" t="s">
        <v>182</v>
      </c>
      <c r="C95" s="60">
        <v>2115801.4454700002</v>
      </c>
      <c r="D95" s="60">
        <v>2089522.7192599999</v>
      </c>
      <c r="E95" s="60">
        <v>86796.800669999997</v>
      </c>
      <c r="F95" s="60">
        <v>46161.001470000003</v>
      </c>
      <c r="G95" s="60">
        <v>1663.3407299999999</v>
      </c>
      <c r="H95" s="60">
        <v>4339945.3075999999</v>
      </c>
      <c r="I95" s="60">
        <v>3603.8211700000002</v>
      </c>
      <c r="J95" s="60">
        <v>40415.08941</v>
      </c>
      <c r="K95" s="60">
        <v>44018.910580000003</v>
      </c>
      <c r="L95" s="60">
        <v>2151.65155</v>
      </c>
      <c r="M95" s="60">
        <v>0</v>
      </c>
      <c r="N95" s="60">
        <v>2151.65155</v>
      </c>
      <c r="O95" s="61">
        <v>4386115.8697299995</v>
      </c>
    </row>
    <row r="96" spans="2:15" s="54" customFormat="1" ht="14.1" customHeight="1" x14ac:dyDescent="0.2">
      <c r="B96" s="63" t="s">
        <v>183</v>
      </c>
      <c r="C96" s="60">
        <v>3733873.7620200007</v>
      </c>
      <c r="D96" s="60">
        <v>3634892.4065800002</v>
      </c>
      <c r="E96" s="60">
        <v>157739.16802000001</v>
      </c>
      <c r="F96" s="60">
        <v>172086.66637000002</v>
      </c>
      <c r="G96" s="60">
        <v>9843.99683</v>
      </c>
      <c r="H96" s="60">
        <v>7708435.9998199996</v>
      </c>
      <c r="I96" s="60">
        <v>4148.4070200000006</v>
      </c>
      <c r="J96" s="60">
        <v>46527.199189999999</v>
      </c>
      <c r="K96" s="60">
        <v>50675.606209999998</v>
      </c>
      <c r="L96" s="60">
        <v>4786.5096199999998</v>
      </c>
      <c r="M96" s="60">
        <v>0</v>
      </c>
      <c r="N96" s="60">
        <v>4786.5096199999998</v>
      </c>
      <c r="O96" s="61">
        <v>7763898.1156499991</v>
      </c>
    </row>
    <row r="97" spans="2:17" s="54" customFormat="1" ht="14.1" customHeight="1" x14ac:dyDescent="0.2">
      <c r="B97" s="63" t="s">
        <v>184</v>
      </c>
      <c r="C97" s="60">
        <v>6817534.9487699997</v>
      </c>
      <c r="D97" s="60">
        <v>5792901.7830200009</v>
      </c>
      <c r="E97" s="60">
        <v>235220.49785000001</v>
      </c>
      <c r="F97" s="60">
        <v>225313.88319999998</v>
      </c>
      <c r="G97" s="60">
        <v>19043.054660000002</v>
      </c>
      <c r="H97" s="60">
        <v>13090014.1675</v>
      </c>
      <c r="I97" s="60">
        <v>4205.9234999999999</v>
      </c>
      <c r="J97" s="60">
        <v>104507.70517</v>
      </c>
      <c r="K97" s="60">
        <v>108713.62867000001</v>
      </c>
      <c r="L97" s="60">
        <v>5390.5816699999996</v>
      </c>
      <c r="M97" s="60">
        <v>0</v>
      </c>
      <c r="N97" s="60">
        <v>5390.5816699999996</v>
      </c>
      <c r="O97" s="61">
        <v>13204118.377839999</v>
      </c>
    </row>
    <row r="98" spans="2:17" s="54" customFormat="1" ht="14.1" customHeight="1" x14ac:dyDescent="0.2">
      <c r="B98" s="143" t="s">
        <v>185</v>
      </c>
      <c r="C98" s="144">
        <v>9302831.7122799996</v>
      </c>
      <c r="D98" s="144">
        <v>8911267.3804499991</v>
      </c>
      <c r="E98" s="144">
        <v>330591.19474000001</v>
      </c>
      <c r="F98" s="144">
        <v>371272.87249000004</v>
      </c>
      <c r="G98" s="144">
        <v>38815.130109999998</v>
      </c>
      <c r="H98" s="144">
        <v>18954778.290070001</v>
      </c>
      <c r="I98" s="144">
        <v>5104.1250299999992</v>
      </c>
      <c r="J98" s="144">
        <v>159510.42290999999</v>
      </c>
      <c r="K98" s="144">
        <v>164614.54793999999</v>
      </c>
      <c r="L98" s="144">
        <v>6520.4113299999999</v>
      </c>
      <c r="M98" s="144">
        <v>226000</v>
      </c>
      <c r="N98" s="144">
        <v>232520.41133</v>
      </c>
      <c r="O98" s="145">
        <v>19351913.249340001</v>
      </c>
    </row>
    <row r="99" spans="2:17" s="54" customFormat="1" ht="14.1" customHeight="1" x14ac:dyDescent="0.2">
      <c r="B99" s="63" t="s">
        <v>218</v>
      </c>
      <c r="C99" s="60">
        <v>2263239.8793100002</v>
      </c>
      <c r="D99" s="60">
        <v>1765571.8926599999</v>
      </c>
      <c r="E99" s="60">
        <v>70404.839020000014</v>
      </c>
      <c r="F99" s="60">
        <v>25050.826290000001</v>
      </c>
      <c r="G99" s="60">
        <v>4067.0055299999999</v>
      </c>
      <c r="H99" s="60">
        <v>4128334.4428100004</v>
      </c>
      <c r="I99" s="60">
        <v>51.46932000000001</v>
      </c>
      <c r="J99" s="60">
        <v>7157.2617499999997</v>
      </c>
      <c r="K99" s="60">
        <v>7208.7310699999998</v>
      </c>
      <c r="L99" s="60">
        <v>426.75956000000002</v>
      </c>
      <c r="M99" s="60">
        <v>0</v>
      </c>
      <c r="N99" s="60">
        <v>426.75956000000002</v>
      </c>
      <c r="O99" s="61">
        <v>4135969.9334400008</v>
      </c>
    </row>
    <row r="100" spans="2:17" s="54" customFormat="1" ht="14.1" customHeight="1" x14ac:dyDescent="0.2">
      <c r="B100" s="63" t="s">
        <v>219</v>
      </c>
      <c r="C100" s="60">
        <v>4117707.5500000003</v>
      </c>
      <c r="D100" s="60">
        <v>3687425.3849999998</v>
      </c>
      <c r="E100" s="60">
        <v>167095.93799999999</v>
      </c>
      <c r="F100" s="60">
        <v>206700.28400000001</v>
      </c>
      <c r="G100" s="60">
        <v>14330.964</v>
      </c>
      <c r="H100" s="60">
        <v>8193260.1210000003</v>
      </c>
      <c r="I100" s="60">
        <v>154.14699999999999</v>
      </c>
      <c r="J100" s="60">
        <v>18159.142</v>
      </c>
      <c r="K100" s="60">
        <v>18313.289000000001</v>
      </c>
      <c r="L100" s="60">
        <v>1056.373</v>
      </c>
      <c r="M100" s="60">
        <v>0</v>
      </c>
      <c r="N100" s="60">
        <v>1056.373</v>
      </c>
      <c r="O100" s="61">
        <v>8212629.7829999998</v>
      </c>
    </row>
    <row r="101" spans="2:17" s="54" customFormat="1" ht="14.1" customHeight="1" x14ac:dyDescent="0.2">
      <c r="B101" s="63" t="s">
        <v>220</v>
      </c>
      <c r="C101" s="60">
        <v>7175024.7680000002</v>
      </c>
      <c r="D101" s="60">
        <v>5908402.3190000001</v>
      </c>
      <c r="E101" s="60">
        <v>233829.03400000001</v>
      </c>
      <c r="F101" s="60">
        <v>265338.21499999997</v>
      </c>
      <c r="G101" s="60">
        <v>27425.806</v>
      </c>
      <c r="H101" s="60">
        <v>13610020.142000001</v>
      </c>
      <c r="I101" s="60">
        <v>388.68299999999999</v>
      </c>
      <c r="J101" s="60">
        <v>23593.722999999998</v>
      </c>
      <c r="K101" s="60">
        <v>23982.405999999999</v>
      </c>
      <c r="L101" s="60">
        <v>1636.4110000000001</v>
      </c>
      <c r="M101" s="60">
        <v>0</v>
      </c>
      <c r="N101" s="60">
        <v>1636.4110000000001</v>
      </c>
      <c r="O101" s="61">
        <v>13635638.959000001</v>
      </c>
    </row>
    <row r="102" spans="2:17" s="54" customFormat="1" ht="14.1" customHeight="1" x14ac:dyDescent="0.2">
      <c r="B102" s="143" t="s">
        <v>221</v>
      </c>
      <c r="C102" s="144">
        <v>9361852.5559999999</v>
      </c>
      <c r="D102" s="144">
        <v>8966771.4220000003</v>
      </c>
      <c r="E102" s="144">
        <v>307349.712</v>
      </c>
      <c r="F102" s="144">
        <v>361635.36800000002</v>
      </c>
      <c r="G102" s="144">
        <v>41520.961000000003</v>
      </c>
      <c r="H102" s="144">
        <v>19039130.019000001</v>
      </c>
      <c r="I102" s="144">
        <v>3930.63</v>
      </c>
      <c r="J102" s="144">
        <v>50739.56</v>
      </c>
      <c r="K102" s="144">
        <v>54670.189999999995</v>
      </c>
      <c r="L102" s="144">
        <v>3476.6189999999997</v>
      </c>
      <c r="M102" s="144">
        <v>253138</v>
      </c>
      <c r="N102" s="144">
        <v>256614.61900000001</v>
      </c>
      <c r="O102" s="145">
        <v>19350414.828000002</v>
      </c>
      <c r="Q102" s="205"/>
    </row>
    <row r="103" spans="2:17" s="54" customFormat="1" ht="14.1" customHeight="1" x14ac:dyDescent="0.2">
      <c r="B103" s="63" t="s">
        <v>225</v>
      </c>
      <c r="C103" s="60">
        <v>2476035.7540700003</v>
      </c>
      <c r="D103" s="60">
        <v>1910676.3950999998</v>
      </c>
      <c r="E103" s="60">
        <v>67725.71531</v>
      </c>
      <c r="F103" s="60">
        <v>17333.977559999999</v>
      </c>
      <c r="G103" s="60">
        <v>1400.17056</v>
      </c>
      <c r="H103" s="60">
        <v>4473172.0126</v>
      </c>
      <c r="I103" s="60">
        <v>74.971609999999998</v>
      </c>
      <c r="J103" s="60">
        <v>10870.879370000001</v>
      </c>
      <c r="K103" s="60">
        <v>10945.850980000001</v>
      </c>
      <c r="L103" s="60">
        <v>1675.6580200000001</v>
      </c>
      <c r="M103" s="60">
        <v>0</v>
      </c>
      <c r="N103" s="60">
        <v>500.33963999999997</v>
      </c>
      <c r="O103" s="61">
        <v>4484618.2032199996</v>
      </c>
      <c r="Q103" s="205"/>
    </row>
    <row r="104" spans="2:17" s="54" customFormat="1" ht="14.1" customHeight="1" x14ac:dyDescent="0.2">
      <c r="B104" s="63" t="s">
        <v>226</v>
      </c>
      <c r="C104" s="60">
        <v>4249146.4454530003</v>
      </c>
      <c r="D104" s="60">
        <v>4123679.9139999999</v>
      </c>
      <c r="E104" s="60">
        <v>137777.71191000001</v>
      </c>
      <c r="F104" s="60">
        <v>197111.26258999997</v>
      </c>
      <c r="G104" s="60">
        <v>11216.01274</v>
      </c>
      <c r="H104" s="60">
        <v>8718931.3466929998</v>
      </c>
      <c r="I104" s="60">
        <v>131.01414</v>
      </c>
      <c r="J104" s="60">
        <v>22238.769339999999</v>
      </c>
      <c r="K104" s="60">
        <v>22369.783479999998</v>
      </c>
      <c r="L104" s="60">
        <v>1675.6580200000001</v>
      </c>
      <c r="M104" s="60">
        <v>0</v>
      </c>
      <c r="N104" s="60">
        <v>1675.6580200000001</v>
      </c>
      <c r="O104" s="61">
        <v>8742976.7881930005</v>
      </c>
      <c r="Q104" s="205"/>
    </row>
    <row r="105" spans="2:17" s="54" customFormat="1" ht="14.1" customHeight="1" x14ac:dyDescent="0.2">
      <c r="B105" s="146" t="s">
        <v>227</v>
      </c>
      <c r="C105" s="60">
        <f>'[1]ingresos ddff'!G9</f>
        <v>7633191.1490000002</v>
      </c>
      <c r="D105" s="60">
        <f>'[1]ingresos ddff'!G13</f>
        <v>6694391.0039999997</v>
      </c>
      <c r="E105" s="60">
        <f>'[1]ingresos ddff'!G18</f>
        <v>208160.29</v>
      </c>
      <c r="F105" s="60">
        <f>'[1]ingresos ddff'!G19</f>
        <v>266646.03600000002</v>
      </c>
      <c r="G105" s="60">
        <f>'[1]ingresos ddff'!G20</f>
        <v>21587.614000000001</v>
      </c>
      <c r="H105" s="247">
        <f>SUM(C105:G105)</f>
        <v>14823976.093</v>
      </c>
      <c r="I105" s="60">
        <f>'[1]ingresos ddff'!G21</f>
        <v>571.45600000000002</v>
      </c>
      <c r="J105" s="60">
        <f>'[1]ingresos ddff'!G22</f>
        <v>34383.048000000003</v>
      </c>
      <c r="K105" s="60">
        <f>SUM(I105:J105)</f>
        <v>34954.504000000001</v>
      </c>
      <c r="L105" s="60">
        <f>'[1]ingresos ddff'!G23</f>
        <v>2319.9110000000001</v>
      </c>
      <c r="M105" s="60">
        <v>0</v>
      </c>
      <c r="N105" s="60">
        <f>SUM(L105:M105)</f>
        <v>2319.9110000000001</v>
      </c>
      <c r="O105" s="61">
        <f>H105+K105+N105</f>
        <v>14861250.508000001</v>
      </c>
      <c r="Q105" s="205"/>
    </row>
    <row r="106" spans="2:17" s="54" customFormat="1" ht="14.1" customHeight="1" x14ac:dyDescent="0.2">
      <c r="B106" s="143" t="s">
        <v>228</v>
      </c>
      <c r="C106" s="144">
        <f>+'ingresos ddff'!G9</f>
        <v>10320479.761724001</v>
      </c>
      <c r="D106" s="144">
        <f>+'ingresos ddff'!G13</f>
        <v>10121494.050120002</v>
      </c>
      <c r="E106" s="144">
        <f>+'ingresos ddff'!G18</f>
        <v>257501.47437000001</v>
      </c>
      <c r="F106" s="144">
        <f>+'ingresos ddff'!G19</f>
        <v>356673.88871999999</v>
      </c>
      <c r="G106" s="144">
        <f>'ingresos ddff'!G20</f>
        <v>34476.933799999999</v>
      </c>
      <c r="H106" s="144">
        <f>+'ingresos ddff'!G29</f>
        <v>21090626.108734</v>
      </c>
      <c r="I106" s="144">
        <f>'ingresos ddff'!G21</f>
        <v>799.19183999999996</v>
      </c>
      <c r="J106" s="144">
        <f>+'ingresos ddff'!G22</f>
        <v>67460.00778</v>
      </c>
      <c r="K106" s="144">
        <f>+'ingresos ddff'!G30</f>
        <v>68259.199619999999</v>
      </c>
      <c r="L106" s="144">
        <f>+'ingresos ddff'!G23</f>
        <v>4238.42821</v>
      </c>
      <c r="M106" s="144">
        <f>+'ingresos ddff'!G24</f>
        <v>253948.93599999999</v>
      </c>
      <c r="N106" s="144">
        <f>+'ingresos ddff'!G31</f>
        <v>258187.36421</v>
      </c>
      <c r="O106" s="145">
        <f>+'ingresos ddff'!G34</f>
        <v>21417072.672564</v>
      </c>
      <c r="Q106" s="205"/>
    </row>
    <row r="107" spans="2:17" s="54" customFormat="1" ht="3.9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2:17" s="54" customFormat="1" ht="6" customHeight="1" x14ac:dyDescent="0.2"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  <row r="109" spans="2:17" x14ac:dyDescent="0.25">
      <c r="B109" s="287" t="s">
        <v>43</v>
      </c>
      <c r="C109" s="287"/>
      <c r="H109" s="204"/>
      <c r="K109" s="204"/>
      <c r="N109" s="204"/>
      <c r="O109" s="204"/>
    </row>
    <row r="110" spans="2:17" x14ac:dyDescent="0.25">
      <c r="H110" s="58"/>
    </row>
  </sheetData>
  <mergeCells count="1">
    <mergeCell ref="B109:C109"/>
  </mergeCells>
  <phoneticPr fontId="19" type="noConversion"/>
  <hyperlinks>
    <hyperlink ref="B109:C109" location="Índice!A1" tooltip="Volver al índice" display="◄ volver al menu" xr:uid="{00000000-0004-0000-0A00-000001000000}"/>
    <hyperlink ref="B109" location="Índice!A1" display="◄ volver al menu" xr:uid="{00000000-0004-0000-0A00-000000000000}"/>
  </hyperlinks>
  <printOptions horizontalCentered="1"/>
  <pageMargins left="0" right="0" top="0" bottom="0" header="0" footer="0"/>
  <pageSetup paperSize="9" scale="73" orientation="portrait" r:id="rId1"/>
  <headerFooter alignWithMargins="0"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2"/>
    <pageSetUpPr fitToPage="1"/>
  </sheetPr>
  <dimension ref="A1:AO101"/>
  <sheetViews>
    <sheetView showGridLines="0" workbookViewId="0">
      <pane xSplit="2" ySplit="6" topLeftCell="C73" activePane="bottomRight" state="frozen"/>
      <selection pane="topRight"/>
      <selection pane="bottomLeft"/>
      <selection pane="bottomRight" activeCell="H103" sqref="H103"/>
    </sheetView>
  </sheetViews>
  <sheetFormatPr baseColWidth="10" defaultColWidth="12.5703125" defaultRowHeight="16.5" x14ac:dyDescent="0.3"/>
  <cols>
    <col min="1" max="1" width="2.28515625" style="107" customWidth="1"/>
    <col min="2" max="2" width="9.7109375" style="106" customWidth="1"/>
    <col min="3" max="11" width="12.5703125" style="109" customWidth="1"/>
    <col min="12" max="12" width="15.85546875" bestFit="1" customWidth="1"/>
    <col min="13" max="41" width="12.5703125" customWidth="1"/>
    <col min="42" max="16384" width="12.5703125" style="109"/>
  </cols>
  <sheetData>
    <row r="1" spans="2:11" s="104" customFormat="1" ht="15.75" x14ac:dyDescent="0.2">
      <c r="B1" s="111" t="s">
        <v>7</v>
      </c>
      <c r="K1" s="137" t="str">
        <f>Índice!B8</f>
        <v>4ºTrimestre 2025</v>
      </c>
    </row>
    <row r="2" spans="2:11" s="102" customFormat="1" ht="20.25" customHeight="1" x14ac:dyDescent="0.2">
      <c r="B2" s="101" t="s">
        <v>210</v>
      </c>
      <c r="C2" s="110"/>
      <c r="D2" s="110"/>
      <c r="E2" s="110"/>
      <c r="F2" s="110"/>
      <c r="G2" s="110"/>
      <c r="H2" s="110"/>
      <c r="I2" s="110"/>
      <c r="J2" s="110"/>
      <c r="K2" s="110"/>
    </row>
    <row r="3" spans="2:11" s="102" customFormat="1" ht="13.5" customHeight="1" x14ac:dyDescent="0.2">
      <c r="B3" s="103" t="s">
        <v>187</v>
      </c>
      <c r="C3" s="110"/>
      <c r="D3" s="110"/>
      <c r="E3" s="110"/>
      <c r="F3" s="110"/>
      <c r="G3" s="110"/>
      <c r="H3" s="110"/>
      <c r="I3" s="110"/>
      <c r="J3" s="110"/>
      <c r="K3" s="110"/>
    </row>
    <row r="4" spans="2:11" s="102" customFormat="1" ht="14.25" customHeight="1" x14ac:dyDescent="0.2">
      <c r="B4" s="104"/>
      <c r="C4" s="111"/>
      <c r="D4" s="104"/>
      <c r="E4" s="104"/>
      <c r="F4" s="104"/>
      <c r="G4" s="104"/>
      <c r="H4" s="104"/>
      <c r="I4" s="104"/>
      <c r="J4" s="104"/>
      <c r="K4" s="11" t="s">
        <v>80</v>
      </c>
    </row>
    <row r="5" spans="2:11" s="105" customFormat="1" ht="30.75" customHeight="1" x14ac:dyDescent="0.2">
      <c r="B5" s="121" t="s">
        <v>81</v>
      </c>
      <c r="C5" s="122" t="s">
        <v>188</v>
      </c>
      <c r="D5" s="112" t="s">
        <v>198</v>
      </c>
      <c r="E5" s="112" t="s">
        <v>211</v>
      </c>
      <c r="F5" s="123" t="s">
        <v>212</v>
      </c>
      <c r="G5" s="122" t="s">
        <v>189</v>
      </c>
      <c r="H5" s="112" t="s">
        <v>213</v>
      </c>
      <c r="I5" s="112" t="s">
        <v>202</v>
      </c>
      <c r="J5" s="112" t="s">
        <v>203</v>
      </c>
      <c r="K5" s="123" t="s">
        <v>204</v>
      </c>
    </row>
    <row r="6" spans="2:11" s="102" customFormat="1" ht="3.95" customHeight="1" x14ac:dyDescent="0.2">
      <c r="B6" s="147"/>
      <c r="C6" s="148"/>
      <c r="D6" s="149"/>
      <c r="E6" s="149"/>
      <c r="F6" s="150"/>
      <c r="G6" s="148"/>
      <c r="H6" s="149"/>
      <c r="I6" s="149"/>
      <c r="J6" s="149"/>
      <c r="K6" s="151"/>
    </row>
    <row r="7" spans="2:11" s="108" customFormat="1" ht="12.75" customHeight="1" x14ac:dyDescent="0.2">
      <c r="B7" s="152" t="s">
        <v>102</v>
      </c>
      <c r="C7" s="61">
        <v>939179.9471799999</v>
      </c>
      <c r="D7" s="60">
        <v>885906.20715999999</v>
      </c>
      <c r="E7" s="60">
        <v>34577.499609999999</v>
      </c>
      <c r="F7" s="153">
        <v>18696.240409999889</v>
      </c>
      <c r="G7" s="61">
        <v>972949.92218000011</v>
      </c>
      <c r="H7" s="60">
        <v>77352.601600000009</v>
      </c>
      <c r="I7" s="60">
        <v>676547.71568999998</v>
      </c>
      <c r="J7" s="60">
        <v>204178.65990999999</v>
      </c>
      <c r="K7" s="153">
        <v>14870.944979999984</v>
      </c>
    </row>
    <row r="8" spans="2:11" s="102" customFormat="1" ht="12.75" customHeight="1" x14ac:dyDescent="0.2">
      <c r="B8" s="152" t="s">
        <v>103</v>
      </c>
      <c r="C8" s="61">
        <v>1460465.34</v>
      </c>
      <c r="D8" s="60">
        <v>1229375.4516100003</v>
      </c>
      <c r="E8" s="60">
        <v>158190.82498</v>
      </c>
      <c r="F8" s="153">
        <v>72899.063409999872</v>
      </c>
      <c r="G8" s="61">
        <v>2087445.1929500005</v>
      </c>
      <c r="H8" s="60">
        <v>164331.01424999995</v>
      </c>
      <c r="I8" s="60">
        <v>1393779.8125400001</v>
      </c>
      <c r="J8" s="60">
        <v>493960.69415000011</v>
      </c>
      <c r="K8" s="153">
        <v>35373.672010000431</v>
      </c>
    </row>
    <row r="9" spans="2:11" s="102" customFormat="1" ht="12.75" customHeight="1" x14ac:dyDescent="0.2">
      <c r="B9" s="152" t="s">
        <v>104</v>
      </c>
      <c r="C9" s="61">
        <v>3117502.5734599996</v>
      </c>
      <c r="D9" s="60">
        <v>2060022.5126699999</v>
      </c>
      <c r="E9" s="60">
        <v>910502.7612999999</v>
      </c>
      <c r="F9" s="153">
        <v>146977.29949</v>
      </c>
      <c r="G9" s="61">
        <v>3104043.5572299999</v>
      </c>
      <c r="H9" s="60">
        <v>254561.39608000003</v>
      </c>
      <c r="I9" s="60">
        <v>2044924.60142</v>
      </c>
      <c r="J9" s="60">
        <v>752066.53711999999</v>
      </c>
      <c r="K9" s="153">
        <v>52491.02261</v>
      </c>
    </row>
    <row r="10" spans="2:11" s="102" customFormat="1" ht="12.75" customHeight="1" x14ac:dyDescent="0.2">
      <c r="B10" s="154" t="s">
        <v>105</v>
      </c>
      <c r="C10" s="145">
        <v>4213339.2800099999</v>
      </c>
      <c r="D10" s="141">
        <v>3021490.886729999</v>
      </c>
      <c r="E10" s="141">
        <v>1046098.7822100001</v>
      </c>
      <c r="F10" s="155">
        <v>145749.6110700003</v>
      </c>
      <c r="G10" s="145">
        <v>4878087.10035</v>
      </c>
      <c r="H10" s="141">
        <v>343548.20793999999</v>
      </c>
      <c r="I10" s="141">
        <v>3280291.0556899998</v>
      </c>
      <c r="J10" s="141">
        <v>1193054.68973</v>
      </c>
      <c r="K10" s="155">
        <v>61193.146990000001</v>
      </c>
    </row>
    <row r="11" spans="2:11" s="108" customFormat="1" ht="13.5" customHeight="1" x14ac:dyDescent="0.2">
      <c r="B11" s="152" t="s">
        <v>106</v>
      </c>
      <c r="C11" s="61">
        <v>989315.70326999994</v>
      </c>
      <c r="D11" s="60">
        <v>914678.46118999994</v>
      </c>
      <c r="E11" s="60">
        <v>62655.5743</v>
      </c>
      <c r="F11" s="153">
        <v>11981.66778</v>
      </c>
      <c r="G11" s="61">
        <v>1173950.5950399998</v>
      </c>
      <c r="H11" s="60">
        <v>104381.42612</v>
      </c>
      <c r="I11" s="60">
        <v>756576.59208999993</v>
      </c>
      <c r="J11" s="60">
        <v>297313.39376000001</v>
      </c>
      <c r="K11" s="153">
        <v>15679.183069999999</v>
      </c>
    </row>
    <row r="12" spans="2:11" s="102" customFormat="1" ht="12.75" customHeight="1" x14ac:dyDescent="0.2">
      <c r="B12" s="152" t="s">
        <v>107</v>
      </c>
      <c r="C12" s="61">
        <v>1469836.9740599999</v>
      </c>
      <c r="D12" s="60">
        <v>1228804.5987</v>
      </c>
      <c r="E12" s="60">
        <v>172793.10634</v>
      </c>
      <c r="F12" s="153">
        <v>68239.269019999963</v>
      </c>
      <c r="G12" s="61">
        <v>2368620.1567800003</v>
      </c>
      <c r="H12" s="60">
        <v>200570.65921000001</v>
      </c>
      <c r="I12" s="60">
        <v>1500388.1167899999</v>
      </c>
      <c r="J12" s="60">
        <v>630068.60935000004</v>
      </c>
      <c r="K12" s="153">
        <v>37592.771430000197</v>
      </c>
    </row>
    <row r="13" spans="2:11" s="102" customFormat="1" ht="12.75" customHeight="1" x14ac:dyDescent="0.2">
      <c r="B13" s="152" t="s">
        <v>108</v>
      </c>
      <c r="C13" s="61">
        <v>3212390.9032700001</v>
      </c>
      <c r="D13" s="60">
        <v>2073921.27419</v>
      </c>
      <c r="E13" s="60">
        <v>994501.28757000004</v>
      </c>
      <c r="F13" s="153">
        <v>143968.34151</v>
      </c>
      <c r="G13" s="61">
        <v>3526864.27819</v>
      </c>
      <c r="H13" s="60">
        <v>301585.79428000003</v>
      </c>
      <c r="I13" s="60">
        <v>2230070.44906</v>
      </c>
      <c r="J13" s="60">
        <v>939374.45328000002</v>
      </c>
      <c r="K13" s="153">
        <v>55833.581570000002</v>
      </c>
    </row>
    <row r="14" spans="2:11" s="102" customFormat="1" ht="12.75" customHeight="1" x14ac:dyDescent="0.2">
      <c r="B14" s="154" t="s">
        <v>109</v>
      </c>
      <c r="C14" s="145">
        <v>4401057.0020000003</v>
      </c>
      <c r="D14" s="141">
        <v>3074929.932</v>
      </c>
      <c r="E14" s="141">
        <v>1154369.575</v>
      </c>
      <c r="F14" s="155">
        <v>171757.495</v>
      </c>
      <c r="G14" s="145">
        <v>5506491.5289999992</v>
      </c>
      <c r="H14" s="141">
        <v>395798.82299999997</v>
      </c>
      <c r="I14" s="141">
        <v>3693819.2829999998</v>
      </c>
      <c r="J14" s="141">
        <v>1329701.5209999999</v>
      </c>
      <c r="K14" s="155">
        <v>87171.902000000002</v>
      </c>
    </row>
    <row r="15" spans="2:11" s="102" customFormat="1" ht="12.75" customHeight="1" x14ac:dyDescent="0.2">
      <c r="B15" s="152" t="s">
        <v>110</v>
      </c>
      <c r="C15" s="61">
        <v>1062248.4980000001</v>
      </c>
      <c r="D15" s="60">
        <v>964122.78</v>
      </c>
      <c r="E15" s="60">
        <v>67563.988000000012</v>
      </c>
      <c r="F15" s="153">
        <v>30561.73</v>
      </c>
      <c r="G15" s="61">
        <v>1211680.442</v>
      </c>
      <c r="H15" s="60">
        <v>97196.174999999988</v>
      </c>
      <c r="I15" s="60">
        <v>809226.179</v>
      </c>
      <c r="J15" s="60">
        <v>287427.788</v>
      </c>
      <c r="K15" s="153">
        <v>17830.3</v>
      </c>
    </row>
    <row r="16" spans="2:11" s="102" customFormat="1" ht="12.75" customHeight="1" x14ac:dyDescent="0.2">
      <c r="B16" s="152" t="s">
        <v>111</v>
      </c>
      <c r="C16" s="61">
        <v>1609546.03</v>
      </c>
      <c r="D16" s="60">
        <v>1343535.5929999999</v>
      </c>
      <c r="E16" s="60">
        <v>178520.46400000001</v>
      </c>
      <c r="F16" s="153">
        <v>87489.972999999984</v>
      </c>
      <c r="G16" s="61">
        <v>2621723.0070000002</v>
      </c>
      <c r="H16" s="60">
        <v>200174.11900000001</v>
      </c>
      <c r="I16" s="60">
        <v>1764011.7679999999</v>
      </c>
      <c r="J16" s="60">
        <v>615568.54200000002</v>
      </c>
      <c r="K16" s="153">
        <v>41968.578000000001</v>
      </c>
    </row>
    <row r="17" spans="2:11" s="102" customFormat="1" ht="12.75" customHeight="1" x14ac:dyDescent="0.2">
      <c r="B17" s="152" t="s">
        <v>112</v>
      </c>
      <c r="C17" s="61">
        <v>3718027.9330000002</v>
      </c>
      <c r="D17" s="60">
        <v>2322567.8810000001</v>
      </c>
      <c r="E17" s="60">
        <v>1214679.0349999999</v>
      </c>
      <c r="F17" s="153">
        <v>180781.01699999999</v>
      </c>
      <c r="G17" s="61">
        <v>4103529.0670000003</v>
      </c>
      <c r="H17" s="60">
        <v>310965.84600000002</v>
      </c>
      <c r="I17" s="60">
        <v>2738915.202</v>
      </c>
      <c r="J17" s="60">
        <v>990867.56900000002</v>
      </c>
      <c r="K17" s="153">
        <v>62780.45</v>
      </c>
    </row>
    <row r="18" spans="2:11" s="102" customFormat="1" ht="12.75" customHeight="1" x14ac:dyDescent="0.2">
      <c r="B18" s="154" t="s">
        <v>113</v>
      </c>
      <c r="C18" s="145">
        <v>5110120.477</v>
      </c>
      <c r="D18" s="141">
        <v>3415910.3829999999</v>
      </c>
      <c r="E18" s="141">
        <v>1457779.74</v>
      </c>
      <c r="F18" s="155">
        <v>236430.35400000002</v>
      </c>
      <c r="G18" s="145">
        <v>6111916.8709999993</v>
      </c>
      <c r="H18" s="141">
        <v>424814.46499999997</v>
      </c>
      <c r="I18" s="141">
        <v>4209745.5069999993</v>
      </c>
      <c r="J18" s="141">
        <v>1384082.1850000001</v>
      </c>
      <c r="K18" s="155">
        <v>93274.714000000007</v>
      </c>
    </row>
    <row r="19" spans="2:11" s="102" customFormat="1" ht="12.75" customHeight="1" x14ac:dyDescent="0.2">
      <c r="B19" s="152" t="s">
        <v>114</v>
      </c>
      <c r="C19" s="61">
        <v>1176821.6290000002</v>
      </c>
      <c r="D19" s="60">
        <v>1049283.963</v>
      </c>
      <c r="E19" s="60">
        <v>89464.37</v>
      </c>
      <c r="F19" s="153">
        <v>38073.295999999995</v>
      </c>
      <c r="G19" s="61">
        <v>1453966.1679999998</v>
      </c>
      <c r="H19" s="60">
        <v>117845.53700000001</v>
      </c>
      <c r="I19" s="60">
        <v>1013593.656</v>
      </c>
      <c r="J19" s="60">
        <v>303166.02400000003</v>
      </c>
      <c r="K19" s="153">
        <v>19360.950999999997</v>
      </c>
    </row>
    <row r="20" spans="2:11" s="102" customFormat="1" ht="12.75" customHeight="1" x14ac:dyDescent="0.2">
      <c r="B20" s="152" t="s">
        <v>115</v>
      </c>
      <c r="C20" s="61">
        <v>1885278.862</v>
      </c>
      <c r="D20" s="60">
        <v>1487535.1089999999</v>
      </c>
      <c r="E20" s="60">
        <v>270760.09299999999</v>
      </c>
      <c r="F20" s="153">
        <v>126983.66</v>
      </c>
      <c r="G20" s="61">
        <v>2997576.3029999994</v>
      </c>
      <c r="H20" s="60">
        <v>235341.41899999999</v>
      </c>
      <c r="I20" s="60">
        <v>2032888.4709999999</v>
      </c>
      <c r="J20" s="60">
        <v>685013.65799999994</v>
      </c>
      <c r="K20" s="153">
        <v>44332.754999999997</v>
      </c>
    </row>
    <row r="21" spans="2:11" s="102" customFormat="1" ht="12.75" customHeight="1" x14ac:dyDescent="0.2">
      <c r="B21" s="152" t="s">
        <v>116</v>
      </c>
      <c r="C21" s="61">
        <v>4257261.3540000003</v>
      </c>
      <c r="D21" s="60">
        <v>2581106.2429999998</v>
      </c>
      <c r="E21" s="60">
        <v>1446742.0150000001</v>
      </c>
      <c r="F21" s="153">
        <v>229413.09599999999</v>
      </c>
      <c r="G21" s="61">
        <v>4504814.4040000001</v>
      </c>
      <c r="H21" s="60">
        <v>359664.33600000001</v>
      </c>
      <c r="I21" s="60">
        <v>3037088.8360000001</v>
      </c>
      <c r="J21" s="60">
        <v>1043212.3050000002</v>
      </c>
      <c r="K21" s="153">
        <v>64848.927000000003</v>
      </c>
    </row>
    <row r="22" spans="2:11" s="102" customFormat="1" ht="12.75" customHeight="1" x14ac:dyDescent="0.2">
      <c r="B22" s="154" t="s">
        <v>117</v>
      </c>
      <c r="C22" s="145">
        <v>5748225.1030000001</v>
      </c>
      <c r="D22" s="141">
        <v>3768517.398</v>
      </c>
      <c r="E22" s="141">
        <v>1699735.888</v>
      </c>
      <c r="F22" s="155">
        <v>279971.81699999998</v>
      </c>
      <c r="G22" s="145">
        <v>6762176.3869999992</v>
      </c>
      <c r="H22" s="141">
        <v>506688.71100000001</v>
      </c>
      <c r="I22" s="141">
        <v>4710134.4169999994</v>
      </c>
      <c r="J22" s="141">
        <v>1449067.226</v>
      </c>
      <c r="K22" s="155">
        <v>96286.032999999996</v>
      </c>
    </row>
    <row r="23" spans="2:11" s="102" customFormat="1" ht="12.75" customHeight="1" x14ac:dyDescent="0.2">
      <c r="B23" s="152" t="s">
        <v>118</v>
      </c>
      <c r="C23" s="61">
        <v>1345883.943</v>
      </c>
      <c r="D23" s="60">
        <v>1177647.206</v>
      </c>
      <c r="E23" s="60">
        <v>115465.935</v>
      </c>
      <c r="F23" s="153">
        <v>52770.801999999996</v>
      </c>
      <c r="G23" s="61">
        <v>1519741.101</v>
      </c>
      <c r="H23" s="60">
        <v>122784.41</v>
      </c>
      <c r="I23" s="60">
        <v>1060399.3810000001</v>
      </c>
      <c r="J23" s="60">
        <v>316426.52</v>
      </c>
      <c r="K23" s="153">
        <v>20130.79</v>
      </c>
    </row>
    <row r="24" spans="2:11" s="102" customFormat="1" ht="12.75" customHeight="1" x14ac:dyDescent="0.2">
      <c r="B24" s="152" t="s">
        <v>119</v>
      </c>
      <c r="C24" s="61">
        <v>2202901.4619999998</v>
      </c>
      <c r="D24" s="60">
        <v>1708870.08</v>
      </c>
      <c r="E24" s="60">
        <v>312750.78899999999</v>
      </c>
      <c r="F24" s="153">
        <v>181280.59300000002</v>
      </c>
      <c r="G24" s="61">
        <v>3031111.0010000002</v>
      </c>
      <c r="H24" s="60">
        <v>234563.764</v>
      </c>
      <c r="I24" s="60">
        <v>2053385.7860000001</v>
      </c>
      <c r="J24" s="60">
        <v>696806.65599999996</v>
      </c>
      <c r="K24" s="153">
        <v>46354.795000000006</v>
      </c>
    </row>
    <row r="25" spans="2:11" s="102" customFormat="1" ht="12.75" customHeight="1" x14ac:dyDescent="0.2">
      <c r="B25" s="152" t="s">
        <v>120</v>
      </c>
      <c r="C25" s="61">
        <v>5078000.6869999999</v>
      </c>
      <c r="D25" s="60">
        <v>2969927.4639999997</v>
      </c>
      <c r="E25" s="60">
        <v>1795844.17</v>
      </c>
      <c r="F25" s="153">
        <v>312229.05300000001</v>
      </c>
      <c r="G25" s="61">
        <v>4721671.193</v>
      </c>
      <c r="H25" s="60">
        <v>414509.08400000003</v>
      </c>
      <c r="I25" s="60">
        <v>3149730.1490000002</v>
      </c>
      <c r="J25" s="60">
        <v>1089015.699</v>
      </c>
      <c r="K25" s="153">
        <v>68416.260999999999</v>
      </c>
    </row>
    <row r="26" spans="2:11" s="102" customFormat="1" ht="12.75" customHeight="1" x14ac:dyDescent="0.2">
      <c r="B26" s="154" t="s">
        <v>121</v>
      </c>
      <c r="C26" s="145">
        <v>6742757.6910000006</v>
      </c>
      <c r="D26" s="141">
        <v>4279784.4210000001</v>
      </c>
      <c r="E26" s="141">
        <v>2054479.3540000001</v>
      </c>
      <c r="F26" s="155">
        <v>408493.91600000003</v>
      </c>
      <c r="G26" s="145">
        <v>6988136.068</v>
      </c>
      <c r="H26" s="141">
        <v>507911.386</v>
      </c>
      <c r="I26" s="141">
        <v>4874352.0590000004</v>
      </c>
      <c r="J26" s="141">
        <v>1503583.585</v>
      </c>
      <c r="K26" s="155">
        <v>102289.038</v>
      </c>
    </row>
    <row r="27" spans="2:11" s="102" customFormat="1" ht="12.75" customHeight="1" x14ac:dyDescent="0.2">
      <c r="B27" s="152" t="s">
        <v>122</v>
      </c>
      <c r="C27" s="61">
        <v>1485134.1980000001</v>
      </c>
      <c r="D27" s="60">
        <v>1293301.1670000001</v>
      </c>
      <c r="E27" s="60">
        <v>128615.63099999999</v>
      </c>
      <c r="F27" s="153">
        <v>63217.4</v>
      </c>
      <c r="G27" s="61">
        <v>1574463.3739999998</v>
      </c>
      <c r="H27" s="60">
        <v>79017.79800000001</v>
      </c>
      <c r="I27" s="60">
        <v>1134883.6439999999</v>
      </c>
      <c r="J27" s="60">
        <v>338647.41899999999</v>
      </c>
      <c r="K27" s="153">
        <v>21914.512999999999</v>
      </c>
    </row>
    <row r="28" spans="2:11" s="102" customFormat="1" ht="12.75" customHeight="1" x14ac:dyDescent="0.2">
      <c r="B28" s="152" t="s">
        <v>123</v>
      </c>
      <c r="C28" s="61">
        <v>2354760</v>
      </c>
      <c r="D28" s="60">
        <v>1822467</v>
      </c>
      <c r="E28" s="60">
        <v>314571</v>
      </c>
      <c r="F28" s="153">
        <v>217722</v>
      </c>
      <c r="G28" s="61">
        <v>3093615</v>
      </c>
      <c r="H28" s="60">
        <v>160729</v>
      </c>
      <c r="I28" s="60">
        <v>2169510</v>
      </c>
      <c r="J28" s="60">
        <v>714701</v>
      </c>
      <c r="K28" s="153">
        <v>48675</v>
      </c>
    </row>
    <row r="29" spans="2:11" s="102" customFormat="1" ht="12.75" customHeight="1" x14ac:dyDescent="0.2">
      <c r="B29" s="152" t="s">
        <v>124</v>
      </c>
      <c r="C29" s="61">
        <v>5141433.0219999999</v>
      </c>
      <c r="D29" s="60">
        <v>3157941.764</v>
      </c>
      <c r="E29" s="60">
        <v>1628043.673</v>
      </c>
      <c r="F29" s="153">
        <v>355447.58499999996</v>
      </c>
      <c r="G29" s="61">
        <v>4465541.8899999997</v>
      </c>
      <c r="H29" s="60">
        <v>238779.255</v>
      </c>
      <c r="I29" s="60">
        <v>3073018.4479999999</v>
      </c>
      <c r="J29" s="60">
        <v>1083482.0190000001</v>
      </c>
      <c r="K29" s="153">
        <v>70262.168000000005</v>
      </c>
    </row>
    <row r="30" spans="2:11" s="102" customFormat="1" ht="12.75" customHeight="1" x14ac:dyDescent="0.2">
      <c r="B30" s="154" t="s">
        <v>125</v>
      </c>
      <c r="C30" s="145">
        <v>6671569.2429999989</v>
      </c>
      <c r="D30" s="141">
        <v>4496019.1809999999</v>
      </c>
      <c r="E30" s="141">
        <v>1756610.9651617841</v>
      </c>
      <c r="F30" s="155">
        <v>418939.09683821583</v>
      </c>
      <c r="G30" s="145">
        <v>6181558.091</v>
      </c>
      <c r="H30" s="141">
        <v>304334.39600000001</v>
      </c>
      <c r="I30" s="141">
        <v>4310803.2110000001</v>
      </c>
      <c r="J30" s="141">
        <v>1463701.4440000001</v>
      </c>
      <c r="K30" s="155">
        <v>102719.03999999999</v>
      </c>
    </row>
    <row r="31" spans="2:11" s="102" customFormat="1" ht="12.75" customHeight="1" x14ac:dyDescent="0.2">
      <c r="B31" s="152" t="s">
        <v>126</v>
      </c>
      <c r="C31" s="61">
        <v>1438792.69</v>
      </c>
      <c r="D31" s="60">
        <v>1276259.071</v>
      </c>
      <c r="E31" s="60">
        <v>98519.096000000005</v>
      </c>
      <c r="F31" s="153">
        <v>64014.523000000001</v>
      </c>
      <c r="G31" s="61">
        <v>1472813.324</v>
      </c>
      <c r="H31" s="60">
        <v>55952.764999999999</v>
      </c>
      <c r="I31" s="60">
        <v>1078653.3430000001</v>
      </c>
      <c r="J31" s="60">
        <v>317109.61199999996</v>
      </c>
      <c r="K31" s="153">
        <v>21097.603999999999</v>
      </c>
    </row>
    <row r="32" spans="2:11" s="102" customFormat="1" ht="12.75" customHeight="1" x14ac:dyDescent="0.2">
      <c r="B32" s="152" t="s">
        <v>127</v>
      </c>
      <c r="C32" s="61">
        <v>1840289</v>
      </c>
      <c r="D32" s="60">
        <v>1502480</v>
      </c>
      <c r="E32" s="60">
        <v>231017</v>
      </c>
      <c r="F32" s="153">
        <v>106792</v>
      </c>
      <c r="G32" s="61">
        <v>2603410</v>
      </c>
      <c r="H32" s="60">
        <v>111728</v>
      </c>
      <c r="I32" s="60">
        <v>1811225</v>
      </c>
      <c r="J32" s="60">
        <v>634253</v>
      </c>
      <c r="K32" s="153">
        <v>46204</v>
      </c>
    </row>
    <row r="33" spans="2:11" s="102" customFormat="1" ht="12.75" customHeight="1" x14ac:dyDescent="0.2">
      <c r="B33" s="152" t="s">
        <v>128</v>
      </c>
      <c r="C33" s="61">
        <v>3950044.2850000001</v>
      </c>
      <c r="D33" s="60">
        <v>2621448.6660000002</v>
      </c>
      <c r="E33" s="60">
        <v>1156571.31</v>
      </c>
      <c r="F33" s="153">
        <v>172024.30900000001</v>
      </c>
      <c r="G33" s="61">
        <v>3611574.2989999996</v>
      </c>
      <c r="H33" s="60">
        <v>183102.78399999999</v>
      </c>
      <c r="I33" s="60">
        <v>2340235.5129999998</v>
      </c>
      <c r="J33" s="60">
        <v>1020049.382</v>
      </c>
      <c r="K33" s="153">
        <v>68186.62</v>
      </c>
    </row>
    <row r="34" spans="2:11" s="102" customFormat="1" ht="13.5" customHeight="1" x14ac:dyDescent="0.2">
      <c r="B34" s="154" t="s">
        <v>129</v>
      </c>
      <c r="C34" s="145">
        <v>5455108.5329299979</v>
      </c>
      <c r="D34" s="141">
        <v>3949964.6687699994</v>
      </c>
      <c r="E34" s="141">
        <v>1258428.1407600001</v>
      </c>
      <c r="F34" s="155">
        <v>246715.72339999909</v>
      </c>
      <c r="G34" s="145">
        <v>5769079.4238700019</v>
      </c>
      <c r="H34" s="141">
        <v>246938.60381000006</v>
      </c>
      <c r="I34" s="141">
        <v>4003878.1717499993</v>
      </c>
      <c r="J34" s="141">
        <v>1412645.5450399998</v>
      </c>
      <c r="K34" s="155">
        <v>105617.10327000238</v>
      </c>
    </row>
    <row r="35" spans="2:11" s="102" customFormat="1" ht="13.5" customHeight="1" x14ac:dyDescent="0.2">
      <c r="B35" s="152" t="s">
        <v>130</v>
      </c>
      <c r="C35" s="61">
        <v>1395062.0739399996</v>
      </c>
      <c r="D35" s="60">
        <v>1295004.8711999999</v>
      </c>
      <c r="E35" s="60">
        <v>63592.248930000009</v>
      </c>
      <c r="F35" s="153">
        <v>36464.953809999584</v>
      </c>
      <c r="G35" s="61">
        <v>1507409.8815200001</v>
      </c>
      <c r="H35" s="60">
        <v>53567.955180000004</v>
      </c>
      <c r="I35" s="60">
        <v>1082338.4241300002</v>
      </c>
      <c r="J35" s="60">
        <v>349929.02377000003</v>
      </c>
      <c r="K35" s="153">
        <v>21574.478439999828</v>
      </c>
    </row>
    <row r="36" spans="2:11" s="102" customFormat="1" ht="13.5" customHeight="1" x14ac:dyDescent="0.2">
      <c r="B36" s="152" t="s">
        <v>131</v>
      </c>
      <c r="C36" s="61">
        <v>1874458.942710001</v>
      </c>
      <c r="D36" s="60">
        <v>1544348.0471200007</v>
      </c>
      <c r="E36" s="60">
        <v>192414.01433999999</v>
      </c>
      <c r="F36" s="153">
        <v>137696.88125000024</v>
      </c>
      <c r="G36" s="61">
        <v>2731267.3937900006</v>
      </c>
      <c r="H36" s="60">
        <v>113864.37910999998</v>
      </c>
      <c r="I36" s="60">
        <v>1908230.4951800003</v>
      </c>
      <c r="J36" s="60">
        <v>661556.09693</v>
      </c>
      <c r="K36" s="153">
        <v>47616.422570000293</v>
      </c>
    </row>
    <row r="37" spans="2:11" s="102" customFormat="1" ht="13.5" customHeight="1" x14ac:dyDescent="0.2">
      <c r="B37" s="152" t="s">
        <v>132</v>
      </c>
      <c r="C37" s="61">
        <v>3829845.7275500009</v>
      </c>
      <c r="D37" s="60">
        <v>2749266.2705100011</v>
      </c>
      <c r="E37" s="60">
        <v>927763.7048399999</v>
      </c>
      <c r="F37" s="153">
        <v>152815.75219999981</v>
      </c>
      <c r="G37" s="61">
        <v>4037114.0431400011</v>
      </c>
      <c r="H37" s="60">
        <v>176237.42873999997</v>
      </c>
      <c r="I37" s="60">
        <v>2770153.6146200001</v>
      </c>
      <c r="J37" s="60">
        <v>1020744.5196799999</v>
      </c>
      <c r="K37" s="153">
        <v>69978.480100001223</v>
      </c>
    </row>
    <row r="38" spans="2:11" s="102" customFormat="1" ht="13.5" customHeight="1" x14ac:dyDescent="0.2">
      <c r="B38" s="154" t="s">
        <v>133</v>
      </c>
      <c r="C38" s="145">
        <v>5321089.7570099998</v>
      </c>
      <c r="D38" s="141">
        <v>4115830.0962199997</v>
      </c>
      <c r="E38" s="141">
        <v>996892.40229999996</v>
      </c>
      <c r="F38" s="155">
        <v>208367.2584899998</v>
      </c>
      <c r="G38" s="145">
        <v>6140971.2251499984</v>
      </c>
      <c r="H38" s="141">
        <v>276753.00948000001</v>
      </c>
      <c r="I38" s="141">
        <v>4327190.7171200011</v>
      </c>
      <c r="J38" s="141">
        <v>1438384.6983799997</v>
      </c>
      <c r="K38" s="155">
        <v>98642.80016999814</v>
      </c>
    </row>
    <row r="39" spans="2:11" s="102" customFormat="1" ht="13.5" customHeight="1" x14ac:dyDescent="0.2">
      <c r="B39" s="152" t="s">
        <v>134</v>
      </c>
      <c r="C39" s="61">
        <f>SUM(D39:F39)</f>
        <v>1468685.169729999</v>
      </c>
      <c r="D39" s="60">
        <v>1348465.5874499995</v>
      </c>
      <c r="E39" s="60">
        <v>72554.787599999996</v>
      </c>
      <c r="F39" s="153">
        <v>47664.79467999957</v>
      </c>
      <c r="G39" s="61">
        <f>SUM(H39:K39)</f>
        <v>1457597.0173500006</v>
      </c>
      <c r="H39" s="60">
        <v>42441.309110000002</v>
      </c>
      <c r="I39" s="60">
        <v>1063018.0605000001</v>
      </c>
      <c r="J39" s="60">
        <v>329881.14729999995</v>
      </c>
      <c r="K39" s="153">
        <v>22256.500440000353</v>
      </c>
    </row>
    <row r="40" spans="2:11" s="102" customFormat="1" ht="13.5" customHeight="1" x14ac:dyDescent="0.2">
      <c r="B40" s="152" t="s">
        <v>135</v>
      </c>
      <c r="C40" s="61">
        <v>2039860.9659499999</v>
      </c>
      <c r="D40" s="60">
        <v>1752228.8668499994</v>
      </c>
      <c r="E40" s="60">
        <v>208746.5779400001</v>
      </c>
      <c r="F40" s="153">
        <v>78885.521160000135</v>
      </c>
      <c r="G40" s="61">
        <v>2833756.8291600007</v>
      </c>
      <c r="H40" s="60">
        <v>87400.854659999997</v>
      </c>
      <c r="I40" s="60">
        <v>2046076.5569099998</v>
      </c>
      <c r="J40" s="60">
        <v>652108.55533</v>
      </c>
      <c r="K40" s="153">
        <v>48170.862260000875</v>
      </c>
    </row>
    <row r="41" spans="2:11" s="102" customFormat="1" ht="13.5" customHeight="1" x14ac:dyDescent="0.2">
      <c r="B41" s="152" t="s">
        <v>136</v>
      </c>
      <c r="C41" s="61">
        <v>4273565.3111800002</v>
      </c>
      <c r="D41" s="60">
        <v>3001515.1671000002</v>
      </c>
      <c r="E41" s="60">
        <v>1131614.0684099994</v>
      </c>
      <c r="F41" s="153">
        <v>140436.07567000084</v>
      </c>
      <c r="G41" s="61">
        <v>4166813.3407799988</v>
      </c>
      <c r="H41" s="60">
        <v>123087.83396000002</v>
      </c>
      <c r="I41" s="60">
        <v>2994354.8699500002</v>
      </c>
      <c r="J41" s="60">
        <v>978314.23262999987</v>
      </c>
      <c r="K41" s="153">
        <v>71056.404239998854</v>
      </c>
    </row>
    <row r="42" spans="2:11" s="102" customFormat="1" ht="13.5" customHeight="1" x14ac:dyDescent="0.2">
      <c r="B42" s="154" t="s">
        <v>137</v>
      </c>
      <c r="C42" s="145">
        <v>5783519.7919700043</v>
      </c>
      <c r="D42" s="141">
        <v>4394314.2988000028</v>
      </c>
      <c r="E42" s="141">
        <v>1222433.0041099999</v>
      </c>
      <c r="F42" s="155">
        <v>166772.48906000116</v>
      </c>
      <c r="G42" s="145">
        <v>5931998.6913799979</v>
      </c>
      <c r="H42" s="141">
        <v>162871.61291000003</v>
      </c>
      <c r="I42" s="141">
        <v>4290921.1205099998</v>
      </c>
      <c r="J42" s="141">
        <v>1378796.2747</v>
      </c>
      <c r="K42" s="155">
        <v>99409.683259998579</v>
      </c>
    </row>
    <row r="43" spans="2:11" s="102" customFormat="1" ht="13.5" customHeight="1" x14ac:dyDescent="0.2">
      <c r="B43" s="152" t="s">
        <v>134</v>
      </c>
      <c r="C43" s="61">
        <f>SUM(D43:F43)</f>
        <v>1556455.9223299995</v>
      </c>
      <c r="D43" s="60">
        <v>1366274.4611199999</v>
      </c>
      <c r="E43" s="60">
        <v>101060.95188999998</v>
      </c>
      <c r="F43" s="153">
        <v>89120.509319999619</v>
      </c>
      <c r="G43" s="61">
        <f>SUM(H43:K43)</f>
        <v>1439868.5280499998</v>
      </c>
      <c r="H43" s="60">
        <v>33463.529600000002</v>
      </c>
      <c r="I43" s="60">
        <v>1073095.7664499998</v>
      </c>
      <c r="J43" s="60">
        <v>312159.64708000002</v>
      </c>
      <c r="K43" s="153">
        <v>21149.584920000038</v>
      </c>
    </row>
    <row r="44" spans="2:11" s="102" customFormat="1" ht="13.5" customHeight="1" x14ac:dyDescent="0.2">
      <c r="B44" s="152" t="s">
        <v>139</v>
      </c>
      <c r="C44" s="61">
        <f>SUM(D44:F44)</f>
        <v>2115046.9473199989</v>
      </c>
      <c r="D44" s="60">
        <v>1733812.6039399994</v>
      </c>
      <c r="E44" s="60">
        <v>245139.54653000008</v>
      </c>
      <c r="F44" s="153">
        <v>136094.79684999929</v>
      </c>
      <c r="G44" s="61">
        <f>SUM(H44:K44)</f>
        <v>2651386.9950199984</v>
      </c>
      <c r="H44" s="60">
        <v>62970.61621</v>
      </c>
      <c r="I44" s="60">
        <v>1912737.0920099996</v>
      </c>
      <c r="J44" s="60">
        <v>630418.75470000005</v>
      </c>
      <c r="K44" s="153">
        <v>45260.532099999</v>
      </c>
    </row>
    <row r="45" spans="2:11" s="102" customFormat="1" ht="13.5" customHeight="1" x14ac:dyDescent="0.2">
      <c r="B45" s="152" t="s">
        <v>140</v>
      </c>
      <c r="C45" s="61">
        <v>4312505.096570001</v>
      </c>
      <c r="D45" s="60">
        <v>3039178.6691699987</v>
      </c>
      <c r="E45" s="60">
        <v>1075476.4269199995</v>
      </c>
      <c r="F45" s="153">
        <v>197850.00048000229</v>
      </c>
      <c r="G45" s="61">
        <v>3930750.4379800009</v>
      </c>
      <c r="H45" s="60">
        <v>94675.510890000005</v>
      </c>
      <c r="I45" s="60">
        <v>2793834.6300400002</v>
      </c>
      <c r="J45" s="60">
        <v>974746.03211000003</v>
      </c>
      <c r="K45" s="153">
        <v>67494.264940000416</v>
      </c>
    </row>
    <row r="46" spans="2:11" s="102" customFormat="1" ht="13.5" customHeight="1" x14ac:dyDescent="0.2">
      <c r="B46" s="154" t="s">
        <v>141</v>
      </c>
      <c r="C46" s="145">
        <v>5843582.5949999997</v>
      </c>
      <c r="D46" s="141">
        <v>4401759.0619999999</v>
      </c>
      <c r="E46" s="141">
        <v>1198027.5830000001</v>
      </c>
      <c r="F46" s="155">
        <v>243795.95</v>
      </c>
      <c r="G46" s="145">
        <v>5813085.2559999991</v>
      </c>
      <c r="H46" s="141">
        <v>123169.321</v>
      </c>
      <c r="I46" s="141">
        <v>4251362.3020000001</v>
      </c>
      <c r="J46" s="141">
        <v>1342327.3139999998</v>
      </c>
      <c r="K46" s="155">
        <v>96226.318999999989</v>
      </c>
    </row>
    <row r="47" spans="2:11" s="102" customFormat="1" ht="13.5" customHeight="1" x14ac:dyDescent="0.2">
      <c r="B47" s="152" t="s">
        <v>142</v>
      </c>
      <c r="C47" s="61">
        <v>1472226.1926500001</v>
      </c>
      <c r="D47" s="60">
        <v>1323241.5228300001</v>
      </c>
      <c r="E47" s="60">
        <v>102185.08944</v>
      </c>
      <c r="F47" s="153">
        <v>46799.580379999999</v>
      </c>
      <c r="G47" s="61">
        <v>1406323.9211800001</v>
      </c>
      <c r="H47" s="60">
        <v>29852.499050000002</v>
      </c>
      <c r="I47" s="60">
        <v>1047761.8174300001</v>
      </c>
      <c r="J47" s="60">
        <v>307702.91343000002</v>
      </c>
      <c r="K47" s="153">
        <v>21006.691269999974</v>
      </c>
    </row>
    <row r="48" spans="2:11" s="102" customFormat="1" ht="13.5" customHeight="1" x14ac:dyDescent="0.2">
      <c r="B48" s="152" t="s">
        <v>143</v>
      </c>
      <c r="C48" s="61">
        <v>2101462.6089700004</v>
      </c>
      <c r="D48" s="60">
        <v>1693878.3267200005</v>
      </c>
      <c r="E48" s="60">
        <v>267261.48670999997</v>
      </c>
      <c r="F48" s="153">
        <v>140322.7955399999</v>
      </c>
      <c r="G48" s="61">
        <v>2630065.9887400004</v>
      </c>
      <c r="H48" s="60">
        <v>58218.286630000002</v>
      </c>
      <c r="I48" s="60">
        <v>1891099.9921200003</v>
      </c>
      <c r="J48" s="60">
        <v>642332.60159000021</v>
      </c>
      <c r="K48" s="153">
        <v>38415.108399999786</v>
      </c>
    </row>
    <row r="49" spans="2:11" s="102" customFormat="1" ht="13.5" customHeight="1" x14ac:dyDescent="0.2">
      <c r="B49" s="152" t="s">
        <v>144</v>
      </c>
      <c r="C49" s="61">
        <v>4364841.0844099987</v>
      </c>
      <c r="D49" s="60">
        <v>2946019.5321399998</v>
      </c>
      <c r="E49" s="60">
        <v>1041500.6131</v>
      </c>
      <c r="F49" s="153">
        <v>377320.93916999892</v>
      </c>
      <c r="G49" s="61">
        <v>4029646.5348300007</v>
      </c>
      <c r="H49" s="60">
        <v>82841.845019999993</v>
      </c>
      <c r="I49" s="60">
        <v>2919830.2607399998</v>
      </c>
      <c r="J49" s="60">
        <v>975660.41126999957</v>
      </c>
      <c r="K49" s="153">
        <v>51314.017800001347</v>
      </c>
    </row>
    <row r="50" spans="2:11" s="102" customFormat="1" ht="13.5" customHeight="1" x14ac:dyDescent="0.2">
      <c r="B50" s="154" t="s">
        <v>145</v>
      </c>
      <c r="C50" s="145">
        <v>5899354.1299099969</v>
      </c>
      <c r="D50" s="141">
        <v>4331187.2876699977</v>
      </c>
      <c r="E50" s="141">
        <v>1143935.14873</v>
      </c>
      <c r="F50" s="155">
        <v>424231.69350999885</v>
      </c>
      <c r="G50" s="145">
        <v>5948101.4555100007</v>
      </c>
      <c r="H50" s="141">
        <v>112945.53843999997</v>
      </c>
      <c r="I50" s="141">
        <v>4379308.4114999995</v>
      </c>
      <c r="J50" s="141">
        <v>1386932.4229999995</v>
      </c>
      <c r="K50" s="155">
        <v>68915.082570001148</v>
      </c>
    </row>
    <row r="51" spans="2:11" s="102" customFormat="1" ht="13.5" customHeight="1" x14ac:dyDescent="0.2">
      <c r="B51" s="162" t="s">
        <v>146</v>
      </c>
      <c r="C51" s="61">
        <v>1439763.60629</v>
      </c>
      <c r="D51" s="60">
        <v>1335934.5649300001</v>
      </c>
      <c r="E51" s="60">
        <v>62746.72365</v>
      </c>
      <c r="F51" s="153">
        <v>41082.317709999894</v>
      </c>
      <c r="G51" s="61">
        <v>1433054.7731700002</v>
      </c>
      <c r="H51" s="60">
        <v>28312.742160000002</v>
      </c>
      <c r="I51" s="60">
        <v>1027217.0897300002</v>
      </c>
      <c r="J51" s="60">
        <v>363521.54754</v>
      </c>
      <c r="K51" s="153">
        <v>14003.393739999867</v>
      </c>
    </row>
    <row r="52" spans="2:11" s="102" customFormat="1" ht="13.5" customHeight="1" x14ac:dyDescent="0.2">
      <c r="B52" s="162" t="s">
        <v>147</v>
      </c>
      <c r="C52" s="61">
        <v>2108618.6284499997</v>
      </c>
      <c r="D52" s="60">
        <v>1815983.9104800001</v>
      </c>
      <c r="E52" s="60">
        <v>188292.61536</v>
      </c>
      <c r="F52" s="153">
        <v>104342.10260999971</v>
      </c>
      <c r="G52" s="61">
        <v>2888698.68028</v>
      </c>
      <c r="H52" s="60">
        <v>61534.317790000001</v>
      </c>
      <c r="I52" s="60">
        <v>2155009.2908200002</v>
      </c>
      <c r="J52" s="60">
        <v>635128.40373000014</v>
      </c>
      <c r="K52" s="153">
        <v>37026.667939999374</v>
      </c>
    </row>
    <row r="53" spans="2:11" s="102" customFormat="1" ht="13.5" customHeight="1" x14ac:dyDescent="0.2">
      <c r="B53" s="163" t="s">
        <v>148</v>
      </c>
      <c r="C53" s="61">
        <v>4252935.1517299982</v>
      </c>
      <c r="D53" s="60">
        <v>3068843.13044</v>
      </c>
      <c r="E53" s="60">
        <v>918528.96874000016</v>
      </c>
      <c r="F53" s="153">
        <v>265563.05254999839</v>
      </c>
      <c r="G53" s="61">
        <v>4492163.5031899996</v>
      </c>
      <c r="H53" s="60">
        <v>91514.644020000007</v>
      </c>
      <c r="I53" s="60">
        <v>3343428.7581700007</v>
      </c>
      <c r="J53" s="60">
        <v>1005997.5704399999</v>
      </c>
      <c r="K53" s="153">
        <v>51222.5305599985</v>
      </c>
    </row>
    <row r="54" spans="2:11" s="102" customFormat="1" ht="13.5" customHeight="1" x14ac:dyDescent="0.2">
      <c r="B54" s="154" t="s">
        <v>149</v>
      </c>
      <c r="C54" s="145">
        <v>5905830.1388199991</v>
      </c>
      <c r="D54" s="141">
        <v>4395722.4837300014</v>
      </c>
      <c r="E54" s="141">
        <v>1188946.8894900002</v>
      </c>
      <c r="F54" s="155">
        <v>321160.76559999771</v>
      </c>
      <c r="G54" s="145">
        <v>6505459.3252799958</v>
      </c>
      <c r="H54" s="141">
        <v>131301.14429</v>
      </c>
      <c r="I54" s="141">
        <v>4943386.9570500012</v>
      </c>
      <c r="J54" s="141">
        <v>1360935.1878500001</v>
      </c>
      <c r="K54" s="155">
        <v>69836.036089993897</v>
      </c>
    </row>
    <row r="55" spans="2:11" s="102" customFormat="1" ht="13.5" customHeight="1" x14ac:dyDescent="0.2">
      <c r="B55" s="162" t="s">
        <v>150</v>
      </c>
      <c r="C55" s="61">
        <v>1200119.2120599998</v>
      </c>
      <c r="D55" s="60">
        <v>1329925.7174900002</v>
      </c>
      <c r="E55" s="60">
        <v>-106348.67799999999</v>
      </c>
      <c r="F55" s="153">
        <v>-23457.82743000027</v>
      </c>
      <c r="G55" s="61">
        <v>1384009.37635</v>
      </c>
      <c r="H55" s="60">
        <v>31430.565719999999</v>
      </c>
      <c r="I55" s="60">
        <v>988832.83958000003</v>
      </c>
      <c r="J55" s="60">
        <v>347626.48008999997</v>
      </c>
      <c r="K55" s="153">
        <v>16119.490960000161</v>
      </c>
    </row>
    <row r="56" spans="2:11" s="102" customFormat="1" ht="13.5" customHeight="1" x14ac:dyDescent="0.2">
      <c r="B56" s="162" t="s">
        <v>151</v>
      </c>
      <c r="C56" s="61">
        <v>2133924.9182599992</v>
      </c>
      <c r="D56" s="60">
        <v>1974546.7636099998</v>
      </c>
      <c r="E56" s="60">
        <v>69293.524340000004</v>
      </c>
      <c r="F56" s="153">
        <v>90084.630309999658</v>
      </c>
      <c r="G56" s="61">
        <v>2896641.9378400007</v>
      </c>
      <c r="H56" s="60">
        <v>66419.283179999999</v>
      </c>
      <c r="I56" s="60">
        <v>2168583.1469000001</v>
      </c>
      <c r="J56" s="60">
        <v>627607.33707999985</v>
      </c>
      <c r="K56" s="153">
        <v>34032.170680001131</v>
      </c>
    </row>
    <row r="57" spans="2:11" s="102" customFormat="1" ht="13.5" customHeight="1" x14ac:dyDescent="0.2">
      <c r="B57" s="163" t="s">
        <v>152</v>
      </c>
      <c r="C57" s="61">
        <v>4360056.4840499982</v>
      </c>
      <c r="D57" s="60">
        <v>3299604.0976899993</v>
      </c>
      <c r="E57" s="60">
        <v>843835.06145999988</v>
      </c>
      <c r="F57" s="153">
        <v>216617.32489999858</v>
      </c>
      <c r="G57" s="61">
        <v>4429507.1752800019</v>
      </c>
      <c r="H57" s="60">
        <v>105810.86051</v>
      </c>
      <c r="I57" s="60">
        <v>3264783.9775700001</v>
      </c>
      <c r="J57" s="60">
        <v>1013319.16279</v>
      </c>
      <c r="K57" s="153">
        <v>45593.174410001702</v>
      </c>
    </row>
    <row r="58" spans="2:11" s="102" customFormat="1" ht="13.5" customHeight="1" x14ac:dyDescent="0.2">
      <c r="B58" s="154" t="s">
        <v>153</v>
      </c>
      <c r="C58" s="145">
        <v>6001370.0650799973</v>
      </c>
      <c r="D58" s="141">
        <v>4686988.3844299987</v>
      </c>
      <c r="E58" s="141">
        <v>1033461.1913100001</v>
      </c>
      <c r="F58" s="155">
        <v>280920.48933999887</v>
      </c>
      <c r="G58" s="145">
        <v>6594868.8064099997</v>
      </c>
      <c r="H58" s="141">
        <v>147203.35550000003</v>
      </c>
      <c r="I58" s="141">
        <v>4997575.9720900003</v>
      </c>
      <c r="J58" s="141">
        <v>1386695.8521399996</v>
      </c>
      <c r="K58" s="155">
        <v>63393.626679999681</v>
      </c>
    </row>
    <row r="59" spans="2:11" s="102" customFormat="1" ht="13.5" customHeight="1" x14ac:dyDescent="0.2">
      <c r="B59" s="162" t="s">
        <v>154</v>
      </c>
      <c r="C59" s="61">
        <v>1230473.1208800001</v>
      </c>
      <c r="D59" s="60">
        <v>1331453.4300800001</v>
      </c>
      <c r="E59" s="60">
        <v>-102192.50975999999</v>
      </c>
      <c r="F59" s="153">
        <v>1212.2005600000284</v>
      </c>
      <c r="G59" s="61">
        <v>1374029.4812100001</v>
      </c>
      <c r="H59" s="60">
        <v>33041.451719999997</v>
      </c>
      <c r="I59" s="60">
        <v>957336.4627299998</v>
      </c>
      <c r="J59" s="60">
        <v>369379.9250799999</v>
      </c>
      <c r="K59" s="153">
        <v>14271.641680000424</v>
      </c>
    </row>
    <row r="60" spans="2:11" s="102" customFormat="1" ht="13.5" customHeight="1" x14ac:dyDescent="0.2">
      <c r="B60" s="162" t="s">
        <v>155</v>
      </c>
      <c r="C60" s="61">
        <v>2176983.3433000003</v>
      </c>
      <c r="D60" s="60">
        <v>2062579.7086200002</v>
      </c>
      <c r="E60" s="60">
        <v>-3150.9911199999806</v>
      </c>
      <c r="F60" s="153">
        <v>117554.62580000002</v>
      </c>
      <c r="G60" s="61">
        <v>3040659.5118999998</v>
      </c>
      <c r="H60" s="60">
        <v>77477.049500000008</v>
      </c>
      <c r="I60" s="60">
        <v>2279611.7323699999</v>
      </c>
      <c r="J60" s="60">
        <v>649007.07504999987</v>
      </c>
      <c r="K60" s="153">
        <v>34563.654979999643</v>
      </c>
    </row>
    <row r="61" spans="2:11" s="102" customFormat="1" ht="13.5" customHeight="1" x14ac:dyDescent="0.2">
      <c r="B61" s="162" t="s">
        <v>156</v>
      </c>
      <c r="C61" s="61">
        <v>4490125.8047999982</v>
      </c>
      <c r="D61" s="60">
        <v>3474653.0874700006</v>
      </c>
      <c r="E61" s="60">
        <v>735032.42159000016</v>
      </c>
      <c r="F61" s="153">
        <v>280440.29573999695</v>
      </c>
      <c r="G61" s="61">
        <v>4668542.5276899999</v>
      </c>
      <c r="H61" s="60">
        <v>118952.60836999997</v>
      </c>
      <c r="I61" s="60">
        <v>3477074.8434600001</v>
      </c>
      <c r="J61" s="60">
        <v>1020332.0318000002</v>
      </c>
      <c r="K61" s="153">
        <v>52183.044059999505</v>
      </c>
    </row>
    <row r="62" spans="2:11" s="102" customFormat="1" ht="13.5" customHeight="1" x14ac:dyDescent="0.2">
      <c r="B62" s="154" t="s">
        <v>157</v>
      </c>
      <c r="C62" s="145">
        <v>6253802.3231899962</v>
      </c>
      <c r="D62" s="141">
        <v>4851196.7706299983</v>
      </c>
      <c r="E62" s="141">
        <v>1074129.2457000001</v>
      </c>
      <c r="F62" s="155">
        <v>328476.30685999757</v>
      </c>
      <c r="G62" s="145">
        <v>6818033.0379599985</v>
      </c>
      <c r="H62" s="141">
        <v>163320.65120999995</v>
      </c>
      <c r="I62" s="141">
        <v>5162817.7464599991</v>
      </c>
      <c r="J62" s="141">
        <v>1418241.75969</v>
      </c>
      <c r="K62" s="155">
        <v>73652.880600000033</v>
      </c>
    </row>
    <row r="63" spans="2:11" s="102" customFormat="1" ht="13.5" customHeight="1" x14ac:dyDescent="0.2">
      <c r="B63" s="162" t="s">
        <v>158</v>
      </c>
      <c r="C63" s="61">
        <v>1370144.5211000002</v>
      </c>
      <c r="D63" s="60">
        <v>1380174.2843300002</v>
      </c>
      <c r="E63" s="60">
        <v>-15887.048030000002</v>
      </c>
      <c r="F63" s="153">
        <v>5857.2848000000486</v>
      </c>
      <c r="G63" s="61">
        <v>1516380.5593699997</v>
      </c>
      <c r="H63" s="60">
        <v>40032.437179999994</v>
      </c>
      <c r="I63" s="60">
        <v>1078099.0185199999</v>
      </c>
      <c r="J63" s="60">
        <v>378843.70121999993</v>
      </c>
      <c r="K63" s="153">
        <v>19405.402449999936</v>
      </c>
    </row>
    <row r="64" spans="2:11" s="102" customFormat="1" ht="13.5" customHeight="1" x14ac:dyDescent="0.2">
      <c r="B64" s="162" t="s">
        <v>159</v>
      </c>
      <c r="C64" s="61">
        <v>2534607.91408</v>
      </c>
      <c r="D64" s="60">
        <v>2194803.9134200001</v>
      </c>
      <c r="E64" s="60">
        <v>160560.22774</v>
      </c>
      <c r="F64" s="153">
        <v>179243.77292000002</v>
      </c>
      <c r="G64" s="61">
        <v>3546370.6723700007</v>
      </c>
      <c r="H64" s="60">
        <v>91059.184139999998</v>
      </c>
      <c r="I64" s="60">
        <v>2754670.7596400008</v>
      </c>
      <c r="J64" s="60">
        <v>660823.14377999993</v>
      </c>
      <c r="K64" s="153">
        <v>39817.58481</v>
      </c>
    </row>
    <row r="65" spans="2:11" s="102" customFormat="1" ht="13.5" customHeight="1" x14ac:dyDescent="0.2">
      <c r="B65" s="162" t="s">
        <v>160</v>
      </c>
      <c r="C65" s="61">
        <v>5043446.55437</v>
      </c>
      <c r="D65" s="60">
        <v>3661737.5752600003</v>
      </c>
      <c r="E65" s="60">
        <v>1042477.22404</v>
      </c>
      <c r="F65" s="153">
        <v>339231.75507000001</v>
      </c>
      <c r="G65" s="61">
        <v>5324843.1419699993</v>
      </c>
      <c r="H65" s="60">
        <v>136938.42819000001</v>
      </c>
      <c r="I65" s="60">
        <v>4058508.0296699996</v>
      </c>
      <c r="J65" s="60">
        <v>1070799.2143899999</v>
      </c>
      <c r="K65" s="153">
        <v>58597.469720000008</v>
      </c>
    </row>
    <row r="66" spans="2:11" s="102" customFormat="1" ht="13.5" customHeight="1" x14ac:dyDescent="0.2">
      <c r="B66" s="154" t="s">
        <v>161</v>
      </c>
      <c r="C66" s="145">
        <f t="shared" ref="C66" si="0">SUM(D66:F66)</f>
        <v>6570557.3141000001</v>
      </c>
      <c r="D66" s="141">
        <v>5142483.1475599995</v>
      </c>
      <c r="E66" s="141">
        <v>1051059.0672000002</v>
      </c>
      <c r="F66" s="155">
        <v>377015.09934000002</v>
      </c>
      <c r="G66" s="145">
        <f t="shared" ref="G66" si="1">SUM(H66:K66)</f>
        <v>7766653.9062400013</v>
      </c>
      <c r="H66" s="141">
        <v>184894.03805999999</v>
      </c>
      <c r="I66" s="141">
        <v>6047093.2753700009</v>
      </c>
      <c r="J66" s="141">
        <v>1455334.0286300001</v>
      </c>
      <c r="K66" s="155">
        <v>79332.564179999899</v>
      </c>
    </row>
    <row r="67" spans="2:11" s="102" customFormat="1" ht="13.5" customHeight="1" x14ac:dyDescent="0.2">
      <c r="B67" s="162" t="s">
        <v>162</v>
      </c>
      <c r="C67" s="61">
        <f t="shared" ref="C67" si="2">SUM(D67:F67)</f>
        <v>1610876.8380099998</v>
      </c>
      <c r="D67" s="60">
        <v>1450517.1453499999</v>
      </c>
      <c r="E67" s="60">
        <v>104335.79118</v>
      </c>
      <c r="F67" s="153">
        <v>56023.90148</v>
      </c>
      <c r="G67" s="61">
        <f t="shared" ref="G67" si="3">SUM(H67:K67)</f>
        <v>1529153.60283</v>
      </c>
      <c r="H67" s="60">
        <v>48703.534729999999</v>
      </c>
      <c r="I67" s="60">
        <v>1083639.4654099999</v>
      </c>
      <c r="J67" s="60">
        <v>375956.23392000003</v>
      </c>
      <c r="K67" s="153">
        <v>20854.368770000001</v>
      </c>
    </row>
    <row r="68" spans="2:11" s="102" customFormat="1" ht="13.5" customHeight="1" x14ac:dyDescent="0.2">
      <c r="B68" s="162" t="s">
        <v>163</v>
      </c>
      <c r="C68" s="61">
        <f t="shared" ref="C68" si="4">SUM(D68:F68)</f>
        <v>2793336.8265800001</v>
      </c>
      <c r="D68" s="60">
        <v>2336318.34314</v>
      </c>
      <c r="E68" s="60">
        <v>274787.38607000001</v>
      </c>
      <c r="F68" s="153">
        <v>182231.09737</v>
      </c>
      <c r="G68" s="61">
        <f t="shared" ref="G68" si="5">SUM(H68:K68)</f>
        <v>3247867.1437499998</v>
      </c>
      <c r="H68" s="60">
        <v>100431.53883</v>
      </c>
      <c r="I68" s="60">
        <v>2447095.7140500001</v>
      </c>
      <c r="J68" s="60">
        <v>658567.23415000003</v>
      </c>
      <c r="K68" s="153">
        <v>41772.656719999999</v>
      </c>
    </row>
    <row r="69" spans="2:11" s="102" customFormat="1" ht="13.5" customHeight="1" x14ac:dyDescent="0.2">
      <c r="B69" s="162" t="s">
        <v>164</v>
      </c>
      <c r="C69" s="61">
        <v>5455513.4812200004</v>
      </c>
      <c r="D69" s="60">
        <v>3900449.21538</v>
      </c>
      <c r="E69" s="60">
        <v>1194522.8513499999</v>
      </c>
      <c r="F69" s="153">
        <v>360541.41449</v>
      </c>
      <c r="G69" s="61">
        <v>5182300.5093400003</v>
      </c>
      <c r="H69" s="60">
        <v>154426.62926999998</v>
      </c>
      <c r="I69" s="60">
        <v>3889105.8719800003</v>
      </c>
      <c r="J69" s="60">
        <v>1077762.92976</v>
      </c>
      <c r="K69" s="153">
        <v>61005.078330000011</v>
      </c>
    </row>
    <row r="70" spans="2:11" s="102" customFormat="1" ht="13.5" customHeight="1" x14ac:dyDescent="0.2">
      <c r="B70" s="154" t="s">
        <v>165</v>
      </c>
      <c r="C70" s="145">
        <v>7309835.2339999992</v>
      </c>
      <c r="D70" s="141">
        <v>5409015.7983399993</v>
      </c>
      <c r="E70" s="141">
        <v>1480157.3661199999</v>
      </c>
      <c r="F70" s="155">
        <v>420662.06954</v>
      </c>
      <c r="G70" s="145">
        <v>7647386.6908299997</v>
      </c>
      <c r="H70" s="141">
        <v>208836.11051999999</v>
      </c>
      <c r="I70" s="141">
        <v>5881671.7845600005</v>
      </c>
      <c r="J70" s="141">
        <v>1475397.7098400001</v>
      </c>
      <c r="K70" s="155">
        <v>81481.085909999994</v>
      </c>
    </row>
    <row r="71" spans="2:11" s="102" customFormat="1" ht="13.5" customHeight="1" x14ac:dyDescent="0.2">
      <c r="B71" s="162" t="s">
        <v>166</v>
      </c>
      <c r="C71" s="61">
        <v>1619285.50395</v>
      </c>
      <c r="D71" s="60">
        <v>1473699.3940600001</v>
      </c>
      <c r="E71" s="60">
        <v>95753.193650000016</v>
      </c>
      <c r="F71" s="153">
        <v>49832.916239999999</v>
      </c>
      <c r="G71" s="61">
        <v>1658926.6426299999</v>
      </c>
      <c r="H71" s="60">
        <v>54990.108509999998</v>
      </c>
      <c r="I71" s="60">
        <v>1160948.2022599999</v>
      </c>
      <c r="J71" s="60">
        <v>422893.75870000001</v>
      </c>
      <c r="K71" s="153">
        <v>20094.57316</v>
      </c>
    </row>
    <row r="72" spans="2:11" s="102" customFormat="1" ht="13.5" customHeight="1" x14ac:dyDescent="0.2">
      <c r="B72" s="162" t="s">
        <v>167</v>
      </c>
      <c r="C72" s="61">
        <v>2873147.24022</v>
      </c>
      <c r="D72" s="60">
        <v>2445743.3037399999</v>
      </c>
      <c r="E72" s="60">
        <v>244812.38756</v>
      </c>
      <c r="F72" s="153">
        <v>182591.54891999997</v>
      </c>
      <c r="G72" s="61">
        <v>3486866.3021400003</v>
      </c>
      <c r="H72" s="60">
        <v>105804.64164</v>
      </c>
      <c r="I72" s="60">
        <v>2566356.9969600001</v>
      </c>
      <c r="J72" s="60">
        <v>770516.26853</v>
      </c>
      <c r="K72" s="153">
        <v>44188.395010000007</v>
      </c>
    </row>
    <row r="73" spans="2:11" s="102" customFormat="1" ht="13.5" customHeight="1" x14ac:dyDescent="0.2">
      <c r="B73" s="162" t="s">
        <v>168</v>
      </c>
      <c r="C73" s="61">
        <f t="shared" ref="C73" si="6">SUM(D73:F73)</f>
        <v>5488019.9296700004</v>
      </c>
      <c r="D73" s="60">
        <v>4020891.4853300001</v>
      </c>
      <c r="E73" s="60">
        <v>1143275.55966</v>
      </c>
      <c r="F73" s="153">
        <v>323852.88468000002</v>
      </c>
      <c r="G73" s="61">
        <f t="shared" ref="G73" si="7">SUM(H73:K73)</f>
        <v>5444798.4082000013</v>
      </c>
      <c r="H73" s="60">
        <v>157673.30981999999</v>
      </c>
      <c r="I73" s="60">
        <v>4013431.5750100007</v>
      </c>
      <c r="J73" s="60">
        <v>1211849.6486399998</v>
      </c>
      <c r="K73" s="153">
        <v>61843.874730000003</v>
      </c>
    </row>
    <row r="74" spans="2:11" s="102" customFormat="1" ht="13.5" customHeight="1" x14ac:dyDescent="0.2">
      <c r="B74" s="154" t="s">
        <v>169</v>
      </c>
      <c r="C74" s="145">
        <v>7455286</v>
      </c>
      <c r="D74" s="141">
        <v>5736020</v>
      </c>
      <c r="E74" s="141">
        <v>1317906</v>
      </c>
      <c r="F74" s="155">
        <v>401359</v>
      </c>
      <c r="G74" s="145">
        <v>7970341</v>
      </c>
      <c r="H74" s="141">
        <v>210986</v>
      </c>
      <c r="I74" s="141">
        <v>6033590</v>
      </c>
      <c r="J74" s="141">
        <v>1639935</v>
      </c>
      <c r="K74" s="155">
        <v>85830</v>
      </c>
    </row>
    <row r="75" spans="2:11" s="102" customFormat="1" ht="13.5" customHeight="1" x14ac:dyDescent="0.2">
      <c r="B75" s="162" t="s">
        <v>170</v>
      </c>
      <c r="C75" s="61">
        <v>1757777.8252699999</v>
      </c>
      <c r="D75" s="60">
        <v>1598088.6737499998</v>
      </c>
      <c r="E75" s="60">
        <v>110524.37045</v>
      </c>
      <c r="F75" s="153">
        <v>49164.781069999997</v>
      </c>
      <c r="G75" s="61">
        <v>1628770.41032</v>
      </c>
      <c r="H75" s="60">
        <v>48947.260179999997</v>
      </c>
      <c r="I75" s="60">
        <v>1130801.06562</v>
      </c>
      <c r="J75" s="60">
        <v>409352.30233000003</v>
      </c>
      <c r="K75" s="153">
        <v>39669.782189999998</v>
      </c>
    </row>
    <row r="76" spans="2:11" s="102" customFormat="1" ht="13.5" customHeight="1" x14ac:dyDescent="0.2">
      <c r="B76" s="162" t="s">
        <v>171</v>
      </c>
      <c r="C76" s="61">
        <v>2666117.1779799997</v>
      </c>
      <c r="D76" s="60">
        <v>2325179.2205499997</v>
      </c>
      <c r="E76" s="60">
        <v>214830.99591</v>
      </c>
      <c r="F76" s="153">
        <v>126106.96151999998</v>
      </c>
      <c r="G76" s="61">
        <v>2777145.0237500002</v>
      </c>
      <c r="H76" s="60">
        <v>82075.594669999991</v>
      </c>
      <c r="I76" s="60">
        <v>2105842.0473700003</v>
      </c>
      <c r="J76" s="60">
        <v>545740.28210999991</v>
      </c>
      <c r="K76" s="153">
        <v>43487.099599999994</v>
      </c>
    </row>
    <row r="77" spans="2:11" s="102" customFormat="1" ht="13.5" customHeight="1" x14ac:dyDescent="0.2">
      <c r="B77" s="162" t="s">
        <v>172</v>
      </c>
      <c r="C77" s="61">
        <v>5074708.6109999996</v>
      </c>
      <c r="D77" s="60">
        <v>3956058.3130000001</v>
      </c>
      <c r="E77" s="60">
        <v>769581.56799999997</v>
      </c>
      <c r="F77" s="153">
        <v>349068.73</v>
      </c>
      <c r="G77" s="61">
        <v>4524380.7620000001</v>
      </c>
      <c r="H77" s="60">
        <v>123726.827</v>
      </c>
      <c r="I77" s="60">
        <v>3375550.21</v>
      </c>
      <c r="J77" s="60">
        <v>963496.53700000001</v>
      </c>
      <c r="K77" s="153">
        <v>61607.187999999995</v>
      </c>
    </row>
    <row r="78" spans="2:11" s="102" customFormat="1" ht="13.5" customHeight="1" x14ac:dyDescent="0.2">
      <c r="B78" s="154" t="s">
        <v>173</v>
      </c>
      <c r="C78" s="145">
        <v>7161972.5217299992</v>
      </c>
      <c r="D78" s="141">
        <v>5684416.8352199998</v>
      </c>
      <c r="E78" s="141">
        <v>1064118.9283199999</v>
      </c>
      <c r="F78" s="155">
        <v>413436.75818999985</v>
      </c>
      <c r="G78" s="145">
        <v>6855080.7029900001</v>
      </c>
      <c r="H78" s="141">
        <v>177591.70632</v>
      </c>
      <c r="I78" s="141">
        <v>5224239.1482100002</v>
      </c>
      <c r="J78" s="141">
        <v>1364899.9402299998</v>
      </c>
      <c r="K78" s="155">
        <v>88349.908229999812</v>
      </c>
    </row>
    <row r="79" spans="2:11" s="102" customFormat="1" ht="13.5" customHeight="1" x14ac:dyDescent="0.2">
      <c r="B79" s="162" t="s">
        <v>174</v>
      </c>
      <c r="C79" s="61">
        <v>1793955.3646299997</v>
      </c>
      <c r="D79" s="60">
        <v>1600284.4538699999</v>
      </c>
      <c r="E79" s="60">
        <v>112288.76379</v>
      </c>
      <c r="F79" s="153">
        <v>81382.146970000002</v>
      </c>
      <c r="G79" s="61">
        <v>1431700.6389900001</v>
      </c>
      <c r="H79" s="60">
        <v>48016.597470000001</v>
      </c>
      <c r="I79" s="60">
        <v>957409.84427999996</v>
      </c>
      <c r="J79" s="60">
        <v>402208.79743999999</v>
      </c>
      <c r="K79" s="153">
        <v>24065.399799999999</v>
      </c>
    </row>
    <row r="80" spans="2:11" s="102" customFormat="1" ht="13.5" customHeight="1" x14ac:dyDescent="0.2">
      <c r="B80" s="163" t="s">
        <v>175</v>
      </c>
      <c r="C80" s="61">
        <v>3158710.1591800004</v>
      </c>
      <c r="D80" s="60">
        <v>2630711.5822700001</v>
      </c>
      <c r="E80" s="60">
        <v>297776.45993999997</v>
      </c>
      <c r="F80" s="153">
        <v>230222.11697000009</v>
      </c>
      <c r="G80" s="61">
        <v>3315944.47107</v>
      </c>
      <c r="H80" s="60">
        <v>107220.45359</v>
      </c>
      <c r="I80" s="60">
        <v>2524181.5412699999</v>
      </c>
      <c r="J80" s="60">
        <v>630212.40551000007</v>
      </c>
      <c r="K80" s="153">
        <v>54330.070699999887</v>
      </c>
    </row>
    <row r="81" spans="2:13" s="102" customFormat="1" ht="13.5" customHeight="1" x14ac:dyDescent="0.2">
      <c r="B81" s="163" t="s">
        <v>176</v>
      </c>
      <c r="C81" s="61">
        <v>5667991.9588299999</v>
      </c>
      <c r="D81" s="60">
        <v>4380508.6045399997</v>
      </c>
      <c r="E81" s="60">
        <v>874684.22951000009</v>
      </c>
      <c r="F81" s="153">
        <v>412799.12478000007</v>
      </c>
      <c r="G81" s="61">
        <v>5395025.0127499998</v>
      </c>
      <c r="H81" s="60">
        <v>166596.32178</v>
      </c>
      <c r="I81" s="60">
        <v>4033496.1944599994</v>
      </c>
      <c r="J81" s="60">
        <v>1112694.6166300001</v>
      </c>
      <c r="K81" s="153">
        <v>82237.879880000008</v>
      </c>
    </row>
    <row r="82" spans="2:13" s="102" customFormat="1" ht="13.5" customHeight="1" x14ac:dyDescent="0.2">
      <c r="B82" s="154" t="s">
        <v>177</v>
      </c>
      <c r="C82" s="145">
        <v>7794879.6746200006</v>
      </c>
      <c r="D82" s="141">
        <v>6152215.3666200005</v>
      </c>
      <c r="E82" s="141">
        <v>1166218.4820399999</v>
      </c>
      <c r="F82" s="155">
        <v>476445.82595999993</v>
      </c>
      <c r="G82" s="145">
        <v>8152068.1187399989</v>
      </c>
      <c r="H82" s="141">
        <v>224356.16458000004</v>
      </c>
      <c r="I82" s="141">
        <v>6266824.3147899993</v>
      </c>
      <c r="J82" s="141">
        <v>1547701.1629300001</v>
      </c>
      <c r="K82" s="155">
        <v>113186.47644</v>
      </c>
    </row>
    <row r="83" spans="2:13" s="102" customFormat="1" ht="13.5" customHeight="1" x14ac:dyDescent="0.2">
      <c r="B83" s="162" t="s">
        <v>178</v>
      </c>
      <c r="C83" s="61">
        <v>1858053.19676</v>
      </c>
      <c r="D83" s="60">
        <v>1693414.23422</v>
      </c>
      <c r="E83" s="60">
        <v>110559.01625999999</v>
      </c>
      <c r="F83" s="153">
        <v>54079.946279999996</v>
      </c>
      <c r="G83" s="61">
        <v>1816798.8162500001</v>
      </c>
      <c r="H83" s="60">
        <v>56077.283920000002</v>
      </c>
      <c r="I83" s="60">
        <v>1263032.7716300001</v>
      </c>
      <c r="J83" s="60">
        <v>466562.88435000001</v>
      </c>
      <c r="K83" s="153">
        <v>31125.876349999999</v>
      </c>
    </row>
    <row r="84" spans="2:13" s="102" customFormat="1" ht="13.5" customHeight="1" x14ac:dyDescent="0.2">
      <c r="B84" s="162" t="s">
        <v>179</v>
      </c>
      <c r="C84" s="61">
        <v>3427120.4117999999</v>
      </c>
      <c r="D84" s="60">
        <v>2900954.1034299997</v>
      </c>
      <c r="E84" s="60">
        <v>315563.66453000001</v>
      </c>
      <c r="F84" s="153">
        <v>210602.64384000003</v>
      </c>
      <c r="G84" s="61">
        <v>3733616.0016700006</v>
      </c>
      <c r="H84" s="60">
        <v>116468.49018000001</v>
      </c>
      <c r="I84" s="60">
        <v>2974391.3499700003</v>
      </c>
      <c r="J84" s="60">
        <v>581625.52368999994</v>
      </c>
      <c r="K84" s="153">
        <v>61130.637830000007</v>
      </c>
    </row>
    <row r="85" spans="2:13" s="102" customFormat="1" ht="13.5" customHeight="1" x14ac:dyDescent="0.2">
      <c r="B85" s="162" t="s">
        <v>180</v>
      </c>
      <c r="C85" s="61">
        <f t="shared" ref="C85" si="8">SUM(D85:F85)</f>
        <v>6175332.9393799994</v>
      </c>
      <c r="D85" s="60">
        <v>4711333.5633299993</v>
      </c>
      <c r="E85" s="60">
        <v>1059029.0269300002</v>
      </c>
      <c r="F85" s="153">
        <v>404970.34912000003</v>
      </c>
      <c r="G85" s="61">
        <f t="shared" ref="G85" si="9">SUM(H85:K85)</f>
        <v>6122089.2580799991</v>
      </c>
      <c r="H85" s="60">
        <v>173611.62727</v>
      </c>
      <c r="I85" s="60">
        <v>4827587.4516599998</v>
      </c>
      <c r="J85" s="60">
        <v>1030436.2671099997</v>
      </c>
      <c r="K85" s="153">
        <v>90453.91204000001</v>
      </c>
      <c r="M85" s="237"/>
    </row>
    <row r="86" spans="2:13" s="102" customFormat="1" ht="13.5" customHeight="1" x14ac:dyDescent="0.2">
      <c r="B86" s="154" t="s">
        <v>181</v>
      </c>
      <c r="C86" s="145">
        <v>8362820.4678399991</v>
      </c>
      <c r="D86" s="141">
        <v>6541283.9671999998</v>
      </c>
      <c r="E86" s="141">
        <v>1359629.17089</v>
      </c>
      <c r="F86" s="155">
        <v>461907.32974999998</v>
      </c>
      <c r="G86" s="145">
        <v>9007873.8269100003</v>
      </c>
      <c r="H86" s="141">
        <v>224816.92012999998</v>
      </c>
      <c r="I86" s="141">
        <v>7088551.0847699996</v>
      </c>
      <c r="J86" s="141">
        <v>1446592.2406599999</v>
      </c>
      <c r="K86" s="155">
        <v>247913.58134999999</v>
      </c>
      <c r="M86" s="237"/>
    </row>
    <row r="87" spans="2:13" s="102" customFormat="1" ht="13.5" customHeight="1" x14ac:dyDescent="0.2">
      <c r="B87" s="162" t="s">
        <v>182</v>
      </c>
      <c r="C87" s="61">
        <v>2115801.4454700002</v>
      </c>
      <c r="D87" s="60">
        <v>1901754.5192100001</v>
      </c>
      <c r="E87" s="60">
        <v>96890.051899999991</v>
      </c>
      <c r="F87" s="153">
        <v>117156.87436</v>
      </c>
      <c r="G87" s="61">
        <v>2089522.7192600002</v>
      </c>
      <c r="H87" s="60">
        <v>50634.178270000004</v>
      </c>
      <c r="I87" s="60">
        <v>1580155.3932700001</v>
      </c>
      <c r="J87" s="60">
        <v>423973.25124999997</v>
      </c>
      <c r="K87" s="153">
        <v>34759.896469999992</v>
      </c>
    </row>
    <row r="88" spans="2:13" s="102" customFormat="1" ht="13.5" customHeight="1" x14ac:dyDescent="0.2">
      <c r="B88" s="162" t="s">
        <v>183</v>
      </c>
      <c r="C88" s="61">
        <v>3733873.7620200003</v>
      </c>
      <c r="D88" s="60">
        <v>3083103.3125400003</v>
      </c>
      <c r="E88" s="60">
        <v>364093.95033999998</v>
      </c>
      <c r="F88" s="153">
        <v>286676.49913999997</v>
      </c>
      <c r="G88" s="61">
        <v>3634892.4065800002</v>
      </c>
      <c r="H88" s="60">
        <v>104584.85063</v>
      </c>
      <c r="I88" s="60">
        <v>2842870.8223299999</v>
      </c>
      <c r="J88" s="60">
        <v>612936.31224999996</v>
      </c>
      <c r="K88" s="153">
        <v>74500.421369999982</v>
      </c>
    </row>
    <row r="89" spans="2:13" s="102" customFormat="1" ht="13.5" customHeight="1" x14ac:dyDescent="0.2">
      <c r="B89" s="162" t="s">
        <v>184</v>
      </c>
      <c r="C89" s="61">
        <v>6817534.9487700006</v>
      </c>
      <c r="D89" s="60">
        <v>5259045.21954</v>
      </c>
      <c r="E89" s="60">
        <v>1122789.9336600001</v>
      </c>
      <c r="F89" s="153">
        <v>435699.79556999996</v>
      </c>
      <c r="G89" s="61">
        <v>5792901.783019999</v>
      </c>
      <c r="H89" s="60">
        <v>155408.68753</v>
      </c>
      <c r="I89" s="60">
        <v>4437616.75361</v>
      </c>
      <c r="J89" s="60">
        <v>1041517.0246599999</v>
      </c>
      <c r="K89" s="153">
        <v>158359.31722</v>
      </c>
    </row>
    <row r="90" spans="2:13" s="102" customFormat="1" ht="13.5" customHeight="1" x14ac:dyDescent="0.2">
      <c r="B90" s="154" t="s">
        <v>185</v>
      </c>
      <c r="C90" s="145">
        <v>9302832</v>
      </c>
      <c r="D90" s="141">
        <v>7400915</v>
      </c>
      <c r="E90" s="141">
        <v>1409394</v>
      </c>
      <c r="F90" s="155">
        <v>492523</v>
      </c>
      <c r="G90" s="145">
        <v>8911267</v>
      </c>
      <c r="H90" s="141">
        <v>205594</v>
      </c>
      <c r="I90" s="141">
        <v>6926299</v>
      </c>
      <c r="J90" s="141">
        <v>1551036</v>
      </c>
      <c r="K90" s="155">
        <v>228338</v>
      </c>
    </row>
    <row r="91" spans="2:13" s="102" customFormat="1" ht="13.5" customHeight="1" x14ac:dyDescent="0.2">
      <c r="B91" s="162" t="s">
        <v>218</v>
      </c>
      <c r="C91" s="61">
        <v>2263239.8793100002</v>
      </c>
      <c r="D91" s="60">
        <v>2031782.1460199999</v>
      </c>
      <c r="E91" s="60">
        <v>157151.80953</v>
      </c>
      <c r="F91" s="153">
        <v>74305.923760000005</v>
      </c>
      <c r="G91" s="61">
        <v>1765571.8926599999</v>
      </c>
      <c r="H91" s="60">
        <v>50690.889739999999</v>
      </c>
      <c r="I91" s="60">
        <v>1238755.26315</v>
      </c>
      <c r="J91" s="60">
        <v>426994.70321000001</v>
      </c>
      <c r="K91" s="153">
        <v>49131.03656</v>
      </c>
    </row>
    <row r="92" spans="2:13" s="102" customFormat="1" ht="13.5" customHeight="1" x14ac:dyDescent="0.2">
      <c r="B92" s="162" t="s">
        <v>219</v>
      </c>
      <c r="C92" s="61">
        <v>4117707.5500000003</v>
      </c>
      <c r="D92" s="60">
        <v>3394922.801</v>
      </c>
      <c r="E92" s="60">
        <v>483255.52</v>
      </c>
      <c r="F92" s="153">
        <v>239529.22099999999</v>
      </c>
      <c r="G92" s="61">
        <v>3687425.3849999998</v>
      </c>
      <c r="H92" s="60">
        <v>105721.62599999999</v>
      </c>
      <c r="I92" s="60">
        <v>2766556.0649999999</v>
      </c>
      <c r="J92" s="60">
        <v>703056.179</v>
      </c>
      <c r="K92" s="153">
        <v>112091.51499999998</v>
      </c>
    </row>
    <row r="93" spans="2:13" s="102" customFormat="1" ht="13.5" customHeight="1" x14ac:dyDescent="0.2">
      <c r="B93" s="162" t="s">
        <v>220</v>
      </c>
      <c r="C93" s="61">
        <v>7175024.7579999994</v>
      </c>
      <c r="D93" s="60">
        <v>5430692.074</v>
      </c>
      <c r="E93" s="60">
        <v>1307806.0159999998</v>
      </c>
      <c r="F93" s="153">
        <v>436526.66799999995</v>
      </c>
      <c r="G93" s="61">
        <v>5908402.3029999994</v>
      </c>
      <c r="H93" s="60">
        <v>164915.503</v>
      </c>
      <c r="I93" s="60">
        <v>4398564.0439999998</v>
      </c>
      <c r="J93" s="60">
        <v>1160446.297</v>
      </c>
      <c r="K93" s="153">
        <v>184476.459</v>
      </c>
    </row>
    <row r="94" spans="2:13" s="102" customFormat="1" ht="13.5" customHeight="1" x14ac:dyDescent="0.2">
      <c r="B94" s="154" t="s">
        <v>221</v>
      </c>
      <c r="C94" s="145">
        <v>9361852.5559999999</v>
      </c>
      <c r="D94" s="141">
        <v>7318591.8049999997</v>
      </c>
      <c r="E94" s="141">
        <v>1497450.031</v>
      </c>
      <c r="F94" s="155">
        <v>545810.72</v>
      </c>
      <c r="G94" s="145">
        <v>8966771.4220000003</v>
      </c>
      <c r="H94" s="141">
        <v>231529.99099999998</v>
      </c>
      <c r="I94" s="141">
        <v>6890362.125</v>
      </c>
      <c r="J94" s="141">
        <v>1595096.2760000001</v>
      </c>
      <c r="K94" s="155">
        <v>249783.03</v>
      </c>
    </row>
    <row r="95" spans="2:13" s="102" customFormat="1" ht="13.5" customHeight="1" x14ac:dyDescent="0.2">
      <c r="B95" s="162" t="s">
        <v>225</v>
      </c>
      <c r="C95" s="61">
        <v>2476035.7540699998</v>
      </c>
      <c r="D95" s="60">
        <v>2161622.7291799998</v>
      </c>
      <c r="E95" s="60">
        <v>179976.63696999999</v>
      </c>
      <c r="F95" s="153">
        <v>134436.38792000001</v>
      </c>
      <c r="G95" s="61">
        <v>1910676.3951000001</v>
      </c>
      <c r="H95" s="60">
        <v>62678.113060000003</v>
      </c>
      <c r="I95" s="60">
        <v>1360078.94142</v>
      </c>
      <c r="J95" s="60">
        <v>428884.92044999998</v>
      </c>
      <c r="K95" s="153">
        <v>59034.420169999998</v>
      </c>
    </row>
    <row r="96" spans="2:13" s="102" customFormat="1" ht="13.5" customHeight="1" x14ac:dyDescent="0.2">
      <c r="B96" s="162" t="s">
        <v>226</v>
      </c>
      <c r="C96" s="61">
        <v>4249146.4454530003</v>
      </c>
      <c r="D96" s="60">
        <v>3524965.5218000002</v>
      </c>
      <c r="E96" s="60">
        <v>420845.47602</v>
      </c>
      <c r="F96" s="153">
        <v>303335.44763299992</v>
      </c>
      <c r="G96" s="61">
        <v>4123679.9139999999</v>
      </c>
      <c r="H96" s="60">
        <v>135680.50549000001</v>
      </c>
      <c r="I96" s="60">
        <v>3120608.41664</v>
      </c>
      <c r="J96" s="60">
        <v>735907.64242000005</v>
      </c>
      <c r="K96" s="153">
        <v>131483.34944999998</v>
      </c>
    </row>
    <row r="97" spans="2:11" s="102" customFormat="1" ht="13.5" customHeight="1" x14ac:dyDescent="0.2">
      <c r="B97" s="162" t="s">
        <v>227</v>
      </c>
      <c r="C97" s="61">
        <v>7633191.1490000002</v>
      </c>
      <c r="D97" s="60">
        <v>5951473.3640000001</v>
      </c>
      <c r="E97" s="60">
        <v>1081878.639</v>
      </c>
      <c r="F97" s="153">
        <v>599839.14600000007</v>
      </c>
      <c r="G97" s="61">
        <v>6694391.0039999997</v>
      </c>
      <c r="H97" s="60">
        <v>208518.93100000001</v>
      </c>
      <c r="I97" s="60">
        <v>5041849.2290000003</v>
      </c>
      <c r="J97" s="60">
        <v>1242505.76</v>
      </c>
      <c r="K97" s="153">
        <v>201517.084</v>
      </c>
    </row>
    <row r="98" spans="2:11" s="102" customFormat="1" ht="13.5" customHeight="1" x14ac:dyDescent="0.2">
      <c r="B98" s="154" t="s">
        <v>228</v>
      </c>
      <c r="C98" s="145">
        <f>+'ingresos ddff'!G9</f>
        <v>10320479.761724001</v>
      </c>
      <c r="D98" s="141">
        <f>+'ingresos ddff'!G10</f>
        <v>8390187.3664800003</v>
      </c>
      <c r="E98" s="141">
        <f>+'ingresos ddff'!G11</f>
        <v>1218051.15111</v>
      </c>
      <c r="F98" s="155">
        <f>+'ingresos ddff'!G12</f>
        <v>712241.24413399992</v>
      </c>
      <c r="G98" s="145">
        <f>+'ingresos ddff'!G13</f>
        <v>10121494.050120002</v>
      </c>
      <c r="H98" s="141">
        <f>+'ingresos ddff'!G18</f>
        <v>257501.47437000001</v>
      </c>
      <c r="I98" s="141">
        <f>+'ingresos ddff'!G15</f>
        <v>7859534.3336200006</v>
      </c>
      <c r="J98" s="141">
        <f>+'ingresos ddff'!G16</f>
        <v>1698378.9336700002</v>
      </c>
      <c r="K98" s="155">
        <f>+'ingresos ddff'!G17</f>
        <v>279001.0098</v>
      </c>
    </row>
    <row r="99" spans="2:11" s="54" customFormat="1" ht="4.1500000000000004" customHeight="1" x14ac:dyDescent="0.2">
      <c r="B99" s="156"/>
      <c r="C99" s="124"/>
      <c r="D99" s="125"/>
      <c r="E99" s="125"/>
      <c r="F99" s="157"/>
      <c r="G99" s="124"/>
      <c r="H99" s="125"/>
      <c r="I99" s="125"/>
      <c r="J99" s="125"/>
      <c r="K99" s="157"/>
    </row>
    <row r="100" spans="2:11" s="54" customFormat="1" ht="15" x14ac:dyDescent="0.2">
      <c r="B100" s="55"/>
      <c r="C100" s="205"/>
      <c r="G100" s="205"/>
    </row>
    <row r="101" spans="2:11" x14ac:dyDescent="0.3">
      <c r="B101" s="287" t="s">
        <v>43</v>
      </c>
      <c r="C101" s="287"/>
    </row>
  </sheetData>
  <mergeCells count="1">
    <mergeCell ref="B101:C101"/>
  </mergeCells>
  <phoneticPr fontId="28" type="noConversion"/>
  <hyperlinks>
    <hyperlink ref="B101" location="Índice!A1" tooltip="Volver al índice" display="◄ volver al menu" xr:uid="{00000000-0004-0000-0B00-000000000000}"/>
  </hyperlinks>
  <printOptions horizontalCentered="1"/>
  <pageMargins left="0.39370078740157483" right="0.39370078740157483" top="0.39370078740157483" bottom="0.59055118110236227" header="0" footer="0"/>
  <pageSetup paperSize="9" scale="83" orientation="landscape" r:id="rId1"/>
  <headerFooter alignWithMargins="0"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8"/>
    <pageSetUpPr fitToPage="1"/>
  </sheetPr>
  <dimension ref="B1:S25"/>
  <sheetViews>
    <sheetView showGridLines="0" showZeros="0" topLeftCell="A2" workbookViewId="0">
      <selection activeCell="M29" sqref="M29"/>
    </sheetView>
  </sheetViews>
  <sheetFormatPr baseColWidth="10" defaultColWidth="10.28515625" defaultRowHeight="20.25" x14ac:dyDescent="0.2"/>
  <cols>
    <col min="1" max="1" width="2.42578125" style="68" customWidth="1"/>
    <col min="2" max="2" width="3.28515625" style="77" customWidth="1"/>
    <col min="3" max="3" width="26.5703125" style="67" customWidth="1"/>
    <col min="4" max="4" width="15.42578125" style="68" customWidth="1"/>
    <col min="5" max="5" width="10.7109375" style="69" customWidth="1"/>
    <col min="6" max="6" width="3.7109375" style="68" customWidth="1"/>
    <col min="7" max="7" width="3.28515625" style="77" customWidth="1"/>
    <col min="8" max="8" width="24.7109375" style="67" customWidth="1"/>
    <col min="9" max="9" width="14.85546875" style="68" customWidth="1"/>
    <col min="10" max="10" width="9.28515625" style="69" customWidth="1"/>
    <col min="11" max="12" width="10.28515625" style="68"/>
    <col min="13" max="13" width="17.140625" style="68" bestFit="1" customWidth="1"/>
    <col min="14" max="16384" width="10.28515625" style="68"/>
  </cols>
  <sheetData>
    <row r="1" spans="2:19" s="55" customFormat="1" ht="15.75" x14ac:dyDescent="0.2">
      <c r="B1" s="62" t="s">
        <v>9</v>
      </c>
      <c r="G1" s="138"/>
      <c r="J1" s="130" t="str">
        <f>Índice!B8</f>
        <v>4ºTrimestre 2025</v>
      </c>
    </row>
    <row r="2" spans="2:19" s="4" customFormat="1" ht="29.25" customHeight="1" x14ac:dyDescent="0.2">
      <c r="B2" s="273" t="s">
        <v>214</v>
      </c>
      <c r="C2" s="273"/>
      <c r="D2" s="273"/>
      <c r="E2" s="273"/>
      <c r="F2" s="273"/>
      <c r="G2" s="273"/>
      <c r="H2" s="273"/>
      <c r="I2" s="273"/>
      <c r="J2" s="273"/>
      <c r="K2" s="165"/>
      <c r="L2" s="165"/>
      <c r="M2" s="165"/>
      <c r="N2" s="165"/>
      <c r="O2" s="165"/>
      <c r="P2" s="165"/>
      <c r="Q2" s="165"/>
      <c r="R2" s="165"/>
      <c r="S2" s="165"/>
    </row>
    <row r="3" spans="2:19" s="4" customFormat="1" ht="23.25" customHeight="1" x14ac:dyDescent="0.2">
      <c r="B3" s="75"/>
      <c r="C3" s="165"/>
      <c r="D3" s="165"/>
      <c r="E3" s="165"/>
      <c r="F3" s="165"/>
      <c r="G3" s="7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2:19" s="66" customFormat="1" ht="41.25" customHeight="1" x14ac:dyDescent="0.2">
      <c r="B4" s="76"/>
      <c r="C4" s="70"/>
      <c r="D4" s="183" t="s">
        <v>215</v>
      </c>
      <c r="E4" s="184" t="s">
        <v>224</v>
      </c>
      <c r="F4"/>
      <c r="G4" s="185"/>
      <c r="H4" s="186"/>
      <c r="I4" s="183" t="s">
        <v>216</v>
      </c>
      <c r="J4" s="184" t="s">
        <v>224</v>
      </c>
      <c r="L4" s="68"/>
      <c r="M4" s="68"/>
      <c r="N4" s="68"/>
    </row>
    <row r="5" spans="2:19" ht="5.0999999999999996" customHeight="1" x14ac:dyDescent="0.2">
      <c r="B5" s="119"/>
      <c r="C5" s="120"/>
      <c r="D5" s="73"/>
      <c r="E5" s="74"/>
      <c r="F5" s="71"/>
      <c r="G5" s="119"/>
      <c r="H5" s="120"/>
      <c r="I5" s="73"/>
      <c r="J5" s="74"/>
    </row>
    <row r="6" spans="2:19" ht="18" customHeight="1" x14ac:dyDescent="0.2">
      <c r="B6" s="195">
        <v>1</v>
      </c>
      <c r="C6" s="206" t="s">
        <v>31</v>
      </c>
      <c r="D6" s="207">
        <f>+'gastos GV'!G9+'gastos ddff'!G9</f>
        <v>3386679.5749999997</v>
      </c>
      <c r="E6" s="248">
        <v>3.1637615318914567</v>
      </c>
      <c r="F6" s="196"/>
      <c r="G6" s="195">
        <v>1</v>
      </c>
      <c r="H6" s="206" t="s">
        <v>48</v>
      </c>
      <c r="I6" s="207">
        <f>+'ingresos GV'!G9+'ingresos ddff'!G9</f>
        <v>10320479.761724001</v>
      </c>
      <c r="J6" s="248">
        <v>10.239716978982091</v>
      </c>
    </row>
    <row r="7" spans="2:19" ht="18" customHeight="1" x14ac:dyDescent="0.2">
      <c r="B7" s="195">
        <v>2</v>
      </c>
      <c r="C7" s="206" t="s">
        <v>32</v>
      </c>
      <c r="D7" s="208">
        <f>+'gastos GV'!G10+'gastos ddff'!G10</f>
        <v>5935171.8845499996</v>
      </c>
      <c r="E7" s="249">
        <v>2.3869092079933516</v>
      </c>
      <c r="F7" s="196"/>
      <c r="G7" s="195">
        <v>2</v>
      </c>
      <c r="H7" s="206" t="s">
        <v>49</v>
      </c>
      <c r="I7" s="208">
        <f>+'ingresos GV'!G10+'ingresos ddff'!G13</f>
        <v>10125296.161120001</v>
      </c>
      <c r="J7" s="249">
        <v>12.87166920596213</v>
      </c>
    </row>
    <row r="8" spans="2:19" ht="18" customHeight="1" x14ac:dyDescent="0.2">
      <c r="B8" s="195">
        <v>3</v>
      </c>
      <c r="C8" s="206" t="s">
        <v>33</v>
      </c>
      <c r="D8" s="208">
        <f>+'gastos GV'!G11+'gastos ddff'!G11</f>
        <v>265793.62757000001</v>
      </c>
      <c r="E8" s="249">
        <v>-9.4907642832472057</v>
      </c>
      <c r="F8" s="196"/>
      <c r="G8" s="195">
        <v>3</v>
      </c>
      <c r="H8" s="206" t="s">
        <v>50</v>
      </c>
      <c r="I8" s="208">
        <f>+'ingresos GV'!G11+'ingresos ddff'!G18</f>
        <v>466889.96536999999</v>
      </c>
      <c r="J8" s="249">
        <v>-6.9620719038187699</v>
      </c>
    </row>
    <row r="9" spans="2:19" ht="18" customHeight="1" x14ac:dyDescent="0.2">
      <c r="B9" s="195">
        <v>4</v>
      </c>
      <c r="C9" s="206" t="s">
        <v>34</v>
      </c>
      <c r="D9" s="208">
        <f>+'gastos GV'!G12+'gastos ddff'!G12-13875857.2966</f>
        <v>9615480.0653000027</v>
      </c>
      <c r="E9" s="249">
        <v>3.5599707875775048</v>
      </c>
      <c r="F9" s="196"/>
      <c r="G9" s="195">
        <v>4</v>
      </c>
      <c r="H9" s="206" t="s">
        <v>34</v>
      </c>
      <c r="I9" s="208">
        <f>+'ingresos GV'!G12+'ingresos ddff'!G19-13875857.2966</f>
        <v>704759.96012000181</v>
      </c>
      <c r="J9" s="249">
        <v>-16.895784791851579</v>
      </c>
    </row>
    <row r="10" spans="2:19" ht="18" customHeight="1" x14ac:dyDescent="0.2">
      <c r="B10" s="195">
        <v>6</v>
      </c>
      <c r="C10" s="206" t="s">
        <v>35</v>
      </c>
      <c r="D10" s="208">
        <f>+'gastos GV'!G13+'gastos ddff'!G13</f>
        <v>670734.98636999994</v>
      </c>
      <c r="E10" s="249">
        <v>8.3163681455377549</v>
      </c>
      <c r="F10" s="196"/>
      <c r="G10" s="195">
        <v>5</v>
      </c>
      <c r="H10" s="206" t="s">
        <v>51</v>
      </c>
      <c r="I10" s="208">
        <f>+'ingresos GV'!G13+'ingresos ddff'!G20</f>
        <v>87335.541800000006</v>
      </c>
      <c r="J10" s="249">
        <v>-43.598566958489556</v>
      </c>
    </row>
    <row r="11" spans="2:19" ht="18" customHeight="1" x14ac:dyDescent="0.2">
      <c r="B11" s="195">
        <v>7</v>
      </c>
      <c r="C11" s="206" t="s">
        <v>36</v>
      </c>
      <c r="D11" s="208">
        <f>+'gastos GV'!G14+'gastos ddff'!G14-5235.14717</f>
        <v>1550386.9635599998</v>
      </c>
      <c r="E11" s="249">
        <v>10.141170334290402</v>
      </c>
      <c r="F11" s="196"/>
      <c r="G11" s="195">
        <v>6</v>
      </c>
      <c r="H11" s="206" t="s">
        <v>53</v>
      </c>
      <c r="I11" s="208">
        <f>+'ingresos GV'!G14+'ingresos ddff'!G21</f>
        <v>967.79383999999993</v>
      </c>
      <c r="J11" s="249">
        <v>-76.940664841223622</v>
      </c>
    </row>
    <row r="12" spans="2:19" ht="18" customHeight="1" x14ac:dyDescent="0.2">
      <c r="B12" s="195">
        <v>8</v>
      </c>
      <c r="C12" s="206" t="s">
        <v>37</v>
      </c>
      <c r="D12" s="208">
        <f>+'gastos GV'!G15+'gastos ddff'!G15</f>
        <v>311926.87583999999</v>
      </c>
      <c r="E12" s="249">
        <v>60.847925367135211</v>
      </c>
      <c r="F12" s="196"/>
      <c r="G12" s="195">
        <v>7</v>
      </c>
      <c r="H12" s="206" t="s">
        <v>36</v>
      </c>
      <c r="I12" s="208">
        <f>+'ingresos GV'!G15+'ingresos ddff'!G22-5235.14717</f>
        <v>239104.07760999998</v>
      </c>
      <c r="J12" s="249">
        <v>-14.440066303548127</v>
      </c>
    </row>
    <row r="13" spans="2:19" ht="18" customHeight="1" x14ac:dyDescent="0.2">
      <c r="B13" s="195">
        <v>9</v>
      </c>
      <c r="C13" s="206" t="s">
        <v>38</v>
      </c>
      <c r="D13" s="208">
        <f>+'gastos GV'!G16+'gastos ddff'!G16</f>
        <v>1080447.4356</v>
      </c>
      <c r="E13" s="249">
        <v>17.935932831497158</v>
      </c>
      <c r="F13" s="196"/>
      <c r="G13" s="195">
        <v>8</v>
      </c>
      <c r="H13" s="206" t="s">
        <v>37</v>
      </c>
      <c r="I13" s="208">
        <f>+'ingresos GV'!G16+'ingresos ddff'!G23</f>
        <v>46137.594209999996</v>
      </c>
      <c r="J13" s="249">
        <v>83.899827522143866</v>
      </c>
    </row>
    <row r="14" spans="2:19" ht="18" customHeight="1" x14ac:dyDescent="0.2">
      <c r="B14" s="195"/>
      <c r="C14" s="206"/>
      <c r="D14" s="208"/>
      <c r="E14" s="249"/>
      <c r="F14" s="196"/>
      <c r="G14" s="195">
        <v>9</v>
      </c>
      <c r="H14" s="206" t="s">
        <v>38</v>
      </c>
      <c r="I14" s="208">
        <f>+'ingresos GV'!G17+'ingresos ddff'!G24</f>
        <v>1380554.936</v>
      </c>
      <c r="J14" s="249">
        <v>26.9830772004312</v>
      </c>
    </row>
    <row r="15" spans="2:19" ht="5.0999999999999996" customHeight="1" x14ac:dyDescent="0.2">
      <c r="B15" s="195"/>
      <c r="C15" s="206"/>
      <c r="D15" s="208"/>
      <c r="E15" s="249"/>
      <c r="F15" s="196"/>
      <c r="G15" s="195"/>
      <c r="H15" s="206"/>
      <c r="I15" s="208"/>
      <c r="J15" s="249"/>
    </row>
    <row r="16" spans="2:19" ht="18" customHeight="1" x14ac:dyDescent="0.2">
      <c r="B16" s="23"/>
      <c r="C16" s="14" t="s">
        <v>39</v>
      </c>
      <c r="D16" s="209">
        <f>SUM(D6:D13)</f>
        <v>22816621.413790002</v>
      </c>
      <c r="E16" s="250">
        <v>4.6866408925895113</v>
      </c>
      <c r="F16" s="196"/>
      <c r="G16" s="23"/>
      <c r="H16" s="14" t="s">
        <v>54</v>
      </c>
      <c r="I16" s="209">
        <f>SUM(I6:I14)</f>
        <v>23371525.791793998</v>
      </c>
      <c r="J16" s="250">
        <v>10.071002206217036</v>
      </c>
    </row>
    <row r="17" spans="2:10" ht="5.0999999999999996" customHeight="1" x14ac:dyDescent="0.2">
      <c r="B17" s="20"/>
      <c r="C17" s="9"/>
      <c r="D17" s="210"/>
      <c r="E17" s="249"/>
      <c r="F17" s="196"/>
      <c r="G17" s="20"/>
      <c r="H17" s="9"/>
      <c r="I17" s="210"/>
      <c r="J17" s="249"/>
    </row>
    <row r="18" spans="2:10" ht="18" customHeight="1" x14ac:dyDescent="0.2">
      <c r="B18" s="22"/>
      <c r="C18" s="100" t="s">
        <v>40</v>
      </c>
      <c r="D18" s="208">
        <f>SUM(D6:D9)</f>
        <v>19203125.152419999</v>
      </c>
      <c r="E18" s="249">
        <v>2.9204012892506199</v>
      </c>
      <c r="F18" s="196"/>
      <c r="G18" s="22"/>
      <c r="H18" s="100" t="s">
        <v>40</v>
      </c>
      <c r="I18" s="208">
        <f>SUM(I6:I10)</f>
        <v>21704761.390133999</v>
      </c>
      <c r="J18" s="249">
        <v>9.4144583062471536</v>
      </c>
    </row>
    <row r="19" spans="2:10" ht="18" customHeight="1" x14ac:dyDescent="0.2">
      <c r="B19" s="22"/>
      <c r="C19" s="100" t="s">
        <v>41</v>
      </c>
      <c r="D19" s="208">
        <f>+D10+D11</f>
        <v>2221121.9499299997</v>
      </c>
      <c r="E19" s="249">
        <v>9.5836687627825796</v>
      </c>
      <c r="F19" s="197"/>
      <c r="G19" s="22"/>
      <c r="H19" s="100" t="s">
        <v>41</v>
      </c>
      <c r="I19" s="208">
        <f>SUM(I11:I12)</f>
        <v>240071.87144999998</v>
      </c>
      <c r="J19" s="249">
        <v>-15.364828038727007</v>
      </c>
    </row>
    <row r="20" spans="2:10" ht="18" customHeight="1" x14ac:dyDescent="0.2">
      <c r="B20" s="22"/>
      <c r="C20" s="100" t="s">
        <v>42</v>
      </c>
      <c r="D20" s="208">
        <f>+D12+D13</f>
        <v>1392374.3114399998</v>
      </c>
      <c r="E20" s="249">
        <v>25.432640481205809</v>
      </c>
      <c r="F20" s="196"/>
      <c r="G20" s="22"/>
      <c r="H20" s="100" t="s">
        <v>42</v>
      </c>
      <c r="I20" s="208">
        <f>SUM(I13:I14)</f>
        <v>1426692.53021</v>
      </c>
      <c r="J20" s="249">
        <v>28.2668786390051</v>
      </c>
    </row>
    <row r="21" spans="2:10" ht="5.0999999999999996" customHeight="1" x14ac:dyDescent="0.2">
      <c r="B21" s="22"/>
      <c r="C21" s="100"/>
      <c r="D21" s="208"/>
      <c r="E21" s="249"/>
      <c r="F21" s="196"/>
      <c r="G21" s="22"/>
      <c r="H21" s="100"/>
      <c r="I21" s="208"/>
      <c r="J21" s="249"/>
    </row>
    <row r="22" spans="2:10" ht="18" customHeight="1" x14ac:dyDescent="0.2">
      <c r="B22" s="43"/>
      <c r="C22" s="44" t="s">
        <v>39</v>
      </c>
      <c r="D22" s="211">
        <f>SUM(D18:D20)</f>
        <v>22816621.413789999</v>
      </c>
      <c r="E22" s="251">
        <v>4.6866408925894945</v>
      </c>
      <c r="F22" s="196"/>
      <c r="G22" s="43"/>
      <c r="H22" s="44" t="s">
        <v>54</v>
      </c>
      <c r="I22" s="211">
        <f>SUM(I18:I20)</f>
        <v>23371525.791793998</v>
      </c>
      <c r="J22" s="251">
        <v>10.071002206217019</v>
      </c>
    </row>
    <row r="23" spans="2:10" ht="6" customHeight="1" x14ac:dyDescent="0.2">
      <c r="F23" s="71"/>
    </row>
    <row r="24" spans="2:10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</row>
    <row r="25" spans="2:10" ht="15.95" customHeight="1" x14ac:dyDescent="0.2">
      <c r="C25" s="135" t="s">
        <v>43</v>
      </c>
      <c r="F25" s="71"/>
    </row>
  </sheetData>
  <mergeCells count="2">
    <mergeCell ref="B2:J2"/>
    <mergeCell ref="B24:J24"/>
  </mergeCells>
  <phoneticPr fontId="14" type="noConversion"/>
  <hyperlinks>
    <hyperlink ref="C25" location="Índice!A1" tooltip="Volver al índice" display="◄ volver al menu" xr:uid="{00000000-0004-0000-0C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8"/>
    <pageSetUpPr fitToPage="1"/>
  </sheetPr>
  <dimension ref="A1:O109"/>
  <sheetViews>
    <sheetView showGridLines="0" zoomScaleNormal="100" workbookViewId="0">
      <pane xSplit="2" ySplit="5" topLeftCell="C82" activePane="bottomRight" state="frozen"/>
      <selection pane="topRight"/>
      <selection pane="bottomLeft"/>
      <selection pane="bottomRight" activeCell="I112" sqref="I112"/>
    </sheetView>
  </sheetViews>
  <sheetFormatPr baseColWidth="10" defaultColWidth="11.42578125" defaultRowHeight="15.75" x14ac:dyDescent="0.2"/>
  <cols>
    <col min="1" max="1" width="2.28515625" style="57" customWidth="1"/>
    <col min="2" max="2" width="9.7109375" style="57" customWidth="1"/>
    <col min="3" max="5" width="10.28515625" style="57" customWidth="1"/>
    <col min="6" max="7" width="10.85546875" style="57" bestFit="1" customWidth="1"/>
    <col min="8" max="13" width="10.28515625" style="57" customWidth="1"/>
    <col min="14" max="14" width="12.5703125" style="57" customWidth="1"/>
    <col min="15" max="15" width="11.5703125" customWidth="1"/>
    <col min="16" max="16384" width="11.42578125" style="12"/>
  </cols>
  <sheetData>
    <row r="1" spans="2:14" s="55" customFormat="1" x14ac:dyDescent="0.2">
      <c r="B1" s="62" t="s">
        <v>9</v>
      </c>
      <c r="N1" s="130" t="str">
        <f>Índice!B8</f>
        <v>4ºTrimestre 2025</v>
      </c>
    </row>
    <row r="2" spans="2:14" s="54" customFormat="1" ht="18" customHeight="1" x14ac:dyDescent="0.2">
      <c r="B2" s="88" t="s">
        <v>78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2:14" s="54" customFormat="1" ht="13.5" customHeight="1" x14ac:dyDescent="0.2">
      <c r="B3" s="89" t="s">
        <v>79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4" s="54" customFormat="1" ht="1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 t="s">
        <v>80</v>
      </c>
    </row>
    <row r="5" spans="2:14" s="58" customFormat="1" ht="33" customHeight="1" x14ac:dyDescent="0.2">
      <c r="B5" s="90" t="s">
        <v>81</v>
      </c>
      <c r="C5" s="91" t="s">
        <v>82</v>
      </c>
      <c r="D5" s="91" t="s">
        <v>83</v>
      </c>
      <c r="E5" s="91" t="s">
        <v>84</v>
      </c>
      <c r="F5" s="91" t="s">
        <v>85</v>
      </c>
      <c r="G5" s="92" t="s">
        <v>86</v>
      </c>
      <c r="H5" s="91" t="s">
        <v>87</v>
      </c>
      <c r="I5" s="91" t="s">
        <v>88</v>
      </c>
      <c r="J5" s="92" t="s">
        <v>89</v>
      </c>
      <c r="K5" s="91" t="s">
        <v>90</v>
      </c>
      <c r="L5" s="91" t="s">
        <v>91</v>
      </c>
      <c r="M5" s="92" t="s">
        <v>92</v>
      </c>
      <c r="N5" s="93" t="s">
        <v>93</v>
      </c>
    </row>
    <row r="6" spans="2:14" s="54" customFormat="1" ht="5.0999999999999996" customHeight="1" x14ac:dyDescent="0.2">
      <c r="B6" s="55"/>
      <c r="C6" s="55"/>
      <c r="D6" s="55"/>
      <c r="E6" s="55"/>
      <c r="F6" s="55"/>
      <c r="G6" s="62"/>
      <c r="H6" s="55"/>
      <c r="I6" s="55"/>
      <c r="J6" s="62"/>
      <c r="K6" s="55"/>
      <c r="L6" s="55"/>
      <c r="M6" s="55"/>
      <c r="N6" s="62"/>
    </row>
    <row r="7" spans="2:14" s="54" customFormat="1" ht="13.5" customHeight="1" x14ac:dyDescent="0.2">
      <c r="B7" s="143" t="s">
        <v>94</v>
      </c>
      <c r="C7" s="144">
        <v>1014788</v>
      </c>
      <c r="D7" s="144">
        <v>236413</v>
      </c>
      <c r="E7" s="144">
        <v>277887</v>
      </c>
      <c r="F7" s="144">
        <v>2890443</v>
      </c>
      <c r="G7" s="144">
        <v>4419531</v>
      </c>
      <c r="H7" s="144">
        <v>558273</v>
      </c>
      <c r="I7" s="144">
        <v>443916</v>
      </c>
      <c r="J7" s="144">
        <v>1002189</v>
      </c>
      <c r="K7" s="144">
        <v>164724</v>
      </c>
      <c r="L7" s="144">
        <v>256820</v>
      </c>
      <c r="M7" s="144">
        <v>421545</v>
      </c>
      <c r="N7" s="145">
        <v>5843265</v>
      </c>
    </row>
    <row r="8" spans="2:14" s="54" customFormat="1" ht="13.5" customHeight="1" x14ac:dyDescent="0.2">
      <c r="B8" s="143" t="s">
        <v>95</v>
      </c>
      <c r="C8" s="144">
        <v>1100849</v>
      </c>
      <c r="D8" s="144">
        <v>345806</v>
      </c>
      <c r="E8" s="144">
        <v>278452</v>
      </c>
      <c r="F8" s="144">
        <v>2867561</v>
      </c>
      <c r="G8" s="144">
        <v>4592667</v>
      </c>
      <c r="H8" s="144">
        <v>507966</v>
      </c>
      <c r="I8" s="144">
        <v>504086</v>
      </c>
      <c r="J8" s="144">
        <v>1012052</v>
      </c>
      <c r="K8" s="144">
        <v>123840</v>
      </c>
      <c r="L8" s="144">
        <v>219035</v>
      </c>
      <c r="M8" s="144">
        <v>342874</v>
      </c>
      <c r="N8" s="145">
        <v>5947593</v>
      </c>
    </row>
    <row r="9" spans="2:14" s="54" customFormat="1" ht="13.5" customHeight="1" x14ac:dyDescent="0.2">
      <c r="B9" s="143" t="s">
        <v>96</v>
      </c>
      <c r="C9" s="144">
        <v>1157847</v>
      </c>
      <c r="D9" s="144">
        <v>377887</v>
      </c>
      <c r="E9" s="144">
        <v>284382</v>
      </c>
      <c r="F9" s="144">
        <v>3632778</v>
      </c>
      <c r="G9" s="144">
        <v>5452894</v>
      </c>
      <c r="H9" s="144">
        <v>468329</v>
      </c>
      <c r="I9" s="144">
        <v>646861</v>
      </c>
      <c r="J9" s="144">
        <v>1115190</v>
      </c>
      <c r="K9" s="144">
        <v>123328</v>
      </c>
      <c r="L9" s="144">
        <v>120929</v>
      </c>
      <c r="M9" s="144">
        <v>244257</v>
      </c>
      <c r="N9" s="145">
        <v>6812341</v>
      </c>
    </row>
    <row r="10" spans="2:14" s="54" customFormat="1" ht="13.5" customHeight="1" x14ac:dyDescent="0.2">
      <c r="B10" s="143" t="s">
        <v>97</v>
      </c>
      <c r="C10" s="144">
        <v>1225187</v>
      </c>
      <c r="D10" s="144">
        <v>1447709</v>
      </c>
      <c r="E10" s="144">
        <v>233775</v>
      </c>
      <c r="F10" s="144">
        <v>2811250</v>
      </c>
      <c r="G10" s="144">
        <v>5717921</v>
      </c>
      <c r="H10" s="144">
        <v>458250</v>
      </c>
      <c r="I10" s="144">
        <v>679467</v>
      </c>
      <c r="J10" s="144">
        <v>1137716</v>
      </c>
      <c r="K10" s="144">
        <v>145825</v>
      </c>
      <c r="L10" s="144">
        <v>402095</v>
      </c>
      <c r="M10" s="144">
        <v>547919</v>
      </c>
      <c r="N10" s="145">
        <v>7403557</v>
      </c>
    </row>
    <row r="11" spans="2:14" s="54" customFormat="1" ht="13.5" customHeight="1" x14ac:dyDescent="0.2">
      <c r="B11" s="143" t="s">
        <v>98</v>
      </c>
      <c r="C11" s="144">
        <v>1367685</v>
      </c>
      <c r="D11" s="144">
        <v>1523753</v>
      </c>
      <c r="E11" s="144">
        <v>188967</v>
      </c>
      <c r="F11" s="144">
        <v>2999192</v>
      </c>
      <c r="G11" s="144">
        <v>6079596</v>
      </c>
      <c r="H11" s="144">
        <v>473693</v>
      </c>
      <c r="I11" s="144">
        <v>631657</v>
      </c>
      <c r="J11" s="144">
        <v>1105350</v>
      </c>
      <c r="K11" s="144">
        <v>228560</v>
      </c>
      <c r="L11" s="144">
        <v>397683</v>
      </c>
      <c r="M11" s="144">
        <v>626244</v>
      </c>
      <c r="N11" s="145">
        <v>7811190</v>
      </c>
    </row>
    <row r="12" spans="2:14" s="54" customFormat="1" ht="13.5" customHeight="1" x14ac:dyDescent="0.2">
      <c r="B12" s="143" t="s">
        <v>99</v>
      </c>
      <c r="C12" s="144">
        <v>1364142</v>
      </c>
      <c r="D12" s="144">
        <v>1615716</v>
      </c>
      <c r="E12" s="144">
        <v>162733</v>
      </c>
      <c r="F12" s="144">
        <v>3443454</v>
      </c>
      <c r="G12" s="144">
        <v>6586045</v>
      </c>
      <c r="H12" s="144">
        <v>506028</v>
      </c>
      <c r="I12" s="144">
        <v>686004</v>
      </c>
      <c r="J12" s="144">
        <v>1192032</v>
      </c>
      <c r="K12" s="144">
        <v>233160</v>
      </c>
      <c r="L12" s="144">
        <v>384773</v>
      </c>
      <c r="M12" s="144">
        <v>617934</v>
      </c>
      <c r="N12" s="145">
        <v>8396011</v>
      </c>
    </row>
    <row r="13" spans="2:14" s="54" customFormat="1" ht="13.5" customHeight="1" x14ac:dyDescent="0.2">
      <c r="B13" s="143" t="s">
        <v>100</v>
      </c>
      <c r="C13" s="144">
        <v>1459857</v>
      </c>
      <c r="D13" s="144">
        <v>1801238</v>
      </c>
      <c r="E13" s="144">
        <v>149106</v>
      </c>
      <c r="F13" s="144">
        <v>3833407</v>
      </c>
      <c r="G13" s="144">
        <v>7243608</v>
      </c>
      <c r="H13" s="144">
        <v>609152</v>
      </c>
      <c r="I13" s="144">
        <v>680661</v>
      </c>
      <c r="J13" s="144">
        <v>1289813</v>
      </c>
      <c r="K13" s="144">
        <v>255248</v>
      </c>
      <c r="L13" s="144">
        <v>465397</v>
      </c>
      <c r="M13" s="144">
        <v>720645</v>
      </c>
      <c r="N13" s="145">
        <v>9254066</v>
      </c>
    </row>
    <row r="14" spans="2:14" s="54" customFormat="1" ht="13.5" customHeight="1" x14ac:dyDescent="0.2">
      <c r="B14" s="143" t="s">
        <v>101</v>
      </c>
      <c r="C14" s="144">
        <v>1524655</v>
      </c>
      <c r="D14" s="144">
        <v>2007834</v>
      </c>
      <c r="E14" s="144">
        <v>118118</v>
      </c>
      <c r="F14" s="144">
        <v>3972374</v>
      </c>
      <c r="G14" s="144">
        <v>7622982</v>
      </c>
      <c r="H14" s="144">
        <v>769728</v>
      </c>
      <c r="I14" s="144">
        <v>712354</v>
      </c>
      <c r="J14" s="144">
        <v>1482082</v>
      </c>
      <c r="K14" s="144">
        <v>317867</v>
      </c>
      <c r="L14" s="144">
        <v>276575</v>
      </c>
      <c r="M14" s="144">
        <v>594442</v>
      </c>
      <c r="N14" s="145">
        <v>9699506</v>
      </c>
    </row>
    <row r="15" spans="2:14" s="54" customFormat="1" ht="14.1" customHeight="1" x14ac:dyDescent="0.2">
      <c r="B15" s="63" t="s">
        <v>102</v>
      </c>
      <c r="C15" s="60">
        <v>362287.36091000005</v>
      </c>
      <c r="D15" s="60">
        <v>357748.58493000001</v>
      </c>
      <c r="E15" s="60">
        <v>11864.587739999999</v>
      </c>
      <c r="F15" s="60">
        <v>784981.14703000011</v>
      </c>
      <c r="G15" s="60">
        <v>1516881.6806100002</v>
      </c>
      <c r="H15" s="60">
        <v>46579.224129999995</v>
      </c>
      <c r="I15" s="60">
        <v>33219.608910000003</v>
      </c>
      <c r="J15" s="60">
        <v>79798.833039999998</v>
      </c>
      <c r="K15" s="60">
        <v>47184.537879999996</v>
      </c>
      <c r="L15" s="60">
        <v>43699.619889999994</v>
      </c>
      <c r="M15" s="60">
        <v>90884.157769999991</v>
      </c>
      <c r="N15" s="61">
        <v>1687564.67142</v>
      </c>
    </row>
    <row r="16" spans="2:14" s="54" customFormat="1" ht="14.1" customHeight="1" x14ac:dyDescent="0.2">
      <c r="B16" s="146" t="s">
        <v>103</v>
      </c>
      <c r="C16" s="60">
        <v>783052.21395999996</v>
      </c>
      <c r="D16" s="60">
        <v>888607.72765999998</v>
      </c>
      <c r="E16" s="60">
        <v>47013.274550000002</v>
      </c>
      <c r="F16" s="60">
        <v>1897550.6753999991</v>
      </c>
      <c r="G16" s="60">
        <v>3616223.891569999</v>
      </c>
      <c r="H16" s="60">
        <v>210729.31200000003</v>
      </c>
      <c r="I16" s="60">
        <v>170556.92406999998</v>
      </c>
      <c r="J16" s="60">
        <v>381286.23606999998</v>
      </c>
      <c r="K16" s="60">
        <v>133353.01308</v>
      </c>
      <c r="L16" s="60">
        <v>47976.027540000003</v>
      </c>
      <c r="M16" s="60">
        <v>181329.04062000001</v>
      </c>
      <c r="N16" s="61">
        <v>4178839.1682599992</v>
      </c>
    </row>
    <row r="17" spans="2:14" s="54" customFormat="1" ht="14.1" customHeight="1" x14ac:dyDescent="0.2">
      <c r="B17" s="63" t="s">
        <v>104</v>
      </c>
      <c r="C17" s="60">
        <v>1133801.6125400001</v>
      </c>
      <c r="D17" s="60">
        <v>1424315.6108100002</v>
      </c>
      <c r="E17" s="60">
        <v>55903.781029999998</v>
      </c>
      <c r="F17" s="60">
        <v>2911931.73239</v>
      </c>
      <c r="G17" s="60">
        <v>5525952.7367700003</v>
      </c>
      <c r="H17" s="60">
        <v>347135.0034799999</v>
      </c>
      <c r="I17" s="60">
        <v>279981.09969999996</v>
      </c>
      <c r="J17" s="60">
        <v>627116.10317999986</v>
      </c>
      <c r="K17" s="60">
        <v>170515.27867</v>
      </c>
      <c r="L17" s="60">
        <v>59922.652399999992</v>
      </c>
      <c r="M17" s="60">
        <v>230437.93106999999</v>
      </c>
      <c r="N17" s="61">
        <v>6383506.7710199999</v>
      </c>
    </row>
    <row r="18" spans="2:14" s="54" customFormat="1" ht="14.1" customHeight="1" x14ac:dyDescent="0.2">
      <c r="B18" s="143" t="s">
        <v>105</v>
      </c>
      <c r="C18" s="144">
        <v>1600751.45156</v>
      </c>
      <c r="D18" s="144">
        <v>2197041.8677599998</v>
      </c>
      <c r="E18" s="144">
        <v>126687.25992000001</v>
      </c>
      <c r="F18" s="144">
        <v>4403855</v>
      </c>
      <c r="G18" s="144">
        <v>8328335.5792399999</v>
      </c>
      <c r="H18" s="144">
        <v>744661.57946000004</v>
      </c>
      <c r="I18" s="144">
        <v>706505</v>
      </c>
      <c r="J18" s="144">
        <v>1451166.5794600002</v>
      </c>
      <c r="K18" s="144">
        <v>277260.11908999999</v>
      </c>
      <c r="L18" s="144">
        <v>190117.38562000002</v>
      </c>
      <c r="M18" s="144">
        <v>467377.50471000001</v>
      </c>
      <c r="N18" s="145">
        <v>10246879.663410001</v>
      </c>
    </row>
    <row r="19" spans="2:14" s="54" customFormat="1" ht="14.1" customHeight="1" x14ac:dyDescent="0.2">
      <c r="B19" s="63" t="s">
        <v>106</v>
      </c>
      <c r="C19" s="60">
        <v>371500</v>
      </c>
      <c r="D19" s="60">
        <v>422551</v>
      </c>
      <c r="E19" s="60">
        <v>11025</v>
      </c>
      <c r="F19" s="60">
        <v>876128</v>
      </c>
      <c r="G19" s="60">
        <v>1681204</v>
      </c>
      <c r="H19" s="60">
        <v>31724</v>
      </c>
      <c r="I19" s="60">
        <v>21924</v>
      </c>
      <c r="J19" s="60">
        <v>53648</v>
      </c>
      <c r="K19" s="60">
        <v>42963</v>
      </c>
      <c r="L19" s="60">
        <v>23922</v>
      </c>
      <c r="M19" s="60">
        <v>66885</v>
      </c>
      <c r="N19" s="61">
        <v>1801737</v>
      </c>
    </row>
    <row r="20" spans="2:14" s="54" customFormat="1" ht="14.1" customHeight="1" x14ac:dyDescent="0.2">
      <c r="B20" s="146" t="s">
        <v>107</v>
      </c>
      <c r="C20" s="60">
        <v>815924.11303999997</v>
      </c>
      <c r="D20" s="60">
        <v>951966.79494000005</v>
      </c>
      <c r="E20" s="60">
        <v>50319.828409999995</v>
      </c>
      <c r="F20" s="60">
        <v>2097331.2057499997</v>
      </c>
      <c r="G20" s="60">
        <v>3915541.9421399999</v>
      </c>
      <c r="H20" s="60">
        <v>177440.71917</v>
      </c>
      <c r="I20" s="60">
        <v>124921.39292999999</v>
      </c>
      <c r="J20" s="60">
        <v>302362.11209999997</v>
      </c>
      <c r="K20" s="60">
        <v>84854.418470000004</v>
      </c>
      <c r="L20" s="60">
        <v>102543.93422000001</v>
      </c>
      <c r="M20" s="60">
        <v>187398.35269000003</v>
      </c>
      <c r="N20" s="61">
        <v>4405302.4069299996</v>
      </c>
    </row>
    <row r="21" spans="2:14" s="54" customFormat="1" ht="14.1" customHeight="1" x14ac:dyDescent="0.2">
      <c r="B21" s="63" t="s">
        <v>108</v>
      </c>
      <c r="C21" s="60">
        <v>1202502.2466199999</v>
      </c>
      <c r="D21" s="60">
        <v>1520095.4528299998</v>
      </c>
      <c r="E21" s="60">
        <v>62496.959100000007</v>
      </c>
      <c r="F21" s="60">
        <v>3192157.5243900004</v>
      </c>
      <c r="G21" s="60">
        <v>5977252.1829400007</v>
      </c>
      <c r="H21" s="60">
        <v>313095.87811000005</v>
      </c>
      <c r="I21" s="60">
        <v>197758.85191999999</v>
      </c>
      <c r="J21" s="60">
        <v>510854.73003000004</v>
      </c>
      <c r="K21" s="60">
        <v>130440.56413000001</v>
      </c>
      <c r="L21" s="60">
        <v>231410.86874999999</v>
      </c>
      <c r="M21" s="60">
        <v>361851.43287999998</v>
      </c>
      <c r="N21" s="61">
        <v>6849958.3458500002</v>
      </c>
    </row>
    <row r="22" spans="2:14" s="54" customFormat="1" ht="14.1" customHeight="1" x14ac:dyDescent="0.2">
      <c r="B22" s="143" t="s">
        <v>109</v>
      </c>
      <c r="C22" s="144">
        <v>1656423</v>
      </c>
      <c r="D22" s="144">
        <v>2345261</v>
      </c>
      <c r="E22" s="144">
        <v>125125</v>
      </c>
      <c r="F22" s="144">
        <v>4827316</v>
      </c>
      <c r="G22" s="144">
        <v>8954125</v>
      </c>
      <c r="H22" s="144">
        <v>728560</v>
      </c>
      <c r="I22" s="144">
        <v>682765</v>
      </c>
      <c r="J22" s="144">
        <v>1411325</v>
      </c>
      <c r="K22" s="144">
        <v>222314</v>
      </c>
      <c r="L22" s="144">
        <v>278406</v>
      </c>
      <c r="M22" s="144">
        <v>500720</v>
      </c>
      <c r="N22" s="145">
        <v>10866170</v>
      </c>
    </row>
    <row r="23" spans="2:14" s="54" customFormat="1" ht="14.1" customHeight="1" x14ac:dyDescent="0.2">
      <c r="B23" s="63" t="s">
        <v>110</v>
      </c>
      <c r="C23" s="60">
        <v>388302</v>
      </c>
      <c r="D23" s="60">
        <v>397856</v>
      </c>
      <c r="E23" s="60">
        <v>6505</v>
      </c>
      <c r="F23" s="60">
        <v>885372</v>
      </c>
      <c r="G23" s="60">
        <v>1678035</v>
      </c>
      <c r="H23" s="60">
        <v>31893</v>
      </c>
      <c r="I23" s="60">
        <v>49375</v>
      </c>
      <c r="J23" s="60">
        <v>81268</v>
      </c>
      <c r="K23" s="60">
        <v>27933</v>
      </c>
      <c r="L23" s="60"/>
      <c r="M23" s="60">
        <v>27933</v>
      </c>
      <c r="N23" s="61">
        <v>1787236</v>
      </c>
    </row>
    <row r="24" spans="2:14" s="54" customFormat="1" ht="14.1" customHeight="1" x14ac:dyDescent="0.2">
      <c r="B24" s="146" t="s">
        <v>111</v>
      </c>
      <c r="C24" s="60">
        <v>856930</v>
      </c>
      <c r="D24" s="60">
        <v>983528</v>
      </c>
      <c r="E24" s="60">
        <v>43309</v>
      </c>
      <c r="F24" s="60">
        <v>2213143</v>
      </c>
      <c r="G24" s="60">
        <v>4096910</v>
      </c>
      <c r="H24" s="60">
        <v>174854</v>
      </c>
      <c r="I24" s="60">
        <v>137241</v>
      </c>
      <c r="J24" s="60">
        <v>312095</v>
      </c>
      <c r="K24" s="60">
        <v>126411</v>
      </c>
      <c r="L24" s="60">
        <v>153995</v>
      </c>
      <c r="M24" s="60">
        <v>280406</v>
      </c>
      <c r="N24" s="61">
        <v>4689411</v>
      </c>
    </row>
    <row r="25" spans="2:14" s="54" customFormat="1" ht="14.1" customHeight="1" x14ac:dyDescent="0.2">
      <c r="B25" s="63" t="s">
        <v>112</v>
      </c>
      <c r="C25" s="60">
        <v>1268607.66982</v>
      </c>
      <c r="D25" s="60">
        <v>1568772.7025199998</v>
      </c>
      <c r="E25" s="60">
        <v>62884.901380000003</v>
      </c>
      <c r="F25" s="60">
        <v>3431680.4521899996</v>
      </c>
      <c r="G25" s="60">
        <v>6331945.7259099996</v>
      </c>
      <c r="H25" s="60">
        <v>323913.15004000004</v>
      </c>
      <c r="I25" s="60">
        <v>246356.21768</v>
      </c>
      <c r="J25" s="60">
        <v>570269.36771999998</v>
      </c>
      <c r="K25" s="60">
        <v>185545.08068999997</v>
      </c>
      <c r="L25" s="60">
        <v>277720.44049000001</v>
      </c>
      <c r="M25" s="60">
        <v>463265.52117999998</v>
      </c>
      <c r="N25" s="61">
        <v>7365480.6148099992</v>
      </c>
    </row>
    <row r="26" spans="2:14" s="54" customFormat="1" ht="14.1" customHeight="1" x14ac:dyDescent="0.2">
      <c r="B26" s="143" t="s">
        <v>113</v>
      </c>
      <c r="C26" s="144">
        <v>1747002.6119599999</v>
      </c>
      <c r="D26" s="144">
        <v>2509687.4724400002</v>
      </c>
      <c r="E26" s="144">
        <v>108753.768</v>
      </c>
      <c r="F26" s="144">
        <v>5241185.3500400018</v>
      </c>
      <c r="G26" s="144">
        <v>9606629.2024400011</v>
      </c>
      <c r="H26" s="144">
        <v>760251.27341999998</v>
      </c>
      <c r="I26" s="144">
        <v>682394.69488000008</v>
      </c>
      <c r="J26" s="144">
        <v>1442645.9683000001</v>
      </c>
      <c r="K26" s="144">
        <v>226324.57211000001</v>
      </c>
      <c r="L26" s="144">
        <v>298282.63614000002</v>
      </c>
      <c r="M26" s="144">
        <v>524607.20825000003</v>
      </c>
      <c r="N26" s="145">
        <v>11573882.378990002</v>
      </c>
    </row>
    <row r="27" spans="2:14" s="54" customFormat="1" ht="14.1" customHeight="1" x14ac:dyDescent="0.2">
      <c r="B27" s="63" t="s">
        <v>114</v>
      </c>
      <c r="C27" s="60">
        <v>421317.78949</v>
      </c>
      <c r="D27" s="60">
        <v>450873.50847999996</v>
      </c>
      <c r="E27" s="60">
        <v>6415.0920799999994</v>
      </c>
      <c r="F27" s="60">
        <v>1024922.8993699998</v>
      </c>
      <c r="G27" s="60">
        <v>1903529.2894199998</v>
      </c>
      <c r="H27" s="60">
        <v>40312.921629999997</v>
      </c>
      <c r="I27" s="60">
        <v>29292.152220000004</v>
      </c>
      <c r="J27" s="60">
        <v>69605.073850000001</v>
      </c>
      <c r="K27" s="60">
        <v>51969.078730000001</v>
      </c>
      <c r="L27" s="60">
        <v>14611.438600000001</v>
      </c>
      <c r="M27" s="60">
        <v>66580.517330000002</v>
      </c>
      <c r="N27" s="61">
        <v>2039714.8805999998</v>
      </c>
    </row>
    <row r="28" spans="2:14" s="54" customFormat="1" ht="14.1" customHeight="1" x14ac:dyDescent="0.2">
      <c r="B28" s="146" t="s">
        <v>115</v>
      </c>
      <c r="C28" s="60">
        <v>915965.2676599999</v>
      </c>
      <c r="D28" s="60">
        <v>1118135.1318099999</v>
      </c>
      <c r="E28" s="60">
        <v>22511.453110000002</v>
      </c>
      <c r="F28" s="60">
        <v>2485744.69093</v>
      </c>
      <c r="G28" s="60">
        <v>4542356.5435099993</v>
      </c>
      <c r="H28" s="60">
        <v>191164.93039999998</v>
      </c>
      <c r="I28" s="60">
        <v>198665.83546999999</v>
      </c>
      <c r="J28" s="60">
        <v>389830.76587</v>
      </c>
      <c r="K28" s="60">
        <v>139294.26977000001</v>
      </c>
      <c r="L28" s="60">
        <v>19852.196969999997</v>
      </c>
      <c r="M28" s="60">
        <v>159146.46674</v>
      </c>
      <c r="N28" s="61">
        <v>5091333.7761199996</v>
      </c>
    </row>
    <row r="29" spans="2:14" s="54" customFormat="1" ht="14.1" customHeight="1" x14ac:dyDescent="0.2">
      <c r="B29" s="63" t="s">
        <v>116</v>
      </c>
      <c r="C29" s="60">
        <v>1345277.53633</v>
      </c>
      <c r="D29" s="60">
        <v>1750383.48961</v>
      </c>
      <c r="E29" s="60">
        <v>40020.292050000004</v>
      </c>
      <c r="F29" s="60">
        <v>3834135.4919100003</v>
      </c>
      <c r="G29" s="60">
        <v>6969816.8099000007</v>
      </c>
      <c r="H29" s="60">
        <v>330441.62114</v>
      </c>
      <c r="I29" s="60">
        <v>279148.44091</v>
      </c>
      <c r="J29" s="60">
        <v>609590.06205000007</v>
      </c>
      <c r="K29" s="60">
        <v>172069.39208999998</v>
      </c>
      <c r="L29" s="60">
        <v>34018.897039999996</v>
      </c>
      <c r="M29" s="60">
        <v>206088.28912999999</v>
      </c>
      <c r="N29" s="61">
        <v>7785495.1610800009</v>
      </c>
    </row>
    <row r="30" spans="2:14" s="54" customFormat="1" ht="14.1" customHeight="1" x14ac:dyDescent="0.2">
      <c r="B30" s="143" t="s">
        <v>117</v>
      </c>
      <c r="C30" s="144">
        <v>1845783.6593900002</v>
      </c>
      <c r="D30" s="144">
        <v>2774547.74584</v>
      </c>
      <c r="E30" s="144">
        <v>94073.165359999999</v>
      </c>
      <c r="F30" s="144">
        <v>5733119.6009900002</v>
      </c>
      <c r="G30" s="144">
        <v>10447524.171580002</v>
      </c>
      <c r="H30" s="144">
        <v>813196.96643999999</v>
      </c>
      <c r="I30" s="144">
        <v>789319.22407999996</v>
      </c>
      <c r="J30" s="144">
        <v>1602516.1905199999</v>
      </c>
      <c r="K30" s="144">
        <v>265748.60967000003</v>
      </c>
      <c r="L30" s="144">
        <v>364354.05421999999</v>
      </c>
      <c r="M30" s="144">
        <v>630102.66388999997</v>
      </c>
      <c r="N30" s="145">
        <v>12680143.025990002</v>
      </c>
    </row>
    <row r="31" spans="2:14" s="54" customFormat="1" ht="14.1" customHeight="1" x14ac:dyDescent="0.2">
      <c r="B31" s="63" t="s">
        <v>118</v>
      </c>
      <c r="C31" s="60">
        <v>438806.54626999999</v>
      </c>
      <c r="D31" s="60">
        <v>530228.09323999996</v>
      </c>
      <c r="E31" s="60">
        <v>4198.4172700000008</v>
      </c>
      <c r="F31" s="60">
        <v>1142347.5770400001</v>
      </c>
      <c r="G31" s="60">
        <v>2115580.6338200001</v>
      </c>
      <c r="H31" s="60">
        <v>43340.927200000006</v>
      </c>
      <c r="I31" s="60">
        <v>89073.804489999995</v>
      </c>
      <c r="J31" s="60">
        <v>132414.73168999999</v>
      </c>
      <c r="K31" s="60">
        <v>23775.5389</v>
      </c>
      <c r="L31" s="60">
        <v>94911.701260000002</v>
      </c>
      <c r="M31" s="60">
        <v>118687.24016</v>
      </c>
      <c r="N31" s="61">
        <v>2366682.60567</v>
      </c>
    </row>
    <row r="32" spans="2:14" s="54" customFormat="1" ht="14.1" customHeight="1" x14ac:dyDescent="0.2">
      <c r="B32" s="146" t="s">
        <v>119</v>
      </c>
      <c r="C32" s="60">
        <v>978063.65153999999</v>
      </c>
      <c r="D32" s="60">
        <v>1218418.69205</v>
      </c>
      <c r="E32" s="60">
        <v>25374.327140000001</v>
      </c>
      <c r="F32" s="60">
        <v>2812473.4749500006</v>
      </c>
      <c r="G32" s="60">
        <v>5034330.145680001</v>
      </c>
      <c r="H32" s="60">
        <v>239240.88363000003</v>
      </c>
      <c r="I32" s="60">
        <v>237102.4051</v>
      </c>
      <c r="J32" s="60">
        <v>476343.28873000003</v>
      </c>
      <c r="K32" s="60">
        <v>118376.9681</v>
      </c>
      <c r="L32" s="60">
        <v>120931.7788</v>
      </c>
      <c r="M32" s="60">
        <v>239308.7469</v>
      </c>
      <c r="N32" s="61">
        <v>5749982.1813100008</v>
      </c>
    </row>
    <row r="33" spans="2:14" s="54" customFormat="1" ht="14.1" customHeight="1" x14ac:dyDescent="0.2">
      <c r="B33" s="63" t="s">
        <v>120</v>
      </c>
      <c r="C33" s="60">
        <v>1431934.9201500001</v>
      </c>
      <c r="D33" s="60">
        <v>1970624.1673400002</v>
      </c>
      <c r="E33" s="60">
        <v>34462.649019999997</v>
      </c>
      <c r="F33" s="60">
        <v>4255367.1064900002</v>
      </c>
      <c r="G33" s="60">
        <v>7692388.8430000003</v>
      </c>
      <c r="H33" s="60">
        <v>386723.7905</v>
      </c>
      <c r="I33" s="60">
        <v>342343.69868000003</v>
      </c>
      <c r="J33" s="60">
        <v>729067.48918000003</v>
      </c>
      <c r="K33" s="60">
        <v>138041.96588999999</v>
      </c>
      <c r="L33" s="60">
        <v>146803.85551999998</v>
      </c>
      <c r="M33" s="60">
        <v>284845.82140999998</v>
      </c>
      <c r="N33" s="61">
        <v>8706302.1535900012</v>
      </c>
    </row>
    <row r="34" spans="2:14" s="54" customFormat="1" ht="14.1" customHeight="1" x14ac:dyDescent="0.2">
      <c r="B34" s="143" t="s">
        <v>121</v>
      </c>
      <c r="C34" s="144">
        <v>1995138.5925199999</v>
      </c>
      <c r="D34" s="144">
        <v>3125407.6829400002</v>
      </c>
      <c r="E34" s="144">
        <v>74786.193549999996</v>
      </c>
      <c r="F34" s="144">
        <v>6312256.3601599988</v>
      </c>
      <c r="G34" s="144">
        <v>11507588.82917</v>
      </c>
      <c r="H34" s="144">
        <v>897602.43344000005</v>
      </c>
      <c r="I34" s="144">
        <v>882531.39755000011</v>
      </c>
      <c r="J34" s="144">
        <v>1780133.8309900002</v>
      </c>
      <c r="K34" s="144">
        <v>315497.37737999996</v>
      </c>
      <c r="L34" s="144">
        <v>286242.09106999997</v>
      </c>
      <c r="M34" s="144">
        <v>601739.46844999993</v>
      </c>
      <c r="N34" s="145">
        <v>13889462.12861</v>
      </c>
    </row>
    <row r="35" spans="2:14" s="54" customFormat="1" ht="14.1" customHeight="1" x14ac:dyDescent="0.2">
      <c r="B35" s="63" t="s">
        <v>122</v>
      </c>
      <c r="C35" s="60">
        <v>475788.58430999995</v>
      </c>
      <c r="D35" s="60">
        <v>561590.78367000003</v>
      </c>
      <c r="E35" s="60">
        <v>6032.0673300000008</v>
      </c>
      <c r="F35" s="60">
        <v>1340838.9401499999</v>
      </c>
      <c r="G35" s="60">
        <v>2384250.3754599998</v>
      </c>
      <c r="H35" s="60">
        <v>36552.653250000003</v>
      </c>
      <c r="I35" s="60">
        <v>85211.312019999998</v>
      </c>
      <c r="J35" s="60">
        <v>121763.96527</v>
      </c>
      <c r="K35" s="60">
        <v>19924.482469999999</v>
      </c>
      <c r="L35" s="60">
        <v>71891.620179999998</v>
      </c>
      <c r="M35" s="60">
        <v>91816.102650000001</v>
      </c>
      <c r="N35" s="61">
        <v>2597830.4433799996</v>
      </c>
    </row>
    <row r="36" spans="2:14" s="54" customFormat="1" ht="14.1" customHeight="1" x14ac:dyDescent="0.2">
      <c r="B36" s="146" t="s">
        <v>123</v>
      </c>
      <c r="C36" s="60">
        <v>1059695.2724900001</v>
      </c>
      <c r="D36" s="60">
        <v>1396256.0454299999</v>
      </c>
      <c r="E36" s="60">
        <v>27577.521680000002</v>
      </c>
      <c r="F36" s="60">
        <v>3067215.9596399991</v>
      </c>
      <c r="G36" s="60">
        <v>5550744.7992399987</v>
      </c>
      <c r="H36" s="60">
        <v>244422.62137000001</v>
      </c>
      <c r="I36" s="60">
        <v>270944.92499999999</v>
      </c>
      <c r="J36" s="60">
        <v>515367.54637</v>
      </c>
      <c r="K36" s="60">
        <v>68097.452929999999</v>
      </c>
      <c r="L36" s="60">
        <v>218126.77149999997</v>
      </c>
      <c r="M36" s="60">
        <v>286224.22442999994</v>
      </c>
      <c r="N36" s="61">
        <v>6352336.5700399987</v>
      </c>
    </row>
    <row r="37" spans="2:14" s="54" customFormat="1" ht="14.1" customHeight="1" x14ac:dyDescent="0.2">
      <c r="B37" s="63" t="s">
        <v>124</v>
      </c>
      <c r="C37" s="60">
        <v>1551119.3745599999</v>
      </c>
      <c r="D37" s="60">
        <v>2202424.16512</v>
      </c>
      <c r="E37" s="60">
        <v>38119.515829999997</v>
      </c>
      <c r="F37" s="60">
        <v>4632016.4338199999</v>
      </c>
      <c r="G37" s="60">
        <v>8423679.4893299993</v>
      </c>
      <c r="H37" s="60">
        <v>415140.36173</v>
      </c>
      <c r="I37" s="60">
        <v>461004.77146000002</v>
      </c>
      <c r="J37" s="60">
        <v>876145.13318999996</v>
      </c>
      <c r="K37" s="60">
        <v>105186.22274</v>
      </c>
      <c r="L37" s="60">
        <v>244322.37881999998</v>
      </c>
      <c r="M37" s="60">
        <v>349508.60155999998</v>
      </c>
      <c r="N37" s="61">
        <v>9649333.2240800001</v>
      </c>
    </row>
    <row r="38" spans="2:14" s="54" customFormat="1" ht="14.1" customHeight="1" x14ac:dyDescent="0.2">
      <c r="B38" s="143" t="s">
        <v>125</v>
      </c>
      <c r="C38" s="144">
        <v>2148006.47334</v>
      </c>
      <c r="D38" s="144">
        <v>3486839.10984</v>
      </c>
      <c r="E38" s="144">
        <v>70823.953419999991</v>
      </c>
      <c r="F38" s="144">
        <v>6730575.8136700001</v>
      </c>
      <c r="G38" s="144">
        <v>12436245.350269999</v>
      </c>
      <c r="H38" s="144">
        <v>955951.08019999997</v>
      </c>
      <c r="I38" s="144">
        <v>1091452.71037</v>
      </c>
      <c r="J38" s="144">
        <v>2047403.79057</v>
      </c>
      <c r="K38" s="144">
        <v>259222.10213000001</v>
      </c>
      <c r="L38" s="144">
        <v>269583.33027999999</v>
      </c>
      <c r="M38" s="144">
        <v>528805.43241000001</v>
      </c>
      <c r="N38" s="145">
        <v>15012454.573249999</v>
      </c>
    </row>
    <row r="39" spans="2:14" s="54" customFormat="1" ht="14.1" customHeight="1" x14ac:dyDescent="0.2">
      <c r="B39" s="63" t="s">
        <v>126</v>
      </c>
      <c r="C39" s="60">
        <v>516456.05677999998</v>
      </c>
      <c r="D39" s="60">
        <v>704499.55577000009</v>
      </c>
      <c r="E39" s="60">
        <v>8171.8595400000004</v>
      </c>
      <c r="F39" s="60">
        <v>1367540.9433999998</v>
      </c>
      <c r="G39" s="60">
        <v>2596668.41549</v>
      </c>
      <c r="H39" s="60">
        <v>70992.664099999995</v>
      </c>
      <c r="I39" s="60">
        <v>124279.97253</v>
      </c>
      <c r="J39" s="60">
        <v>195272.63662999999</v>
      </c>
      <c r="K39" s="60">
        <v>102809.6398</v>
      </c>
      <c r="L39" s="60">
        <v>15556.264160000002</v>
      </c>
      <c r="M39" s="60">
        <v>118365.90396000001</v>
      </c>
      <c r="N39" s="61">
        <v>2910306.9560799999</v>
      </c>
    </row>
    <row r="40" spans="2:14" s="54" customFormat="1" ht="14.1" customHeight="1" x14ac:dyDescent="0.2">
      <c r="B40" s="146" t="s">
        <v>127</v>
      </c>
      <c r="C40" s="60">
        <v>1131829.75116</v>
      </c>
      <c r="D40" s="60">
        <v>1598941.6605099998</v>
      </c>
      <c r="E40" s="60">
        <v>23711.133290000002</v>
      </c>
      <c r="F40" s="60">
        <v>3089073.4963500006</v>
      </c>
      <c r="G40" s="60">
        <v>5843556.0413100002</v>
      </c>
      <c r="H40" s="60">
        <v>259211.14248000001</v>
      </c>
      <c r="I40" s="60">
        <v>346057.57893000002</v>
      </c>
      <c r="J40" s="60">
        <v>605268.72141</v>
      </c>
      <c r="K40" s="60">
        <v>155667.72628999999</v>
      </c>
      <c r="L40" s="60">
        <v>64953.402739999998</v>
      </c>
      <c r="M40" s="60">
        <v>220621.12902999998</v>
      </c>
      <c r="N40" s="61">
        <v>6669445.8917500004</v>
      </c>
    </row>
    <row r="41" spans="2:14" s="54" customFormat="1" ht="14.1" customHeight="1" x14ac:dyDescent="0.2">
      <c r="B41" s="63" t="s">
        <v>128</v>
      </c>
      <c r="C41" s="60">
        <v>1656148.72383</v>
      </c>
      <c r="D41" s="60">
        <v>2440872.3092200002</v>
      </c>
      <c r="E41" s="60">
        <v>35441.751859999997</v>
      </c>
      <c r="F41" s="60">
        <v>4528200.98802</v>
      </c>
      <c r="G41" s="60">
        <v>8660663.77293</v>
      </c>
      <c r="H41" s="60">
        <v>459103.00633</v>
      </c>
      <c r="I41" s="60">
        <v>559658.39789999998</v>
      </c>
      <c r="J41" s="60">
        <v>1018761.40423</v>
      </c>
      <c r="K41" s="60">
        <v>182588.78276</v>
      </c>
      <c r="L41" s="60">
        <v>89871.870859999995</v>
      </c>
      <c r="M41" s="60">
        <v>272460.65362</v>
      </c>
      <c r="N41" s="61">
        <v>9951885.8307799995</v>
      </c>
    </row>
    <row r="42" spans="2:14" s="54" customFormat="1" ht="14.1" customHeight="1" x14ac:dyDescent="0.2">
      <c r="B42" s="143" t="s">
        <v>129</v>
      </c>
      <c r="C42" s="144">
        <v>2283486.5298300004</v>
      </c>
      <c r="D42" s="144">
        <v>3850147.7287800009</v>
      </c>
      <c r="E42" s="144">
        <v>71722.186730000001</v>
      </c>
      <c r="F42" s="144">
        <v>6630221.5240800045</v>
      </c>
      <c r="G42" s="144">
        <v>12835577.969420005</v>
      </c>
      <c r="H42" s="144">
        <v>1000545.8154</v>
      </c>
      <c r="I42" s="144">
        <v>1334134.46582</v>
      </c>
      <c r="J42" s="144">
        <v>2334680.2812200002</v>
      </c>
      <c r="K42" s="144">
        <v>434274.59856000001</v>
      </c>
      <c r="L42" s="144">
        <v>156296.62534999999</v>
      </c>
      <c r="M42" s="144">
        <v>590571.22390999994</v>
      </c>
      <c r="N42" s="145">
        <v>15760829.474550005</v>
      </c>
    </row>
    <row r="43" spans="2:14" s="54" customFormat="1" ht="14.1" customHeight="1" x14ac:dyDescent="0.2">
      <c r="B43" s="63" t="s">
        <v>130</v>
      </c>
      <c r="C43" s="60">
        <v>514471.32436999993</v>
      </c>
      <c r="D43" s="60">
        <v>710005.92891999998</v>
      </c>
      <c r="E43" s="60">
        <v>9182.4305299999996</v>
      </c>
      <c r="F43" s="60">
        <v>1328613.4710100002</v>
      </c>
      <c r="G43" s="60">
        <v>2562273.1548300004</v>
      </c>
      <c r="H43" s="60">
        <v>73099.498330000002</v>
      </c>
      <c r="I43" s="60">
        <v>185825.15700000001</v>
      </c>
      <c r="J43" s="60">
        <v>258924.65533000001</v>
      </c>
      <c r="K43" s="60">
        <v>20078.169819999999</v>
      </c>
      <c r="L43" s="60">
        <v>13173.85614</v>
      </c>
      <c r="M43" s="60">
        <v>33252.025959999999</v>
      </c>
      <c r="N43" s="61">
        <v>2854449.8361200001</v>
      </c>
    </row>
    <row r="44" spans="2:14" s="54" customFormat="1" ht="14.1" customHeight="1" x14ac:dyDescent="0.2">
      <c r="B44" s="146" t="s">
        <v>131</v>
      </c>
      <c r="C44" s="60">
        <v>1147017.2378199999</v>
      </c>
      <c r="D44" s="60">
        <v>1656972.56886</v>
      </c>
      <c r="E44" s="60">
        <v>25243.575690000001</v>
      </c>
      <c r="F44" s="60">
        <v>2889107.1984300013</v>
      </c>
      <c r="G44" s="60">
        <v>5718340.5808000006</v>
      </c>
      <c r="H44" s="60">
        <v>221302.54998999997</v>
      </c>
      <c r="I44" s="60">
        <v>334769.49229999998</v>
      </c>
      <c r="J44" s="60">
        <v>556072.04229000001</v>
      </c>
      <c r="K44" s="60">
        <v>69034.84997000001</v>
      </c>
      <c r="L44" s="60">
        <v>89652.039539999998</v>
      </c>
      <c r="M44" s="60">
        <v>158686.88951000001</v>
      </c>
      <c r="N44" s="61">
        <v>6433099.5126000009</v>
      </c>
    </row>
    <row r="45" spans="2:14" s="54" customFormat="1" ht="14.1" customHeight="1" x14ac:dyDescent="0.2">
      <c r="B45" s="63" t="s">
        <v>132</v>
      </c>
      <c r="C45" s="60">
        <v>1663599.96481</v>
      </c>
      <c r="D45" s="60">
        <v>2581373.3985100002</v>
      </c>
      <c r="E45" s="60">
        <v>47960.911080000005</v>
      </c>
      <c r="F45" s="60">
        <v>4244339.0362399993</v>
      </c>
      <c r="G45" s="60">
        <v>8537273.3106399998</v>
      </c>
      <c r="H45" s="60">
        <v>364693.37070000009</v>
      </c>
      <c r="I45" s="60">
        <v>540050.01581000001</v>
      </c>
      <c r="J45" s="60">
        <v>904743.3865100001</v>
      </c>
      <c r="K45" s="60">
        <v>92128.920060000004</v>
      </c>
      <c r="L45" s="60">
        <v>116761.08655000001</v>
      </c>
      <c r="M45" s="60">
        <v>208890.00661000001</v>
      </c>
      <c r="N45" s="61">
        <v>9650906.7037599999</v>
      </c>
    </row>
    <row r="46" spans="2:14" s="54" customFormat="1" ht="14.1" customHeight="1" x14ac:dyDescent="0.2">
      <c r="B46" s="143" t="s">
        <v>133</v>
      </c>
      <c r="C46" s="144">
        <v>2269349.2648399994</v>
      </c>
      <c r="D46" s="144">
        <v>3838968.5201999997</v>
      </c>
      <c r="E46" s="144">
        <v>128739.23794000001</v>
      </c>
      <c r="F46" s="144">
        <v>6235079.0866999961</v>
      </c>
      <c r="G46" s="144">
        <v>12472136.109679995</v>
      </c>
      <c r="H46" s="144">
        <v>990046.72620000003</v>
      </c>
      <c r="I46" s="144">
        <v>1318880.7064399999</v>
      </c>
      <c r="J46" s="144">
        <v>2308927.4326399998</v>
      </c>
      <c r="K46" s="144">
        <v>230560.09500999999</v>
      </c>
      <c r="L46" s="144">
        <v>233200.79432999989</v>
      </c>
      <c r="M46" s="144">
        <v>463760.88933999988</v>
      </c>
      <c r="N46" s="145">
        <v>15244824.431659995</v>
      </c>
    </row>
    <row r="47" spans="2:14" s="54" customFormat="1" ht="14.1" customHeight="1" x14ac:dyDescent="0.2">
      <c r="B47" s="63" t="s">
        <v>134</v>
      </c>
      <c r="C47" s="60">
        <v>495936.49458</v>
      </c>
      <c r="D47" s="60">
        <v>756888.60603999998</v>
      </c>
      <c r="E47" s="60">
        <v>33076.093939999999</v>
      </c>
      <c r="F47" s="60">
        <v>1476814.3807400009</v>
      </c>
      <c r="G47" s="60">
        <f>SUM(C47:F47)</f>
        <v>2762715.5753000006</v>
      </c>
      <c r="H47" s="60">
        <v>64268.031459999991</v>
      </c>
      <c r="I47" s="60">
        <v>93644.70365000001</v>
      </c>
      <c r="J47" s="60">
        <f>SUM(H47:I47)</f>
        <v>157912.73511000001</v>
      </c>
      <c r="K47" s="60">
        <v>35623.320980000004</v>
      </c>
      <c r="L47" s="60">
        <v>8901.2566200000001</v>
      </c>
      <c r="M47" s="60">
        <f>SUM(K47:L47)</f>
        <v>44524.577600000004</v>
      </c>
      <c r="N47" s="61">
        <f>SUM(M47,J47,G47)</f>
        <v>2965152.8880100008</v>
      </c>
    </row>
    <row r="48" spans="2:14" s="54" customFormat="1" ht="14.1" customHeight="1" x14ac:dyDescent="0.2">
      <c r="B48" s="146" t="s">
        <v>135</v>
      </c>
      <c r="C48" s="60">
        <v>1112028.1311199998</v>
      </c>
      <c r="D48" s="60">
        <v>1704959.6627400001</v>
      </c>
      <c r="E48" s="60">
        <v>78499.822790000006</v>
      </c>
      <c r="F48" s="60">
        <v>3140913.5448099999</v>
      </c>
      <c r="G48" s="60">
        <v>6036401.1614599992</v>
      </c>
      <c r="H48" s="60">
        <v>186771.82803999999</v>
      </c>
      <c r="I48" s="60">
        <v>343168.78827000002</v>
      </c>
      <c r="J48" s="60">
        <v>529940.61630999995</v>
      </c>
      <c r="K48" s="60">
        <v>62469.506840000002</v>
      </c>
      <c r="L48" s="60">
        <v>102007.72664000001</v>
      </c>
      <c r="M48" s="60">
        <v>164477.23348</v>
      </c>
      <c r="N48" s="61">
        <v>6730819.0112499986</v>
      </c>
    </row>
    <row r="49" spans="2:14" s="54" customFormat="1" ht="14.1" customHeight="1" x14ac:dyDescent="0.2">
      <c r="B49" s="63" t="s">
        <v>136</v>
      </c>
      <c r="C49" s="60">
        <v>1637240.4215500001</v>
      </c>
      <c r="D49" s="60">
        <v>2611932.1277699997</v>
      </c>
      <c r="E49" s="60">
        <v>122770.87286999999</v>
      </c>
      <c r="F49" s="60">
        <v>4483513.9626999982</v>
      </c>
      <c r="G49" s="60">
        <v>8855457.3848899975</v>
      </c>
      <c r="H49" s="60">
        <v>361166.06571</v>
      </c>
      <c r="I49" s="60">
        <v>401530.48641999997</v>
      </c>
      <c r="J49" s="60">
        <v>762696.55212999997</v>
      </c>
      <c r="K49" s="60">
        <v>96740.744449999998</v>
      </c>
      <c r="L49" s="60">
        <v>125594.45057</v>
      </c>
      <c r="M49" s="60">
        <v>222335.19501999998</v>
      </c>
      <c r="N49" s="61">
        <v>9840489.1320399977</v>
      </c>
    </row>
    <row r="50" spans="2:14" s="54" customFormat="1" ht="14.1" customHeight="1" x14ac:dyDescent="0.2">
      <c r="B50" s="143" t="s">
        <v>137</v>
      </c>
      <c r="C50" s="144">
        <v>2257490.98746</v>
      </c>
      <c r="D50" s="144">
        <v>3844670.146639999</v>
      </c>
      <c r="E50" s="144">
        <v>220036.61728999999</v>
      </c>
      <c r="F50" s="144">
        <v>6375867.7636999991</v>
      </c>
      <c r="G50" s="144">
        <v>12698065.51509</v>
      </c>
      <c r="H50" s="144">
        <v>859064.59574999998</v>
      </c>
      <c r="I50" s="144">
        <v>923045.65952999995</v>
      </c>
      <c r="J50" s="144">
        <v>1782110.2552799999</v>
      </c>
      <c r="K50" s="144">
        <v>188070.81073999999</v>
      </c>
      <c r="L50" s="144">
        <v>403283.01977000001</v>
      </c>
      <c r="M50" s="144">
        <v>591353.83051</v>
      </c>
      <c r="N50" s="145">
        <v>15071529.600880001</v>
      </c>
    </row>
    <row r="51" spans="2:14" s="54" customFormat="1" ht="14.1" customHeight="1" x14ac:dyDescent="0.2">
      <c r="B51" s="63" t="s">
        <v>138</v>
      </c>
      <c r="C51" s="60">
        <v>502753.63003999996</v>
      </c>
      <c r="D51" s="60">
        <v>764795.68335000006</v>
      </c>
      <c r="E51" s="60">
        <v>52100.031259999996</v>
      </c>
      <c r="F51" s="60">
        <v>1398195.0272200003</v>
      </c>
      <c r="G51" s="60">
        <v>2717844.3718700004</v>
      </c>
      <c r="H51" s="60">
        <v>46218.124040000002</v>
      </c>
      <c r="I51" s="60">
        <v>126428.95754</v>
      </c>
      <c r="J51" s="60">
        <v>172647.08158</v>
      </c>
      <c r="K51" s="60">
        <v>3007.1210000000001</v>
      </c>
      <c r="L51" s="60">
        <v>75134.164140000008</v>
      </c>
      <c r="M51" s="60">
        <v>78141.285140000007</v>
      </c>
      <c r="N51" s="61">
        <v>2968632.7385900002</v>
      </c>
    </row>
    <row r="52" spans="2:14" s="54" customFormat="1" ht="14.1" customHeight="1" x14ac:dyDescent="0.2">
      <c r="B52" s="146" t="s">
        <v>139</v>
      </c>
      <c r="C52" s="60">
        <v>1112643.14056</v>
      </c>
      <c r="D52" s="60">
        <v>1666544.8345900001</v>
      </c>
      <c r="E52" s="60">
        <v>115545.59159</v>
      </c>
      <c r="F52" s="60">
        <v>2847235.389489999</v>
      </c>
      <c r="G52" s="60">
        <v>5741968.9562299997</v>
      </c>
      <c r="H52" s="60">
        <v>195125.18437</v>
      </c>
      <c r="I52" s="60">
        <v>298306.74911000003</v>
      </c>
      <c r="J52" s="60">
        <v>493431.93348000001</v>
      </c>
      <c r="K52" s="60">
        <v>65178.026180000001</v>
      </c>
      <c r="L52" s="60">
        <v>170734.37439000001</v>
      </c>
      <c r="M52" s="60">
        <v>235912.40057</v>
      </c>
      <c r="N52" s="61">
        <v>6471313.2902799994</v>
      </c>
    </row>
    <row r="53" spans="2:14" s="54" customFormat="1" ht="14.1" customHeight="1" x14ac:dyDescent="0.2">
      <c r="B53" s="63" t="s">
        <v>140</v>
      </c>
      <c r="C53" s="60">
        <v>1601617.0794300002</v>
      </c>
      <c r="D53" s="60">
        <v>2512384.8965000003</v>
      </c>
      <c r="E53" s="60">
        <v>165102.48577</v>
      </c>
      <c r="F53" s="60">
        <v>4022437.0777500002</v>
      </c>
      <c r="G53" s="60">
        <v>8301541.539450001</v>
      </c>
      <c r="H53" s="60">
        <v>334338.61924999999</v>
      </c>
      <c r="I53" s="60">
        <v>462747.00155000004</v>
      </c>
      <c r="J53" s="60">
        <v>797085.62080000003</v>
      </c>
      <c r="K53" s="60">
        <v>80191.450689999998</v>
      </c>
      <c r="L53" s="60">
        <v>197443.92879000001</v>
      </c>
      <c r="M53" s="60">
        <v>277635.37948</v>
      </c>
      <c r="N53" s="61">
        <v>9376262.5397300012</v>
      </c>
    </row>
    <row r="54" spans="2:14" s="54" customFormat="1" ht="14.1" customHeight="1" x14ac:dyDescent="0.2">
      <c r="B54" s="143" t="s">
        <v>141</v>
      </c>
      <c r="C54" s="144">
        <v>2114077.6639999999</v>
      </c>
      <c r="D54" s="144">
        <v>3760879.1430000002</v>
      </c>
      <c r="E54" s="144">
        <v>269117.31099999999</v>
      </c>
      <c r="F54" s="144">
        <v>5963963.8199999994</v>
      </c>
      <c r="G54" s="144">
        <v>12108037.937999999</v>
      </c>
      <c r="H54" s="144">
        <v>755513.52899999998</v>
      </c>
      <c r="I54" s="144">
        <v>1227458.4740000002</v>
      </c>
      <c r="J54" s="144">
        <v>1982972.003</v>
      </c>
      <c r="K54" s="144">
        <v>183626.92499999999</v>
      </c>
      <c r="L54" s="144">
        <v>409945.02899999998</v>
      </c>
      <c r="M54" s="144">
        <v>593571.95399999991</v>
      </c>
      <c r="N54" s="145">
        <v>14684581.895</v>
      </c>
    </row>
    <row r="55" spans="2:14" s="54" customFormat="1" ht="14.1" customHeight="1" x14ac:dyDescent="0.2">
      <c r="B55" s="63" t="s">
        <v>142</v>
      </c>
      <c r="C55" s="60">
        <v>495190.63667000004</v>
      </c>
      <c r="D55" s="60">
        <v>808948.96314000012</v>
      </c>
      <c r="E55" s="60">
        <v>58096.377219999995</v>
      </c>
      <c r="F55" s="60">
        <v>1115936.8293799995</v>
      </c>
      <c r="G55" s="60">
        <v>2478172.8064099997</v>
      </c>
      <c r="H55" s="60">
        <v>22880.680199999999</v>
      </c>
      <c r="I55" s="60">
        <v>58053.341070000002</v>
      </c>
      <c r="J55" s="60">
        <v>80934.021269999997</v>
      </c>
      <c r="K55" s="60">
        <v>5847.9290300000002</v>
      </c>
      <c r="L55" s="60">
        <v>35079.487999999998</v>
      </c>
      <c r="M55" s="60">
        <v>40927.417029999997</v>
      </c>
      <c r="N55" s="61">
        <v>2600034.2447099998</v>
      </c>
    </row>
    <row r="56" spans="2:14" s="54" customFormat="1" ht="14.1" customHeight="1" x14ac:dyDescent="0.2">
      <c r="B56" s="146" t="s">
        <v>143</v>
      </c>
      <c r="C56" s="60">
        <v>1106674.14157</v>
      </c>
      <c r="D56" s="60">
        <v>1667775.8495700001</v>
      </c>
      <c r="E56" s="60">
        <v>130768.61747</v>
      </c>
      <c r="F56" s="60">
        <v>2737277.7163500004</v>
      </c>
      <c r="G56" s="60">
        <v>5642496.3249600008</v>
      </c>
      <c r="H56" s="60">
        <v>203299.25386</v>
      </c>
      <c r="I56" s="60">
        <v>191464.06496000002</v>
      </c>
      <c r="J56" s="60">
        <v>394763.31882000004</v>
      </c>
      <c r="K56" s="60">
        <v>57037.682090000002</v>
      </c>
      <c r="L56" s="60">
        <v>121716.19803</v>
      </c>
      <c r="M56" s="60">
        <v>178753.88011999999</v>
      </c>
      <c r="N56" s="61">
        <v>6216013.5239000004</v>
      </c>
    </row>
    <row r="57" spans="2:14" s="54" customFormat="1" ht="14.1" customHeight="1" x14ac:dyDescent="0.2">
      <c r="B57" s="146" t="s">
        <v>144</v>
      </c>
      <c r="C57" s="60">
        <v>1594677.13017</v>
      </c>
      <c r="D57" s="60">
        <v>2511030.9783400004</v>
      </c>
      <c r="E57" s="60">
        <v>187122.88874999998</v>
      </c>
      <c r="F57" s="60">
        <v>4197308.5557899987</v>
      </c>
      <c r="G57" s="60">
        <v>8490139.5530500002</v>
      </c>
      <c r="H57" s="60">
        <v>345568.51464000001</v>
      </c>
      <c r="I57" s="60">
        <v>285358.72284999996</v>
      </c>
      <c r="J57" s="60">
        <v>630927.23748999997</v>
      </c>
      <c r="K57" s="60">
        <v>66803.122109999997</v>
      </c>
      <c r="L57" s="60">
        <v>152548.04327000002</v>
      </c>
      <c r="M57" s="60">
        <v>219351.16538000002</v>
      </c>
      <c r="N57" s="61">
        <v>9340417.9559199996</v>
      </c>
    </row>
    <row r="58" spans="2:14" s="54" customFormat="1" ht="14.1" customHeight="1" x14ac:dyDescent="0.2">
      <c r="B58" s="143" t="s">
        <v>145</v>
      </c>
      <c r="C58" s="144">
        <v>2204434.4964499995</v>
      </c>
      <c r="D58" s="144">
        <v>3700402.6612700005</v>
      </c>
      <c r="E58" s="144">
        <v>294340.79278999998</v>
      </c>
      <c r="F58" s="144">
        <v>6044360.6924400032</v>
      </c>
      <c r="G58" s="144">
        <v>12243538.642950002</v>
      </c>
      <c r="H58" s="144">
        <v>683341.65963000001</v>
      </c>
      <c r="I58" s="144">
        <v>658315.02815999999</v>
      </c>
      <c r="J58" s="144">
        <v>1341656.6877899999</v>
      </c>
      <c r="K58" s="144">
        <v>273235.44637000002</v>
      </c>
      <c r="L58" s="144">
        <v>443985.19888000004</v>
      </c>
      <c r="M58" s="144">
        <v>717220.64525000006</v>
      </c>
      <c r="N58" s="145">
        <v>14302415.975990001</v>
      </c>
    </row>
    <row r="59" spans="2:14" s="54" customFormat="1" ht="14.1" customHeight="1" x14ac:dyDescent="0.2">
      <c r="B59" s="63" t="s">
        <v>146</v>
      </c>
      <c r="C59" s="60">
        <v>503160.42958</v>
      </c>
      <c r="D59" s="60">
        <v>861470.91767</v>
      </c>
      <c r="E59" s="60">
        <v>70979.345879999993</v>
      </c>
      <c r="F59" s="60">
        <v>1231681.8331300002</v>
      </c>
      <c r="G59" s="60">
        <v>2667292.5262600002</v>
      </c>
      <c r="H59" s="60">
        <v>66301.993610000005</v>
      </c>
      <c r="I59" s="60">
        <v>129634.94754000001</v>
      </c>
      <c r="J59" s="60">
        <v>195936.94115000003</v>
      </c>
      <c r="K59" s="60">
        <v>4286.9548700000005</v>
      </c>
      <c r="L59" s="60">
        <v>31387.755939999999</v>
      </c>
      <c r="M59" s="60">
        <v>35674.710809999997</v>
      </c>
      <c r="N59" s="61">
        <v>2898904.1782200001</v>
      </c>
    </row>
    <row r="60" spans="2:14" s="54" customFormat="1" ht="14.1" customHeight="1" x14ac:dyDescent="0.2">
      <c r="B60" s="63" t="s">
        <v>147</v>
      </c>
      <c r="C60" s="60">
        <v>1117452.6257</v>
      </c>
      <c r="D60" s="60">
        <v>1716364.4224999999</v>
      </c>
      <c r="E60" s="60">
        <v>170930.98532000001</v>
      </c>
      <c r="F60" s="60">
        <v>3016538.2337399991</v>
      </c>
      <c r="G60" s="60">
        <v>6021286.2672599992</v>
      </c>
      <c r="H60" s="60">
        <v>170732.98767999999</v>
      </c>
      <c r="I60" s="60">
        <v>318821.35634999996</v>
      </c>
      <c r="J60" s="60">
        <v>489554.34402999992</v>
      </c>
      <c r="K60" s="60">
        <v>69156.076870000004</v>
      </c>
      <c r="L60" s="60">
        <v>116048.75468</v>
      </c>
      <c r="M60" s="60">
        <v>185204.83155</v>
      </c>
      <c r="N60" s="61">
        <v>6696045.4428399988</v>
      </c>
    </row>
    <row r="61" spans="2:14" s="54" customFormat="1" ht="14.1" customHeight="1" x14ac:dyDescent="0.2">
      <c r="B61" s="63" t="s">
        <v>148</v>
      </c>
      <c r="C61" s="60">
        <v>1619168.31538</v>
      </c>
      <c r="D61" s="60">
        <v>2506957.9619300002</v>
      </c>
      <c r="E61" s="60">
        <v>219938.66667000001</v>
      </c>
      <c r="F61" s="60">
        <v>4411154.6626799954</v>
      </c>
      <c r="G61" s="60">
        <v>8757219.6066599954</v>
      </c>
      <c r="H61" s="60">
        <v>268105.23647999996</v>
      </c>
      <c r="I61" s="60">
        <v>416371.74518000003</v>
      </c>
      <c r="J61" s="60">
        <v>684476.98166000005</v>
      </c>
      <c r="K61" s="60">
        <v>100964.31107</v>
      </c>
      <c r="L61" s="60">
        <v>136431.31419</v>
      </c>
      <c r="M61" s="60">
        <v>237395.62526</v>
      </c>
      <c r="N61" s="61">
        <v>9679092.2135799956</v>
      </c>
    </row>
    <row r="62" spans="2:14" s="54" customFormat="1" ht="14.1" customHeight="1" x14ac:dyDescent="0.2">
      <c r="B62" s="143" t="s">
        <v>149</v>
      </c>
      <c r="C62" s="144">
        <v>2233965.6360800001</v>
      </c>
      <c r="D62" s="144">
        <v>3799598.9101799997</v>
      </c>
      <c r="E62" s="144">
        <v>326097.21272999997</v>
      </c>
      <c r="F62" s="144">
        <v>6247818.126229994</v>
      </c>
      <c r="G62" s="144">
        <v>12607479.885219993</v>
      </c>
      <c r="H62" s="144">
        <v>520583.17235999997</v>
      </c>
      <c r="I62" s="144">
        <v>803334.76752999995</v>
      </c>
      <c r="J62" s="144">
        <v>1323917.93989</v>
      </c>
      <c r="K62" s="144">
        <v>221412.87747000001</v>
      </c>
      <c r="L62" s="144">
        <v>739103.53586000006</v>
      </c>
      <c r="M62" s="144">
        <v>960516.41333000013</v>
      </c>
      <c r="N62" s="145">
        <v>14891914.238439992</v>
      </c>
    </row>
    <row r="63" spans="2:14" s="54" customFormat="1" ht="14.1" customHeight="1" x14ac:dyDescent="0.2">
      <c r="B63" s="63" t="s">
        <v>150</v>
      </c>
      <c r="C63" s="60">
        <v>504125.52063000004</v>
      </c>
      <c r="D63" s="60">
        <v>817257.28901000007</v>
      </c>
      <c r="E63" s="60">
        <v>74135.534800000009</v>
      </c>
      <c r="F63" s="60">
        <v>1209405.3334200005</v>
      </c>
      <c r="G63" s="60">
        <v>2604923.6778600006</v>
      </c>
      <c r="H63" s="60">
        <v>35720.954740000001</v>
      </c>
      <c r="I63" s="60">
        <v>125842.43316</v>
      </c>
      <c r="J63" s="60">
        <v>161563.3879</v>
      </c>
      <c r="K63" s="60">
        <v>6375.26433</v>
      </c>
      <c r="L63" s="60">
        <v>47439.048179999998</v>
      </c>
      <c r="M63" s="60">
        <v>53814.312509999996</v>
      </c>
      <c r="N63" s="61">
        <v>2820301.3782700007</v>
      </c>
    </row>
    <row r="64" spans="2:14" s="54" customFormat="1" ht="14.1" customHeight="1" x14ac:dyDescent="0.2">
      <c r="B64" s="63" t="s">
        <v>151</v>
      </c>
      <c r="C64" s="60">
        <v>1144116.42536</v>
      </c>
      <c r="D64" s="60">
        <v>1685842.0061699999</v>
      </c>
      <c r="E64" s="60">
        <v>149240.13384999998</v>
      </c>
      <c r="F64" s="60">
        <v>3112772.2837399989</v>
      </c>
      <c r="G64" s="60">
        <v>6091970.8491199985</v>
      </c>
      <c r="H64" s="60">
        <v>134896.42979999998</v>
      </c>
      <c r="I64" s="60">
        <v>238819.76360000001</v>
      </c>
      <c r="J64" s="60">
        <v>373716.19339999999</v>
      </c>
      <c r="K64" s="60">
        <v>54175.762929999997</v>
      </c>
      <c r="L64" s="60">
        <v>686408.56602999999</v>
      </c>
      <c r="M64" s="60">
        <v>740584.32895999996</v>
      </c>
      <c r="N64" s="61">
        <v>7206271.3714799983</v>
      </c>
    </row>
    <row r="65" spans="2:14" s="54" customFormat="1" ht="14.1" customHeight="1" x14ac:dyDescent="0.2">
      <c r="B65" s="63" t="s">
        <v>152</v>
      </c>
      <c r="C65" s="60">
        <v>1653657.85323</v>
      </c>
      <c r="D65" s="60">
        <v>2550392.5951</v>
      </c>
      <c r="E65" s="60">
        <v>205160.17777000001</v>
      </c>
      <c r="F65" s="60">
        <v>4606671.192090001</v>
      </c>
      <c r="G65" s="60">
        <v>9015881.818190001</v>
      </c>
      <c r="H65" s="60">
        <v>209453.99894000002</v>
      </c>
      <c r="I65" s="60">
        <v>400317.63814</v>
      </c>
      <c r="J65" s="60">
        <v>609771.63708000001</v>
      </c>
      <c r="K65" s="60">
        <v>124254.17122</v>
      </c>
      <c r="L65" s="60">
        <v>711879.36959999998</v>
      </c>
      <c r="M65" s="60">
        <v>836133.54081999999</v>
      </c>
      <c r="N65" s="61">
        <v>10461786.99609</v>
      </c>
    </row>
    <row r="66" spans="2:14" s="54" customFormat="1" ht="14.1" customHeight="1" x14ac:dyDescent="0.2">
      <c r="B66" s="143" t="s">
        <v>153</v>
      </c>
      <c r="C66" s="144">
        <v>2278379.93035</v>
      </c>
      <c r="D66" s="144">
        <v>3842674.0300299996</v>
      </c>
      <c r="E66" s="144">
        <v>284317.59057</v>
      </c>
      <c r="F66" s="144">
        <v>6492624.8473999966</v>
      </c>
      <c r="G66" s="144">
        <v>12897996.398349997</v>
      </c>
      <c r="H66" s="144">
        <v>378122.55885000003</v>
      </c>
      <c r="I66" s="144">
        <v>752532.57184999995</v>
      </c>
      <c r="J66" s="144">
        <v>1130655.1307000001</v>
      </c>
      <c r="K66" s="144">
        <v>212764.12293000001</v>
      </c>
      <c r="L66" s="144">
        <v>936728.88418000005</v>
      </c>
      <c r="M66" s="144">
        <v>1149493.0071100001</v>
      </c>
      <c r="N66" s="145">
        <v>15178144.536159996</v>
      </c>
    </row>
    <row r="67" spans="2:14" s="54" customFormat="1" ht="14.1" customHeight="1" x14ac:dyDescent="0.2">
      <c r="B67" s="63" t="s">
        <v>154</v>
      </c>
      <c r="C67" s="60">
        <v>516208.45215999999</v>
      </c>
      <c r="D67" s="60">
        <v>770811.98540999996</v>
      </c>
      <c r="E67" s="60">
        <v>67836.077929999999</v>
      </c>
      <c r="F67" s="60">
        <v>1465195.5656400004</v>
      </c>
      <c r="G67" s="60">
        <v>2820052.0811400004</v>
      </c>
      <c r="H67" s="60">
        <v>33191.367620000005</v>
      </c>
      <c r="I67" s="60">
        <v>95412.236470000003</v>
      </c>
      <c r="J67" s="60">
        <v>128603.60409000001</v>
      </c>
      <c r="K67" s="60">
        <v>7132.6598100000001</v>
      </c>
      <c r="L67" s="60">
        <v>445067.47058000002</v>
      </c>
      <c r="M67" s="60">
        <v>452200.13039000001</v>
      </c>
      <c r="N67" s="61">
        <v>3400855.8156200005</v>
      </c>
    </row>
    <row r="68" spans="2:14" s="54" customFormat="1" ht="14.1" customHeight="1" x14ac:dyDescent="0.2">
      <c r="B68" s="63" t="s">
        <v>155</v>
      </c>
      <c r="C68" s="60">
        <v>1169178.6439399999</v>
      </c>
      <c r="D68" s="60">
        <v>1774112.5024799998</v>
      </c>
      <c r="E68" s="60">
        <v>134226.79230999999</v>
      </c>
      <c r="F68" s="60">
        <v>3198183.9181199996</v>
      </c>
      <c r="G68" s="60">
        <v>6275701.8568499992</v>
      </c>
      <c r="H68" s="60">
        <v>138649.97125999999</v>
      </c>
      <c r="I68" s="60">
        <v>222159.13926999999</v>
      </c>
      <c r="J68" s="60">
        <v>360809.11052999995</v>
      </c>
      <c r="K68" s="60">
        <v>79120.051149999999</v>
      </c>
      <c r="L68" s="60">
        <v>523026.27416000003</v>
      </c>
      <c r="M68" s="60">
        <v>602146.32530999999</v>
      </c>
      <c r="N68" s="61">
        <v>7238657.2926899996</v>
      </c>
    </row>
    <row r="69" spans="2:14" s="54" customFormat="1" ht="14.1" customHeight="1" x14ac:dyDescent="0.2">
      <c r="B69" s="63" t="s">
        <v>156</v>
      </c>
      <c r="C69" s="60">
        <v>1693154.3516199999</v>
      </c>
      <c r="D69" s="60">
        <v>2699492.3071500002</v>
      </c>
      <c r="E69" s="60">
        <v>180305.14668999999</v>
      </c>
      <c r="F69" s="60">
        <v>4657164.9485000018</v>
      </c>
      <c r="G69" s="60">
        <v>9230116.7539600022</v>
      </c>
      <c r="H69" s="60">
        <v>208685.59044</v>
      </c>
      <c r="I69" s="60">
        <v>360811.27922999999</v>
      </c>
      <c r="J69" s="60">
        <v>569496.86966999993</v>
      </c>
      <c r="K69" s="60">
        <v>94040.252039999992</v>
      </c>
      <c r="L69" s="60">
        <v>548497.07773999998</v>
      </c>
      <c r="M69" s="60">
        <v>642537.32978000003</v>
      </c>
      <c r="N69" s="61">
        <v>10442150.953410001</v>
      </c>
    </row>
    <row r="70" spans="2:14" s="54" customFormat="1" ht="14.1" customHeight="1" x14ac:dyDescent="0.2">
      <c r="B70" s="143" t="s">
        <v>157</v>
      </c>
      <c r="C70" s="144">
        <v>2324924.28418</v>
      </c>
      <c r="D70" s="144">
        <v>3955233.0235799998</v>
      </c>
      <c r="E70" s="144">
        <v>247555.00004000001</v>
      </c>
      <c r="F70" s="144">
        <v>6568328.2766299993</v>
      </c>
      <c r="G70" s="144">
        <v>13096040.58443</v>
      </c>
      <c r="H70" s="144">
        <v>395745.85623999999</v>
      </c>
      <c r="I70" s="144">
        <v>744719.38416999998</v>
      </c>
      <c r="J70" s="144">
        <v>1140465.2404100001</v>
      </c>
      <c r="K70" s="144">
        <v>246206.59168999997</v>
      </c>
      <c r="L70" s="144">
        <v>828516.82932000002</v>
      </c>
      <c r="M70" s="144">
        <v>1074723.4210099999</v>
      </c>
      <c r="N70" s="145">
        <v>15311229.245850001</v>
      </c>
    </row>
    <row r="71" spans="2:14" s="54" customFormat="1" ht="14.1" customHeight="1" x14ac:dyDescent="0.2">
      <c r="B71" s="63" t="s">
        <v>158</v>
      </c>
      <c r="C71" s="60">
        <v>521943.55037000001</v>
      </c>
      <c r="D71" s="60">
        <v>936663.44805000001</v>
      </c>
      <c r="E71" s="60">
        <v>43776.069329999998</v>
      </c>
      <c r="F71" s="60">
        <v>1255449.6332399996</v>
      </c>
      <c r="G71" s="60">
        <v>2757832.7009899998</v>
      </c>
      <c r="H71" s="60">
        <v>45055.930869999997</v>
      </c>
      <c r="I71" s="60">
        <v>114252.569</v>
      </c>
      <c r="J71" s="60">
        <v>159308.49987</v>
      </c>
      <c r="K71" s="60">
        <v>2316.1156500000002</v>
      </c>
      <c r="L71" s="60">
        <v>44956.845580000001</v>
      </c>
      <c r="M71" s="60">
        <v>47272.961230000001</v>
      </c>
      <c r="N71" s="61">
        <v>2964414.1620899998</v>
      </c>
    </row>
    <row r="72" spans="2:14" s="54" customFormat="1" ht="14.1" customHeight="1" x14ac:dyDescent="0.2">
      <c r="B72" s="63" t="s">
        <v>159</v>
      </c>
      <c r="C72" s="60">
        <v>1182216.5573800001</v>
      </c>
      <c r="D72" s="60">
        <v>1875206.4989200002</v>
      </c>
      <c r="E72" s="60">
        <v>115679.44812999999</v>
      </c>
      <c r="F72" s="60">
        <v>3488072.23972</v>
      </c>
      <c r="G72" s="60">
        <v>6661174.7441499997</v>
      </c>
      <c r="H72" s="60">
        <v>115081.05074999999</v>
      </c>
      <c r="I72" s="60">
        <v>240037.59094999998</v>
      </c>
      <c r="J72" s="60">
        <v>355118.64169999998</v>
      </c>
      <c r="K72" s="60">
        <v>72123.705000000002</v>
      </c>
      <c r="L72" s="60">
        <v>179765.024</v>
      </c>
      <c r="M72" s="60">
        <v>251888.72899999999</v>
      </c>
      <c r="N72" s="61">
        <v>7268182.1148499995</v>
      </c>
    </row>
    <row r="73" spans="2:14" s="54" customFormat="1" ht="14.1" customHeight="1" x14ac:dyDescent="0.2">
      <c r="B73" s="63" t="s">
        <v>160</v>
      </c>
      <c r="C73" s="60">
        <v>1727574.3133</v>
      </c>
      <c r="D73" s="60">
        <v>2775584.5660599996</v>
      </c>
      <c r="E73" s="60">
        <v>159054.34051000001</v>
      </c>
      <c r="F73" s="60">
        <v>5047775.4630699996</v>
      </c>
      <c r="G73" s="60">
        <v>9709988.6829399988</v>
      </c>
      <c r="H73" s="60">
        <v>178213.65204999998</v>
      </c>
      <c r="I73" s="60">
        <v>384882.29245000001</v>
      </c>
      <c r="J73" s="60">
        <v>563095.94449999998</v>
      </c>
      <c r="K73" s="60">
        <v>89303.361700000009</v>
      </c>
      <c r="L73" s="60">
        <v>495535.20273999998</v>
      </c>
      <c r="M73" s="60">
        <v>584838.56443999999</v>
      </c>
      <c r="N73" s="61">
        <v>10857923.191879999</v>
      </c>
    </row>
    <row r="74" spans="2:14" s="54" customFormat="1" ht="14.1" customHeight="1" x14ac:dyDescent="0.2">
      <c r="B74" s="143" t="s">
        <v>161</v>
      </c>
      <c r="C74" s="144">
        <v>2383998.1724399999</v>
      </c>
      <c r="D74" s="144">
        <v>4051150.4326199996</v>
      </c>
      <c r="E74" s="144">
        <v>227407.75625000001</v>
      </c>
      <c r="F74" s="144">
        <v>7048550.1600900013</v>
      </c>
      <c r="G74" s="144">
        <f t="shared" ref="G74:G76" si="0">SUM(C74:F74)</f>
        <v>13711106.521400001</v>
      </c>
      <c r="H74" s="144">
        <v>394642.26957999996</v>
      </c>
      <c r="I74" s="144">
        <v>880055.90970999992</v>
      </c>
      <c r="J74" s="144">
        <f t="shared" ref="J74:J76" si="1">SUM(H74:I74)</f>
        <v>1274698.1792899999</v>
      </c>
      <c r="K74" s="144">
        <v>235702.32337</v>
      </c>
      <c r="L74" s="144">
        <v>907972.02166000009</v>
      </c>
      <c r="M74" s="144">
        <f t="shared" ref="M74:M76" si="2">SUM(K74:L74)</f>
        <v>1143674.34503</v>
      </c>
      <c r="N74" s="145">
        <f t="shared" ref="N74:N76" si="3">SUM(M74,J74,G74)</f>
        <v>16129479.04572</v>
      </c>
    </row>
    <row r="75" spans="2:14" s="54" customFormat="1" ht="14.1" customHeight="1" x14ac:dyDescent="0.2">
      <c r="B75" s="63" t="s">
        <v>162</v>
      </c>
      <c r="C75" s="60">
        <v>530691.40084999998</v>
      </c>
      <c r="D75" s="60">
        <v>948960.53925000003</v>
      </c>
      <c r="E75" s="60">
        <v>45033.337850000004</v>
      </c>
      <c r="F75" s="60">
        <v>1483358.6056900001</v>
      </c>
      <c r="G75" s="60">
        <f t="shared" si="0"/>
        <v>3008043.8836400001</v>
      </c>
      <c r="H75" s="60">
        <v>27609.061329999997</v>
      </c>
      <c r="I75" s="60">
        <v>64388.46398</v>
      </c>
      <c r="J75" s="60">
        <f t="shared" si="1"/>
        <v>91997.525309999997</v>
      </c>
      <c r="K75" s="60">
        <v>1724.9830000000002</v>
      </c>
      <c r="L75" s="60">
        <v>179205.33539999998</v>
      </c>
      <c r="M75" s="60">
        <f t="shared" si="2"/>
        <v>180930.31839999999</v>
      </c>
      <c r="N75" s="61">
        <f t="shared" si="3"/>
        <v>3280971.7273500003</v>
      </c>
    </row>
    <row r="76" spans="2:14" s="54" customFormat="1" ht="14.1" customHeight="1" x14ac:dyDescent="0.2">
      <c r="B76" s="63" t="s">
        <v>163</v>
      </c>
      <c r="C76" s="60">
        <v>1182244.5326400001</v>
      </c>
      <c r="D76" s="60">
        <v>1905429.0961799999</v>
      </c>
      <c r="E76" s="60">
        <v>120330.02944000001</v>
      </c>
      <c r="F76" s="60">
        <v>3219450.8110499987</v>
      </c>
      <c r="G76" s="60">
        <f t="shared" si="0"/>
        <v>6427454.4693099987</v>
      </c>
      <c r="H76" s="60">
        <v>123502.24949999999</v>
      </c>
      <c r="I76" s="60">
        <v>187022.90691999998</v>
      </c>
      <c r="J76" s="60">
        <f t="shared" si="1"/>
        <v>310525.15641999996</v>
      </c>
      <c r="K76" s="60">
        <v>44060.104350000001</v>
      </c>
      <c r="L76" s="60">
        <v>656663.51364999998</v>
      </c>
      <c r="M76" s="60">
        <f t="shared" si="2"/>
        <v>700723.61800000002</v>
      </c>
      <c r="N76" s="61">
        <f t="shared" si="3"/>
        <v>7438703.2437299984</v>
      </c>
    </row>
    <row r="77" spans="2:14" s="54" customFormat="1" ht="14.1" customHeight="1" x14ac:dyDescent="0.2">
      <c r="B77" s="63" t="s">
        <v>164</v>
      </c>
      <c r="C77" s="60">
        <v>1720702.6540000001</v>
      </c>
      <c r="D77" s="60">
        <v>2818688.82791</v>
      </c>
      <c r="E77" s="60">
        <v>145984.08101000002</v>
      </c>
      <c r="F77" s="60">
        <v>4848279.0151999993</v>
      </c>
      <c r="G77" s="60">
        <v>9533654.5781199988</v>
      </c>
      <c r="H77" s="60">
        <v>212360.14724999998</v>
      </c>
      <c r="I77" s="60">
        <v>353871.92742999998</v>
      </c>
      <c r="J77" s="60">
        <v>566232.07467999996</v>
      </c>
      <c r="K77" s="60">
        <v>94072.707330000005</v>
      </c>
      <c r="L77" s="60">
        <v>920894.69223000004</v>
      </c>
      <c r="M77" s="60">
        <v>1014967.39956</v>
      </c>
      <c r="N77" s="61">
        <v>11114854.052359998</v>
      </c>
    </row>
    <row r="78" spans="2:14" s="54" customFormat="1" ht="14.1" customHeight="1" x14ac:dyDescent="0.2">
      <c r="B78" s="143" t="s">
        <v>165</v>
      </c>
      <c r="C78" s="144">
        <v>2418719.4115999998</v>
      </c>
      <c r="D78" s="144">
        <v>4104193.3244500002</v>
      </c>
      <c r="E78" s="144">
        <v>218889.81821</v>
      </c>
      <c r="F78" s="144">
        <v>6947248.6452600025</v>
      </c>
      <c r="G78" s="144">
        <v>13689051.199520003</v>
      </c>
      <c r="H78" s="144">
        <v>422584.69173000002</v>
      </c>
      <c r="I78" s="144">
        <v>846382.14340000006</v>
      </c>
      <c r="J78" s="144">
        <v>1268966.83513</v>
      </c>
      <c r="K78" s="144">
        <v>210856.98074999999</v>
      </c>
      <c r="L78" s="144">
        <v>1483450.25205</v>
      </c>
      <c r="M78" s="144">
        <v>1694307.2327999999</v>
      </c>
      <c r="N78" s="145">
        <v>16652325.267450003</v>
      </c>
    </row>
    <row r="79" spans="2:14" s="54" customFormat="1" ht="14.1" customHeight="1" x14ac:dyDescent="0.2">
      <c r="B79" s="63" t="s">
        <v>166</v>
      </c>
      <c r="C79" s="60">
        <v>571443.17324999999</v>
      </c>
      <c r="D79" s="60">
        <v>949087.54625999997</v>
      </c>
      <c r="E79" s="60">
        <v>52363.082819999996</v>
      </c>
      <c r="F79" s="60">
        <v>1503237.8751400001</v>
      </c>
      <c r="G79" s="60">
        <v>3076131.67747</v>
      </c>
      <c r="H79" s="60">
        <v>24986.730320000002</v>
      </c>
      <c r="I79" s="60">
        <v>52452.132100000003</v>
      </c>
      <c r="J79" s="60">
        <v>77438.862420000005</v>
      </c>
      <c r="K79" s="60">
        <v>1748.72622</v>
      </c>
      <c r="L79" s="60">
        <v>56318.988429999998</v>
      </c>
      <c r="M79" s="60">
        <v>58067.714649999994</v>
      </c>
      <c r="N79" s="61">
        <v>3211638.2545400001</v>
      </c>
    </row>
    <row r="80" spans="2:14" s="54" customFormat="1" ht="14.1" customHeight="1" x14ac:dyDescent="0.2">
      <c r="B80" s="63" t="s">
        <v>167</v>
      </c>
      <c r="C80" s="60">
        <v>1267510.1980399999</v>
      </c>
      <c r="D80" s="60">
        <v>1905326.5160999997</v>
      </c>
      <c r="E80" s="60">
        <v>133507.27692999999</v>
      </c>
      <c r="F80" s="60">
        <v>3363264.7519199997</v>
      </c>
      <c r="G80" s="60">
        <v>6669608.7429900002</v>
      </c>
      <c r="H80" s="60">
        <v>104482.34580000001</v>
      </c>
      <c r="I80" s="60">
        <v>197813.73694999996</v>
      </c>
      <c r="J80" s="60">
        <v>302296.08274999994</v>
      </c>
      <c r="K80" s="60">
        <v>190197.57095000002</v>
      </c>
      <c r="L80" s="60">
        <v>119089.30953</v>
      </c>
      <c r="M80" s="60">
        <v>309286.88048000005</v>
      </c>
      <c r="N80" s="61">
        <v>7281191.7062200001</v>
      </c>
    </row>
    <row r="81" spans="2:14" s="54" customFormat="1" ht="14.1" customHeight="1" x14ac:dyDescent="0.2">
      <c r="B81" s="63" t="s">
        <v>168</v>
      </c>
      <c r="C81" s="60">
        <v>1850951.6473100004</v>
      </c>
      <c r="D81" s="60">
        <v>2936748.4561799997</v>
      </c>
      <c r="E81" s="60">
        <v>150546.01287000001</v>
      </c>
      <c r="F81" s="60">
        <v>4947385.8304599989</v>
      </c>
      <c r="G81" s="60">
        <v>9885631.9468199983</v>
      </c>
      <c r="H81" s="60">
        <v>182583.04908999999</v>
      </c>
      <c r="I81" s="60">
        <v>409980.4338</v>
      </c>
      <c r="J81" s="60">
        <v>592563.48288999998</v>
      </c>
      <c r="K81" s="60">
        <v>255670.92099000004</v>
      </c>
      <c r="L81" s="60">
        <v>250207.34467000002</v>
      </c>
      <c r="M81" s="60">
        <v>505878.26566000003</v>
      </c>
      <c r="N81" s="61">
        <v>10984073.695369998</v>
      </c>
    </row>
    <row r="82" spans="2:14" s="54" customFormat="1" ht="14.1" customHeight="1" x14ac:dyDescent="0.2">
      <c r="B82" s="143" t="s">
        <v>169</v>
      </c>
      <c r="C82" s="144">
        <v>2554710</v>
      </c>
      <c r="D82" s="144">
        <v>4306174</v>
      </c>
      <c r="E82" s="144">
        <v>213141</v>
      </c>
      <c r="F82" s="144">
        <v>7186595</v>
      </c>
      <c r="G82" s="144">
        <v>14260620</v>
      </c>
      <c r="H82" s="144">
        <v>425079</v>
      </c>
      <c r="I82" s="144">
        <v>882129</v>
      </c>
      <c r="J82" s="144">
        <v>1307208</v>
      </c>
      <c r="K82" s="144">
        <v>431355</v>
      </c>
      <c r="L82" s="144">
        <v>1679500</v>
      </c>
      <c r="M82" s="144">
        <v>2110854</v>
      </c>
      <c r="N82" s="145">
        <v>17678682</v>
      </c>
    </row>
    <row r="83" spans="2:14" s="54" customFormat="1" ht="14.1" customHeight="1" x14ac:dyDescent="0.2">
      <c r="B83" s="63" t="s">
        <v>170</v>
      </c>
      <c r="C83" s="60">
        <v>594209.11994</v>
      </c>
      <c r="D83" s="60">
        <v>1005530.76674</v>
      </c>
      <c r="E83" s="60">
        <v>51111.254320000007</v>
      </c>
      <c r="F83" s="60">
        <v>1667446.84727</v>
      </c>
      <c r="G83" s="60">
        <v>3318297.9882700001</v>
      </c>
      <c r="H83" s="60">
        <v>37332.107499999998</v>
      </c>
      <c r="I83" s="60">
        <v>78241.917489999993</v>
      </c>
      <c r="J83" s="60">
        <v>115574.02498999999</v>
      </c>
      <c r="K83" s="60">
        <v>2820.61321</v>
      </c>
      <c r="L83" s="60">
        <v>465999.70238999999</v>
      </c>
      <c r="M83" s="60">
        <v>468820.31559999997</v>
      </c>
      <c r="N83" s="61">
        <v>3902692.3288599998</v>
      </c>
    </row>
    <row r="84" spans="2:14" s="54" customFormat="1" ht="14.1" customHeight="1" x14ac:dyDescent="0.2">
      <c r="B84" s="63" t="s">
        <v>171</v>
      </c>
      <c r="C84" s="60">
        <v>1314545.8382699999</v>
      </c>
      <c r="D84" s="60">
        <v>2056576.5438700002</v>
      </c>
      <c r="E84" s="60">
        <v>134123.21724</v>
      </c>
      <c r="F84" s="60">
        <v>3944515.7147299992</v>
      </c>
      <c r="G84" s="60">
        <v>7449761.3141099997</v>
      </c>
      <c r="H84" s="60">
        <v>126822.61362999999</v>
      </c>
      <c r="I84" s="60">
        <v>167667.25677000001</v>
      </c>
      <c r="J84" s="60">
        <v>294489.87040000001</v>
      </c>
      <c r="K84" s="60">
        <v>69929.789600000004</v>
      </c>
      <c r="L84" s="60">
        <v>620336.07143000001</v>
      </c>
      <c r="M84" s="60">
        <v>690265.86103000003</v>
      </c>
      <c r="N84" s="61">
        <v>8434517.0455399994</v>
      </c>
    </row>
    <row r="85" spans="2:14" s="54" customFormat="1" ht="14.1" customHeight="1" x14ac:dyDescent="0.2">
      <c r="B85" s="63" t="s">
        <v>172</v>
      </c>
      <c r="C85" s="60">
        <v>1918280.5640899995</v>
      </c>
      <c r="D85" s="60">
        <v>3032807.7737900005</v>
      </c>
      <c r="E85" s="60">
        <v>147736.46337000001</v>
      </c>
      <c r="F85" s="60">
        <v>6505798.7393199997</v>
      </c>
      <c r="G85" s="60">
        <v>11604623.54057</v>
      </c>
      <c r="H85" s="60">
        <v>205168.10266000003</v>
      </c>
      <c r="I85" s="60">
        <v>298389.08445999998</v>
      </c>
      <c r="J85" s="60">
        <v>503557.18712000002</v>
      </c>
      <c r="K85" s="60">
        <v>130405.39082</v>
      </c>
      <c r="L85" s="60">
        <v>700237.43967000011</v>
      </c>
      <c r="M85" s="60">
        <v>830642.83049000008</v>
      </c>
      <c r="N85" s="61">
        <v>12938823.558180001</v>
      </c>
    </row>
    <row r="86" spans="2:14" s="54" customFormat="1" ht="14.1" customHeight="1" x14ac:dyDescent="0.2">
      <c r="B86" s="143" t="s">
        <v>173</v>
      </c>
      <c r="C86" s="144">
        <v>2646461.9846100002</v>
      </c>
      <c r="D86" s="144">
        <v>4568206.8673900003</v>
      </c>
      <c r="E86" s="144">
        <v>179065.92794000002</v>
      </c>
      <c r="F86" s="144">
        <v>7463085.7046600003</v>
      </c>
      <c r="G86" s="144">
        <v>14856820.4846</v>
      </c>
      <c r="H86" s="144">
        <v>406296.60206000006</v>
      </c>
      <c r="I86" s="144">
        <v>818460.73840000003</v>
      </c>
      <c r="J86" s="144">
        <v>1224757.3404600001</v>
      </c>
      <c r="K86" s="144">
        <v>315149.53379000002</v>
      </c>
      <c r="L86" s="144">
        <v>909011.45204</v>
      </c>
      <c r="M86" s="144">
        <v>1224160.9858300001</v>
      </c>
      <c r="N86" s="145">
        <v>17305738.81089</v>
      </c>
    </row>
    <row r="87" spans="2:14" s="54" customFormat="1" ht="14.1" customHeight="1" x14ac:dyDescent="0.2">
      <c r="B87" s="63" t="s">
        <v>174</v>
      </c>
      <c r="C87" s="60">
        <v>615896.31403000001</v>
      </c>
      <c r="D87" s="60">
        <v>1056526.07807</v>
      </c>
      <c r="E87" s="60">
        <v>37966.573110000005</v>
      </c>
      <c r="F87" s="60">
        <v>1635395.3125500004</v>
      </c>
      <c r="G87" s="60">
        <v>3345784.2777600004</v>
      </c>
      <c r="H87" s="60">
        <v>36535.138500000001</v>
      </c>
      <c r="I87" s="60">
        <v>61943.945429999992</v>
      </c>
      <c r="J87" s="60">
        <v>98479.083929999993</v>
      </c>
      <c r="K87" s="60">
        <v>77182.649210000003</v>
      </c>
      <c r="L87" s="60">
        <v>66963.660709999996</v>
      </c>
      <c r="M87" s="60">
        <v>144146.30992</v>
      </c>
      <c r="N87" s="61">
        <v>3588409.6716100005</v>
      </c>
    </row>
    <row r="88" spans="2:14" s="54" customFormat="1" ht="14.1" customHeight="1" x14ac:dyDescent="0.2">
      <c r="B88" s="63" t="s">
        <v>175</v>
      </c>
      <c r="C88" s="60">
        <v>1372528.5356899998</v>
      </c>
      <c r="D88" s="60">
        <v>2221607.6897999998</v>
      </c>
      <c r="E88" s="60">
        <v>134500.64450000002</v>
      </c>
      <c r="F88" s="60">
        <v>4173268.3966399999</v>
      </c>
      <c r="G88" s="60">
        <v>7901905.2666299995</v>
      </c>
      <c r="H88" s="60">
        <v>138588.85647</v>
      </c>
      <c r="I88" s="60">
        <v>196405.94462999998</v>
      </c>
      <c r="J88" s="60">
        <v>334994.80109999998</v>
      </c>
      <c r="K88" s="60">
        <v>79933.072679999997</v>
      </c>
      <c r="L88" s="60">
        <v>473660.65474999999</v>
      </c>
      <c r="M88" s="60">
        <v>553593.72742999997</v>
      </c>
      <c r="N88" s="61">
        <v>8790493.7951599993</v>
      </c>
    </row>
    <row r="89" spans="2:14" s="54" customFormat="1" ht="14.1" customHeight="1" x14ac:dyDescent="0.2">
      <c r="B89" s="63" t="s">
        <v>176</v>
      </c>
      <c r="C89" s="60">
        <v>1993022.4216499999</v>
      </c>
      <c r="D89" s="60">
        <v>3255984.13613</v>
      </c>
      <c r="E89" s="60">
        <v>144660.85168000002</v>
      </c>
      <c r="F89" s="60">
        <v>5349939.7823900003</v>
      </c>
      <c r="G89" s="60">
        <v>10743607.191849999</v>
      </c>
      <c r="H89" s="60">
        <v>231005.46380000003</v>
      </c>
      <c r="I89" s="60">
        <v>358652.48931999994</v>
      </c>
      <c r="J89" s="60">
        <v>589657.95311999996</v>
      </c>
      <c r="K89" s="60">
        <v>142146.93053000001</v>
      </c>
      <c r="L89" s="60">
        <v>554714.31538000004</v>
      </c>
      <c r="M89" s="60">
        <v>696861.24591000006</v>
      </c>
      <c r="N89" s="61">
        <v>12030126.39088</v>
      </c>
    </row>
    <row r="90" spans="2:14" s="54" customFormat="1" ht="14.1" customHeight="1" x14ac:dyDescent="0.2">
      <c r="B90" s="143" t="s">
        <v>177</v>
      </c>
      <c r="C90" s="144">
        <v>2773179.9519799999</v>
      </c>
      <c r="D90" s="144">
        <v>4866215.6660599997</v>
      </c>
      <c r="E90" s="144">
        <v>176099.67006999999</v>
      </c>
      <c r="F90" s="144">
        <v>8098259.5976900011</v>
      </c>
      <c r="G90" s="144">
        <v>15913754.8858</v>
      </c>
      <c r="H90" s="144">
        <v>504175.04145999998</v>
      </c>
      <c r="I90" s="144">
        <v>965390.88637999992</v>
      </c>
      <c r="J90" s="144">
        <v>1469565.92784</v>
      </c>
      <c r="K90" s="144">
        <v>318600.20366</v>
      </c>
      <c r="L90" s="144">
        <v>925960.50719999999</v>
      </c>
      <c r="M90" s="144">
        <v>1244560.71086</v>
      </c>
      <c r="N90" s="145">
        <v>18627881.524500001</v>
      </c>
    </row>
    <row r="91" spans="2:14" s="54" customFormat="1" ht="14.1" customHeight="1" x14ac:dyDescent="0.2">
      <c r="B91" s="63" t="s">
        <v>178</v>
      </c>
      <c r="C91" s="60">
        <v>637261.42575000005</v>
      </c>
      <c r="D91" s="60">
        <v>1042810.5057500011</v>
      </c>
      <c r="E91" s="60">
        <v>51755.81422</v>
      </c>
      <c r="F91" s="60">
        <v>1550992.0470000005</v>
      </c>
      <c r="G91" s="60">
        <v>3282819.7927200017</v>
      </c>
      <c r="H91" s="60">
        <v>39006.068410000007</v>
      </c>
      <c r="I91" s="60">
        <v>91992.304279999982</v>
      </c>
      <c r="J91" s="60">
        <v>130998.37268999999</v>
      </c>
      <c r="K91" s="60">
        <v>19174.928019999999</v>
      </c>
      <c r="L91" s="60">
        <v>68744.613079999996</v>
      </c>
      <c r="M91" s="60">
        <v>87919.541100000002</v>
      </c>
      <c r="N91" s="61">
        <v>3501737.7065100018</v>
      </c>
    </row>
    <row r="92" spans="2:14" s="54" customFormat="1" ht="14.1" customHeight="1" x14ac:dyDescent="0.2">
      <c r="B92" s="63" t="s">
        <v>179</v>
      </c>
      <c r="C92" s="60">
        <v>1437008.0798299999</v>
      </c>
      <c r="D92" s="60">
        <v>2160628.9847599999</v>
      </c>
      <c r="E92" s="60">
        <v>109447.04178999999</v>
      </c>
      <c r="F92" s="60">
        <v>3744313.1409499999</v>
      </c>
      <c r="G92" s="60">
        <v>7451397.2473299997</v>
      </c>
      <c r="H92" s="60">
        <v>150885.77645999999</v>
      </c>
      <c r="I92" s="60">
        <v>365852.80945999996</v>
      </c>
      <c r="J92" s="60">
        <v>516738.58591999998</v>
      </c>
      <c r="K92" s="60">
        <v>89681.629660000006</v>
      </c>
      <c r="L92" s="60">
        <v>336298.65474000003</v>
      </c>
      <c r="M92" s="60">
        <v>425980.2844</v>
      </c>
      <c r="N92" s="61">
        <v>8394116.1176500004</v>
      </c>
    </row>
    <row r="93" spans="2:14" s="54" customFormat="1" ht="14.1" customHeight="1" x14ac:dyDescent="0.2">
      <c r="B93" s="63" t="s">
        <v>180</v>
      </c>
      <c r="C93" s="60">
        <v>2099444.2165800002</v>
      </c>
      <c r="D93" s="60">
        <v>3359170.04734</v>
      </c>
      <c r="E93" s="60">
        <v>129668.45342999999</v>
      </c>
      <c r="F93" s="60">
        <v>5760432.7152999993</v>
      </c>
      <c r="G93" s="60">
        <f t="shared" ref="G93" si="4">SUM(C93:F93)</f>
        <v>11348715.43265</v>
      </c>
      <c r="H93" s="60">
        <v>230905.99022000001</v>
      </c>
      <c r="I93" s="60">
        <v>606284.30739999993</v>
      </c>
      <c r="J93" s="60">
        <f t="shared" ref="J93" si="5">SUM(H93:I93)</f>
        <v>837190.29761999997</v>
      </c>
      <c r="K93" s="60">
        <v>121927.14778</v>
      </c>
      <c r="L93" s="60">
        <v>608427.64911</v>
      </c>
      <c r="M93" s="60">
        <f t="shared" ref="M93" si="6">SUM(K93:L93)</f>
        <v>730354.79689</v>
      </c>
      <c r="N93" s="61">
        <f t="shared" ref="N93" si="7">SUM(M93,J93,G93)</f>
        <v>12916260.52716</v>
      </c>
    </row>
    <row r="94" spans="2:14" s="54" customFormat="1" ht="14.1" customHeight="1" x14ac:dyDescent="0.2">
      <c r="B94" s="143" t="s">
        <v>181</v>
      </c>
      <c r="C94" s="144">
        <v>2930751.8360200003</v>
      </c>
      <c r="D94" s="144">
        <v>5049926.0779299997</v>
      </c>
      <c r="E94" s="144">
        <v>174428.00865</v>
      </c>
      <c r="F94" s="144">
        <v>8264609.1239000019</v>
      </c>
      <c r="G94" s="144">
        <v>16419715.046500001</v>
      </c>
      <c r="H94" s="144">
        <v>518970.17908000003</v>
      </c>
      <c r="I94" s="144">
        <v>1620011.0066499999</v>
      </c>
      <c r="J94" s="144">
        <v>2138981.18573</v>
      </c>
      <c r="K94" s="144">
        <v>496317.56023000006</v>
      </c>
      <c r="L94" s="144">
        <v>1009421.2558800001</v>
      </c>
      <c r="M94" s="144">
        <v>1505738.81611</v>
      </c>
      <c r="N94" s="145">
        <v>20064435.04834</v>
      </c>
    </row>
    <row r="95" spans="2:14" s="54" customFormat="1" ht="14.1" customHeight="1" x14ac:dyDescent="0.2">
      <c r="B95" s="63" t="s">
        <v>182</v>
      </c>
      <c r="C95" s="60">
        <v>698565.46624999901</v>
      </c>
      <c r="D95" s="60">
        <v>1214820.2094399999</v>
      </c>
      <c r="E95" s="60">
        <v>70225.164660000009</v>
      </c>
      <c r="F95" s="60">
        <v>1665705.1570400004</v>
      </c>
      <c r="G95" s="60">
        <v>3649315.9973899992</v>
      </c>
      <c r="H95" s="60">
        <v>41034.033000000003</v>
      </c>
      <c r="I95" s="60">
        <v>76448.359260000012</v>
      </c>
      <c r="J95" s="60">
        <v>117482.39226000002</v>
      </c>
      <c r="K95" s="60">
        <v>12385.851850000001</v>
      </c>
      <c r="L95" s="60">
        <v>159479.95238999999</v>
      </c>
      <c r="M95" s="60">
        <v>171865.80424</v>
      </c>
      <c r="N95" s="61">
        <v>3938664.1938899993</v>
      </c>
    </row>
    <row r="96" spans="2:14" s="54" customFormat="1" ht="14.1" customHeight="1" x14ac:dyDescent="0.2">
      <c r="B96" s="63" t="s">
        <v>183</v>
      </c>
      <c r="C96" s="60">
        <v>1548764.8279499998</v>
      </c>
      <c r="D96" s="60">
        <v>2450603.5720299999</v>
      </c>
      <c r="E96" s="60">
        <v>152967.78925999999</v>
      </c>
      <c r="F96" s="60">
        <v>4236081.9924499998</v>
      </c>
      <c r="G96" s="60">
        <v>8388418.18169</v>
      </c>
      <c r="H96" s="60">
        <v>172127.52770000001</v>
      </c>
      <c r="I96" s="60">
        <v>407554.10606999998</v>
      </c>
      <c r="J96" s="60">
        <v>579681.63376999996</v>
      </c>
      <c r="K96" s="60">
        <v>35091.747749999995</v>
      </c>
      <c r="L96" s="60">
        <v>690659.23810999992</v>
      </c>
      <c r="M96" s="60">
        <v>725750.9858599999</v>
      </c>
      <c r="N96" s="61">
        <v>9693850.8013199996</v>
      </c>
    </row>
    <row r="97" spans="2:14" s="54" customFormat="1" ht="14.1" customHeight="1" x14ac:dyDescent="0.2">
      <c r="B97" s="63" t="s">
        <v>184</v>
      </c>
      <c r="C97" s="60">
        <v>2252446.7047699997</v>
      </c>
      <c r="D97" s="60">
        <v>3699360.0817199997</v>
      </c>
      <c r="E97" s="60">
        <v>190288.85488</v>
      </c>
      <c r="F97" s="60">
        <v>6373192.0087300008</v>
      </c>
      <c r="G97" s="60">
        <v>12515287.6501</v>
      </c>
      <c r="H97" s="60">
        <v>310316.64988000004</v>
      </c>
      <c r="I97" s="60">
        <v>692096.47960999992</v>
      </c>
      <c r="J97" s="60">
        <v>1002413.12949</v>
      </c>
      <c r="K97" s="60">
        <v>181785.62956</v>
      </c>
      <c r="L97" s="60">
        <v>888153.19066999992</v>
      </c>
      <c r="M97" s="60">
        <v>1069938.82023</v>
      </c>
      <c r="N97" s="61">
        <v>14587639.599819999</v>
      </c>
    </row>
    <row r="98" spans="2:14" s="54" customFormat="1" ht="14.1" customHeight="1" x14ac:dyDescent="0.2">
      <c r="B98" s="143" t="s">
        <v>185</v>
      </c>
      <c r="C98" s="144">
        <v>3114326.3925199998</v>
      </c>
      <c r="D98" s="144">
        <v>5295155.9012000002</v>
      </c>
      <c r="E98" s="144">
        <v>256258.74477999998</v>
      </c>
      <c r="F98" s="144">
        <v>9013226.1537799966</v>
      </c>
      <c r="G98" s="144">
        <v>17678967.192279994</v>
      </c>
      <c r="H98" s="144">
        <v>680106.53243999998</v>
      </c>
      <c r="I98" s="144">
        <v>1661428.10849</v>
      </c>
      <c r="J98" s="144">
        <v>2341534.6409299998</v>
      </c>
      <c r="K98" s="144">
        <v>383988.13378999999</v>
      </c>
      <c r="L98" s="144">
        <v>1071832.6384399999</v>
      </c>
      <c r="M98" s="144">
        <v>1455820.7722299998</v>
      </c>
      <c r="N98" s="145">
        <v>21476322.605439994</v>
      </c>
    </row>
    <row r="99" spans="2:14" s="54" customFormat="1" ht="14.1" customHeight="1" x14ac:dyDescent="0.2">
      <c r="B99" s="63" t="s">
        <v>218</v>
      </c>
      <c r="C99" s="60">
        <v>740593.48006999993</v>
      </c>
      <c r="D99" s="60">
        <v>1347603.2257400001</v>
      </c>
      <c r="E99" s="60">
        <v>82648.334399999992</v>
      </c>
      <c r="F99" s="60">
        <v>1702903.9993799999</v>
      </c>
      <c r="G99" s="60">
        <v>3873749.0395900002</v>
      </c>
      <c r="H99" s="60">
        <v>52699.061600000001</v>
      </c>
      <c r="I99" s="60">
        <v>65517.996819999993</v>
      </c>
      <c r="J99" s="60">
        <v>118217.05841999999</v>
      </c>
      <c r="K99" s="60">
        <v>52713.987840000002</v>
      </c>
      <c r="L99" s="60">
        <v>195063.28570000001</v>
      </c>
      <c r="M99" s="60">
        <v>247777.27354000002</v>
      </c>
      <c r="N99" s="61">
        <v>4239743.3715500003</v>
      </c>
    </row>
    <row r="100" spans="2:14" s="54" customFormat="1" ht="14.1" customHeight="1" x14ac:dyDescent="0.2">
      <c r="B100" s="63" t="s">
        <v>219</v>
      </c>
      <c r="C100" s="60">
        <v>1632286.2150000001</v>
      </c>
      <c r="D100" s="60">
        <v>2834604.3969999999</v>
      </c>
      <c r="E100" s="60">
        <v>197622.823</v>
      </c>
      <c r="F100" s="60">
        <v>4847537.0380000006</v>
      </c>
      <c r="G100" s="60">
        <v>9512050.4730000012</v>
      </c>
      <c r="H100" s="60">
        <v>177658.88500000001</v>
      </c>
      <c r="I100" s="60">
        <v>343027.58600000001</v>
      </c>
      <c r="J100" s="60">
        <v>520686.47100000002</v>
      </c>
      <c r="K100" s="60">
        <v>61027.957999999999</v>
      </c>
      <c r="L100" s="60">
        <v>302909.23700000002</v>
      </c>
      <c r="M100" s="60">
        <v>363937.19500000001</v>
      </c>
      <c r="N100" s="61">
        <v>10396674.139</v>
      </c>
    </row>
    <row r="101" spans="2:14" s="54" customFormat="1" ht="14.1" customHeight="1" x14ac:dyDescent="0.2">
      <c r="B101" s="63" t="s">
        <v>220</v>
      </c>
      <c r="C101" s="60">
        <v>2395420.7760000001</v>
      </c>
      <c r="D101" s="60">
        <v>4097290.4280000003</v>
      </c>
      <c r="E101" s="60">
        <v>243918.67600000001</v>
      </c>
      <c r="F101" s="60">
        <v>6422097.3279999997</v>
      </c>
      <c r="G101" s="60">
        <v>13158727.208000001</v>
      </c>
      <c r="H101" s="60">
        <v>298804.21999999997</v>
      </c>
      <c r="I101" s="60">
        <v>559167.32900000003</v>
      </c>
      <c r="J101" s="60">
        <v>857971.549</v>
      </c>
      <c r="K101" s="60">
        <v>63027.115000000005</v>
      </c>
      <c r="L101" s="60">
        <v>704561.21</v>
      </c>
      <c r="M101" s="60">
        <v>767588.32499999995</v>
      </c>
      <c r="N101" s="61">
        <v>14784287.082</v>
      </c>
    </row>
    <row r="102" spans="2:14" s="54" customFormat="1" ht="14.1" customHeight="1" x14ac:dyDescent="0.2">
      <c r="B102" s="143" t="s">
        <v>221</v>
      </c>
      <c r="C102" s="144">
        <v>3282819.01</v>
      </c>
      <c r="D102" s="144">
        <v>5796807.3559999997</v>
      </c>
      <c r="E102" s="144">
        <v>293664.647</v>
      </c>
      <c r="F102" s="144">
        <v>9284938.9509999976</v>
      </c>
      <c r="G102" s="144">
        <v>18658229.963999998</v>
      </c>
      <c r="H102" s="144">
        <v>619236.96099999989</v>
      </c>
      <c r="I102" s="144">
        <v>1407636.1807800001</v>
      </c>
      <c r="J102" s="144">
        <v>2026873.1417799999</v>
      </c>
      <c r="K102" s="144">
        <v>193926.57699999999</v>
      </c>
      <c r="L102" s="144">
        <v>916130.82599999988</v>
      </c>
      <c r="M102" s="144">
        <v>1110057.4029999999</v>
      </c>
      <c r="N102" s="145">
        <v>21795160.508779999</v>
      </c>
    </row>
    <row r="103" spans="2:14" s="54" customFormat="1" ht="14.1" customHeight="1" x14ac:dyDescent="0.2">
      <c r="B103" s="63" t="s">
        <v>225</v>
      </c>
      <c r="C103" s="60">
        <v>738508.03545000008</v>
      </c>
      <c r="D103" s="60">
        <v>1397397.3362499999</v>
      </c>
      <c r="E103" s="60">
        <v>69224.107859999989</v>
      </c>
      <c r="F103" s="60">
        <v>1806322.5641800002</v>
      </c>
      <c r="G103" s="60">
        <v>4011452.0437400001</v>
      </c>
      <c r="H103" s="60">
        <v>58416.005489999996</v>
      </c>
      <c r="I103" s="60">
        <v>79034.339349999995</v>
      </c>
      <c r="J103" s="60">
        <v>137450.34483999998</v>
      </c>
      <c r="K103" s="60">
        <v>34240.990019999997</v>
      </c>
      <c r="L103" s="60">
        <v>736495.63833999995</v>
      </c>
      <c r="M103" s="60">
        <v>770736.62835999997</v>
      </c>
      <c r="N103" s="61">
        <v>4919639.0169399995</v>
      </c>
    </row>
    <row r="104" spans="2:14" s="54" customFormat="1" ht="14.1" customHeight="1" x14ac:dyDescent="0.2">
      <c r="B104" s="63" t="s">
        <v>226</v>
      </c>
      <c r="C104" s="60">
        <v>1650961.2411499999</v>
      </c>
      <c r="D104" s="60">
        <v>2790777.8701599999</v>
      </c>
      <c r="E104" s="60">
        <v>191894.35965999999</v>
      </c>
      <c r="F104" s="60">
        <v>4568677.1444399999</v>
      </c>
      <c r="G104" s="60">
        <v>9202310.6154100001</v>
      </c>
      <c r="H104" s="60">
        <v>185508.65110999998</v>
      </c>
      <c r="I104" s="60">
        <v>350841.55104999995</v>
      </c>
      <c r="J104" s="60">
        <v>536350.20215999987</v>
      </c>
      <c r="K104" s="60">
        <v>66068.399810000003</v>
      </c>
      <c r="L104" s="60">
        <v>875818.94368000003</v>
      </c>
      <c r="M104" s="60">
        <v>941887.34349</v>
      </c>
      <c r="N104" s="61">
        <v>10680548.161060002</v>
      </c>
    </row>
    <row r="105" spans="2:14" s="54" customFormat="1" ht="14.1" customHeight="1" x14ac:dyDescent="0.2">
      <c r="B105" s="63" t="s">
        <v>227</v>
      </c>
      <c r="C105" s="60">
        <v>2438103.6710000001</v>
      </c>
      <c r="D105" s="60">
        <v>4116717.2080000001</v>
      </c>
      <c r="E105" s="60">
        <v>229195.87600000002</v>
      </c>
      <c r="F105" s="60">
        <v>6795269.4960000012</v>
      </c>
      <c r="G105" s="60">
        <v>13579286.251000002</v>
      </c>
      <c r="H105" s="60">
        <v>353946.74099999998</v>
      </c>
      <c r="I105" s="60">
        <v>632215.723</v>
      </c>
      <c r="J105" s="60">
        <v>986162.46399999992</v>
      </c>
      <c r="K105" s="60">
        <v>97790.673999999999</v>
      </c>
      <c r="L105" s="60">
        <v>1044918.773</v>
      </c>
      <c r="M105" s="60">
        <v>1142709.4470000002</v>
      </c>
      <c r="N105" s="61">
        <v>15708158.162000002</v>
      </c>
    </row>
    <row r="106" spans="2:14" s="54" customFormat="1" ht="14.1" customHeight="1" x14ac:dyDescent="0.2">
      <c r="B106" s="143" t="s">
        <v>228</v>
      </c>
      <c r="C106" s="144">
        <f>'consolidado GV-DDFF'!D6</f>
        <v>3386679.5749999997</v>
      </c>
      <c r="D106" s="144">
        <f>'consolidado GV-DDFF'!D7</f>
        <v>5935171.8845499996</v>
      </c>
      <c r="E106" s="144">
        <f>'consolidado GV-DDFF'!D8</f>
        <v>265793.62757000001</v>
      </c>
      <c r="F106" s="144">
        <f>'consolidado GV-DDFF'!D9</f>
        <v>9615480.0653000027</v>
      </c>
      <c r="G106" s="144">
        <f>SUM(C106:F106)</f>
        <v>19203125.152419999</v>
      </c>
      <c r="H106" s="144">
        <f>'consolidado GV-DDFF'!D10</f>
        <v>670734.98636999994</v>
      </c>
      <c r="I106" s="144">
        <f>'consolidado GV-DDFF'!D11</f>
        <v>1550386.9635599998</v>
      </c>
      <c r="J106" s="144">
        <f>H106+I106</f>
        <v>2221121.9499299997</v>
      </c>
      <c r="K106" s="144">
        <f>'consolidado GV-DDFF'!D12</f>
        <v>311926.87583999999</v>
      </c>
      <c r="L106" s="144">
        <f>'consolidado GV-DDFF'!D13</f>
        <v>1080447.4356</v>
      </c>
      <c r="M106" s="144">
        <f>K106+L106</f>
        <v>1392374.3114399998</v>
      </c>
      <c r="N106" s="145">
        <f>G106+J106+M106</f>
        <v>22816621.413789999</v>
      </c>
    </row>
    <row r="107" spans="2:14" s="54" customFormat="1" ht="3.9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2:14" s="54" customFormat="1" ht="6" customHeight="1" x14ac:dyDescent="0.2"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</row>
    <row r="109" spans="2:14" x14ac:dyDescent="0.2">
      <c r="B109" s="287" t="s">
        <v>43</v>
      </c>
      <c r="C109" s="287"/>
    </row>
  </sheetData>
  <mergeCells count="1">
    <mergeCell ref="B109:C109"/>
  </mergeCells>
  <phoneticPr fontId="0" type="noConversion"/>
  <hyperlinks>
    <hyperlink ref="B109" location="Índice!A1" tooltip="Volver al índice" display="◄ volver al menu" xr:uid="{00000000-0004-0000-0D00-000000000000}"/>
  </hyperlinks>
  <printOptions horizontalCentered="1"/>
  <pageMargins left="0" right="0" top="0" bottom="0" header="0" footer="0"/>
  <pageSetup paperSize="9" scale="76" orientation="portrait" r:id="rId1"/>
  <headerFooter alignWithMargins="0">
    <oddFooter>&amp;C&amp;G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8"/>
    <pageSetUpPr fitToPage="1"/>
  </sheetPr>
  <dimension ref="A1:O108"/>
  <sheetViews>
    <sheetView showGridLines="0" showZeros="0" zoomScaleNormal="100" workbookViewId="0">
      <pane xSplit="2" ySplit="5" topLeftCell="C85" activePane="bottomRight" state="frozen"/>
      <selection pane="topRight"/>
      <selection pane="bottomLeft"/>
      <selection pane="bottomRight" activeCell="J112" sqref="J112"/>
    </sheetView>
  </sheetViews>
  <sheetFormatPr baseColWidth="10" defaultColWidth="11.42578125" defaultRowHeight="15.75" x14ac:dyDescent="0.25"/>
  <cols>
    <col min="1" max="1" width="2.28515625" style="13" customWidth="1"/>
    <col min="2" max="2" width="9.7109375" style="57" customWidth="1"/>
    <col min="3" max="4" width="10.85546875" style="57" bestFit="1" customWidth="1"/>
    <col min="5" max="7" width="10" style="57" customWidth="1"/>
    <col min="8" max="8" width="10.85546875" style="57" bestFit="1" customWidth="1"/>
    <col min="9" max="9" width="9.28515625" style="57" customWidth="1"/>
    <col min="10" max="10" width="9.5703125" style="57" customWidth="1"/>
    <col min="11" max="11" width="9.28515625" style="57" customWidth="1"/>
    <col min="12" max="12" width="9.5703125" style="57" customWidth="1"/>
    <col min="13" max="13" width="10" style="57" bestFit="1" customWidth="1"/>
    <col min="14" max="14" width="10" style="57" customWidth="1"/>
    <col min="15" max="15" width="13.85546875" style="57" customWidth="1"/>
    <col min="16" max="16384" width="11.42578125" style="12"/>
  </cols>
  <sheetData>
    <row r="1" spans="2:15" s="55" customFormat="1" x14ac:dyDescent="0.2">
      <c r="B1" s="62" t="s">
        <v>9</v>
      </c>
      <c r="O1" s="130" t="str">
        <f>Índice!B8</f>
        <v>4ºTrimestre 2025</v>
      </c>
    </row>
    <row r="2" spans="2:15" s="54" customFormat="1" ht="18" customHeight="1" x14ac:dyDescent="0.2">
      <c r="B2" s="88" t="s">
        <v>186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2:15" s="54" customFormat="1" ht="13.5" customHeight="1" x14ac:dyDescent="0.2">
      <c r="B3" s="89" t="s">
        <v>187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2:15" s="54" customFormat="1" ht="17.2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1" t="s">
        <v>80</v>
      </c>
    </row>
    <row r="5" spans="2:15" s="58" customFormat="1" ht="33" customHeight="1" x14ac:dyDescent="0.2">
      <c r="B5" s="90" t="s">
        <v>81</v>
      </c>
      <c r="C5" s="91" t="s">
        <v>188</v>
      </c>
      <c r="D5" s="91" t="s">
        <v>189</v>
      </c>
      <c r="E5" s="91" t="s">
        <v>190</v>
      </c>
      <c r="F5" s="91" t="s">
        <v>85</v>
      </c>
      <c r="G5" s="91" t="s">
        <v>191</v>
      </c>
      <c r="H5" s="92" t="s">
        <v>86</v>
      </c>
      <c r="I5" s="91" t="s">
        <v>192</v>
      </c>
      <c r="J5" s="91" t="s">
        <v>193</v>
      </c>
      <c r="K5" s="92" t="s">
        <v>194</v>
      </c>
      <c r="L5" s="91" t="s">
        <v>90</v>
      </c>
      <c r="M5" s="91" t="s">
        <v>195</v>
      </c>
      <c r="N5" s="92" t="s">
        <v>92</v>
      </c>
      <c r="O5" s="93" t="s">
        <v>93</v>
      </c>
    </row>
    <row r="6" spans="2:15" s="54" customFormat="1" ht="4.5" customHeight="1" x14ac:dyDescent="0.2">
      <c r="B6" s="55"/>
      <c r="C6" s="55"/>
      <c r="D6" s="55"/>
      <c r="E6" s="55"/>
      <c r="F6" s="55"/>
      <c r="G6" s="62"/>
      <c r="H6" s="55"/>
      <c r="I6" s="55"/>
      <c r="J6" s="62"/>
      <c r="K6" s="55"/>
      <c r="L6" s="55"/>
      <c r="M6" s="55"/>
      <c r="N6" s="62"/>
      <c r="O6" s="62"/>
    </row>
    <row r="7" spans="2:15" s="54" customFormat="1" ht="14.1" customHeight="1" x14ac:dyDescent="0.2">
      <c r="B7" s="143" t="s">
        <v>94</v>
      </c>
      <c r="C7" s="144">
        <v>2482406</v>
      </c>
      <c r="D7" s="144">
        <v>1927987</v>
      </c>
      <c r="E7" s="144">
        <v>170057</v>
      </c>
      <c r="F7" s="144">
        <v>400457</v>
      </c>
      <c r="G7" s="144">
        <v>92447</v>
      </c>
      <c r="H7" s="144">
        <v>5073354</v>
      </c>
      <c r="I7" s="144">
        <v>8104</v>
      </c>
      <c r="J7" s="144">
        <v>156523</v>
      </c>
      <c r="K7" s="144">
        <v>164626</v>
      </c>
      <c r="L7" s="144">
        <v>73568</v>
      </c>
      <c r="M7" s="144">
        <v>638806</v>
      </c>
      <c r="N7" s="144">
        <v>712374</v>
      </c>
      <c r="O7" s="145">
        <v>5950354</v>
      </c>
    </row>
    <row r="8" spans="2:15" s="54" customFormat="1" ht="14.1" customHeight="1" x14ac:dyDescent="0.2">
      <c r="B8" s="143" t="s">
        <v>95</v>
      </c>
      <c r="C8" s="144">
        <v>2740571</v>
      </c>
      <c r="D8" s="144">
        <v>2117622</v>
      </c>
      <c r="E8" s="144">
        <v>186032</v>
      </c>
      <c r="F8" s="144">
        <v>531706</v>
      </c>
      <c r="G8" s="144">
        <v>93149</v>
      </c>
      <c r="H8" s="144">
        <v>5669079</v>
      </c>
      <c r="I8" s="144">
        <v>13132</v>
      </c>
      <c r="J8" s="144">
        <v>77928</v>
      </c>
      <c r="K8" s="144">
        <v>91061</v>
      </c>
      <c r="L8" s="144">
        <v>44728</v>
      </c>
      <c r="M8" s="144">
        <v>491612</v>
      </c>
      <c r="N8" s="144">
        <v>536340</v>
      </c>
      <c r="O8" s="145">
        <v>6296480</v>
      </c>
    </row>
    <row r="9" spans="2:15" s="54" customFormat="1" ht="14.1" customHeight="1" x14ac:dyDescent="0.2">
      <c r="B9" s="143" t="s">
        <v>96</v>
      </c>
      <c r="C9" s="144">
        <v>2869628</v>
      </c>
      <c r="D9" s="144">
        <v>2977975</v>
      </c>
      <c r="E9" s="144">
        <v>160350</v>
      </c>
      <c r="F9" s="144">
        <v>325196</v>
      </c>
      <c r="G9" s="144">
        <v>73814</v>
      </c>
      <c r="H9" s="144">
        <v>6406964</v>
      </c>
      <c r="I9" s="144">
        <v>15850</v>
      </c>
      <c r="J9" s="144">
        <v>185902</v>
      </c>
      <c r="K9" s="144">
        <v>201752</v>
      </c>
      <c r="L9" s="144">
        <v>41377</v>
      </c>
      <c r="M9" s="144">
        <v>266485</v>
      </c>
      <c r="N9" s="144">
        <v>307861</v>
      </c>
      <c r="O9" s="145">
        <v>6916578</v>
      </c>
    </row>
    <row r="10" spans="2:15" s="54" customFormat="1" ht="14.1" customHeight="1" x14ac:dyDescent="0.2">
      <c r="B10" s="143" t="s">
        <v>97</v>
      </c>
      <c r="C10" s="144">
        <v>3279309</v>
      </c>
      <c r="D10" s="144">
        <v>3439816</v>
      </c>
      <c r="E10" s="144">
        <v>169849</v>
      </c>
      <c r="F10" s="144">
        <v>280792</v>
      </c>
      <c r="G10" s="144">
        <v>52246</v>
      </c>
      <c r="H10" s="144">
        <v>7222011</v>
      </c>
      <c r="I10" s="144">
        <v>18364</v>
      </c>
      <c r="J10" s="144">
        <v>184221</v>
      </c>
      <c r="K10" s="144">
        <v>202584</v>
      </c>
      <c r="L10" s="144">
        <v>22771</v>
      </c>
      <c r="M10" s="144">
        <v>293640</v>
      </c>
      <c r="N10" s="144">
        <v>316411</v>
      </c>
      <c r="O10" s="145">
        <v>7741006</v>
      </c>
    </row>
    <row r="11" spans="2:15" s="54" customFormat="1" ht="14.1" customHeight="1" x14ac:dyDescent="0.2">
      <c r="B11" s="143" t="s">
        <v>98</v>
      </c>
      <c r="C11" s="144">
        <v>3473942</v>
      </c>
      <c r="D11" s="144">
        <v>3838121</v>
      </c>
      <c r="E11" s="144">
        <v>178459</v>
      </c>
      <c r="F11" s="144">
        <v>169161</v>
      </c>
      <c r="G11" s="144">
        <v>49596</v>
      </c>
      <c r="H11" s="144">
        <v>7709280</v>
      </c>
      <c r="I11" s="144">
        <v>9121</v>
      </c>
      <c r="J11" s="144">
        <v>95805</v>
      </c>
      <c r="K11" s="144">
        <v>104926</v>
      </c>
      <c r="L11" s="144">
        <v>18809</v>
      </c>
      <c r="M11" s="144">
        <v>155051</v>
      </c>
      <c r="N11" s="144">
        <v>173859</v>
      </c>
      <c r="O11" s="145">
        <v>7988065</v>
      </c>
    </row>
    <row r="12" spans="2:15" s="54" customFormat="1" ht="14.1" customHeight="1" x14ac:dyDescent="0.2">
      <c r="B12" s="143" t="s">
        <v>99</v>
      </c>
      <c r="C12" s="144">
        <v>3694695</v>
      </c>
      <c r="D12" s="144">
        <v>4277230</v>
      </c>
      <c r="E12" s="144">
        <v>188058</v>
      </c>
      <c r="F12" s="144">
        <v>185884</v>
      </c>
      <c r="G12" s="144">
        <v>84419</v>
      </c>
      <c r="H12" s="144">
        <v>8430286</v>
      </c>
      <c r="I12" s="144">
        <v>12310</v>
      </c>
      <c r="J12" s="144">
        <v>64230</v>
      </c>
      <c r="K12" s="144">
        <v>76540</v>
      </c>
      <c r="L12" s="144">
        <v>28571</v>
      </c>
      <c r="M12" s="144" t="s">
        <v>196</v>
      </c>
      <c r="N12" s="144">
        <v>28571</v>
      </c>
      <c r="O12" s="145">
        <v>8535396</v>
      </c>
    </row>
    <row r="13" spans="2:15" s="54" customFormat="1" ht="14.1" customHeight="1" x14ac:dyDescent="0.2">
      <c r="B13" s="143" t="s">
        <v>100</v>
      </c>
      <c r="C13" s="144">
        <v>3920977</v>
      </c>
      <c r="D13" s="144">
        <v>4267495</v>
      </c>
      <c r="E13" s="144">
        <v>212452</v>
      </c>
      <c r="F13" s="144">
        <v>154590</v>
      </c>
      <c r="G13" s="144">
        <v>93169</v>
      </c>
      <c r="H13" s="144">
        <v>8648683</v>
      </c>
      <c r="I13" s="144">
        <v>9589</v>
      </c>
      <c r="J13" s="144">
        <v>136656</v>
      </c>
      <c r="K13" s="144">
        <v>146245</v>
      </c>
      <c r="L13" s="144">
        <v>35765</v>
      </c>
      <c r="M13" s="144">
        <v>362218</v>
      </c>
      <c r="N13" s="144">
        <v>397983</v>
      </c>
      <c r="O13" s="145">
        <v>9192911</v>
      </c>
    </row>
    <row r="14" spans="2:15" s="54" customFormat="1" ht="14.1" customHeight="1" x14ac:dyDescent="0.2">
      <c r="B14" s="143" t="s">
        <v>101</v>
      </c>
      <c r="C14" s="144">
        <v>4104261</v>
      </c>
      <c r="D14" s="144">
        <v>4493797</v>
      </c>
      <c r="E14" s="144">
        <v>234448</v>
      </c>
      <c r="F14" s="144">
        <v>236308</v>
      </c>
      <c r="G14" s="144">
        <v>69144</v>
      </c>
      <c r="H14" s="144">
        <v>9137959</v>
      </c>
      <c r="I14" s="144">
        <v>11945</v>
      </c>
      <c r="J14" s="144">
        <v>209292</v>
      </c>
      <c r="K14" s="144">
        <v>221237</v>
      </c>
      <c r="L14" s="144">
        <v>27392</v>
      </c>
      <c r="M14" s="144">
        <v>561900</v>
      </c>
      <c r="N14" s="144">
        <v>589292</v>
      </c>
      <c r="O14" s="145">
        <v>9948488</v>
      </c>
    </row>
    <row r="15" spans="2:15" s="54" customFormat="1" ht="14.1" customHeight="1" x14ac:dyDescent="0.2">
      <c r="B15" s="63" t="s">
        <v>102</v>
      </c>
      <c r="C15" s="60">
        <v>939179.9471799999</v>
      </c>
      <c r="D15" s="60">
        <v>972949.92217999988</v>
      </c>
      <c r="E15" s="60">
        <v>60711.863939999988</v>
      </c>
      <c r="F15" s="60">
        <v>41173.373099999968</v>
      </c>
      <c r="G15" s="60">
        <v>2619.2716799999998</v>
      </c>
      <c r="H15" s="60">
        <v>2016634.3780799999</v>
      </c>
      <c r="I15" s="60">
        <v>33.909970000000001</v>
      </c>
      <c r="J15" s="60">
        <v>12463.760049999999</v>
      </c>
      <c r="K15" s="60">
        <v>12497.67002</v>
      </c>
      <c r="L15" s="60">
        <v>3145.4772699999999</v>
      </c>
      <c r="M15" s="60">
        <v>0</v>
      </c>
      <c r="N15" s="60">
        <v>3145.4772699999999</v>
      </c>
      <c r="O15" s="61">
        <v>2032277.5253699999</v>
      </c>
    </row>
    <row r="16" spans="2:15" s="54" customFormat="1" ht="14.1" customHeight="1" x14ac:dyDescent="0.2">
      <c r="B16" s="146" t="s">
        <v>103</v>
      </c>
      <c r="C16" s="60">
        <v>1460465.34</v>
      </c>
      <c r="D16" s="60">
        <v>2087445.1929500005</v>
      </c>
      <c r="E16" s="60">
        <v>104673.34849</v>
      </c>
      <c r="F16" s="60">
        <v>92088.128249999601</v>
      </c>
      <c r="G16" s="60">
        <v>9553.9167999999991</v>
      </c>
      <c r="H16" s="60">
        <v>3754225.92649</v>
      </c>
      <c r="I16" s="60">
        <v>1132.4768899999999</v>
      </c>
      <c r="J16" s="60">
        <v>56844.730490000002</v>
      </c>
      <c r="K16" s="60">
        <v>57977.20738</v>
      </c>
      <c r="L16" s="60">
        <v>5835.2422299999998</v>
      </c>
      <c r="M16" s="60">
        <v>0</v>
      </c>
      <c r="N16" s="60">
        <v>5835.2422299999998</v>
      </c>
      <c r="O16" s="61">
        <v>3818038.3761</v>
      </c>
    </row>
    <row r="17" spans="2:15" s="54" customFormat="1" ht="14.1" customHeight="1" x14ac:dyDescent="0.2">
      <c r="B17" s="63" t="s">
        <v>104</v>
      </c>
      <c r="C17" s="60">
        <v>3117502.5758799985</v>
      </c>
      <c r="D17" s="60">
        <v>3106469.9122600001</v>
      </c>
      <c r="E17" s="60">
        <v>154318.19025999997</v>
      </c>
      <c r="F17" s="60">
        <v>127013.29081000015</v>
      </c>
      <c r="G17" s="60">
        <v>24566.699329999999</v>
      </c>
      <c r="H17" s="60">
        <v>6529870.6685399981</v>
      </c>
      <c r="I17" s="60">
        <v>2866.9504400000001</v>
      </c>
      <c r="J17" s="60">
        <v>113610.93648</v>
      </c>
      <c r="K17" s="60">
        <v>116477.88692</v>
      </c>
      <c r="L17" s="60">
        <v>11958.508890000001</v>
      </c>
      <c r="M17" s="60">
        <v>0</v>
      </c>
      <c r="N17" s="60">
        <v>11958.508890000001</v>
      </c>
      <c r="O17" s="61">
        <v>6658307.0643499987</v>
      </c>
    </row>
    <row r="18" spans="2:15" s="54" customFormat="1" ht="14.1" customHeight="1" x14ac:dyDescent="0.2">
      <c r="B18" s="143" t="s">
        <v>105</v>
      </c>
      <c r="C18" s="144">
        <v>4213339.2803399991</v>
      </c>
      <c r="D18" s="144">
        <v>4884980.0657600006</v>
      </c>
      <c r="E18" s="144">
        <v>256660.37894999993</v>
      </c>
      <c r="F18" s="144">
        <v>218450.95922999922</v>
      </c>
      <c r="G18" s="144">
        <v>68448.536940000005</v>
      </c>
      <c r="H18" s="144">
        <v>9641879.221219996</v>
      </c>
      <c r="I18" s="144">
        <v>3201.92623</v>
      </c>
      <c r="J18" s="144">
        <v>168263.78198000003</v>
      </c>
      <c r="K18" s="144">
        <v>171465.70821000004</v>
      </c>
      <c r="L18" s="144">
        <v>18882.032810000001</v>
      </c>
      <c r="M18" s="144">
        <v>451000</v>
      </c>
      <c r="N18" s="144">
        <v>469882.03281</v>
      </c>
      <c r="O18" s="145">
        <v>10283226.962239997</v>
      </c>
    </row>
    <row r="19" spans="2:15" s="54" customFormat="1" ht="14.1" customHeight="1" x14ac:dyDescent="0.2">
      <c r="B19" s="63" t="s">
        <v>106</v>
      </c>
      <c r="C19" s="60">
        <v>989315.70403000014</v>
      </c>
      <c r="D19" s="60">
        <v>1173950.5979599999</v>
      </c>
      <c r="E19" s="60">
        <v>38986.397900000004</v>
      </c>
      <c r="F19" s="60">
        <v>3639.3167299998458</v>
      </c>
      <c r="G19" s="60">
        <v>3564.4493600000001</v>
      </c>
      <c r="H19" s="60">
        <v>2209456.4659799999</v>
      </c>
      <c r="I19" s="60">
        <v>109.26436000000001</v>
      </c>
      <c r="J19" s="60">
        <v>13019.026969999997</v>
      </c>
      <c r="K19" s="60">
        <v>13128.291329999996</v>
      </c>
      <c r="L19" s="60">
        <v>2938.1590499999998</v>
      </c>
      <c r="M19" s="60"/>
      <c r="N19" s="60">
        <v>2938.1590499999998</v>
      </c>
      <c r="O19" s="61">
        <v>2225522.9163599997</v>
      </c>
    </row>
    <row r="20" spans="2:15" s="54" customFormat="1" ht="14.1" customHeight="1" x14ac:dyDescent="0.2">
      <c r="B20" s="146" t="s">
        <v>107</v>
      </c>
      <c r="C20" s="60">
        <v>1469836.9740599999</v>
      </c>
      <c r="D20" s="60">
        <v>2370727.3750200006</v>
      </c>
      <c r="E20" s="60">
        <v>97773.718930000017</v>
      </c>
      <c r="F20" s="60">
        <v>46209.778820000589</v>
      </c>
      <c r="G20" s="60">
        <v>134781.82988999999</v>
      </c>
      <c r="H20" s="60">
        <v>4119329.6767200013</v>
      </c>
      <c r="I20" s="60">
        <v>2533.2631499999998</v>
      </c>
      <c r="J20" s="60">
        <v>31359.386120000003</v>
      </c>
      <c r="K20" s="60">
        <v>33892.649270000002</v>
      </c>
      <c r="L20" s="60">
        <v>6577.2330099999999</v>
      </c>
      <c r="M20" s="60">
        <v>134000</v>
      </c>
      <c r="N20" s="60">
        <v>140577.23301</v>
      </c>
      <c r="O20" s="61">
        <v>4293799.5590000013</v>
      </c>
    </row>
    <row r="21" spans="2:15" s="54" customFormat="1" ht="14.1" customHeight="1" x14ac:dyDescent="0.2">
      <c r="B21" s="63" t="s">
        <v>108</v>
      </c>
      <c r="C21" s="60">
        <v>3215627.6650700001</v>
      </c>
      <c r="D21" s="60">
        <v>3530101.0422400003</v>
      </c>
      <c r="E21" s="60">
        <v>146728.47586000001</v>
      </c>
      <c r="F21" s="60">
        <v>98700.272690000013</v>
      </c>
      <c r="G21" s="60">
        <v>9913.2753699999994</v>
      </c>
      <c r="H21" s="60">
        <v>7001070.73123</v>
      </c>
      <c r="I21" s="60">
        <v>19577.789170000004</v>
      </c>
      <c r="J21" s="60">
        <v>55455.151600000012</v>
      </c>
      <c r="K21" s="60">
        <v>75032.940770000016</v>
      </c>
      <c r="L21" s="60">
        <v>8390.7680500000006</v>
      </c>
      <c r="M21" s="60">
        <v>134000</v>
      </c>
      <c r="N21" s="60">
        <v>142390.76805000001</v>
      </c>
      <c r="O21" s="61">
        <v>7218494.4400500003</v>
      </c>
    </row>
    <row r="22" spans="2:15" s="54" customFormat="1" ht="14.1" customHeight="1" x14ac:dyDescent="0.2">
      <c r="B22" s="143" t="s">
        <v>109</v>
      </c>
      <c r="C22" s="144">
        <v>4401057</v>
      </c>
      <c r="D22" s="144">
        <v>5513329</v>
      </c>
      <c r="E22" s="144">
        <v>281713</v>
      </c>
      <c r="F22" s="144">
        <v>151367</v>
      </c>
      <c r="G22" s="144">
        <v>252646</v>
      </c>
      <c r="H22" s="144">
        <v>10600112</v>
      </c>
      <c r="I22" s="144">
        <v>5278</v>
      </c>
      <c r="J22" s="144">
        <v>107242</v>
      </c>
      <c r="K22" s="144">
        <v>112520</v>
      </c>
      <c r="L22" s="144">
        <v>76527</v>
      </c>
      <c r="M22" s="144">
        <v>421001</v>
      </c>
      <c r="N22" s="144">
        <v>497528</v>
      </c>
      <c r="O22" s="145">
        <v>11210160</v>
      </c>
    </row>
    <row r="23" spans="2:15" s="54" customFormat="1" ht="14.1" customHeight="1" x14ac:dyDescent="0.2">
      <c r="B23" s="63" t="s">
        <v>110</v>
      </c>
      <c r="C23" s="60">
        <v>1062249</v>
      </c>
      <c r="D23" s="60">
        <v>1211680</v>
      </c>
      <c r="E23" s="60">
        <v>39670</v>
      </c>
      <c r="F23" s="60">
        <v>3824</v>
      </c>
      <c r="G23" s="60">
        <v>1373</v>
      </c>
      <c r="H23" s="60">
        <v>2318796</v>
      </c>
      <c r="I23" s="60">
        <v>513</v>
      </c>
      <c r="J23" s="60">
        <v>15087</v>
      </c>
      <c r="K23" s="60">
        <v>15600</v>
      </c>
      <c r="L23" s="60">
        <v>3073</v>
      </c>
      <c r="M23" s="60"/>
      <c r="N23" s="60">
        <v>3073</v>
      </c>
      <c r="O23" s="61">
        <v>2337469</v>
      </c>
    </row>
    <row r="24" spans="2:15" s="54" customFormat="1" ht="14.1" customHeight="1" x14ac:dyDescent="0.2">
      <c r="B24" s="146" t="s">
        <v>111</v>
      </c>
      <c r="C24" s="60">
        <v>1609546</v>
      </c>
      <c r="D24" s="60">
        <v>2623419</v>
      </c>
      <c r="E24" s="60">
        <v>102649</v>
      </c>
      <c r="F24" s="60">
        <v>50295</v>
      </c>
      <c r="G24" s="60">
        <v>10892</v>
      </c>
      <c r="H24" s="60">
        <v>4396801</v>
      </c>
      <c r="I24" s="60">
        <v>1851</v>
      </c>
      <c r="J24" s="60">
        <v>29101</v>
      </c>
      <c r="K24" s="60">
        <v>30952</v>
      </c>
      <c r="L24" s="60">
        <v>6237</v>
      </c>
      <c r="M24" s="60"/>
      <c r="N24" s="60">
        <v>6237</v>
      </c>
      <c r="O24" s="61">
        <v>4433990</v>
      </c>
    </row>
    <row r="25" spans="2:15" s="54" customFormat="1" ht="14.1" customHeight="1" x14ac:dyDescent="0.2">
      <c r="B25" s="63" t="s">
        <v>112</v>
      </c>
      <c r="C25" s="60">
        <v>3718027.93719</v>
      </c>
      <c r="D25" s="60">
        <v>4105225.4830400003</v>
      </c>
      <c r="E25" s="60">
        <v>152774.14680999998</v>
      </c>
      <c r="F25" s="60">
        <v>100394.48627999984</v>
      </c>
      <c r="G25" s="60">
        <v>26051.575870000001</v>
      </c>
      <c r="H25" s="60">
        <v>8102473.6291899998</v>
      </c>
      <c r="I25" s="60">
        <v>8675.8343999999997</v>
      </c>
      <c r="J25" s="60">
        <v>51431.843809999991</v>
      </c>
      <c r="K25" s="60">
        <v>60107.678209999991</v>
      </c>
      <c r="L25" s="60">
        <v>8799.7209599999987</v>
      </c>
      <c r="M25" s="60">
        <v>114000</v>
      </c>
      <c r="N25" s="60">
        <v>122799.72096000001</v>
      </c>
      <c r="O25" s="61">
        <v>8285381.0283599989</v>
      </c>
    </row>
    <row r="26" spans="2:15" s="54" customFormat="1" ht="14.1" customHeight="1" x14ac:dyDescent="0.2">
      <c r="B26" s="143" t="s">
        <v>113</v>
      </c>
      <c r="C26" s="144">
        <v>5110120.4819900002</v>
      </c>
      <c r="D26" s="144">
        <v>6118903.1505900007</v>
      </c>
      <c r="E26" s="144">
        <v>285297.21061000001</v>
      </c>
      <c r="F26" s="144">
        <v>209875.16663000081</v>
      </c>
      <c r="G26" s="144">
        <v>63494.524529999995</v>
      </c>
      <c r="H26" s="144">
        <v>11787690.534350002</v>
      </c>
      <c r="I26" s="144">
        <v>14516.990040000001</v>
      </c>
      <c r="J26" s="144">
        <v>113504.42746000001</v>
      </c>
      <c r="K26" s="144">
        <v>128021.41750000001</v>
      </c>
      <c r="L26" s="144">
        <v>12342.855320000001</v>
      </c>
      <c r="M26" s="144">
        <v>426000</v>
      </c>
      <c r="N26" s="144">
        <v>438342.85531999997</v>
      </c>
      <c r="O26" s="145">
        <v>12354054.807170002</v>
      </c>
    </row>
    <row r="27" spans="2:15" s="54" customFormat="1" ht="14.1" customHeight="1" x14ac:dyDescent="0.2">
      <c r="B27" s="63" t="s">
        <v>114</v>
      </c>
      <c r="C27" s="60">
        <v>1176821.6320699998</v>
      </c>
      <c r="D27" s="60">
        <v>1453966.17399</v>
      </c>
      <c r="E27" s="60">
        <v>51807.642349999995</v>
      </c>
      <c r="F27" s="60">
        <v>4493.1420499999076</v>
      </c>
      <c r="G27" s="60">
        <v>1992.9565899999998</v>
      </c>
      <c r="H27" s="60">
        <v>2689081.5470499997</v>
      </c>
      <c r="I27" s="60">
        <v>618.3540099999999</v>
      </c>
      <c r="J27" s="60">
        <v>3459.0745000000002</v>
      </c>
      <c r="K27" s="60">
        <v>4077.4285100000002</v>
      </c>
      <c r="L27" s="60">
        <v>2682.09816</v>
      </c>
      <c r="M27" s="60">
        <v>0</v>
      </c>
      <c r="N27" s="60">
        <v>2682.09816</v>
      </c>
      <c r="O27" s="61">
        <v>2695841.0737199998</v>
      </c>
    </row>
    <row r="28" spans="2:15" s="54" customFormat="1" ht="14.1" customHeight="1" x14ac:dyDescent="0.2">
      <c r="B28" s="146" t="s">
        <v>115</v>
      </c>
      <c r="C28" s="60">
        <v>1885278.8662200002</v>
      </c>
      <c r="D28" s="60">
        <v>2997576.3083100002</v>
      </c>
      <c r="E28" s="60">
        <v>117375.78231000001</v>
      </c>
      <c r="F28" s="60">
        <v>78085.567289999686</v>
      </c>
      <c r="G28" s="60">
        <v>7414.3391600000004</v>
      </c>
      <c r="H28" s="60">
        <v>5085730.8632899998</v>
      </c>
      <c r="I28" s="60">
        <v>9537.5309800000014</v>
      </c>
      <c r="J28" s="60">
        <v>32190.125940000005</v>
      </c>
      <c r="K28" s="60">
        <v>41727.656920000009</v>
      </c>
      <c r="L28" s="60">
        <v>6213.5926199999994</v>
      </c>
      <c r="M28" s="60">
        <v>0</v>
      </c>
      <c r="N28" s="60">
        <v>6213.5926199999994</v>
      </c>
      <c r="O28" s="61">
        <v>5133672.11283</v>
      </c>
    </row>
    <row r="29" spans="2:15" s="54" customFormat="1" ht="14.1" customHeight="1" x14ac:dyDescent="0.2">
      <c r="B29" s="63" t="s">
        <v>116</v>
      </c>
      <c r="C29" s="60">
        <v>4257260.3582699997</v>
      </c>
      <c r="D29" s="60">
        <v>4504814.4092200007</v>
      </c>
      <c r="E29" s="60">
        <v>190124.07353999998</v>
      </c>
      <c r="F29" s="60">
        <v>89630.400689999573</v>
      </c>
      <c r="G29" s="60">
        <v>39979.314979999996</v>
      </c>
      <c r="H29" s="60">
        <v>9081808.5566999987</v>
      </c>
      <c r="I29" s="60">
        <v>10997.256949999999</v>
      </c>
      <c r="J29" s="60">
        <v>42670.197619999999</v>
      </c>
      <c r="K29" s="60">
        <v>53667.454570000002</v>
      </c>
      <c r="L29" s="60">
        <v>8746.066929999999</v>
      </c>
      <c r="M29" s="60">
        <v>-284.66336000000001</v>
      </c>
      <c r="N29" s="60">
        <v>8461.4035699999986</v>
      </c>
      <c r="O29" s="61">
        <v>9143937.4148399979</v>
      </c>
    </row>
    <row r="30" spans="2:15" s="54" customFormat="1" ht="14.1" customHeight="1" x14ac:dyDescent="0.2">
      <c r="B30" s="143" t="s">
        <v>117</v>
      </c>
      <c r="C30" s="144">
        <v>5748225.1076299995</v>
      </c>
      <c r="D30" s="144">
        <v>6768598.2784000002</v>
      </c>
      <c r="E30" s="144">
        <v>341163.69475000002</v>
      </c>
      <c r="F30" s="144">
        <v>150139.0803999994</v>
      </c>
      <c r="G30" s="144">
        <v>98366.052519999997</v>
      </c>
      <c r="H30" s="144">
        <v>13106492.213699998</v>
      </c>
      <c r="I30" s="144">
        <v>12409.562980000001</v>
      </c>
      <c r="J30" s="144">
        <v>86957.944399999993</v>
      </c>
      <c r="K30" s="144">
        <v>99367.507379999995</v>
      </c>
      <c r="L30" s="144">
        <v>35659.988570000001</v>
      </c>
      <c r="M30" s="144">
        <v>127215.33663999999</v>
      </c>
      <c r="N30" s="144">
        <v>162875.32520999998</v>
      </c>
      <c r="O30" s="145">
        <v>13368735.046289997</v>
      </c>
    </row>
    <row r="31" spans="2:15" s="54" customFormat="1" ht="14.1" customHeight="1" x14ac:dyDescent="0.2">
      <c r="B31" s="63" t="s">
        <v>118</v>
      </c>
      <c r="C31" s="60">
        <v>1345883.9475799999</v>
      </c>
      <c r="D31" s="60">
        <v>1519741.1070000001</v>
      </c>
      <c r="E31" s="60">
        <v>62794.446200000006</v>
      </c>
      <c r="F31" s="60">
        <v>12587.603980000131</v>
      </c>
      <c r="G31" s="60">
        <v>4004.9249599999998</v>
      </c>
      <c r="H31" s="60">
        <v>2945012.0297200005</v>
      </c>
      <c r="I31" s="60">
        <v>150.12202000000002</v>
      </c>
      <c r="J31" s="60">
        <v>24890.569920000002</v>
      </c>
      <c r="K31" s="60">
        <v>25040.691940000001</v>
      </c>
      <c r="L31" s="60">
        <v>3746.4349899999997</v>
      </c>
      <c r="M31" s="60">
        <v>0</v>
      </c>
      <c r="N31" s="60">
        <v>3746.4349899999997</v>
      </c>
      <c r="O31" s="61">
        <v>2973799.1566500003</v>
      </c>
    </row>
    <row r="32" spans="2:15" s="54" customFormat="1" ht="14.1" customHeight="1" x14ac:dyDescent="0.2">
      <c r="B32" s="146" t="s">
        <v>119</v>
      </c>
      <c r="C32" s="60">
        <v>2202901.4660300002</v>
      </c>
      <c r="D32" s="60">
        <v>3031111.0069300001</v>
      </c>
      <c r="E32" s="60">
        <v>135449.81758</v>
      </c>
      <c r="F32" s="60">
        <v>67805.205500000156</v>
      </c>
      <c r="G32" s="60">
        <v>10721.804399999999</v>
      </c>
      <c r="H32" s="60">
        <v>5447989.3004400004</v>
      </c>
      <c r="I32" s="60">
        <v>2686.7286899999999</v>
      </c>
      <c r="J32" s="60">
        <v>33315.58597</v>
      </c>
      <c r="K32" s="60">
        <v>36002.314660000004</v>
      </c>
      <c r="L32" s="60">
        <v>7538.8765700000004</v>
      </c>
      <c r="M32" s="60">
        <v>0</v>
      </c>
      <c r="N32" s="60">
        <v>7538.8765700000004</v>
      </c>
      <c r="O32" s="61">
        <v>5491530.4916700004</v>
      </c>
    </row>
    <row r="33" spans="2:15" s="54" customFormat="1" ht="14.1" customHeight="1" x14ac:dyDescent="0.2">
      <c r="B33" s="63" t="s">
        <v>120</v>
      </c>
      <c r="C33" s="60">
        <v>5078000.6922300002</v>
      </c>
      <c r="D33" s="60">
        <v>4723265.43554</v>
      </c>
      <c r="E33" s="60">
        <v>204482.12222000008</v>
      </c>
      <c r="F33" s="60">
        <v>128710.58837999962</v>
      </c>
      <c r="G33" s="60">
        <v>57310.810599999997</v>
      </c>
      <c r="H33" s="60">
        <v>10191769.648969999</v>
      </c>
      <c r="I33" s="60">
        <v>2687.4636899999996</v>
      </c>
      <c r="J33" s="60">
        <v>39191.874710000004</v>
      </c>
      <c r="K33" s="60">
        <v>41879.338400000001</v>
      </c>
      <c r="L33" s="60">
        <v>9708.7391800000005</v>
      </c>
      <c r="M33" s="60">
        <v>0</v>
      </c>
      <c r="N33" s="60">
        <v>9708.7391800000005</v>
      </c>
      <c r="O33" s="61">
        <v>10243357.72655</v>
      </c>
    </row>
    <row r="34" spans="2:15" s="54" customFormat="1" ht="14.1" customHeight="1" x14ac:dyDescent="0.2">
      <c r="B34" s="143" t="s">
        <v>121</v>
      </c>
      <c r="C34" s="144">
        <v>6742757.6937499996</v>
      </c>
      <c r="D34" s="144">
        <v>6994399.5438200003</v>
      </c>
      <c r="E34" s="144">
        <v>462941.63217</v>
      </c>
      <c r="F34" s="144">
        <v>279274.51983999833</v>
      </c>
      <c r="G34" s="144">
        <v>137553.97301999998</v>
      </c>
      <c r="H34" s="144">
        <v>14616927.362599997</v>
      </c>
      <c r="I34" s="144">
        <v>3404.6590000000001</v>
      </c>
      <c r="J34" s="144">
        <v>62998.537679999987</v>
      </c>
      <c r="K34" s="144">
        <v>66403.196679999994</v>
      </c>
      <c r="L34" s="144">
        <v>31049.065859999999</v>
      </c>
      <c r="M34" s="144">
        <v>59000</v>
      </c>
      <c r="N34" s="144">
        <v>90049.065860000002</v>
      </c>
      <c r="O34" s="145">
        <v>14773379.625139996</v>
      </c>
    </row>
    <row r="35" spans="2:15" s="54" customFormat="1" ht="14.1" customHeight="1" x14ac:dyDescent="0.2">
      <c r="B35" s="63" t="s">
        <v>122</v>
      </c>
      <c r="C35" s="60">
        <v>1485134.2021900001</v>
      </c>
      <c r="D35" s="60">
        <v>1574463.3785700002</v>
      </c>
      <c r="E35" s="60">
        <v>60113.442230000001</v>
      </c>
      <c r="F35" s="60">
        <v>3903.7164300000295</v>
      </c>
      <c r="G35" s="60">
        <v>1861.3324199999997</v>
      </c>
      <c r="H35" s="60">
        <v>3125476.0718400003</v>
      </c>
      <c r="I35" s="60">
        <v>450.36179000000004</v>
      </c>
      <c r="J35" s="60">
        <v>1304.6965700000001</v>
      </c>
      <c r="K35" s="60">
        <v>1755.05836</v>
      </c>
      <c r="L35" s="60">
        <v>2367.3716100000001</v>
      </c>
      <c r="M35" s="60">
        <v>0</v>
      </c>
      <c r="N35" s="60">
        <v>2367.3716100000001</v>
      </c>
      <c r="O35" s="61">
        <v>3129598.5018100003</v>
      </c>
    </row>
    <row r="36" spans="2:15" s="54" customFormat="1" ht="14.1" customHeight="1" x14ac:dyDescent="0.2">
      <c r="B36" s="146" t="s">
        <v>123</v>
      </c>
      <c r="C36" s="60">
        <v>2354758.56067</v>
      </c>
      <c r="D36" s="60">
        <v>3094814.9072499997</v>
      </c>
      <c r="E36" s="60">
        <v>152092.27598999999</v>
      </c>
      <c r="F36" s="60">
        <v>88843.29716000054</v>
      </c>
      <c r="G36" s="60">
        <v>65035.71357</v>
      </c>
      <c r="H36" s="60">
        <v>5755544.7546399999</v>
      </c>
      <c r="I36" s="60">
        <v>2863.3422499999997</v>
      </c>
      <c r="J36" s="60">
        <v>41884.51829</v>
      </c>
      <c r="K36" s="60">
        <v>44747.860540000001</v>
      </c>
      <c r="L36" s="60">
        <v>26986.976330000001</v>
      </c>
      <c r="M36" s="60">
        <v>0</v>
      </c>
      <c r="N36" s="60">
        <v>26986.976330000001</v>
      </c>
      <c r="O36" s="61">
        <v>5827279.5915099997</v>
      </c>
    </row>
    <row r="37" spans="2:15" s="54" customFormat="1" ht="14.1" customHeight="1" x14ac:dyDescent="0.2">
      <c r="B37" s="63" t="s">
        <v>124</v>
      </c>
      <c r="C37" s="60">
        <v>5141433.0248600002</v>
      </c>
      <c r="D37" s="60">
        <v>4467029.2855599998</v>
      </c>
      <c r="E37" s="60">
        <v>241095.26968</v>
      </c>
      <c r="F37" s="60">
        <v>121019.2235499993</v>
      </c>
      <c r="G37" s="60">
        <v>137199.83664999998</v>
      </c>
      <c r="H37" s="60">
        <v>10107776.6403</v>
      </c>
      <c r="I37" s="60">
        <v>2912.9846200000002</v>
      </c>
      <c r="J37" s="60">
        <v>105409.81008000001</v>
      </c>
      <c r="K37" s="60">
        <v>108322.79470000001</v>
      </c>
      <c r="L37" s="60">
        <v>30737.572940000002</v>
      </c>
      <c r="M37" s="60">
        <v>53500</v>
      </c>
      <c r="N37" s="60">
        <v>84237.572939999998</v>
      </c>
      <c r="O37" s="61">
        <v>10300337.00794</v>
      </c>
    </row>
    <row r="38" spans="2:15" s="54" customFormat="1" ht="14.1" customHeight="1" x14ac:dyDescent="0.2">
      <c r="B38" s="143" t="s">
        <v>125</v>
      </c>
      <c r="C38" s="144">
        <v>6671569.5409700004</v>
      </c>
      <c r="D38" s="144">
        <v>6187113.4270600006</v>
      </c>
      <c r="E38" s="144">
        <v>412631.33663999999</v>
      </c>
      <c r="F38" s="144">
        <v>360887.37156000175</v>
      </c>
      <c r="G38" s="144">
        <v>230543.28723000002</v>
      </c>
      <c r="H38" s="144">
        <v>13862744.963460004</v>
      </c>
      <c r="I38" s="144">
        <v>14956.513350000001</v>
      </c>
      <c r="J38" s="144">
        <v>87542.505720000016</v>
      </c>
      <c r="K38" s="144">
        <v>102499.01907000001</v>
      </c>
      <c r="L38" s="144">
        <v>50932.262769999994</v>
      </c>
      <c r="M38" s="144">
        <v>413500</v>
      </c>
      <c r="N38" s="144">
        <v>464432.26276999997</v>
      </c>
      <c r="O38" s="145">
        <v>14429676.245300004</v>
      </c>
    </row>
    <row r="39" spans="2:15" s="54" customFormat="1" ht="14.1" customHeight="1" x14ac:dyDescent="0.2">
      <c r="B39" s="63" t="s">
        <v>126</v>
      </c>
      <c r="C39" s="60">
        <v>1438792.69405</v>
      </c>
      <c r="D39" s="60">
        <v>1472813.3308599999</v>
      </c>
      <c r="E39" s="60">
        <v>78484.275989999995</v>
      </c>
      <c r="F39" s="60">
        <v>55219.307239999995</v>
      </c>
      <c r="G39" s="60">
        <v>668.05332999999996</v>
      </c>
      <c r="H39" s="60">
        <v>3045977.6614700002</v>
      </c>
      <c r="I39" s="60">
        <v>91.01606000000001</v>
      </c>
      <c r="J39" s="60">
        <v>4682.1954399999995</v>
      </c>
      <c r="K39" s="60">
        <v>4773.2114999999994</v>
      </c>
      <c r="L39" s="60">
        <v>29927.214089999998</v>
      </c>
      <c r="M39" s="60">
        <v>0</v>
      </c>
      <c r="N39" s="60">
        <v>29927.214089999998</v>
      </c>
      <c r="O39" s="61">
        <v>3080678.0870600003</v>
      </c>
    </row>
    <row r="40" spans="2:15" s="54" customFormat="1" ht="14.1" customHeight="1" x14ac:dyDescent="0.2">
      <c r="B40" s="146" t="s">
        <v>127</v>
      </c>
      <c r="C40" s="60">
        <v>1840288.4950699999</v>
      </c>
      <c r="D40" s="60">
        <v>2604857.41659</v>
      </c>
      <c r="E40" s="60">
        <v>177369.33516000002</v>
      </c>
      <c r="F40" s="60">
        <v>516382.25277000014</v>
      </c>
      <c r="G40" s="60">
        <v>20098.378409999998</v>
      </c>
      <c r="H40" s="60">
        <v>5158995.8780000005</v>
      </c>
      <c r="I40" s="60">
        <v>257.60404</v>
      </c>
      <c r="J40" s="60">
        <v>41597.561620000008</v>
      </c>
      <c r="K40" s="60">
        <v>41855.165660000006</v>
      </c>
      <c r="L40" s="60">
        <v>37288.703419999998</v>
      </c>
      <c r="M40" s="60">
        <v>320000</v>
      </c>
      <c r="N40" s="60">
        <v>357288.70341999998</v>
      </c>
      <c r="O40" s="61">
        <v>5558139.747080001</v>
      </c>
    </row>
    <row r="41" spans="2:15" s="54" customFormat="1" ht="14.1" customHeight="1" x14ac:dyDescent="0.2">
      <c r="B41" s="63" t="s">
        <v>128</v>
      </c>
      <c r="C41" s="60">
        <v>3950044.2889400003</v>
      </c>
      <c r="D41" s="60">
        <v>3613651.3702700003</v>
      </c>
      <c r="E41" s="60">
        <v>263766.92272999999</v>
      </c>
      <c r="F41" s="60">
        <v>517226.9201100003</v>
      </c>
      <c r="G41" s="60">
        <v>32644.924549999996</v>
      </c>
      <c r="H41" s="60">
        <v>8377334.4265999999</v>
      </c>
      <c r="I41" s="60">
        <v>2131.3997199999999</v>
      </c>
      <c r="J41" s="60">
        <v>33495.64856999999</v>
      </c>
      <c r="K41" s="60">
        <v>35627.048289999992</v>
      </c>
      <c r="L41" s="60">
        <v>40248.630680000002</v>
      </c>
      <c r="M41" s="60">
        <v>320000</v>
      </c>
      <c r="N41" s="60">
        <v>360248.63068</v>
      </c>
      <c r="O41" s="61">
        <v>8773210.1055699997</v>
      </c>
    </row>
    <row r="42" spans="2:15" s="54" customFormat="1" ht="14.1" customHeight="1" x14ac:dyDescent="0.2">
      <c r="B42" s="143" t="s">
        <v>129</v>
      </c>
      <c r="C42" s="144">
        <v>5455108.5329299988</v>
      </c>
      <c r="D42" s="144">
        <v>5773720.6598700006</v>
      </c>
      <c r="E42" s="144">
        <v>422576.19372999994</v>
      </c>
      <c r="F42" s="144">
        <v>782690.90115999989</v>
      </c>
      <c r="G42" s="144">
        <v>62834.777040000001</v>
      </c>
      <c r="H42" s="144">
        <v>12496931.06473</v>
      </c>
      <c r="I42" s="144">
        <v>2878.2820200000001</v>
      </c>
      <c r="J42" s="144">
        <v>116024.91668999998</v>
      </c>
      <c r="K42" s="144">
        <v>118903.19870999998</v>
      </c>
      <c r="L42" s="144">
        <v>51694.7932</v>
      </c>
      <c r="M42" s="144">
        <v>1765000</v>
      </c>
      <c r="N42" s="144">
        <v>1816694.7932</v>
      </c>
      <c r="O42" s="145">
        <v>14432529.056639999</v>
      </c>
    </row>
    <row r="43" spans="2:15" s="54" customFormat="1" ht="14.1" customHeight="1" x14ac:dyDescent="0.2">
      <c r="B43" s="63" t="s">
        <v>130</v>
      </c>
      <c r="C43" s="60">
        <v>1395062.0739399996</v>
      </c>
      <c r="D43" s="60">
        <v>1507409.8815199998</v>
      </c>
      <c r="E43" s="60">
        <v>76021.433539999998</v>
      </c>
      <c r="F43" s="60">
        <v>23403.996239999775</v>
      </c>
      <c r="G43" s="60">
        <v>468.29649000000001</v>
      </c>
      <c r="H43" s="60">
        <v>3002365.6817299994</v>
      </c>
      <c r="I43" s="60">
        <v>196.73939000000001</v>
      </c>
      <c r="J43" s="60">
        <v>38715.082949999989</v>
      </c>
      <c r="K43" s="60">
        <v>38911.822339999992</v>
      </c>
      <c r="L43" s="60">
        <v>33073.465400000001</v>
      </c>
      <c r="M43" s="60">
        <v>0</v>
      </c>
      <c r="N43" s="60">
        <v>33073.465400000001</v>
      </c>
      <c r="O43" s="61">
        <v>3074350.9694699994</v>
      </c>
    </row>
    <row r="44" spans="2:15" s="54" customFormat="1" ht="14.1" customHeight="1" x14ac:dyDescent="0.2">
      <c r="B44" s="146" t="s">
        <v>131</v>
      </c>
      <c r="C44" s="60">
        <v>1874458.9427100006</v>
      </c>
      <c r="D44" s="60">
        <v>2731767.5457899999</v>
      </c>
      <c r="E44" s="60">
        <v>167327.171</v>
      </c>
      <c r="F44" s="60">
        <v>583639.34325000038</v>
      </c>
      <c r="G44" s="60">
        <v>3972.3723</v>
      </c>
      <c r="H44" s="60">
        <v>5361165.3750500018</v>
      </c>
      <c r="I44" s="60">
        <v>377.95819</v>
      </c>
      <c r="J44" s="60">
        <v>63825.778569999995</v>
      </c>
      <c r="K44" s="60">
        <v>64203.736759999993</v>
      </c>
      <c r="L44" s="60">
        <v>38459.858829999997</v>
      </c>
      <c r="M44" s="60">
        <v>1100000.5775000001</v>
      </c>
      <c r="N44" s="60">
        <v>1138460.4363300002</v>
      </c>
      <c r="O44" s="61">
        <v>6563829.5481400015</v>
      </c>
    </row>
    <row r="45" spans="2:15" s="54" customFormat="1" ht="14.1" customHeight="1" x14ac:dyDescent="0.2">
      <c r="B45" s="63" t="s">
        <v>132</v>
      </c>
      <c r="C45" s="60">
        <v>3829845.72755</v>
      </c>
      <c r="D45" s="60">
        <v>4038872.0411400017</v>
      </c>
      <c r="E45" s="60">
        <v>276567.01458999998</v>
      </c>
      <c r="F45" s="60">
        <v>663300.44830999989</v>
      </c>
      <c r="G45" s="60">
        <v>8314.0786800000005</v>
      </c>
      <c r="H45" s="60">
        <v>8816899.3102700002</v>
      </c>
      <c r="I45" s="60">
        <v>424.33977999999996</v>
      </c>
      <c r="J45" s="60">
        <v>78066.577209999989</v>
      </c>
      <c r="K45" s="60">
        <v>78490.916989999983</v>
      </c>
      <c r="L45" s="60">
        <v>43426.314939999997</v>
      </c>
      <c r="M45" s="60">
        <v>1305000</v>
      </c>
      <c r="N45" s="60">
        <v>1348426.31494</v>
      </c>
      <c r="O45" s="61">
        <v>10243816.542200001</v>
      </c>
    </row>
    <row r="46" spans="2:15" s="54" customFormat="1" ht="14.1" customHeight="1" x14ac:dyDescent="0.2">
      <c r="B46" s="143" t="s">
        <v>133</v>
      </c>
      <c r="C46" s="144">
        <v>5321089.7570099998</v>
      </c>
      <c r="D46" s="144">
        <v>6145245.6921499996</v>
      </c>
      <c r="E46" s="144">
        <v>489684.75357</v>
      </c>
      <c r="F46" s="144">
        <v>758305.41107000038</v>
      </c>
      <c r="G46" s="144">
        <v>95940.742759999994</v>
      </c>
      <c r="H46" s="144">
        <v>12810266.356559999</v>
      </c>
      <c r="I46" s="144">
        <v>1373.7552000000001</v>
      </c>
      <c r="J46" s="144">
        <v>218396.39171999996</v>
      </c>
      <c r="K46" s="144">
        <v>219770.14691999997</v>
      </c>
      <c r="L46" s="144">
        <v>56993.429579999996</v>
      </c>
      <c r="M46" s="144">
        <v>2387048.2442199998</v>
      </c>
      <c r="N46" s="144">
        <v>2444041.6738</v>
      </c>
      <c r="O46" s="145">
        <v>15474078.177279998</v>
      </c>
    </row>
    <row r="47" spans="2:15" s="54" customFormat="1" ht="14.1" customHeight="1" x14ac:dyDescent="0.2">
      <c r="B47" s="63" t="s">
        <v>134</v>
      </c>
      <c r="C47" s="60">
        <v>1468685.1697299993</v>
      </c>
      <c r="D47" s="60">
        <v>1457597.0173500003</v>
      </c>
      <c r="E47" s="60">
        <v>81005.278820000007</v>
      </c>
      <c r="F47" s="60">
        <v>66417.709070000099</v>
      </c>
      <c r="G47" s="60">
        <v>40695.068180000002</v>
      </c>
      <c r="H47" s="60">
        <f>SUM(C47:G47)</f>
        <v>3114400.24315</v>
      </c>
      <c r="I47" s="60">
        <v>362.62821000000002</v>
      </c>
      <c r="J47" s="60">
        <v>38927.139589999984</v>
      </c>
      <c r="K47" s="60">
        <f>SUM(I47:J47)</f>
        <v>39289.767799999987</v>
      </c>
      <c r="L47" s="60">
        <v>39193.136239999993</v>
      </c>
      <c r="M47" s="60">
        <v>68800</v>
      </c>
      <c r="N47" s="60">
        <f>SUM(L47:M47)</f>
        <v>107993.13623999999</v>
      </c>
      <c r="O47" s="61">
        <f>SUM(H47,K47,N47)</f>
        <v>3261683.1471899999</v>
      </c>
    </row>
    <row r="48" spans="2:15" s="54" customFormat="1" ht="14.1" customHeight="1" x14ac:dyDescent="0.2">
      <c r="B48" s="146" t="s">
        <v>135</v>
      </c>
      <c r="C48" s="60">
        <v>2039860.9659500001</v>
      </c>
      <c r="D48" s="60">
        <v>2834692.8541600006</v>
      </c>
      <c r="E48" s="60">
        <v>202690.37560000003</v>
      </c>
      <c r="F48" s="60">
        <v>249173.9481099993</v>
      </c>
      <c r="G48" s="60">
        <v>45181.781800000004</v>
      </c>
      <c r="H48" s="60">
        <v>5371599.9256199999</v>
      </c>
      <c r="I48" s="60">
        <v>1115.87914</v>
      </c>
      <c r="J48" s="60">
        <v>33154.787599999996</v>
      </c>
      <c r="K48" s="60">
        <v>34270.666739999993</v>
      </c>
      <c r="L48" s="60">
        <v>50669.48272</v>
      </c>
      <c r="M48" s="60">
        <v>170800</v>
      </c>
      <c r="N48" s="60">
        <v>221469.48272</v>
      </c>
      <c r="O48" s="61">
        <v>5627340.0750799999</v>
      </c>
    </row>
    <row r="49" spans="2:15" s="54" customFormat="1" ht="14.1" customHeight="1" x14ac:dyDescent="0.2">
      <c r="B49" s="63" t="s">
        <v>136</v>
      </c>
      <c r="C49" s="60">
        <v>4273565.3111800002</v>
      </c>
      <c r="D49" s="60">
        <v>4168051.6967799985</v>
      </c>
      <c r="E49" s="60">
        <v>311797.44659000018</v>
      </c>
      <c r="F49" s="60">
        <v>1094254.1804</v>
      </c>
      <c r="G49" s="60">
        <v>64498.930289999997</v>
      </c>
      <c r="H49" s="60">
        <v>9912167.5652400013</v>
      </c>
      <c r="I49" s="60">
        <v>1656.9149799999998</v>
      </c>
      <c r="J49" s="60">
        <v>115161.62234</v>
      </c>
      <c r="K49" s="60">
        <v>116818.53732</v>
      </c>
      <c r="L49" s="60">
        <v>53118.925869999999</v>
      </c>
      <c r="M49" s="60">
        <v>170800</v>
      </c>
      <c r="N49" s="60">
        <v>223918.92587000001</v>
      </c>
      <c r="O49" s="61">
        <v>10252905.02843</v>
      </c>
    </row>
    <row r="50" spans="2:15" s="54" customFormat="1" ht="14.1" customHeight="1" x14ac:dyDescent="0.2">
      <c r="B50" s="143" t="s">
        <v>137</v>
      </c>
      <c r="C50" s="144">
        <v>5783519.7919700034</v>
      </c>
      <c r="D50" s="144">
        <v>5935008.5323799979</v>
      </c>
      <c r="E50" s="144">
        <v>559313.61956999998</v>
      </c>
      <c r="F50" s="144">
        <v>816810.14719999954</v>
      </c>
      <c r="G50" s="144">
        <v>216683.33513999998</v>
      </c>
      <c r="H50" s="144">
        <v>13311335.42626</v>
      </c>
      <c r="I50" s="144">
        <v>3800.1949199999999</v>
      </c>
      <c r="J50" s="144">
        <v>336699.80085999996</v>
      </c>
      <c r="K50" s="144">
        <v>340499.99577999994</v>
      </c>
      <c r="L50" s="144">
        <v>109922.54878000001</v>
      </c>
      <c r="M50" s="144">
        <v>1331677.4350000001</v>
      </c>
      <c r="N50" s="144">
        <v>1441599.9837800001</v>
      </c>
      <c r="O50" s="145">
        <v>15093435.405820001</v>
      </c>
    </row>
    <row r="51" spans="2:15" s="54" customFormat="1" ht="14.1" customHeight="1" x14ac:dyDescent="0.2">
      <c r="B51" s="63" t="s">
        <v>138</v>
      </c>
      <c r="C51" s="60">
        <v>1556455.9223299993</v>
      </c>
      <c r="D51" s="60">
        <v>1439900.1590499999</v>
      </c>
      <c r="E51" s="60">
        <v>85900.952290000016</v>
      </c>
      <c r="F51" s="60">
        <v>746050.49882999971</v>
      </c>
      <c r="G51" s="60">
        <v>2648.0025799999999</v>
      </c>
      <c r="H51" s="60">
        <v>3830955.5350799989</v>
      </c>
      <c r="I51" s="60">
        <v>1645.04844</v>
      </c>
      <c r="J51" s="60">
        <v>6023.2721300000012</v>
      </c>
      <c r="K51" s="60">
        <v>7668.3205700000017</v>
      </c>
      <c r="L51" s="60">
        <v>36578.522589999993</v>
      </c>
      <c r="M51" s="60">
        <v>146570</v>
      </c>
      <c r="N51" s="60">
        <v>183148.52259000001</v>
      </c>
      <c r="O51" s="61">
        <v>4021772.3782399991</v>
      </c>
    </row>
    <row r="52" spans="2:15" s="54" customFormat="1" ht="14.1" customHeight="1" x14ac:dyDescent="0.2">
      <c r="B52" s="146" t="s">
        <v>139</v>
      </c>
      <c r="C52" s="60">
        <v>2115046.9473199984</v>
      </c>
      <c r="D52" s="60">
        <v>2651919.5710199983</v>
      </c>
      <c r="E52" s="60">
        <v>309310.60118999996</v>
      </c>
      <c r="F52" s="60">
        <v>137894.69484999962</v>
      </c>
      <c r="G52" s="60">
        <v>106049.85576999999</v>
      </c>
      <c r="H52" s="60">
        <v>5320221.6701499969</v>
      </c>
      <c r="I52" s="60">
        <v>1765.8173299999999</v>
      </c>
      <c r="J52" s="60">
        <v>74425.427179999999</v>
      </c>
      <c r="K52" s="60">
        <v>76191.244510000004</v>
      </c>
      <c r="L52" s="60">
        <v>44858.268100000001</v>
      </c>
      <c r="M52" s="60">
        <v>633667</v>
      </c>
      <c r="N52" s="60">
        <v>678525.26809999999</v>
      </c>
      <c r="O52" s="61">
        <v>6074938.1827599965</v>
      </c>
    </row>
    <row r="53" spans="2:15" s="54" customFormat="1" ht="14.1" customHeight="1" x14ac:dyDescent="0.2">
      <c r="B53" s="63" t="s">
        <v>140</v>
      </c>
      <c r="C53" s="60">
        <v>4312505.0965700001</v>
      </c>
      <c r="D53" s="60">
        <v>3931553.4319800008</v>
      </c>
      <c r="E53" s="60">
        <v>517426.04419000004</v>
      </c>
      <c r="F53" s="60">
        <v>918760.21499000024</v>
      </c>
      <c r="G53" s="60">
        <v>111595.65472000001</v>
      </c>
      <c r="H53" s="60">
        <v>9791840.4424500018</v>
      </c>
      <c r="I53" s="60">
        <v>4142.0376500000002</v>
      </c>
      <c r="J53" s="60">
        <v>124175.00552999999</v>
      </c>
      <c r="K53" s="60">
        <v>128317.04317999999</v>
      </c>
      <c r="L53" s="60">
        <v>60235.210500000001</v>
      </c>
      <c r="M53" s="60">
        <v>1093667.2140000002</v>
      </c>
      <c r="N53" s="60">
        <v>1153902.4245000002</v>
      </c>
      <c r="O53" s="61">
        <v>11074059.910130002</v>
      </c>
    </row>
    <row r="54" spans="2:15" s="54" customFormat="1" ht="14.1" customHeight="1" x14ac:dyDescent="0.2">
      <c r="B54" s="143" t="s">
        <v>141</v>
      </c>
      <c r="C54" s="144">
        <v>5843582.5949999997</v>
      </c>
      <c r="D54" s="144">
        <v>5815561.7520000003</v>
      </c>
      <c r="E54" s="144">
        <v>747591.31800000009</v>
      </c>
      <c r="F54" s="144">
        <v>570791.16299999971</v>
      </c>
      <c r="G54" s="144">
        <v>178430.43300000002</v>
      </c>
      <c r="H54" s="144">
        <v>13155957.260999998</v>
      </c>
      <c r="I54" s="144">
        <v>73428.173999999999</v>
      </c>
      <c r="J54" s="144">
        <v>388136.478</v>
      </c>
      <c r="K54" s="144">
        <v>461564.652</v>
      </c>
      <c r="L54" s="144">
        <v>61237.353000000003</v>
      </c>
      <c r="M54" s="144">
        <v>1432990.3559999999</v>
      </c>
      <c r="N54" s="144">
        <v>1494227.7089999998</v>
      </c>
      <c r="O54" s="145">
        <v>15111749.621999998</v>
      </c>
    </row>
    <row r="55" spans="2:15" s="54" customFormat="1" ht="14.1" customHeight="1" x14ac:dyDescent="0.2">
      <c r="B55" s="63" t="s">
        <v>142</v>
      </c>
      <c r="C55" s="60">
        <v>1472226.1926500001</v>
      </c>
      <c r="D55" s="60">
        <v>1406469.98018</v>
      </c>
      <c r="E55" s="60">
        <v>137681.05450999999</v>
      </c>
      <c r="F55" s="60">
        <v>730981.67625000002</v>
      </c>
      <c r="G55" s="60">
        <v>755.56280000000004</v>
      </c>
      <c r="H55" s="60">
        <v>3748114.4663900002</v>
      </c>
      <c r="I55" s="60">
        <v>160.71279000000001</v>
      </c>
      <c r="J55" s="60">
        <v>10023.59742</v>
      </c>
      <c r="K55" s="60">
        <v>10184.31021</v>
      </c>
      <c r="L55" s="60">
        <v>2416.7025199999998</v>
      </c>
      <c r="M55" s="60">
        <v>462703.13900000002</v>
      </c>
      <c r="N55" s="60">
        <v>465119.84152000002</v>
      </c>
      <c r="O55" s="61">
        <v>4223418.6181199998</v>
      </c>
    </row>
    <row r="56" spans="2:15" s="54" customFormat="1" ht="14.1" customHeight="1" x14ac:dyDescent="0.2">
      <c r="B56" s="146" t="s">
        <v>143</v>
      </c>
      <c r="C56" s="60">
        <v>2101462.6089700004</v>
      </c>
      <c r="D56" s="60">
        <v>2630832.8047400001</v>
      </c>
      <c r="E56" s="60">
        <v>225455.65308999995</v>
      </c>
      <c r="F56" s="60">
        <v>160368.81643000012</v>
      </c>
      <c r="G56" s="60">
        <v>42320.434239999995</v>
      </c>
      <c r="H56" s="60">
        <v>5160440.3174700011</v>
      </c>
      <c r="I56" s="60">
        <v>420.29069000000004</v>
      </c>
      <c r="J56" s="60">
        <v>52822.619440000002</v>
      </c>
      <c r="K56" s="60">
        <v>53242.910130000004</v>
      </c>
      <c r="L56" s="60">
        <v>8843.3586199999991</v>
      </c>
      <c r="M56" s="60">
        <v>820318.13899999997</v>
      </c>
      <c r="N56" s="60">
        <v>829161.49761999992</v>
      </c>
      <c r="O56" s="61">
        <v>6042844.7252200004</v>
      </c>
    </row>
    <row r="57" spans="2:15" s="54" customFormat="1" ht="14.1" customHeight="1" x14ac:dyDescent="0.2">
      <c r="B57" s="146" t="s">
        <v>144</v>
      </c>
      <c r="C57" s="60">
        <v>4364841.0844099987</v>
      </c>
      <c r="D57" s="60">
        <v>4031037.317830001</v>
      </c>
      <c r="E57" s="60">
        <v>313797.0245</v>
      </c>
      <c r="F57" s="60">
        <v>850110.65966000035</v>
      </c>
      <c r="G57" s="60">
        <v>43491.682800000002</v>
      </c>
      <c r="H57" s="60">
        <v>9603277.7692000009</v>
      </c>
      <c r="I57" s="60">
        <v>466.61692000000005</v>
      </c>
      <c r="J57" s="60">
        <v>190691.32146000004</v>
      </c>
      <c r="K57" s="60">
        <v>191157.93838000004</v>
      </c>
      <c r="L57" s="60">
        <v>25621.215270000001</v>
      </c>
      <c r="M57" s="60">
        <v>956318.13899999997</v>
      </c>
      <c r="N57" s="60">
        <v>981939.35427000001</v>
      </c>
      <c r="O57" s="61">
        <v>10776375.06185</v>
      </c>
    </row>
    <row r="58" spans="2:15" s="54" customFormat="1" ht="14.1" customHeight="1" x14ac:dyDescent="0.2">
      <c r="B58" s="143" t="s">
        <v>145</v>
      </c>
      <c r="C58" s="144">
        <v>5907446.8366999971</v>
      </c>
      <c r="D58" s="144">
        <v>5954180.5505100014</v>
      </c>
      <c r="E58" s="144">
        <v>530647.07251000009</v>
      </c>
      <c r="F58" s="144">
        <v>402918.53218999971</v>
      </c>
      <c r="G58" s="144">
        <v>57570.210700000003</v>
      </c>
      <c r="H58" s="144">
        <v>12852763.202609999</v>
      </c>
      <c r="I58" s="144">
        <v>2044.9027099999998</v>
      </c>
      <c r="J58" s="144">
        <v>429471.00722999999</v>
      </c>
      <c r="K58" s="144">
        <v>431515.90993999998</v>
      </c>
      <c r="L58" s="144">
        <v>65646.922930000001</v>
      </c>
      <c r="M58" s="144">
        <v>1511593.139</v>
      </c>
      <c r="N58" s="144">
        <v>1577240.0619299999</v>
      </c>
      <c r="O58" s="145">
        <v>14861519.174479999</v>
      </c>
    </row>
    <row r="59" spans="2:15" s="54" customFormat="1" ht="14.1" customHeight="1" x14ac:dyDescent="0.2">
      <c r="B59" s="63" t="s">
        <v>146</v>
      </c>
      <c r="C59" s="60">
        <v>1439763.60629</v>
      </c>
      <c r="D59" s="60">
        <v>1433069.68817</v>
      </c>
      <c r="E59" s="60">
        <v>109267.48546000001</v>
      </c>
      <c r="F59" s="60">
        <v>733515.56553999986</v>
      </c>
      <c r="G59" s="60">
        <v>525.02830000000006</v>
      </c>
      <c r="H59" s="60">
        <v>3716141.3737599999</v>
      </c>
      <c r="I59" s="60">
        <v>646.32413999999994</v>
      </c>
      <c r="J59" s="60">
        <v>9472.0324199999995</v>
      </c>
      <c r="K59" s="60">
        <v>10118.35656</v>
      </c>
      <c r="L59" s="60">
        <v>3859.0786600000001</v>
      </c>
      <c r="M59" s="60">
        <v>899366.5</v>
      </c>
      <c r="N59" s="60">
        <v>903225.57866</v>
      </c>
      <c r="O59" s="61">
        <v>4629485.3089800002</v>
      </c>
    </row>
    <row r="60" spans="2:15" s="54" customFormat="1" ht="14.1" customHeight="1" x14ac:dyDescent="0.2">
      <c r="B60" s="63" t="s">
        <v>147</v>
      </c>
      <c r="C60" s="60">
        <v>2108618.6284499997</v>
      </c>
      <c r="D60" s="60">
        <v>2889730.3512799996</v>
      </c>
      <c r="E60" s="60">
        <v>207958.92754000006</v>
      </c>
      <c r="F60" s="60">
        <v>206259.56598000042</v>
      </c>
      <c r="G60" s="60">
        <v>1988.88924</v>
      </c>
      <c r="H60" s="60">
        <v>5414556.3624900002</v>
      </c>
      <c r="I60" s="60">
        <v>892.78724</v>
      </c>
      <c r="J60" s="60">
        <v>108987.89206</v>
      </c>
      <c r="K60" s="60">
        <v>109880.6793</v>
      </c>
      <c r="L60" s="60">
        <v>9344.0856899999999</v>
      </c>
      <c r="M60" s="60">
        <v>1000466.5</v>
      </c>
      <c r="N60" s="60">
        <v>1009810.58569</v>
      </c>
      <c r="O60" s="61">
        <v>6534247.6274800003</v>
      </c>
    </row>
    <row r="61" spans="2:15" s="54" customFormat="1" ht="14.1" customHeight="1" x14ac:dyDescent="0.2">
      <c r="B61" s="63" t="s">
        <v>148</v>
      </c>
      <c r="C61" s="60">
        <v>4252935.1517299982</v>
      </c>
      <c r="D61" s="60">
        <v>4494035.9221899984</v>
      </c>
      <c r="E61" s="60">
        <v>298753.56144999986</v>
      </c>
      <c r="F61" s="60">
        <v>901868.57830999978</v>
      </c>
      <c r="G61" s="60">
        <v>7009.6151500000014</v>
      </c>
      <c r="H61" s="60">
        <v>9954602.8288299963</v>
      </c>
      <c r="I61" s="60">
        <v>2056.47138</v>
      </c>
      <c r="J61" s="60">
        <v>219696.09995</v>
      </c>
      <c r="K61" s="60">
        <v>221752.57133000001</v>
      </c>
      <c r="L61" s="60">
        <v>24035.77605</v>
      </c>
      <c r="M61" s="60">
        <v>1162866.5</v>
      </c>
      <c r="N61" s="60">
        <v>1186902.27605</v>
      </c>
      <c r="O61" s="61">
        <v>11363257.676209996</v>
      </c>
    </row>
    <row r="62" spans="2:15" s="54" customFormat="1" ht="14.1" customHeight="1" x14ac:dyDescent="0.2">
      <c r="B62" s="143" t="s">
        <v>149</v>
      </c>
      <c r="C62" s="144">
        <v>5905830.1388199991</v>
      </c>
      <c r="D62" s="144">
        <v>6511159.2852799948</v>
      </c>
      <c r="E62" s="144">
        <v>511503.63295999973</v>
      </c>
      <c r="F62" s="144">
        <v>397914.03697999939</v>
      </c>
      <c r="G62" s="144">
        <v>58242.773450000001</v>
      </c>
      <c r="H62" s="144">
        <v>13384649.867489992</v>
      </c>
      <c r="I62" s="144">
        <v>3356.9462100000001</v>
      </c>
      <c r="J62" s="144">
        <v>345007.53937000001</v>
      </c>
      <c r="K62" s="144">
        <v>348364.48558000004</v>
      </c>
      <c r="L62" s="144">
        <v>38035.696199999998</v>
      </c>
      <c r="M62" s="144">
        <v>1402866.5</v>
      </c>
      <c r="N62" s="144">
        <v>1440902.1961999999</v>
      </c>
      <c r="O62" s="145">
        <v>15173916.549269991</v>
      </c>
    </row>
    <row r="63" spans="2:15" s="54" customFormat="1" ht="14.1" customHeight="1" x14ac:dyDescent="0.2">
      <c r="B63" s="63" t="s">
        <v>150</v>
      </c>
      <c r="C63" s="60">
        <v>1200119.21206</v>
      </c>
      <c r="D63" s="60">
        <v>1384009.3763500003</v>
      </c>
      <c r="E63" s="60">
        <v>91311.032930000001</v>
      </c>
      <c r="F63" s="60">
        <v>766116.92901000008</v>
      </c>
      <c r="G63" s="60">
        <v>822.63648999999998</v>
      </c>
      <c r="H63" s="60">
        <v>3442379.1868400006</v>
      </c>
      <c r="I63" s="60">
        <v>1295.2340100000001</v>
      </c>
      <c r="J63" s="60">
        <v>2074.3186500000002</v>
      </c>
      <c r="K63" s="60">
        <v>3369.5526600000003</v>
      </c>
      <c r="L63" s="60">
        <v>3744.9449</v>
      </c>
      <c r="M63" s="60">
        <v>415000</v>
      </c>
      <c r="N63" s="60">
        <v>418744.9449</v>
      </c>
      <c r="O63" s="61">
        <v>3864493.6844000006</v>
      </c>
    </row>
    <row r="64" spans="2:15" s="54" customFormat="1" ht="14.1" customHeight="1" x14ac:dyDescent="0.2">
      <c r="B64" s="63" t="s">
        <v>151</v>
      </c>
      <c r="C64" s="60">
        <v>2133924.9182599992</v>
      </c>
      <c r="D64" s="60">
        <v>2897570.856840001</v>
      </c>
      <c r="E64" s="60">
        <v>182096.87257000001</v>
      </c>
      <c r="F64" s="60">
        <v>160977.87094000075</v>
      </c>
      <c r="G64" s="60">
        <v>8608.6038900000003</v>
      </c>
      <c r="H64" s="60">
        <v>5383179.1225000005</v>
      </c>
      <c r="I64" s="60">
        <v>2013.4432700000002</v>
      </c>
      <c r="J64" s="60">
        <v>45655.86406</v>
      </c>
      <c r="K64" s="60">
        <v>47669.307330000003</v>
      </c>
      <c r="L64" s="60">
        <v>9692.2592100000002</v>
      </c>
      <c r="M64" s="60">
        <v>1053547</v>
      </c>
      <c r="N64" s="60">
        <v>1063239.25921</v>
      </c>
      <c r="O64" s="61">
        <v>6494087.6890400006</v>
      </c>
    </row>
    <row r="65" spans="2:15" s="54" customFormat="1" ht="14.1" customHeight="1" x14ac:dyDescent="0.2">
      <c r="B65" s="63" t="s">
        <v>152</v>
      </c>
      <c r="C65" s="60">
        <v>4360056.4840499982</v>
      </c>
      <c r="D65" s="60">
        <v>4430977.3532800013</v>
      </c>
      <c r="E65" s="60">
        <v>264127.99526999996</v>
      </c>
      <c r="F65" s="60">
        <v>911696.92548000067</v>
      </c>
      <c r="G65" s="60">
        <v>32358.508559999998</v>
      </c>
      <c r="H65" s="60">
        <v>9999217.26664</v>
      </c>
      <c r="I65" s="60">
        <v>2366.0444899999998</v>
      </c>
      <c r="J65" s="60">
        <v>90500.393149999989</v>
      </c>
      <c r="K65" s="60">
        <v>92866.437639999989</v>
      </c>
      <c r="L65" s="60">
        <v>24949.606830000001</v>
      </c>
      <c r="M65" s="60">
        <v>1053547</v>
      </c>
      <c r="N65" s="60">
        <v>1078496.6068299999</v>
      </c>
      <c r="O65" s="61">
        <v>11170580.311110001</v>
      </c>
    </row>
    <row r="66" spans="2:15" s="54" customFormat="1" ht="14.1" customHeight="1" x14ac:dyDescent="0.2">
      <c r="B66" s="143" t="s">
        <v>153</v>
      </c>
      <c r="C66" s="144">
        <v>6001370.0650799982</v>
      </c>
      <c r="D66" s="144">
        <v>6598809.75141</v>
      </c>
      <c r="E66" s="144">
        <v>460819.20074999996</v>
      </c>
      <c r="F66" s="144">
        <v>488484.06702999957</v>
      </c>
      <c r="G66" s="144">
        <v>38228.586330000006</v>
      </c>
      <c r="H66" s="144">
        <v>13587711.670599999</v>
      </c>
      <c r="I66" s="144">
        <v>2782.1227800000001</v>
      </c>
      <c r="J66" s="144">
        <v>145004.93414000003</v>
      </c>
      <c r="K66" s="144">
        <v>147787.05692000003</v>
      </c>
      <c r="L66" s="144">
        <v>55403.08814</v>
      </c>
      <c r="M66" s="144">
        <v>1428918.1640000001</v>
      </c>
      <c r="N66" s="144">
        <v>1484321.25214</v>
      </c>
      <c r="O66" s="145">
        <v>15219819.979659999</v>
      </c>
    </row>
    <row r="67" spans="2:15" s="54" customFormat="1" ht="14.1" customHeight="1" x14ac:dyDescent="0.2">
      <c r="B67" s="63" t="s">
        <v>154</v>
      </c>
      <c r="C67" s="60">
        <v>1230473.1208800001</v>
      </c>
      <c r="D67" s="60">
        <v>1374029.4812100001</v>
      </c>
      <c r="E67" s="60">
        <v>77890.062959999996</v>
      </c>
      <c r="F67" s="60">
        <v>782941.35856999992</v>
      </c>
      <c r="G67" s="60">
        <v>444.04888999999997</v>
      </c>
      <c r="H67" s="60">
        <v>3465778.0725100003</v>
      </c>
      <c r="I67" s="60">
        <v>338.96422000000001</v>
      </c>
      <c r="J67" s="60">
        <v>43618.896549999998</v>
      </c>
      <c r="K67" s="60">
        <v>43957.860769999999</v>
      </c>
      <c r="L67" s="60">
        <v>2714.1851100000003</v>
      </c>
      <c r="M67" s="60">
        <v>557970</v>
      </c>
      <c r="N67" s="60">
        <v>560684.18510999996</v>
      </c>
      <c r="O67" s="61">
        <v>4070420.1183900004</v>
      </c>
    </row>
    <row r="68" spans="2:15" s="54" customFormat="1" ht="14.1" customHeight="1" x14ac:dyDescent="0.2">
      <c r="B68" s="63" t="s">
        <v>155</v>
      </c>
      <c r="C68" s="60">
        <v>2176983.3433000008</v>
      </c>
      <c r="D68" s="60">
        <v>3041085.0668999995</v>
      </c>
      <c r="E68" s="60">
        <v>180687.82332000002</v>
      </c>
      <c r="F68" s="60">
        <v>151647.09943000041</v>
      </c>
      <c r="G68" s="60">
        <v>2544.89617</v>
      </c>
      <c r="H68" s="60">
        <v>5552948.2291200003</v>
      </c>
      <c r="I68" s="60">
        <v>1043.04529</v>
      </c>
      <c r="J68" s="60">
        <v>86390.129830000005</v>
      </c>
      <c r="K68" s="60">
        <v>87433.17512</v>
      </c>
      <c r="L68" s="60">
        <v>32304.291229999999</v>
      </c>
      <c r="M68" s="60">
        <v>981358</v>
      </c>
      <c r="N68" s="60">
        <v>1013662.29123</v>
      </c>
      <c r="O68" s="61">
        <v>6654043.6954699997</v>
      </c>
    </row>
    <row r="69" spans="2:15" s="54" customFormat="1" ht="14.1" customHeight="1" x14ac:dyDescent="0.2">
      <c r="B69" s="63" t="s">
        <v>156</v>
      </c>
      <c r="C69" s="60">
        <v>4490125.8047999982</v>
      </c>
      <c r="D69" s="60">
        <v>4670361.3326899996</v>
      </c>
      <c r="E69" s="60">
        <v>273793.53846000001</v>
      </c>
      <c r="F69" s="60">
        <v>938296.72752000112</v>
      </c>
      <c r="G69" s="60">
        <v>3370.7498800000003</v>
      </c>
      <c r="H69" s="60">
        <v>10375948.153349997</v>
      </c>
      <c r="I69" s="60">
        <v>2339.80825</v>
      </c>
      <c r="J69" s="60">
        <v>124348.875</v>
      </c>
      <c r="K69" s="60">
        <v>126688.68325</v>
      </c>
      <c r="L69" s="60">
        <v>87988.155399999989</v>
      </c>
      <c r="M69" s="60">
        <v>956458</v>
      </c>
      <c r="N69" s="60">
        <v>1044446.1554</v>
      </c>
      <c r="O69" s="61">
        <v>11547082.991999999</v>
      </c>
    </row>
    <row r="70" spans="2:15" s="54" customFormat="1" ht="14.1" customHeight="1" x14ac:dyDescent="0.2">
      <c r="B70" s="143" t="s">
        <v>157</v>
      </c>
      <c r="C70" s="144">
        <v>6253802.3231899962</v>
      </c>
      <c r="D70" s="144">
        <v>6821950.7949599996</v>
      </c>
      <c r="E70" s="144">
        <v>482960.55312000017</v>
      </c>
      <c r="F70" s="144">
        <v>416732.07596999966</v>
      </c>
      <c r="G70" s="144">
        <v>38223.213960000001</v>
      </c>
      <c r="H70" s="144">
        <v>14013668.961199995</v>
      </c>
      <c r="I70" s="144">
        <v>8885.2564600000005</v>
      </c>
      <c r="J70" s="144">
        <v>192240.16224999999</v>
      </c>
      <c r="K70" s="144">
        <v>201125.41871</v>
      </c>
      <c r="L70" s="144">
        <v>118938.58834</v>
      </c>
      <c r="M70" s="144">
        <v>1316530</v>
      </c>
      <c r="N70" s="144">
        <v>1435468.58834</v>
      </c>
      <c r="O70" s="145">
        <v>15650262.968249995</v>
      </c>
    </row>
    <row r="71" spans="2:15" s="54" customFormat="1" ht="14.1" customHeight="1" x14ac:dyDescent="0.2">
      <c r="B71" s="63" t="s">
        <v>158</v>
      </c>
      <c r="C71" s="60">
        <v>1370144.5211</v>
      </c>
      <c r="D71" s="60">
        <v>1516380.5593699997</v>
      </c>
      <c r="E71" s="60">
        <v>68009.246969999993</v>
      </c>
      <c r="F71" s="60">
        <v>797570.55013999972</v>
      </c>
      <c r="G71" s="60">
        <v>409.78805</v>
      </c>
      <c r="H71" s="60">
        <v>3752514.6656299992</v>
      </c>
      <c r="I71" s="60">
        <v>59.652500000000003</v>
      </c>
      <c r="J71" s="60">
        <v>5694.7608700000001</v>
      </c>
      <c r="K71" s="60">
        <v>5754.4133700000002</v>
      </c>
      <c r="L71" s="60">
        <v>57731.241450000001</v>
      </c>
      <c r="M71" s="60">
        <v>561000</v>
      </c>
      <c r="N71" s="60">
        <v>618731.24144999997</v>
      </c>
      <c r="O71" s="61">
        <v>4377000.3204499995</v>
      </c>
    </row>
    <row r="72" spans="2:15" s="54" customFormat="1" ht="14.1" customHeight="1" x14ac:dyDescent="0.2">
      <c r="B72" s="63" t="s">
        <v>159</v>
      </c>
      <c r="C72" s="60">
        <v>2534607.91408</v>
      </c>
      <c r="D72" s="60">
        <v>3546932.6613699999</v>
      </c>
      <c r="E72" s="60">
        <v>178589.91693000001</v>
      </c>
      <c r="F72" s="60">
        <v>229323.83153000008</v>
      </c>
      <c r="G72" s="60">
        <v>1302.0995400000002</v>
      </c>
      <c r="H72" s="60">
        <v>6490756.4234499997</v>
      </c>
      <c r="I72" s="60">
        <v>732.75775999999996</v>
      </c>
      <c r="J72" s="60">
        <v>46339.029699999992</v>
      </c>
      <c r="K72" s="60">
        <v>47071.787459999992</v>
      </c>
      <c r="L72" s="60">
        <v>65332.919479999997</v>
      </c>
      <c r="M72" s="60">
        <v>933953.09199999995</v>
      </c>
      <c r="N72" s="60">
        <v>999286.01147999999</v>
      </c>
      <c r="O72" s="61">
        <v>7537114.2223899998</v>
      </c>
    </row>
    <row r="73" spans="2:15" s="54" customFormat="1" ht="14.1" customHeight="1" x14ac:dyDescent="0.2">
      <c r="B73" s="63" t="s">
        <v>160</v>
      </c>
      <c r="C73" s="60">
        <v>5043446.55437</v>
      </c>
      <c r="D73" s="60">
        <v>5325823.5259699989</v>
      </c>
      <c r="E73" s="60">
        <v>271012.35391999997</v>
      </c>
      <c r="F73" s="60">
        <v>1056560.1362699997</v>
      </c>
      <c r="G73" s="60">
        <v>1849.4993899999999</v>
      </c>
      <c r="H73" s="60">
        <v>11698692.069919998</v>
      </c>
      <c r="I73" s="60">
        <v>960.24486999999999</v>
      </c>
      <c r="J73" s="60">
        <v>53895.402930000004</v>
      </c>
      <c r="K73" s="60">
        <v>54855.647800000006</v>
      </c>
      <c r="L73" s="60">
        <v>75251.589000000007</v>
      </c>
      <c r="M73" s="60">
        <v>1133953.0919999999</v>
      </c>
      <c r="N73" s="60">
        <v>1209204.6809999999</v>
      </c>
      <c r="O73" s="61">
        <v>12962752.398719998</v>
      </c>
    </row>
    <row r="74" spans="2:15" s="54" customFormat="1" ht="14.1" customHeight="1" x14ac:dyDescent="0.2">
      <c r="B74" s="143" t="s">
        <v>161</v>
      </c>
      <c r="C74" s="144">
        <v>6570557.3140999991</v>
      </c>
      <c r="D74" s="144">
        <v>7770645.6968299998</v>
      </c>
      <c r="E74" s="144">
        <v>455707.13682999997</v>
      </c>
      <c r="F74" s="144">
        <v>443102.89715999924</v>
      </c>
      <c r="G74" s="144">
        <v>3715.0359699999999</v>
      </c>
      <c r="H74" s="144">
        <f t="shared" ref="H74:H76" si="0">SUM(C74:G74)</f>
        <v>15243728.080889998</v>
      </c>
      <c r="I74" s="144">
        <v>2350.9009000000001</v>
      </c>
      <c r="J74" s="144">
        <v>149753.74503000002</v>
      </c>
      <c r="K74" s="144">
        <f t="shared" ref="K74:K76" si="1">SUM(I74:J74)</f>
        <v>152104.64593000003</v>
      </c>
      <c r="L74" s="144">
        <v>82686.961230000001</v>
      </c>
      <c r="M74" s="144">
        <v>1162335.2333200001</v>
      </c>
      <c r="N74" s="144">
        <f t="shared" ref="N74:N76" si="2">SUM(L74:M74)</f>
        <v>1245022.1945500001</v>
      </c>
      <c r="O74" s="145">
        <f t="shared" ref="O74:O76" si="3">SUM(H74,K74,N74)</f>
        <v>16640854.921369998</v>
      </c>
    </row>
    <row r="75" spans="2:15" s="54" customFormat="1" ht="14.1" customHeight="1" x14ac:dyDescent="0.2">
      <c r="B75" s="63" t="s">
        <v>162</v>
      </c>
      <c r="C75" s="60">
        <v>1610876.8380099998</v>
      </c>
      <c r="D75" s="60">
        <v>1529153.6028300002</v>
      </c>
      <c r="E75" s="60">
        <v>71199.635370000004</v>
      </c>
      <c r="F75" s="60">
        <v>834784.66807000013</v>
      </c>
      <c r="G75" s="60">
        <v>1022.12423</v>
      </c>
      <c r="H75" s="60">
        <f t="shared" si="0"/>
        <v>4047036.8685100004</v>
      </c>
      <c r="I75" s="60">
        <v>200.99336</v>
      </c>
      <c r="J75" s="60">
        <v>6246.5330400000003</v>
      </c>
      <c r="K75" s="60">
        <f t="shared" si="1"/>
        <v>6447.5264000000006</v>
      </c>
      <c r="L75" s="60">
        <v>2751.9709600000001</v>
      </c>
      <c r="M75" s="60">
        <v>497708</v>
      </c>
      <c r="N75" s="60">
        <f t="shared" si="2"/>
        <v>500459.97096000001</v>
      </c>
      <c r="O75" s="61">
        <f t="shared" si="3"/>
        <v>4553944.3658699999</v>
      </c>
    </row>
    <row r="76" spans="2:15" s="54" customFormat="1" ht="14.1" customHeight="1" x14ac:dyDescent="0.2">
      <c r="B76" s="63" t="s">
        <v>163</v>
      </c>
      <c r="C76" s="60">
        <v>2793336.8265800001</v>
      </c>
      <c r="D76" s="60">
        <v>3248733.94582</v>
      </c>
      <c r="E76" s="60">
        <v>153845.65518</v>
      </c>
      <c r="F76" s="60">
        <v>175556.22033999953</v>
      </c>
      <c r="G76" s="60">
        <v>2664.24098</v>
      </c>
      <c r="H76" s="60">
        <f t="shared" si="0"/>
        <v>6374136.8888999997</v>
      </c>
      <c r="I76" s="60">
        <v>12594.601409999999</v>
      </c>
      <c r="J76" s="60">
        <v>28056.952870000001</v>
      </c>
      <c r="K76" s="60">
        <f t="shared" si="1"/>
        <v>40651.554279999997</v>
      </c>
      <c r="L76" s="60">
        <v>65989.551139999996</v>
      </c>
      <c r="M76" s="60">
        <v>1178624</v>
      </c>
      <c r="N76" s="60">
        <f t="shared" si="2"/>
        <v>1244613.5511400001</v>
      </c>
      <c r="O76" s="61">
        <f t="shared" si="3"/>
        <v>7659401.9943199996</v>
      </c>
    </row>
    <row r="77" spans="2:15" s="54" customFormat="1" ht="14.1" customHeight="1" x14ac:dyDescent="0.2">
      <c r="B77" s="63" t="s">
        <v>164</v>
      </c>
      <c r="C77" s="60">
        <v>5455513.4812199995</v>
      </c>
      <c r="D77" s="60">
        <v>5183915.5974799991</v>
      </c>
      <c r="E77" s="60">
        <v>247558.33224999998</v>
      </c>
      <c r="F77" s="60">
        <v>940055.72470999975</v>
      </c>
      <c r="G77" s="60">
        <v>3137.6605799999998</v>
      </c>
      <c r="H77" s="60">
        <v>11830180.796239996</v>
      </c>
      <c r="I77" s="60">
        <v>14382.014740000001</v>
      </c>
      <c r="J77" s="60">
        <v>45715.32043</v>
      </c>
      <c r="K77" s="60">
        <v>60097.335169999998</v>
      </c>
      <c r="L77" s="60">
        <v>74992.874750000003</v>
      </c>
      <c r="M77" s="60">
        <v>1178624</v>
      </c>
      <c r="N77" s="60">
        <v>1253616.87475</v>
      </c>
      <c r="O77" s="61">
        <v>13143895.006159997</v>
      </c>
    </row>
    <row r="78" spans="2:15" s="54" customFormat="1" ht="14.1" customHeight="1" x14ac:dyDescent="0.2">
      <c r="B78" s="143" t="s">
        <v>165</v>
      </c>
      <c r="C78" s="144">
        <v>7309835.2339999992</v>
      </c>
      <c r="D78" s="144">
        <v>7651520.3588299993</v>
      </c>
      <c r="E78" s="144">
        <v>439362.48152999999</v>
      </c>
      <c r="F78" s="144">
        <v>247075.89910000004</v>
      </c>
      <c r="G78" s="144">
        <v>4124.6017499999998</v>
      </c>
      <c r="H78" s="144">
        <f t="shared" ref="H78" si="4">SUM(C78:G78)</f>
        <v>15651918.575209998</v>
      </c>
      <c r="I78" s="144">
        <v>15465.331269999999</v>
      </c>
      <c r="J78" s="144">
        <v>122866.4636</v>
      </c>
      <c r="K78" s="144">
        <f t="shared" ref="K78" si="5">SUM(I78:J78)</f>
        <v>138331.79487000001</v>
      </c>
      <c r="L78" s="144">
        <v>83416.933619999996</v>
      </c>
      <c r="M78" s="144">
        <v>1457896.5279999999</v>
      </c>
      <c r="N78" s="144">
        <f t="shared" ref="N78" si="6">SUM(L78:M78)</f>
        <v>1541313.46162</v>
      </c>
      <c r="O78" s="145">
        <f t="shared" ref="O78" si="7">SUM(H78,K78,N78)</f>
        <v>17331563.831699997</v>
      </c>
    </row>
    <row r="79" spans="2:15" s="54" customFormat="1" ht="14.1" customHeight="1" x14ac:dyDescent="0.2">
      <c r="B79" s="63" t="s">
        <v>166</v>
      </c>
      <c r="C79" s="60">
        <v>1619285.50395</v>
      </c>
      <c r="D79" s="60">
        <v>1658926.6426300001</v>
      </c>
      <c r="E79" s="60">
        <v>69618.722469999993</v>
      </c>
      <c r="F79" s="60">
        <v>893256.85205999995</v>
      </c>
      <c r="G79" s="60">
        <v>812.29204000000004</v>
      </c>
      <c r="H79" s="60">
        <v>4241900.01315</v>
      </c>
      <c r="I79" s="60">
        <v>959.0006199999998</v>
      </c>
      <c r="J79" s="60">
        <v>7186.1117100000001</v>
      </c>
      <c r="K79" s="60">
        <v>8145.1123299999999</v>
      </c>
      <c r="L79" s="60">
        <v>58179.194360000001</v>
      </c>
      <c r="M79" s="60">
        <v>0</v>
      </c>
      <c r="N79" s="60">
        <v>58179.194360000001</v>
      </c>
      <c r="O79" s="61">
        <v>4308224.31984</v>
      </c>
    </row>
    <row r="80" spans="2:15" s="54" customFormat="1" ht="14.1" customHeight="1" x14ac:dyDescent="0.2">
      <c r="B80" s="63" t="s">
        <v>167</v>
      </c>
      <c r="C80" s="60">
        <v>2873147.24022</v>
      </c>
      <c r="D80" s="60">
        <v>3487901.2897599996</v>
      </c>
      <c r="E80" s="60">
        <v>171295.78109999999</v>
      </c>
      <c r="F80" s="60">
        <v>138274.87090999912</v>
      </c>
      <c r="G80" s="60">
        <v>2988.5763899999997</v>
      </c>
      <c r="H80" s="60">
        <v>6673607.7583799995</v>
      </c>
      <c r="I80" s="60">
        <v>2161.9384</v>
      </c>
      <c r="J80" s="60">
        <v>35258.146480000003</v>
      </c>
      <c r="K80" s="60">
        <v>37420.084880000002</v>
      </c>
      <c r="L80" s="60">
        <v>63290.248579999999</v>
      </c>
      <c r="M80" s="60">
        <v>904452.15</v>
      </c>
      <c r="N80" s="60">
        <v>967742.39858000004</v>
      </c>
      <c r="O80" s="61">
        <v>7678770.2418399993</v>
      </c>
    </row>
    <row r="81" spans="2:15" s="54" customFormat="1" ht="14.1" customHeight="1" x14ac:dyDescent="0.2">
      <c r="B81" s="63" t="s">
        <v>168</v>
      </c>
      <c r="C81" s="60">
        <v>5488019.9296699995</v>
      </c>
      <c r="D81" s="60">
        <v>5446885.0281000016</v>
      </c>
      <c r="E81" s="60">
        <v>260925.81581999999</v>
      </c>
      <c r="F81" s="60">
        <v>1024853.6124999998</v>
      </c>
      <c r="G81" s="60">
        <v>5335.2400200000002</v>
      </c>
      <c r="H81" s="60">
        <v>12226019.626109999</v>
      </c>
      <c r="I81" s="60">
        <v>3108.05</v>
      </c>
      <c r="J81" s="60">
        <v>62408.599239999996</v>
      </c>
      <c r="K81" s="60">
        <v>65516.649239999999</v>
      </c>
      <c r="L81" s="60">
        <v>69051.765849999996</v>
      </c>
      <c r="M81" s="60">
        <v>904452.15</v>
      </c>
      <c r="N81" s="60">
        <v>973503.91584999999</v>
      </c>
      <c r="O81" s="61">
        <v>13265040.191199999</v>
      </c>
    </row>
    <row r="82" spans="2:15" s="54" customFormat="1" ht="14.1" customHeight="1" x14ac:dyDescent="0.2">
      <c r="B82" s="143" t="s">
        <v>169</v>
      </c>
      <c r="C82" s="144">
        <v>7455285.668159999</v>
      </c>
      <c r="D82" s="144">
        <v>7974487.6082899999</v>
      </c>
      <c r="E82" s="144">
        <v>449718.19834</v>
      </c>
      <c r="F82" s="144">
        <v>283327.91315000132</v>
      </c>
      <c r="G82" s="144">
        <v>7146.1038800000006</v>
      </c>
      <c r="H82" s="144">
        <v>16169965.49182</v>
      </c>
      <c r="I82" s="144">
        <v>4756.8339800000003</v>
      </c>
      <c r="J82" s="144">
        <v>82127.722949999981</v>
      </c>
      <c r="K82" s="144">
        <v>86884.556929999977</v>
      </c>
      <c r="L82" s="144">
        <v>80002.442119999992</v>
      </c>
      <c r="M82" s="144">
        <v>990083.9952</v>
      </c>
      <c r="N82" s="144">
        <v>1070086.43732</v>
      </c>
      <c r="O82" s="145">
        <v>17326936.48607</v>
      </c>
    </row>
    <row r="83" spans="2:15" s="54" customFormat="1" ht="14.1" customHeight="1" x14ac:dyDescent="0.2">
      <c r="B83" s="63" t="s">
        <v>170</v>
      </c>
      <c r="C83" s="60">
        <v>1757777.8252699999</v>
      </c>
      <c r="D83" s="60">
        <v>1628770.41032</v>
      </c>
      <c r="E83" s="60">
        <v>61954.875659999998</v>
      </c>
      <c r="F83" s="60">
        <v>920475.21756000048</v>
      </c>
      <c r="G83" s="60">
        <v>847.71465999999998</v>
      </c>
      <c r="H83" s="60">
        <v>4369826.0434699999</v>
      </c>
      <c r="I83" s="60">
        <v>121.28129000000001</v>
      </c>
      <c r="J83" s="60">
        <v>15687.514569999999</v>
      </c>
      <c r="K83" s="60">
        <v>15808.79586</v>
      </c>
      <c r="L83" s="60">
        <v>2177.75117</v>
      </c>
      <c r="M83" s="60">
        <v>0</v>
      </c>
      <c r="N83" s="60">
        <v>2177.75117</v>
      </c>
      <c r="O83" s="61">
        <v>4387812.5904999999</v>
      </c>
    </row>
    <row r="84" spans="2:15" s="54" customFormat="1" ht="14.1" customHeight="1" x14ac:dyDescent="0.2">
      <c r="B84" s="63" t="s">
        <v>171</v>
      </c>
      <c r="C84" s="60">
        <v>2666117.1779799997</v>
      </c>
      <c r="D84" s="60">
        <v>2777196.0887600002</v>
      </c>
      <c r="E84" s="60">
        <v>111994.74517000001</v>
      </c>
      <c r="F84" s="60">
        <v>509575.60333999898</v>
      </c>
      <c r="G84" s="60">
        <v>1116.64617</v>
      </c>
      <c r="H84" s="60">
        <v>6066000.2614199985</v>
      </c>
      <c r="I84" s="60">
        <v>178.86355</v>
      </c>
      <c r="J84" s="60">
        <v>49217.491190000001</v>
      </c>
      <c r="K84" s="60">
        <v>49396.354740000002</v>
      </c>
      <c r="L84" s="60">
        <v>80593.898590000012</v>
      </c>
      <c r="M84" s="60">
        <v>1058009.355</v>
      </c>
      <c r="N84" s="60">
        <v>1138603.2535900001</v>
      </c>
      <c r="O84" s="61">
        <v>7253999.8697499987</v>
      </c>
    </row>
    <row r="85" spans="2:15" s="54" customFormat="1" ht="14.1" customHeight="1" x14ac:dyDescent="0.2">
      <c r="B85" s="63" t="s">
        <v>172</v>
      </c>
      <c r="C85" s="60">
        <v>5074708.6109999996</v>
      </c>
      <c r="D85" s="60">
        <v>4524704.4401099999</v>
      </c>
      <c r="E85" s="60">
        <v>194976.09496000002</v>
      </c>
      <c r="F85" s="60">
        <v>617466.29553999845</v>
      </c>
      <c r="G85" s="60">
        <v>2946.4506700000002</v>
      </c>
      <c r="H85" s="60">
        <v>10414801.892279997</v>
      </c>
      <c r="I85" s="60">
        <v>4212.9710000000005</v>
      </c>
      <c r="J85" s="60">
        <v>61035.87689</v>
      </c>
      <c r="K85" s="60">
        <v>65248.847889999997</v>
      </c>
      <c r="L85" s="60">
        <v>83542.084520000004</v>
      </c>
      <c r="M85" s="60">
        <v>1058009.355</v>
      </c>
      <c r="N85" s="60">
        <v>1141551.43952</v>
      </c>
      <c r="O85" s="61">
        <v>11621602.179689998</v>
      </c>
    </row>
    <row r="86" spans="2:15" s="54" customFormat="1" ht="14.1" customHeight="1" x14ac:dyDescent="0.2">
      <c r="B86" s="143" t="s">
        <v>173</v>
      </c>
      <c r="C86" s="144">
        <v>7161972.5217299983</v>
      </c>
      <c r="D86" s="144">
        <v>6857444.3516399991</v>
      </c>
      <c r="E86" s="144">
        <v>363050.02601000003</v>
      </c>
      <c r="F86" s="144">
        <v>969218.79302000068</v>
      </c>
      <c r="G86" s="144">
        <v>30662.714809999998</v>
      </c>
      <c r="H86" s="144">
        <v>15382348.407209998</v>
      </c>
      <c r="I86" s="144">
        <v>5258.0174399999996</v>
      </c>
      <c r="J86" s="144">
        <v>97835.060460000008</v>
      </c>
      <c r="K86" s="144">
        <v>103093.0779</v>
      </c>
      <c r="L86" s="144">
        <v>131823.83034000001</v>
      </c>
      <c r="M86" s="144">
        <v>2539662.415</v>
      </c>
      <c r="N86" s="144">
        <v>2671486.2453399999</v>
      </c>
      <c r="O86" s="145">
        <v>18156927.730449997</v>
      </c>
    </row>
    <row r="87" spans="2:15" s="54" customFormat="1" ht="14.1" customHeight="1" x14ac:dyDescent="0.2">
      <c r="B87" s="63" t="s">
        <v>174</v>
      </c>
      <c r="C87" s="60">
        <v>1793955.3646299997</v>
      </c>
      <c r="D87" s="60">
        <v>1431700.6389899999</v>
      </c>
      <c r="E87" s="60">
        <v>66693.528739999994</v>
      </c>
      <c r="F87" s="60">
        <v>846910.00199000025</v>
      </c>
      <c r="G87" s="60">
        <v>601.00104999999996</v>
      </c>
      <c r="H87" s="60">
        <v>4139860.5353999999</v>
      </c>
      <c r="I87" s="60">
        <v>176.63827000000001</v>
      </c>
      <c r="J87" s="60">
        <v>17174.482769999999</v>
      </c>
      <c r="K87" s="60">
        <v>17351.121039999998</v>
      </c>
      <c r="L87" s="60">
        <v>2115.1257700000001</v>
      </c>
      <c r="M87" s="60">
        <v>172389.83562</v>
      </c>
      <c r="N87" s="60">
        <v>174504.96139000001</v>
      </c>
      <c r="O87" s="61">
        <v>4331716.6178299999</v>
      </c>
    </row>
    <row r="88" spans="2:15" s="54" customFormat="1" ht="14.1" customHeight="1" x14ac:dyDescent="0.2">
      <c r="B88" s="63" t="s">
        <v>175</v>
      </c>
      <c r="C88" s="60">
        <v>3158710.1591800004</v>
      </c>
      <c r="D88" s="60">
        <v>3316067.2039999994</v>
      </c>
      <c r="E88" s="60">
        <v>151064.72502999997</v>
      </c>
      <c r="F88" s="60">
        <v>1193800.8030899996</v>
      </c>
      <c r="G88" s="60">
        <v>1308.4197800000002</v>
      </c>
      <c r="H88" s="60">
        <v>7820951.3110800004</v>
      </c>
      <c r="I88" s="60">
        <v>3259.3520700000004</v>
      </c>
      <c r="J88" s="60">
        <v>56002.788019999993</v>
      </c>
      <c r="K88" s="60">
        <v>59262.140089999994</v>
      </c>
      <c r="L88" s="60">
        <v>111909.79544999999</v>
      </c>
      <c r="M88" s="60">
        <v>1381109.8356199998</v>
      </c>
      <c r="N88" s="60">
        <v>1493019.6310699999</v>
      </c>
      <c r="O88" s="61">
        <v>9373233.0822400004</v>
      </c>
    </row>
    <row r="89" spans="2:15" s="54" customFormat="1" ht="14.1" customHeight="1" x14ac:dyDescent="0.2">
      <c r="B89" s="63" t="s">
        <v>176</v>
      </c>
      <c r="C89" s="60">
        <v>5667991.9588299999</v>
      </c>
      <c r="D89" s="60">
        <v>5395791.3307499997</v>
      </c>
      <c r="E89" s="60">
        <v>236919.78478000005</v>
      </c>
      <c r="F89" s="60">
        <v>2121595.2039599996</v>
      </c>
      <c r="G89" s="60">
        <v>3591.25353</v>
      </c>
      <c r="H89" s="60">
        <v>13425889.531849997</v>
      </c>
      <c r="I89" s="60">
        <v>4185.3366300000007</v>
      </c>
      <c r="J89" s="60">
        <v>124843.61905999998</v>
      </c>
      <c r="K89" s="60">
        <v>129028.95568999999</v>
      </c>
      <c r="L89" s="60">
        <v>54848.311130000002</v>
      </c>
      <c r="M89" s="60">
        <v>1487909.8356199998</v>
      </c>
      <c r="N89" s="60">
        <v>1542758.1467499998</v>
      </c>
      <c r="O89" s="61">
        <v>15097676.634289997</v>
      </c>
    </row>
    <row r="90" spans="2:15" s="54" customFormat="1" ht="14.1" customHeight="1" x14ac:dyDescent="0.2">
      <c r="B90" s="143" t="s">
        <v>177</v>
      </c>
      <c r="C90" s="144">
        <v>7794879.6746199997</v>
      </c>
      <c r="D90" s="144">
        <v>8155216.7785099996</v>
      </c>
      <c r="E90" s="144">
        <v>410920.25114000001</v>
      </c>
      <c r="F90" s="144">
        <v>1661677.8357699998</v>
      </c>
      <c r="G90" s="144">
        <v>5189.5617300000004</v>
      </c>
      <c r="H90" s="144">
        <v>18027884.101770002</v>
      </c>
      <c r="I90" s="144">
        <v>8088.4341100000001</v>
      </c>
      <c r="J90" s="144">
        <v>388209.01100000006</v>
      </c>
      <c r="K90" s="144">
        <v>396297.44511000003</v>
      </c>
      <c r="L90" s="144">
        <v>76461.40340000001</v>
      </c>
      <c r="M90" s="144">
        <v>1782249.83562</v>
      </c>
      <c r="N90" s="144">
        <v>1858711.23902</v>
      </c>
      <c r="O90" s="145">
        <v>20282892.785900004</v>
      </c>
    </row>
    <row r="91" spans="2:15" s="54" customFormat="1" ht="14.1" customHeight="1" x14ac:dyDescent="0.2">
      <c r="B91" s="63" t="s">
        <v>178</v>
      </c>
      <c r="C91" s="60">
        <v>1858053.1967600002</v>
      </c>
      <c r="D91" s="60">
        <v>1816799.7787500001</v>
      </c>
      <c r="E91" s="60">
        <v>98691.457699999999</v>
      </c>
      <c r="F91" s="60">
        <v>1136588.89912</v>
      </c>
      <c r="G91" s="60">
        <v>266.90821999999997</v>
      </c>
      <c r="H91" s="60">
        <v>4910400.2405500002</v>
      </c>
      <c r="I91" s="60">
        <v>761.42746999999997</v>
      </c>
      <c r="J91" s="60">
        <v>54095.632169999997</v>
      </c>
      <c r="K91" s="60">
        <v>54857.059639999999</v>
      </c>
      <c r="L91" s="60">
        <v>5578.70849</v>
      </c>
      <c r="M91" s="60">
        <v>0</v>
      </c>
      <c r="N91" s="60">
        <v>5578.70849</v>
      </c>
      <c r="O91" s="61">
        <v>4970836.00868</v>
      </c>
    </row>
    <row r="92" spans="2:15" s="54" customFormat="1" ht="14.1" customHeight="1" x14ac:dyDescent="0.2">
      <c r="B92" s="63" t="s">
        <v>179</v>
      </c>
      <c r="C92" s="60">
        <v>3427120.4117999999</v>
      </c>
      <c r="D92" s="60">
        <v>3734023.74927</v>
      </c>
      <c r="E92" s="60">
        <v>186883.40526999999</v>
      </c>
      <c r="F92" s="60">
        <v>804483.9863099996</v>
      </c>
      <c r="G92" s="60">
        <v>630.41765999999996</v>
      </c>
      <c r="H92" s="60">
        <v>8153141.9703099998</v>
      </c>
      <c r="I92" s="60">
        <v>1051.1436800000001</v>
      </c>
      <c r="J92" s="60">
        <v>175766.79006999999</v>
      </c>
      <c r="K92" s="60">
        <v>176817.93375</v>
      </c>
      <c r="L92" s="60">
        <v>8418.8196399999997</v>
      </c>
      <c r="M92" s="60">
        <v>556615</v>
      </c>
      <c r="N92" s="60">
        <v>565033.81964</v>
      </c>
      <c r="O92" s="61">
        <v>8894993.7237</v>
      </c>
    </row>
    <row r="93" spans="2:15" s="54" customFormat="1" ht="14.1" customHeight="1" x14ac:dyDescent="0.2">
      <c r="B93" s="63" t="s">
        <v>180</v>
      </c>
      <c r="C93" s="60">
        <v>6175332.9393800003</v>
      </c>
      <c r="D93" s="60">
        <v>6123401.4111799998</v>
      </c>
      <c r="E93" s="60">
        <v>287064.21418999997</v>
      </c>
      <c r="F93" s="60">
        <v>1445663.0511299986</v>
      </c>
      <c r="G93" s="60">
        <v>3635.5129899999997</v>
      </c>
      <c r="H93" s="60">
        <f t="shared" ref="H93" si="8">SUM(C93:G93)</f>
        <v>14035097.128869999</v>
      </c>
      <c r="I93" s="60">
        <v>1120.64895</v>
      </c>
      <c r="J93" s="60">
        <v>261672.16584999999</v>
      </c>
      <c r="K93" s="60">
        <f t="shared" ref="K93" si="9">SUM(I93:J93)</f>
        <v>262792.81479999999</v>
      </c>
      <c r="L93" s="60">
        <v>25854.408800000001</v>
      </c>
      <c r="M93" s="60">
        <v>556615</v>
      </c>
      <c r="N93" s="60">
        <f t="shared" ref="N93" si="10">SUM(L93:M93)</f>
        <v>582469.40879999998</v>
      </c>
      <c r="O93" s="61">
        <f t="shared" ref="O93" si="11">SUM(H93,K93,N93)</f>
        <v>14880359.352469999</v>
      </c>
    </row>
    <row r="94" spans="2:15" s="54" customFormat="1" ht="14.1" customHeight="1" x14ac:dyDescent="0.2">
      <c r="B94" s="143" t="s">
        <v>181</v>
      </c>
      <c r="C94" s="144">
        <v>8362820.4678400001</v>
      </c>
      <c r="D94" s="144">
        <v>9011631.0800400004</v>
      </c>
      <c r="E94" s="144">
        <v>414275.87347999995</v>
      </c>
      <c r="F94" s="144">
        <v>704691.44570999965</v>
      </c>
      <c r="G94" s="144">
        <v>9665.3308500000003</v>
      </c>
      <c r="H94" s="144">
        <v>18503084.197920002</v>
      </c>
      <c r="I94" s="144">
        <v>3038.3698799999997</v>
      </c>
      <c r="J94" s="144">
        <v>649160.91342999996</v>
      </c>
      <c r="K94" s="144">
        <v>652199.28330999997</v>
      </c>
      <c r="L94" s="144">
        <v>31931.475809999996</v>
      </c>
      <c r="M94" s="144">
        <v>586615</v>
      </c>
      <c r="N94" s="144">
        <v>618546.47580999997</v>
      </c>
      <c r="O94" s="145">
        <v>19773829.957040001</v>
      </c>
    </row>
    <row r="95" spans="2:15" s="54" customFormat="1" ht="14.1" customHeight="1" x14ac:dyDescent="0.2">
      <c r="B95" s="63" t="s">
        <v>182</v>
      </c>
      <c r="C95" s="60">
        <v>2115801.4454700002</v>
      </c>
      <c r="D95" s="60">
        <v>2089778.4821599999</v>
      </c>
      <c r="E95" s="60">
        <v>105869.60679999999</v>
      </c>
      <c r="F95" s="60">
        <v>1082721.0856800005</v>
      </c>
      <c r="G95" s="60">
        <v>1859.2749799999999</v>
      </c>
      <c r="H95" s="60">
        <v>5396029.8950900007</v>
      </c>
      <c r="I95" s="60">
        <v>3603.8211700000002</v>
      </c>
      <c r="J95" s="60">
        <v>103002.54030000001</v>
      </c>
      <c r="K95" s="60">
        <v>106606.36147</v>
      </c>
      <c r="L95" s="60">
        <v>6626.7510700000003</v>
      </c>
      <c r="M95" s="60">
        <v>694421</v>
      </c>
      <c r="N95" s="60">
        <v>701047.75107</v>
      </c>
      <c r="O95" s="61">
        <v>6203684.0076300008</v>
      </c>
    </row>
    <row r="96" spans="2:15" s="54" customFormat="1" ht="14.1" customHeight="1" x14ac:dyDescent="0.2">
      <c r="B96" s="63" t="s">
        <v>183</v>
      </c>
      <c r="C96" s="60">
        <v>3733873.7620200007</v>
      </c>
      <c r="D96" s="60">
        <v>3635315.92539</v>
      </c>
      <c r="E96" s="60">
        <v>202942.97135000001</v>
      </c>
      <c r="F96" s="60">
        <v>857361.18259999994</v>
      </c>
      <c r="G96" s="60">
        <v>10318.951800000001</v>
      </c>
      <c r="H96" s="60">
        <v>8439812.7931600008</v>
      </c>
      <c r="I96" s="60">
        <v>4153.2326200000007</v>
      </c>
      <c r="J96" s="60">
        <v>155752.68020999999</v>
      </c>
      <c r="K96" s="60">
        <v>159905.91282999999</v>
      </c>
      <c r="L96" s="60">
        <v>13762.698540000001</v>
      </c>
      <c r="M96" s="60">
        <v>694421</v>
      </c>
      <c r="N96" s="60">
        <v>708183.69854000001</v>
      </c>
      <c r="O96" s="61">
        <v>9307902.4045300018</v>
      </c>
    </row>
    <row r="97" spans="2:15" s="54" customFormat="1" ht="14.1" customHeight="1" x14ac:dyDescent="0.2">
      <c r="B97" s="63" t="s">
        <v>184</v>
      </c>
      <c r="C97" s="60">
        <v>6817534.9487699997</v>
      </c>
      <c r="D97" s="60">
        <v>5794287.2562000006</v>
      </c>
      <c r="E97" s="60">
        <v>303100.21666999999</v>
      </c>
      <c r="F97" s="60">
        <v>1519487.8864599979</v>
      </c>
      <c r="G97" s="60">
        <v>62363.272490000003</v>
      </c>
      <c r="H97" s="60">
        <v>14496773.58059</v>
      </c>
      <c r="I97" s="60">
        <v>4219.8780999999999</v>
      </c>
      <c r="J97" s="60">
        <v>252445.26359999998</v>
      </c>
      <c r="K97" s="60">
        <v>256665.14169999998</v>
      </c>
      <c r="L97" s="60">
        <v>15441.53292</v>
      </c>
      <c r="M97" s="60">
        <v>694421</v>
      </c>
      <c r="N97" s="60">
        <v>709862.53292000003</v>
      </c>
      <c r="O97" s="61">
        <v>15463301.255209999</v>
      </c>
    </row>
    <row r="98" spans="2:15" s="54" customFormat="1" ht="14.1" customHeight="1" x14ac:dyDescent="0.2">
      <c r="B98" s="143" t="s">
        <v>185</v>
      </c>
      <c r="C98" s="144">
        <v>9302831.7122799996</v>
      </c>
      <c r="D98" s="144">
        <v>8915139.9009399991</v>
      </c>
      <c r="E98" s="144">
        <v>529317.68405000004</v>
      </c>
      <c r="F98" s="144">
        <v>827009.67078999989</v>
      </c>
      <c r="G98" s="144">
        <v>150166.65950000001</v>
      </c>
      <c r="H98" s="144">
        <v>19724465.627560001</v>
      </c>
      <c r="I98" s="144">
        <v>8038.0658299999996</v>
      </c>
      <c r="J98" s="144">
        <v>423261.40695999993</v>
      </c>
      <c r="K98" s="144">
        <v>431299.47278999991</v>
      </c>
      <c r="L98" s="144">
        <v>22170.018539999997</v>
      </c>
      <c r="M98" s="144">
        <v>920421</v>
      </c>
      <c r="N98" s="144">
        <v>942591.01853999996</v>
      </c>
      <c r="O98" s="145">
        <v>21098356.118889999</v>
      </c>
    </row>
    <row r="99" spans="2:15" s="54" customFormat="1" ht="14.1" customHeight="1" x14ac:dyDescent="0.2">
      <c r="B99" s="63" t="s">
        <v>218</v>
      </c>
      <c r="C99" s="60">
        <v>2263239.8793100002</v>
      </c>
      <c r="D99" s="60">
        <v>1765702.2630999999</v>
      </c>
      <c r="E99" s="60">
        <v>87648.428100000019</v>
      </c>
      <c r="F99" s="60">
        <v>1155606.2157100001</v>
      </c>
      <c r="G99" s="60">
        <v>4088.2083400000001</v>
      </c>
      <c r="H99" s="60">
        <v>5276284.9945600005</v>
      </c>
      <c r="I99" s="60">
        <v>59.375720000000008</v>
      </c>
      <c r="J99" s="60">
        <v>23924.415919999999</v>
      </c>
      <c r="K99" s="60">
        <v>23983.791639999999</v>
      </c>
      <c r="L99" s="60">
        <v>7036.6978400000007</v>
      </c>
      <c r="M99" s="60">
        <v>599058</v>
      </c>
      <c r="N99" s="60">
        <v>606094.69784000004</v>
      </c>
      <c r="O99" s="61">
        <v>5906363.4840400014</v>
      </c>
    </row>
    <row r="100" spans="2:15" s="54" customFormat="1" ht="14.1" customHeight="1" x14ac:dyDescent="0.2">
      <c r="B100" s="63" t="s">
        <v>219</v>
      </c>
      <c r="C100" s="60">
        <v>4117707.5500000003</v>
      </c>
      <c r="D100" s="60">
        <v>3688390.6989999996</v>
      </c>
      <c r="E100" s="60">
        <v>218206.383</v>
      </c>
      <c r="F100" s="60">
        <v>1376593.6459999997</v>
      </c>
      <c r="G100" s="60">
        <v>45482.305</v>
      </c>
      <c r="H100" s="60">
        <f>SUM(C100:G100)</f>
        <v>9446380.5830000006</v>
      </c>
      <c r="I100" s="60">
        <v>179.911</v>
      </c>
      <c r="J100" s="60">
        <v>109919.467</v>
      </c>
      <c r="K100" s="60">
        <f>SUM(I100:J100)</f>
        <v>110099.378</v>
      </c>
      <c r="L100" s="60">
        <v>11170.800999999999</v>
      </c>
      <c r="M100" s="60">
        <v>599058</v>
      </c>
      <c r="N100" s="60">
        <f>SUM(L100:M100)</f>
        <v>610228.80099999998</v>
      </c>
      <c r="O100" s="61">
        <f>H100+K100+N100</f>
        <v>10166708.762000002</v>
      </c>
    </row>
    <row r="101" spans="2:15" s="54" customFormat="1" ht="14.1" customHeight="1" x14ac:dyDescent="0.2">
      <c r="B101" s="63" t="s">
        <v>220</v>
      </c>
      <c r="C101" s="60">
        <f>'[3]consolidado GV-DDFF'!I6</f>
        <v>7175024.7680000002</v>
      </c>
      <c r="D101" s="60">
        <f>'[3]consolidado GV-DDFF'!I7</f>
        <v>5909919.7199999997</v>
      </c>
      <c r="E101" s="60">
        <f>'[3]consolidado GV-DDFF'!I8</f>
        <v>304700.72600000002</v>
      </c>
      <c r="F101" s="60">
        <f>'[3]consolidado GV-DDFF'!I9</f>
        <v>1562031.0309999995</v>
      </c>
      <c r="G101" s="60">
        <f>'[3]consolidado GV-DDFF'!I10</f>
        <v>85753.811000000002</v>
      </c>
      <c r="H101" s="60">
        <f>SUM(C101:G101)</f>
        <v>15037430.056</v>
      </c>
      <c r="I101" s="60">
        <f>'[3]consolidado GV-DDFF'!I11</f>
        <v>427.32499999999999</v>
      </c>
      <c r="J101" s="60">
        <f>'[3]consolidado GV-DDFF'!I12</f>
        <v>149954.52099999998</v>
      </c>
      <c r="K101" s="60">
        <f>SUM(I101:J101)</f>
        <v>150381.84599999999</v>
      </c>
      <c r="L101" s="60">
        <f>'[3]consolidado GV-DDFF'!I13</f>
        <v>15980.824000000001</v>
      </c>
      <c r="M101" s="60">
        <f>'[3]consolidado GV-DDFF'!I14</f>
        <v>599058</v>
      </c>
      <c r="N101" s="60">
        <f>SUM(L101:M101)</f>
        <v>615038.82400000002</v>
      </c>
      <c r="O101" s="61">
        <f>H101+K101+N101</f>
        <v>15802850.726</v>
      </c>
    </row>
    <row r="102" spans="2:15" s="54" customFormat="1" ht="14.1" customHeight="1" x14ac:dyDescent="0.2">
      <c r="B102" s="143" t="s">
        <v>221</v>
      </c>
      <c r="C102" s="144">
        <v>9361852.5559999999</v>
      </c>
      <c r="D102" s="144">
        <v>8970626.7589999996</v>
      </c>
      <c r="E102" s="144">
        <v>501827.56099999999</v>
      </c>
      <c r="F102" s="144">
        <v>848043.57799999975</v>
      </c>
      <c r="G102" s="144">
        <v>154846.31700000001</v>
      </c>
      <c r="H102" s="144">
        <v>19837196.770999998</v>
      </c>
      <c r="I102" s="144">
        <v>4196.9719999999998</v>
      </c>
      <c r="J102" s="144">
        <v>279457.99778000003</v>
      </c>
      <c r="K102" s="144">
        <v>283654.96978000004</v>
      </c>
      <c r="L102" s="144">
        <v>25088.437999999998</v>
      </c>
      <c r="M102" s="144">
        <v>1087196</v>
      </c>
      <c r="N102" s="144">
        <v>1112284.4380000001</v>
      </c>
      <c r="O102" s="145">
        <v>21233136.178780001</v>
      </c>
    </row>
    <row r="103" spans="2:15" s="54" customFormat="1" ht="14.1" customHeight="1" x14ac:dyDescent="0.2">
      <c r="B103" s="63" t="s">
        <v>225</v>
      </c>
      <c r="C103" s="60">
        <v>2476035.7540700003</v>
      </c>
      <c r="D103" s="60">
        <v>1910676.3950999998</v>
      </c>
      <c r="E103" s="60">
        <v>86463.599309999991</v>
      </c>
      <c r="F103" s="60">
        <v>1138322.8548600003</v>
      </c>
      <c r="G103" s="60">
        <v>1580.5995600000001</v>
      </c>
      <c r="H103" s="60">
        <v>5613079.2029000008</v>
      </c>
      <c r="I103" s="60">
        <v>74.971609999999998</v>
      </c>
      <c r="J103" s="60">
        <v>11893.302370000001</v>
      </c>
      <c r="K103" s="60">
        <v>11968.273980000002</v>
      </c>
      <c r="L103" s="60">
        <v>6201.3586400000004</v>
      </c>
      <c r="M103" s="60">
        <v>697606</v>
      </c>
      <c r="N103" s="60">
        <v>703807.35863999999</v>
      </c>
      <c r="O103" s="61">
        <v>6328854.8355200011</v>
      </c>
    </row>
    <row r="104" spans="2:15" s="54" customFormat="1" ht="14.1" customHeight="1" x14ac:dyDescent="0.2">
      <c r="B104" s="63" t="s">
        <v>226</v>
      </c>
      <c r="C104" s="60">
        <v>4249146.4454530003</v>
      </c>
      <c r="D104" s="60">
        <v>4124116.608</v>
      </c>
      <c r="E104" s="60">
        <v>206306.63991000003</v>
      </c>
      <c r="F104" s="60">
        <v>918645.95712000038</v>
      </c>
      <c r="G104" s="60">
        <v>24508.833740000002</v>
      </c>
      <c r="H104" s="60">
        <v>9522724.4842230007</v>
      </c>
      <c r="I104" s="60">
        <v>245.29113999999998</v>
      </c>
      <c r="J104" s="60">
        <v>85545.641340000002</v>
      </c>
      <c r="K104" s="60">
        <v>85790.932480000003</v>
      </c>
      <c r="L104" s="60">
        <v>34070.210019999999</v>
      </c>
      <c r="M104" s="60">
        <v>697606</v>
      </c>
      <c r="N104" s="60">
        <v>731676.21002</v>
      </c>
      <c r="O104" s="61">
        <v>10340191.626723001</v>
      </c>
    </row>
    <row r="105" spans="2:15" s="54" customFormat="1" ht="14.1" customHeight="1" x14ac:dyDescent="0.2">
      <c r="B105" s="63" t="s">
        <v>227</v>
      </c>
      <c r="C105" s="60">
        <v>7633191.1490000002</v>
      </c>
      <c r="D105" s="60">
        <v>6696246.8039999995</v>
      </c>
      <c r="E105" s="60">
        <v>297537.98499999999</v>
      </c>
      <c r="F105" s="60">
        <v>1561763.2210000008</v>
      </c>
      <c r="G105" s="60">
        <v>37654.148000000001</v>
      </c>
      <c r="H105" s="60">
        <v>16226393.307</v>
      </c>
      <c r="I105" s="60">
        <v>685.73300000000006</v>
      </c>
      <c r="J105" s="60">
        <v>123256.85799999999</v>
      </c>
      <c r="K105" s="60">
        <v>123942.59099999999</v>
      </c>
      <c r="L105" s="60">
        <v>38174.199999999997</v>
      </c>
      <c r="M105" s="60">
        <v>1126606</v>
      </c>
      <c r="N105" s="60">
        <v>1164780.2</v>
      </c>
      <c r="O105" s="61">
        <v>17515116.098000001</v>
      </c>
    </row>
    <row r="106" spans="2:15" s="54" customFormat="1" ht="14.1" customHeight="1" x14ac:dyDescent="0.2">
      <c r="B106" s="143" t="s">
        <v>228</v>
      </c>
      <c r="C106" s="144">
        <f>+'consolidado GV-DDFF'!I6</f>
        <v>10320479.761724001</v>
      </c>
      <c r="D106" s="144">
        <f>+'consolidado GV-DDFF'!I7</f>
        <v>10125296.161120001</v>
      </c>
      <c r="E106" s="144">
        <f>+'consolidado GV-DDFF'!I8</f>
        <v>466889.96536999999</v>
      </c>
      <c r="F106" s="144">
        <f>+'consolidado GV-DDFF'!I9</f>
        <v>704759.96012000181</v>
      </c>
      <c r="G106" s="144">
        <f>+'consolidado GV-DDFF'!I10</f>
        <v>87335.541800000006</v>
      </c>
      <c r="H106" s="144">
        <f>SUM(C106:G106)</f>
        <v>21704761.390133999</v>
      </c>
      <c r="I106" s="144">
        <f>+'consolidado GV-DDFF'!I11</f>
        <v>967.79383999999993</v>
      </c>
      <c r="J106" s="144">
        <f>+'consolidado GV-DDFF'!I12</f>
        <v>239104.07760999998</v>
      </c>
      <c r="K106" s="144">
        <f>+I106+J106</f>
        <v>240071.87144999998</v>
      </c>
      <c r="L106" s="144">
        <f>+'consolidado GV-DDFF'!I13</f>
        <v>46137.594209999996</v>
      </c>
      <c r="M106" s="144">
        <f>+'consolidado GV-DDFF'!I14</f>
        <v>1380554.936</v>
      </c>
      <c r="N106" s="144">
        <f>+L106+M106</f>
        <v>1426692.53021</v>
      </c>
      <c r="O106" s="145">
        <f>+H106+K106+N106</f>
        <v>23371525.791793998</v>
      </c>
    </row>
    <row r="107" spans="2:15" s="54" customFormat="1" ht="3.9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2:15" x14ac:dyDescent="0.25">
      <c r="B108" s="287" t="s">
        <v>43</v>
      </c>
      <c r="C108" s="287"/>
    </row>
  </sheetData>
  <mergeCells count="1">
    <mergeCell ref="B108:C108"/>
  </mergeCells>
  <phoneticPr fontId="0" type="noConversion"/>
  <hyperlinks>
    <hyperlink ref="B108" location="Índice!A1" tooltip="Volver al índice" display="◄ volver al menu" xr:uid="{00000000-0004-0000-0E00-000000000000}"/>
  </hyperlinks>
  <printOptions horizontalCentered="1"/>
  <pageMargins left="0" right="0" top="0" bottom="0" header="0" footer="0"/>
  <pageSetup paperSize="9" scale="73" orientation="portrait" r:id="rId1"/>
  <headerFooter alignWithMargins="0">
    <oddFooter>&amp;C&amp;G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8"/>
    <pageSetUpPr fitToPage="1"/>
  </sheetPr>
  <dimension ref="B1:J29"/>
  <sheetViews>
    <sheetView showGridLines="0" tabSelected="1" zoomScale="90" zoomScaleNormal="90" workbookViewId="0">
      <selection activeCell="L15" sqref="L14:L15"/>
    </sheetView>
  </sheetViews>
  <sheetFormatPr baseColWidth="10" defaultColWidth="12.5703125" defaultRowHeight="11.25" x14ac:dyDescent="0.2"/>
  <cols>
    <col min="1" max="1" width="4.140625" style="113" customWidth="1"/>
    <col min="2" max="2" width="4" style="113" customWidth="1"/>
    <col min="3" max="3" width="34.5703125" style="113" bestFit="1" customWidth="1"/>
    <col min="4" max="4" width="2.7109375" style="113" customWidth="1"/>
    <col min="5" max="5" width="18.7109375" style="113" customWidth="1"/>
    <col min="6" max="6" width="2.7109375" style="113" customWidth="1"/>
    <col min="7" max="7" width="18.7109375" style="113" customWidth="1"/>
    <col min="8" max="8" width="2.7109375" style="113" customWidth="1"/>
    <col min="9" max="9" width="18.7109375" style="113" customWidth="1"/>
    <col min="10" max="16384" width="12.5703125" style="113"/>
  </cols>
  <sheetData>
    <row r="1" spans="2:9" ht="15.75" x14ac:dyDescent="0.2">
      <c r="B1" s="62" t="s">
        <v>9</v>
      </c>
      <c r="C1" s="133"/>
      <c r="D1" s="133"/>
      <c r="E1" s="133"/>
      <c r="F1" s="133"/>
      <c r="G1" s="133"/>
      <c r="H1" s="133"/>
      <c r="I1" s="130" t="str">
        <f>Índice!B8</f>
        <v>4ºTrimestre 2025</v>
      </c>
    </row>
    <row r="2" spans="2:9" ht="18" x14ac:dyDescent="0.2">
      <c r="B2" s="259" t="s">
        <v>55</v>
      </c>
      <c r="C2" s="259"/>
      <c r="D2" s="259"/>
      <c r="E2" s="259"/>
      <c r="F2" s="259"/>
      <c r="G2" s="259"/>
      <c r="H2" s="259"/>
      <c r="I2" s="259"/>
    </row>
    <row r="3" spans="2:9" ht="24" customHeight="1" x14ac:dyDescent="0.2">
      <c r="B3" s="115"/>
      <c r="C3" s="114"/>
      <c r="D3" s="114"/>
      <c r="E3" s="114"/>
      <c r="F3" s="114"/>
      <c r="G3" s="128" t="s">
        <v>12</v>
      </c>
      <c r="H3"/>
    </row>
    <row r="4" spans="2:9" ht="32.1" customHeight="1" x14ac:dyDescent="0.2">
      <c r="B4" s="116"/>
      <c r="C4" s="70"/>
      <c r="D4" s="72"/>
      <c r="E4" s="126">
        <v>2025</v>
      </c>
      <c r="F4"/>
      <c r="G4" s="126">
        <v>2024</v>
      </c>
      <c r="H4"/>
      <c r="I4" s="127" t="s">
        <v>224</v>
      </c>
    </row>
    <row r="5" spans="2:9" ht="9" customHeight="1" x14ac:dyDescent="0.2">
      <c r="B5" s="116"/>
      <c r="C5" s="70"/>
      <c r="D5" s="72"/>
      <c r="F5"/>
      <c r="H5"/>
    </row>
    <row r="6" spans="2:9" ht="19.5" customHeight="1" x14ac:dyDescent="0.2">
      <c r="B6" s="262" t="s">
        <v>207</v>
      </c>
      <c r="C6" s="263"/>
      <c r="D6" s="72"/>
      <c r="E6" s="240">
        <f>'consolidado GV-DDFF'!I18</f>
        <v>21704761.390133999</v>
      </c>
      <c r="F6"/>
      <c r="G6" s="187">
        <v>19837196.770999998</v>
      </c>
      <c r="H6"/>
      <c r="I6" s="212">
        <f>+(E6-G6)*100/G6</f>
        <v>9.4144583062471536</v>
      </c>
    </row>
    <row r="7" spans="2:9" ht="19.5" customHeight="1" x14ac:dyDescent="0.2">
      <c r="B7" s="254" t="s">
        <v>57</v>
      </c>
      <c r="C7" s="255"/>
      <c r="D7" s="72"/>
      <c r="E7" s="241">
        <f>'consolidado GV-DDFF'!D18</f>
        <v>19203125.152419999</v>
      </c>
      <c r="F7"/>
      <c r="G7" s="189">
        <v>18658229.963999998</v>
      </c>
      <c r="H7"/>
      <c r="I7" s="213">
        <f>+(E7-G7)*100/G7</f>
        <v>2.9204012892506199</v>
      </c>
    </row>
    <row r="8" spans="2:9" ht="12.75" x14ac:dyDescent="0.2">
      <c r="B8" s="117"/>
      <c r="C8" s="118" t="s">
        <v>58</v>
      </c>
      <c r="D8" s="72"/>
      <c r="E8" s="242">
        <f>'consolidado GV-DDFF'!D6</f>
        <v>3386679.5749999997</v>
      </c>
      <c r="F8"/>
      <c r="G8" s="191">
        <v>3282819.01</v>
      </c>
      <c r="H8"/>
      <c r="I8" s="214">
        <f t="shared" ref="I8:I27" si="0">+(E8-G8)*100/G8</f>
        <v>3.1637615318914567</v>
      </c>
    </row>
    <row r="9" spans="2:9" ht="12.75" x14ac:dyDescent="0.2">
      <c r="B9" s="117"/>
      <c r="C9" s="118" t="s">
        <v>59</v>
      </c>
      <c r="D9" s="72"/>
      <c r="E9" s="242">
        <f>'consolidado GV-DDFF'!D7</f>
        <v>5935171.8845499996</v>
      </c>
      <c r="F9"/>
      <c r="G9" s="191">
        <v>5796807.3559999997</v>
      </c>
      <c r="H9"/>
      <c r="I9" s="214">
        <f t="shared" si="0"/>
        <v>2.3869092079933516</v>
      </c>
    </row>
    <row r="10" spans="2:9" ht="12.75" x14ac:dyDescent="0.2">
      <c r="B10" s="117"/>
      <c r="C10" s="118" t="s">
        <v>60</v>
      </c>
      <c r="D10" s="72"/>
      <c r="E10" s="242">
        <f>'consolidado GV-DDFF'!D8</f>
        <v>265793.62757000001</v>
      </c>
      <c r="F10"/>
      <c r="G10" s="191">
        <v>293664.647</v>
      </c>
      <c r="H10"/>
      <c r="I10" s="214">
        <f t="shared" si="0"/>
        <v>-9.4907642832472057</v>
      </c>
    </row>
    <row r="11" spans="2:9" ht="12.75" x14ac:dyDescent="0.2">
      <c r="B11" s="117"/>
      <c r="C11" s="118" t="s">
        <v>61</v>
      </c>
      <c r="D11" s="72"/>
      <c r="E11" s="242">
        <f>'consolidado GV-DDFF'!D9</f>
        <v>9615480.0653000027</v>
      </c>
      <c r="F11"/>
      <c r="G11" s="191">
        <v>9284938.9509999976</v>
      </c>
      <c r="H11"/>
      <c r="I11" s="214">
        <f t="shared" si="0"/>
        <v>3.5599707875775048</v>
      </c>
    </row>
    <row r="12" spans="2:9" ht="19.5" customHeight="1" x14ac:dyDescent="0.2">
      <c r="B12" s="254" t="s">
        <v>208</v>
      </c>
      <c r="C12" s="255"/>
      <c r="D12" s="72"/>
      <c r="E12" s="241">
        <f>E6-E7</f>
        <v>2501636.237714</v>
      </c>
      <c r="F12"/>
      <c r="G12" s="189">
        <v>1178966.807</v>
      </c>
      <c r="H12"/>
      <c r="I12" s="213">
        <f t="shared" si="0"/>
        <v>112.18886086196657</v>
      </c>
    </row>
    <row r="13" spans="2:9" ht="19.5" customHeight="1" x14ac:dyDescent="0.2">
      <c r="B13" s="254" t="s">
        <v>63</v>
      </c>
      <c r="C13" s="255"/>
      <c r="D13" s="72"/>
      <c r="E13" s="241">
        <f>'consolidado GV-DDFF'!I19</f>
        <v>240071.87144999998</v>
      </c>
      <c r="F13"/>
      <c r="G13" s="189">
        <v>283654.96978000004</v>
      </c>
      <c r="H13"/>
      <c r="I13" s="213">
        <f t="shared" si="0"/>
        <v>-15.364828038727007</v>
      </c>
    </row>
    <row r="14" spans="2:9" ht="19.5" customHeight="1" x14ac:dyDescent="0.2">
      <c r="B14" s="254" t="s">
        <v>64</v>
      </c>
      <c r="C14" s="255"/>
      <c r="D14" s="72"/>
      <c r="E14" s="241">
        <f>'consolidado GV-DDFF'!D19</f>
        <v>2221121.9499299997</v>
      </c>
      <c r="F14"/>
      <c r="G14" s="189">
        <v>2026873.1417799999</v>
      </c>
      <c r="H14"/>
      <c r="I14" s="213">
        <f t="shared" si="0"/>
        <v>9.5836687627825796</v>
      </c>
    </row>
    <row r="15" spans="2:9" ht="12.75" x14ac:dyDescent="0.2">
      <c r="B15" s="176"/>
      <c r="C15" s="118" t="s">
        <v>65</v>
      </c>
      <c r="D15" s="72"/>
      <c r="E15" s="243">
        <f>'consolidado GV-DDFF'!D10</f>
        <v>670734.98636999994</v>
      </c>
      <c r="F15"/>
      <c r="G15" s="191">
        <v>619236.96099999989</v>
      </c>
      <c r="H15"/>
      <c r="I15" s="214">
        <f t="shared" si="0"/>
        <v>8.3163681455377549</v>
      </c>
    </row>
    <row r="16" spans="2:9" ht="12.75" x14ac:dyDescent="0.2">
      <c r="B16" s="176"/>
      <c r="C16" s="118" t="s">
        <v>66</v>
      </c>
      <c r="D16" s="72"/>
      <c r="E16" s="243">
        <f>'consolidado GV-DDFF'!D11</f>
        <v>1550386.9635599998</v>
      </c>
      <c r="F16"/>
      <c r="G16" s="191">
        <v>1407636.1807800001</v>
      </c>
      <c r="H16"/>
      <c r="I16" s="214">
        <f t="shared" si="0"/>
        <v>10.141170334290402</v>
      </c>
    </row>
    <row r="17" spans="2:10" ht="19.5" customHeight="1" x14ac:dyDescent="0.2">
      <c r="B17" s="260" t="s">
        <v>67</v>
      </c>
      <c r="C17" s="261"/>
      <c r="D17" s="72"/>
      <c r="E17" s="241">
        <f>E12+E13-E14</f>
        <v>520586.15923400037</v>
      </c>
      <c r="F17"/>
      <c r="G17" s="189">
        <v>-564251.36499999999</v>
      </c>
      <c r="H17"/>
      <c r="I17" s="213" t="s">
        <v>52</v>
      </c>
    </row>
    <row r="18" spans="2:10" ht="19.5" customHeight="1" x14ac:dyDescent="0.2">
      <c r="B18" s="254" t="s">
        <v>68</v>
      </c>
      <c r="C18" s="255"/>
      <c r="D18" s="72"/>
      <c r="E18" s="241">
        <f>+E19-E20</f>
        <v>-265789.28162999998</v>
      </c>
      <c r="F18"/>
      <c r="G18" s="189">
        <v>-168838.139</v>
      </c>
      <c r="H18"/>
      <c r="I18" s="213" t="s">
        <v>52</v>
      </c>
    </row>
    <row r="19" spans="2:10" ht="12.75" x14ac:dyDescent="0.2">
      <c r="B19" s="176"/>
      <c r="C19" s="118" t="s">
        <v>69</v>
      </c>
      <c r="D19" s="72"/>
      <c r="E19" s="242">
        <f>'consolidado GV-DDFF'!I13</f>
        <v>46137.594209999996</v>
      </c>
      <c r="F19"/>
      <c r="G19" s="191">
        <v>25088.437999999998</v>
      </c>
      <c r="H19"/>
      <c r="I19" s="214">
        <f t="shared" si="0"/>
        <v>83.899827522143866</v>
      </c>
    </row>
    <row r="20" spans="2:10" ht="12.75" x14ac:dyDescent="0.2">
      <c r="B20" s="176"/>
      <c r="C20" s="118" t="s">
        <v>70</v>
      </c>
      <c r="D20" s="72"/>
      <c r="E20" s="242">
        <f>'consolidado GV-DDFF'!D12</f>
        <v>311926.87583999999</v>
      </c>
      <c r="F20"/>
      <c r="G20" s="191">
        <v>193926.57699999999</v>
      </c>
      <c r="H20"/>
      <c r="I20" s="214">
        <f t="shared" si="0"/>
        <v>60.847925367135211</v>
      </c>
    </row>
    <row r="21" spans="2:10" ht="19.5" customHeight="1" x14ac:dyDescent="0.2">
      <c r="B21" s="254" t="s">
        <v>71</v>
      </c>
      <c r="C21" s="255"/>
      <c r="D21" s="72"/>
      <c r="E21" s="241">
        <f>+E22-E23</f>
        <v>300107.50040000002</v>
      </c>
      <c r="F21"/>
      <c r="G21" s="189">
        <v>171065.17400000012</v>
      </c>
      <c r="H21"/>
      <c r="I21" s="213" t="s">
        <v>52</v>
      </c>
    </row>
    <row r="22" spans="2:10" ht="12.75" x14ac:dyDescent="0.2">
      <c r="B22" s="176"/>
      <c r="C22" s="118" t="s">
        <v>72</v>
      </c>
      <c r="D22" s="72"/>
      <c r="E22" s="242">
        <f>'consolidado GV-DDFF'!I14</f>
        <v>1380554.936</v>
      </c>
      <c r="F22"/>
      <c r="G22" s="191">
        <v>1087196</v>
      </c>
      <c r="H22"/>
      <c r="I22" s="214">
        <f t="shared" si="0"/>
        <v>26.9830772004312</v>
      </c>
    </row>
    <row r="23" spans="2:10" ht="12.75" x14ac:dyDescent="0.2">
      <c r="B23" s="176"/>
      <c r="C23" s="118" t="s">
        <v>73</v>
      </c>
      <c r="D23" s="72"/>
      <c r="E23" s="244">
        <f>'consolidado GV-DDFF'!D13</f>
        <v>1080447.4356</v>
      </c>
      <c r="F23"/>
      <c r="G23" s="182">
        <v>916130.82599999988</v>
      </c>
      <c r="H23"/>
      <c r="I23" s="214">
        <f t="shared" si="0"/>
        <v>17.935932831497158</v>
      </c>
    </row>
    <row r="24" spans="2:10" ht="19.5" customHeight="1" x14ac:dyDescent="0.2">
      <c r="B24" s="254" t="s">
        <v>217</v>
      </c>
      <c r="C24" s="255"/>
      <c r="D24" s="72"/>
      <c r="E24" s="241">
        <f>+E17+E18+E21</f>
        <v>554904.37800400041</v>
      </c>
      <c r="F24"/>
      <c r="G24" s="189">
        <v>-562024.32999999984</v>
      </c>
      <c r="H24"/>
      <c r="I24" s="213" t="s">
        <v>52</v>
      </c>
    </row>
    <row r="25" spans="2:10" ht="12.75" x14ac:dyDescent="0.2">
      <c r="B25" s="176"/>
      <c r="C25" s="118" t="s">
        <v>75</v>
      </c>
      <c r="D25" s="72"/>
      <c r="E25" s="242">
        <f>'Magnitudes presupuestarias GV'!E25+'Magnitudes presupuestarias DDFF'!E25</f>
        <v>1433361.3336280063</v>
      </c>
      <c r="F25"/>
      <c r="G25" s="191">
        <v>1522131.8169999979</v>
      </c>
      <c r="H25"/>
      <c r="I25" s="214">
        <f t="shared" si="0"/>
        <v>-5.8319839570104577</v>
      </c>
    </row>
    <row r="26" spans="2:10" ht="12.75" x14ac:dyDescent="0.2">
      <c r="B26" s="176"/>
      <c r="C26" s="118" t="s">
        <v>76</v>
      </c>
      <c r="D26" s="72"/>
      <c r="E26" s="242">
        <f>+'Magnitudes presupuestarias GV'!E26+'Magnitudes presupuestarias DDFF'!E26</f>
        <v>912054.88586400822</v>
      </c>
      <c r="F26"/>
      <c r="G26" s="191">
        <v>913127.36900000274</v>
      </c>
      <c r="H26"/>
      <c r="I26" s="214">
        <f t="shared" si="0"/>
        <v>-0.11745164720766578</v>
      </c>
    </row>
    <row r="27" spans="2:10" ht="30" customHeight="1" x14ac:dyDescent="0.2">
      <c r="B27" s="256" t="s">
        <v>209</v>
      </c>
      <c r="C27" s="257"/>
      <c r="D27" s="72"/>
      <c r="E27" s="245">
        <f>+E24+E25-E26</f>
        <v>1076210.8257679986</v>
      </c>
      <c r="F27"/>
      <c r="G27" s="193">
        <v>46980.11799999536</v>
      </c>
      <c r="H27"/>
      <c r="I27" s="216" t="s">
        <v>52</v>
      </c>
      <c r="J27" s="203"/>
    </row>
    <row r="28" spans="2:10" ht="15.75" customHeight="1" x14ac:dyDescent="0.2">
      <c r="B28" s="252"/>
      <c r="C28" s="253"/>
      <c r="D28" s="253"/>
      <c r="E28" s="253"/>
      <c r="F28" s="253"/>
      <c r="G28" s="253"/>
      <c r="H28" s="253"/>
      <c r="I28" s="253"/>
    </row>
    <row r="29" spans="2:10" ht="18.75" customHeight="1" x14ac:dyDescent="0.2">
      <c r="C29" s="258" t="s">
        <v>43</v>
      </c>
      <c r="D29" s="258"/>
    </row>
  </sheetData>
  <mergeCells count="13">
    <mergeCell ref="B28:I28"/>
    <mergeCell ref="B24:C24"/>
    <mergeCell ref="B27:C27"/>
    <mergeCell ref="C29:D29"/>
    <mergeCell ref="B2:I2"/>
    <mergeCell ref="B21:C21"/>
    <mergeCell ref="B13:C13"/>
    <mergeCell ref="B14:C14"/>
    <mergeCell ref="B17:C17"/>
    <mergeCell ref="B18:C18"/>
    <mergeCell ref="B6:C6"/>
    <mergeCell ref="B7:C7"/>
    <mergeCell ref="B12:C12"/>
  </mergeCells>
  <phoneticPr fontId="28" type="noConversion"/>
  <hyperlinks>
    <hyperlink ref="C29" location="Índice!A1" tooltip="Volver al índice" display="◄ volver al menu" xr:uid="{00000000-0004-0000-0F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  <pageSetUpPr fitToPage="1"/>
  </sheetPr>
  <dimension ref="B1:U26"/>
  <sheetViews>
    <sheetView showGridLines="0" showZeros="0" zoomScaleNormal="100" workbookViewId="0">
      <selection activeCell="L32" sqref="L32"/>
    </sheetView>
  </sheetViews>
  <sheetFormatPr baseColWidth="10" defaultColWidth="11.42578125" defaultRowHeight="12.75" x14ac:dyDescent="0.2"/>
  <cols>
    <col min="1" max="1" width="2.5703125" style="4" customWidth="1"/>
    <col min="2" max="2" width="2.7109375" style="4" customWidth="1"/>
    <col min="3" max="3" width="18.140625" style="4" customWidth="1"/>
    <col min="4" max="4" width="8.2851562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7" width="6" style="4" customWidth="1"/>
    <col min="18" max="18" width="0.7109375" style="4" customWidth="1"/>
    <col min="19" max="19" width="7.42578125" style="4" customWidth="1"/>
    <col min="20" max="20" width="7.42578125" style="4" bestFit="1" customWidth="1"/>
    <col min="21" max="21" width="7.42578125" style="4" customWidth="1"/>
    <col min="22" max="22" width="11.42578125" style="4"/>
    <col min="23" max="23" width="22.5703125" style="4" bestFit="1" customWidth="1"/>
    <col min="24" max="16384" width="11.42578125" style="4"/>
  </cols>
  <sheetData>
    <row r="1" spans="2:21" s="55" customFormat="1" ht="15" x14ac:dyDescent="0.2">
      <c r="B1" s="164" t="s">
        <v>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6" t="str">
        <f>Índice!B8</f>
        <v>4ºTrimestre 2025</v>
      </c>
    </row>
    <row r="2" spans="2:21" ht="27" customHeight="1" x14ac:dyDescent="0.2">
      <c r="B2" s="273" t="s">
        <v>11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spans="2:21" ht="14.25" customHeight="1" x14ac:dyDescent="0.2">
      <c r="B3" s="5"/>
      <c r="C3" s="5"/>
      <c r="D3" s="165"/>
      <c r="E3" s="165"/>
      <c r="F3" s="165"/>
      <c r="G3" s="165"/>
      <c r="H3" s="165"/>
      <c r="I3"/>
      <c r="J3" s="165"/>
      <c r="K3" s="165"/>
      <c r="L3" s="165"/>
      <c r="M3" s="165"/>
      <c r="N3" s="165"/>
      <c r="O3" s="165"/>
      <c r="P3" s="165"/>
      <c r="Q3" s="165"/>
      <c r="R3" s="165"/>
      <c r="S3" s="6"/>
      <c r="T3" s="165"/>
      <c r="U3" s="165"/>
    </row>
    <row r="4" spans="2:21" ht="21" customHeight="1" x14ac:dyDescent="0.2">
      <c r="B4" s="165"/>
      <c r="C4" s="165"/>
      <c r="D4" s="165"/>
      <c r="E4" s="165"/>
      <c r="F4" s="165"/>
      <c r="G4" s="165"/>
      <c r="H4" s="165"/>
      <c r="I4"/>
      <c r="J4" s="165"/>
      <c r="K4" s="165"/>
      <c r="L4" s="165"/>
      <c r="M4" s="165"/>
      <c r="N4"/>
      <c r="O4"/>
      <c r="P4"/>
      <c r="Q4"/>
      <c r="R4" s="165"/>
      <c r="S4" s="2"/>
      <c r="T4" s="165"/>
      <c r="U4" s="11" t="s">
        <v>12</v>
      </c>
    </row>
    <row r="5" spans="2:21" ht="25.5" customHeight="1" x14ac:dyDescent="0.2">
      <c r="B5" s="264" t="s">
        <v>13</v>
      </c>
      <c r="C5" s="265"/>
      <c r="D5" s="266"/>
      <c r="E5"/>
      <c r="F5" s="284">
        <v>2025</v>
      </c>
      <c r="G5" s="285"/>
      <c r="H5" s="286"/>
      <c r="I5"/>
      <c r="J5" s="284">
        <v>2024</v>
      </c>
      <c r="K5" s="285"/>
      <c r="L5" s="286"/>
      <c r="M5"/>
      <c r="N5" s="284" t="s">
        <v>14</v>
      </c>
      <c r="O5" s="285"/>
      <c r="P5" s="285"/>
      <c r="Q5" s="286"/>
      <c r="R5"/>
      <c r="S5" s="278" t="s">
        <v>223</v>
      </c>
      <c r="T5" s="279"/>
      <c r="U5" s="280"/>
    </row>
    <row r="6" spans="2:21" s="8" customFormat="1" ht="24" customHeight="1" x14ac:dyDescent="0.2">
      <c r="B6" s="267"/>
      <c r="C6" s="268"/>
      <c r="D6" s="269"/>
      <c r="E6"/>
      <c r="F6" s="158" t="s">
        <v>15</v>
      </c>
      <c r="G6" s="159" t="s">
        <v>16</v>
      </c>
      <c r="H6" s="160" t="s">
        <v>17</v>
      </c>
      <c r="I6" s="52"/>
      <c r="J6" s="158" t="s">
        <v>15</v>
      </c>
      <c r="K6" s="159" t="s">
        <v>16</v>
      </c>
      <c r="L6" s="160" t="s">
        <v>17</v>
      </c>
      <c r="M6"/>
      <c r="N6" s="274">
        <v>2025</v>
      </c>
      <c r="O6" s="275"/>
      <c r="P6" s="276">
        <v>2024</v>
      </c>
      <c r="Q6" s="277"/>
      <c r="R6"/>
      <c r="S6" s="281"/>
      <c r="T6" s="282"/>
      <c r="U6" s="283"/>
    </row>
    <row r="7" spans="2:21" s="8" customFormat="1" ht="12.75" customHeight="1" x14ac:dyDescent="0.2">
      <c r="B7" s="270"/>
      <c r="C7" s="271"/>
      <c r="D7" s="272"/>
      <c r="E7" s="51"/>
      <c r="F7" s="220" t="s">
        <v>18</v>
      </c>
      <c r="G7" s="221" t="s">
        <v>19</v>
      </c>
      <c r="H7" s="219" t="s">
        <v>20</v>
      </c>
      <c r="I7" s="51"/>
      <c r="J7" s="220" t="s">
        <v>21</v>
      </c>
      <c r="K7" s="221" t="s">
        <v>22</v>
      </c>
      <c r="L7" s="219" t="s">
        <v>23</v>
      </c>
      <c r="M7" s="51"/>
      <c r="N7" s="217" t="s">
        <v>24</v>
      </c>
      <c r="O7" s="222" t="s">
        <v>25</v>
      </c>
      <c r="P7" s="218" t="s">
        <v>26</v>
      </c>
      <c r="Q7" s="219" t="s">
        <v>27</v>
      </c>
      <c r="R7" s="51"/>
      <c r="S7" s="217" t="s">
        <v>28</v>
      </c>
      <c r="T7" s="218" t="s">
        <v>29</v>
      </c>
      <c r="U7" s="219" t="s">
        <v>30</v>
      </c>
    </row>
    <row r="8" spans="2:21" ht="5.0999999999999996" customHeight="1" x14ac:dyDescent="0.2">
      <c r="B8" s="20"/>
      <c r="C8" s="9"/>
      <c r="D8" s="18"/>
      <c r="E8"/>
      <c r="F8" s="24"/>
      <c r="G8" s="8"/>
      <c r="H8" s="18"/>
      <c r="I8"/>
      <c r="J8" s="24"/>
      <c r="K8" s="8"/>
      <c r="L8" s="18"/>
      <c r="M8"/>
      <c r="N8" s="24"/>
      <c r="O8" s="8"/>
      <c r="P8" s="8"/>
      <c r="Q8" s="18"/>
      <c r="R8"/>
      <c r="S8" s="24"/>
      <c r="T8" s="8"/>
      <c r="U8" s="18"/>
    </row>
    <row r="9" spans="2:21" s="7" customFormat="1" ht="18" customHeight="1" x14ac:dyDescent="0.2">
      <c r="B9" s="21">
        <v>1</v>
      </c>
      <c r="C9" s="10" t="s">
        <v>31</v>
      </c>
      <c r="D9" s="223"/>
      <c r="E9"/>
      <c r="F9" s="25">
        <v>2940892.1519999998</v>
      </c>
      <c r="G9" s="28">
        <v>2905351.7719999999</v>
      </c>
      <c r="H9" s="31">
        <v>2905034.3739999998</v>
      </c>
      <c r="I9" s="161"/>
      <c r="J9" s="25">
        <v>2841890.702</v>
      </c>
      <c r="K9" s="28">
        <v>2804883.182</v>
      </c>
      <c r="L9" s="31">
        <v>2804546.1860000002</v>
      </c>
      <c r="M9"/>
      <c r="N9" s="34">
        <f t="shared" ref="N9:O16" si="0">IF(+$F9=0," ",+G9/$F9*100)</f>
        <v>98.791510257326848</v>
      </c>
      <c r="O9" s="35">
        <f t="shared" si="0"/>
        <v>98.780717682026719</v>
      </c>
      <c r="P9" s="35">
        <f t="shared" ref="P9:Q16" si="1">IF(+$J9=0," ",+K9/$J9*100)</f>
        <v>98.697785246492558</v>
      </c>
      <c r="Q9" s="36">
        <f t="shared" si="1"/>
        <v>98.685927084608906</v>
      </c>
      <c r="R9"/>
      <c r="S9" s="34">
        <f t="shared" ref="S9:U16" si="2">IF(+J9=0," ",(+F9/J9-1)*100)</f>
        <v>3.4836473454213701</v>
      </c>
      <c r="T9" s="35">
        <f t="shared" si="2"/>
        <v>3.5819170881962181</v>
      </c>
      <c r="U9" s="36">
        <f t="shared" si="2"/>
        <v>3.5830462875464875</v>
      </c>
    </row>
    <row r="10" spans="2:21" s="7" customFormat="1" ht="18" customHeight="1" x14ac:dyDescent="0.2">
      <c r="B10" s="22">
        <v>2</v>
      </c>
      <c r="C10" s="10" t="s">
        <v>32</v>
      </c>
      <c r="D10" s="16"/>
      <c r="E10"/>
      <c r="F10" s="25">
        <v>5228113.1370000001</v>
      </c>
      <c r="G10" s="28">
        <v>5096687.3</v>
      </c>
      <c r="H10" s="31">
        <v>4742635.6890000002</v>
      </c>
      <c r="I10" s="161"/>
      <c r="J10" s="25">
        <v>5170422.0489999996</v>
      </c>
      <c r="K10" s="28">
        <v>5020717.8669999996</v>
      </c>
      <c r="L10" s="31">
        <v>4693387.22</v>
      </c>
      <c r="M10"/>
      <c r="N10" s="34">
        <f t="shared" si="0"/>
        <v>97.486170754992202</v>
      </c>
      <c r="O10" s="35">
        <f t="shared" si="0"/>
        <v>90.714098274495697</v>
      </c>
      <c r="P10" s="35">
        <f t="shared" si="1"/>
        <v>97.104604216420711</v>
      </c>
      <c r="Q10" s="36">
        <f t="shared" si="1"/>
        <v>90.773773891586615</v>
      </c>
      <c r="R10"/>
      <c r="S10" s="34">
        <f t="shared" si="2"/>
        <v>1.1157906927763861</v>
      </c>
      <c r="T10" s="35">
        <f t="shared" si="2"/>
        <v>1.5131189406066614</v>
      </c>
      <c r="U10" s="36">
        <f t="shared" si="2"/>
        <v>1.049316126957045</v>
      </c>
    </row>
    <row r="11" spans="2:21" s="7" customFormat="1" ht="18" customHeight="1" x14ac:dyDescent="0.2">
      <c r="B11" s="22">
        <v>3</v>
      </c>
      <c r="C11" s="10" t="s">
        <v>33</v>
      </c>
      <c r="D11" s="16"/>
      <c r="E11"/>
      <c r="F11" s="25">
        <v>230247.76800000001</v>
      </c>
      <c r="G11" s="28">
        <v>213691.633</v>
      </c>
      <c r="H11" s="31">
        <v>213603.701</v>
      </c>
      <c r="I11" s="161"/>
      <c r="J11" s="25">
        <v>226225.86600000001</v>
      </c>
      <c r="K11" s="28">
        <v>225518.51199999999</v>
      </c>
      <c r="L11" s="31">
        <v>225437.63</v>
      </c>
      <c r="M11"/>
      <c r="N11" s="34">
        <f t="shared" si="0"/>
        <v>92.809426495721766</v>
      </c>
      <c r="O11" s="35">
        <f t="shared" si="0"/>
        <v>92.771236331811039</v>
      </c>
      <c r="P11" s="35">
        <f t="shared" si="1"/>
        <v>99.687323995037772</v>
      </c>
      <c r="Q11" s="36">
        <f t="shared" si="1"/>
        <v>99.651571231028015</v>
      </c>
      <c r="R11"/>
      <c r="S11" s="95">
        <f t="shared" si="2"/>
        <v>1.7778258830933202</v>
      </c>
      <c r="T11" s="35">
        <f t="shared" si="2"/>
        <v>-5.2443051770401876</v>
      </c>
      <c r="U11" s="36">
        <f t="shared" si="2"/>
        <v>-5.2493139676814344</v>
      </c>
    </row>
    <row r="12" spans="2:21" s="7" customFormat="1" ht="18" customHeight="1" x14ac:dyDescent="0.2">
      <c r="B12" s="22">
        <v>4</v>
      </c>
      <c r="C12" s="10" t="s">
        <v>34</v>
      </c>
      <c r="D12" s="16"/>
      <c r="E12"/>
      <c r="F12" s="25">
        <v>5104467.5760000004</v>
      </c>
      <c r="G12" s="28">
        <v>4926446.2139999997</v>
      </c>
      <c r="H12" s="31">
        <v>4655044.6399999997</v>
      </c>
      <c r="I12" s="161"/>
      <c r="J12" s="25">
        <v>4853230.3039999995</v>
      </c>
      <c r="K12" s="28">
        <v>4712827.2410000004</v>
      </c>
      <c r="L12" s="31">
        <v>4469219.7819999997</v>
      </c>
      <c r="M12"/>
      <c r="N12" s="34">
        <f t="shared" si="0"/>
        <v>96.512440144844589</v>
      </c>
      <c r="O12" s="35">
        <f t="shared" si="0"/>
        <v>91.195498270709351</v>
      </c>
      <c r="P12" s="35">
        <f t="shared" si="1"/>
        <v>97.107018332011151</v>
      </c>
      <c r="Q12" s="36">
        <f t="shared" si="1"/>
        <v>92.087527317970029</v>
      </c>
      <c r="R12"/>
      <c r="S12" s="34">
        <f t="shared" si="2"/>
        <v>5.1767020368461036</v>
      </c>
      <c r="T12" s="35">
        <f t="shared" si="2"/>
        <v>4.5327138483156393</v>
      </c>
      <c r="U12" s="36">
        <f t="shared" si="2"/>
        <v>4.157881399084884</v>
      </c>
    </row>
    <row r="13" spans="2:21" s="7" customFormat="1" ht="18" customHeight="1" x14ac:dyDescent="0.2">
      <c r="B13" s="22">
        <v>6</v>
      </c>
      <c r="C13" s="10" t="s">
        <v>35</v>
      </c>
      <c r="D13" s="16"/>
      <c r="E13"/>
      <c r="F13" s="25">
        <v>372992.402</v>
      </c>
      <c r="G13" s="28">
        <v>236285.628</v>
      </c>
      <c r="H13" s="31">
        <v>184581.06599999999</v>
      </c>
      <c r="I13" s="161"/>
      <c r="J13" s="25">
        <v>509383.91399999999</v>
      </c>
      <c r="K13" s="28">
        <v>218597.77799999999</v>
      </c>
      <c r="L13" s="31">
        <v>148183.606</v>
      </c>
      <c r="M13"/>
      <c r="N13" s="34">
        <f t="shared" si="0"/>
        <v>63.348643761381496</v>
      </c>
      <c r="O13" s="35">
        <f t="shared" si="0"/>
        <v>49.486548522240405</v>
      </c>
      <c r="P13" s="35">
        <f t="shared" si="1"/>
        <v>42.914150210090853</v>
      </c>
      <c r="Q13" s="36">
        <f t="shared" si="1"/>
        <v>29.090750989046743</v>
      </c>
      <c r="R13"/>
      <c r="S13" s="34">
        <f t="shared" si="2"/>
        <v>-26.775779181750913</v>
      </c>
      <c r="T13" s="35">
        <f t="shared" si="2"/>
        <v>8.0915049374381098</v>
      </c>
      <c r="U13" s="36">
        <f t="shared" si="2"/>
        <v>24.562406721294128</v>
      </c>
    </row>
    <row r="14" spans="2:21" s="7" customFormat="1" ht="18" customHeight="1" x14ac:dyDescent="0.2">
      <c r="B14" s="22">
        <v>7</v>
      </c>
      <c r="C14" s="10" t="s">
        <v>36</v>
      </c>
      <c r="D14" s="16"/>
      <c r="E14"/>
      <c r="F14" s="25">
        <v>1592955.8689999999</v>
      </c>
      <c r="G14" s="28">
        <v>1289406.8829999999</v>
      </c>
      <c r="H14" s="31">
        <v>1112749.5789999999</v>
      </c>
      <c r="I14" s="161"/>
      <c r="J14" s="25">
        <v>1632820.1669999999</v>
      </c>
      <c r="K14" s="28">
        <v>1206205.406</v>
      </c>
      <c r="L14" s="31">
        <v>841316.995</v>
      </c>
      <c r="M14"/>
      <c r="N14" s="34">
        <f t="shared" si="0"/>
        <v>80.944294069454841</v>
      </c>
      <c r="O14" s="35">
        <f t="shared" si="0"/>
        <v>69.854388351545722</v>
      </c>
      <c r="P14" s="35">
        <f t="shared" si="1"/>
        <v>73.872520096084784</v>
      </c>
      <c r="Q14" s="36">
        <f t="shared" si="1"/>
        <v>51.525392201993789</v>
      </c>
      <c r="R14"/>
      <c r="S14" s="34">
        <f t="shared" si="2"/>
        <v>-2.4414383656984784</v>
      </c>
      <c r="T14" s="35">
        <f t="shared" si="2"/>
        <v>6.8977867771220946</v>
      </c>
      <c r="U14" s="36">
        <f t="shared" si="2"/>
        <v>32.262819557092136</v>
      </c>
    </row>
    <row r="15" spans="2:21" s="7" customFormat="1" ht="18" customHeight="1" x14ac:dyDescent="0.2">
      <c r="B15" s="22">
        <v>8</v>
      </c>
      <c r="C15" s="10" t="s">
        <v>37</v>
      </c>
      <c r="D15" s="16"/>
      <c r="E15"/>
      <c r="F15" s="25">
        <v>212622.72</v>
      </c>
      <c r="G15" s="28">
        <v>203760.98699999999</v>
      </c>
      <c r="H15" s="31">
        <v>203760.98699999999</v>
      </c>
      <c r="I15" s="161"/>
      <c r="J15" s="25">
        <v>103941.77899999999</v>
      </c>
      <c r="K15" s="28">
        <v>95005.558000000005</v>
      </c>
      <c r="L15" s="31">
        <v>95005.558000000005</v>
      </c>
      <c r="M15"/>
      <c r="N15" s="34">
        <f t="shared" si="0"/>
        <v>95.832179646652989</v>
      </c>
      <c r="O15" s="35">
        <f t="shared" si="0"/>
        <v>95.832179646652989</v>
      </c>
      <c r="P15" s="35">
        <f t="shared" si="1"/>
        <v>91.402666871807156</v>
      </c>
      <c r="Q15" s="36">
        <f t="shared" si="1"/>
        <v>91.402666871807156</v>
      </c>
      <c r="R15"/>
      <c r="S15" s="34">
        <f t="shared" si="2"/>
        <v>104.55943899132225</v>
      </c>
      <c r="T15" s="35">
        <f t="shared" si="2"/>
        <v>114.47270169183153</v>
      </c>
      <c r="U15" s="36">
        <f t="shared" si="2"/>
        <v>114.47270169183153</v>
      </c>
    </row>
    <row r="16" spans="2:21" s="7" customFormat="1" ht="18" customHeight="1" x14ac:dyDescent="0.2">
      <c r="B16" s="22">
        <v>9</v>
      </c>
      <c r="C16" s="10" t="s">
        <v>38</v>
      </c>
      <c r="D16" s="16"/>
      <c r="E16"/>
      <c r="F16" s="25">
        <v>795391.147</v>
      </c>
      <c r="G16" s="28">
        <v>795390.83299999998</v>
      </c>
      <c r="H16" s="31">
        <v>795390.83299999998</v>
      </c>
      <c r="I16" s="161"/>
      <c r="J16" s="25">
        <v>631985.603</v>
      </c>
      <c r="K16" s="28">
        <v>631974.64399999997</v>
      </c>
      <c r="L16" s="31">
        <v>631974.64399999997</v>
      </c>
      <c r="M16"/>
      <c r="N16" s="34">
        <f t="shared" si="0"/>
        <v>99.999960522567903</v>
      </c>
      <c r="O16" s="35">
        <f t="shared" si="0"/>
        <v>99.999960522567903</v>
      </c>
      <c r="P16" s="35">
        <f t="shared" si="1"/>
        <v>99.998265941510695</v>
      </c>
      <c r="Q16" s="36">
        <f t="shared" si="1"/>
        <v>99.998265941510695</v>
      </c>
      <c r="R16"/>
      <c r="S16" s="34">
        <f t="shared" si="2"/>
        <v>25.855896593897576</v>
      </c>
      <c r="T16" s="35">
        <f t="shared" si="2"/>
        <v>25.858029361064048</v>
      </c>
      <c r="U16" s="36">
        <f t="shared" si="2"/>
        <v>25.858029361064048</v>
      </c>
    </row>
    <row r="17" spans="2:21" ht="5.0999999999999996" customHeight="1" x14ac:dyDescent="0.2">
      <c r="B17" s="20"/>
      <c r="C17" s="9"/>
      <c r="D17" s="18"/>
      <c r="E17"/>
      <c r="F17" s="167"/>
      <c r="G17" s="168"/>
      <c r="H17" s="32"/>
      <c r="I17" s="161"/>
      <c r="J17" s="167"/>
      <c r="K17" s="168"/>
      <c r="L17" s="32"/>
      <c r="M17"/>
      <c r="N17" s="37"/>
      <c r="O17" s="38"/>
      <c r="P17" s="38"/>
      <c r="Q17" s="39"/>
      <c r="R17"/>
      <c r="S17" s="37"/>
      <c r="T17" s="38"/>
      <c r="U17" s="39"/>
    </row>
    <row r="18" spans="2:21" ht="18" customHeight="1" x14ac:dyDescent="0.2">
      <c r="B18" s="23"/>
      <c r="C18" s="14" t="s">
        <v>39</v>
      </c>
      <c r="D18" s="17"/>
      <c r="E18"/>
      <c r="F18" s="27">
        <f>SUM(F9:F16)</f>
        <v>16477682.771000003</v>
      </c>
      <c r="G18" s="30">
        <f>SUM(G9:G16)</f>
        <v>15667021.25</v>
      </c>
      <c r="H18" s="33">
        <f>SUM(H9:H16)</f>
        <v>14812800.868999999</v>
      </c>
      <c r="I18" s="161"/>
      <c r="J18" s="27">
        <f>SUM(J9:J16)</f>
        <v>15969900.384</v>
      </c>
      <c r="K18" s="30">
        <f>SUM(K9:K16)</f>
        <v>14915730.188000001</v>
      </c>
      <c r="L18" s="33">
        <f>SUM(L9:L16)</f>
        <v>13909071.620999999</v>
      </c>
      <c r="M18"/>
      <c r="N18" s="40">
        <f>IF(+$F18=0," ",+G18/$F18*100)</f>
        <v>95.080245613013432</v>
      </c>
      <c r="O18" s="41">
        <f>IF(+$F18=0," ",+H18/$F18*100)</f>
        <v>89.896140585191247</v>
      </c>
      <c r="P18" s="41">
        <f>IF(+$J18=0," ",+K18/$J18*100)</f>
        <v>93.399018336669428</v>
      </c>
      <c r="Q18" s="42">
        <f>IF(+$J18=0," ",+L18/$J18*100)</f>
        <v>87.095544033169332</v>
      </c>
      <c r="R18"/>
      <c r="S18" s="40">
        <f>IF(+J18=0," ",(+F18/J18-1)*100)</f>
        <v>3.1796215053961241</v>
      </c>
      <c r="T18" s="41">
        <f>IF(+K18=0," ",(+G18/K18-1)*100)</f>
        <v>5.036904345483717</v>
      </c>
      <c r="U18" s="42">
        <f>IF(+L18=0," ",(+H18/L18-1)*100)</f>
        <v>6.4974088323446644</v>
      </c>
    </row>
    <row r="19" spans="2:21" ht="5.0999999999999996" customHeight="1" x14ac:dyDescent="0.2">
      <c r="B19" s="20"/>
      <c r="C19" s="9"/>
      <c r="D19" s="18"/>
      <c r="E19"/>
      <c r="F19" s="26"/>
      <c r="G19" s="29"/>
      <c r="H19" s="32"/>
      <c r="I19"/>
      <c r="J19" s="26"/>
      <c r="K19" s="29"/>
      <c r="L19" s="32"/>
      <c r="M19"/>
      <c r="N19" s="37"/>
      <c r="O19" s="38"/>
      <c r="P19" s="38"/>
      <c r="Q19" s="39"/>
      <c r="R19"/>
      <c r="S19" s="37"/>
      <c r="T19" s="38"/>
      <c r="U19" s="39"/>
    </row>
    <row r="20" spans="2:21" s="7" customFormat="1" ht="18" customHeight="1" x14ac:dyDescent="0.2">
      <c r="B20" s="22"/>
      <c r="C20" s="10" t="s">
        <v>40</v>
      </c>
      <c r="D20" s="16"/>
      <c r="E20"/>
      <c r="F20" s="25">
        <f>SUM(F9:F12)</f>
        <v>13503720.633000001</v>
      </c>
      <c r="G20" s="28">
        <f>SUM(G9:G12)</f>
        <v>13142176.919</v>
      </c>
      <c r="H20" s="31">
        <f>SUM(H9:H12)</f>
        <v>12516318.403999999</v>
      </c>
      <c r="I20"/>
      <c r="J20" s="25">
        <v>13091768.921</v>
      </c>
      <c r="K20" s="28">
        <v>12763946.801999999</v>
      </c>
      <c r="L20" s="31">
        <v>12192590.818</v>
      </c>
      <c r="M20"/>
      <c r="N20" s="34">
        <f t="shared" ref="N20:O22" si="3">IF(+$F20=0," ",+G20/$F20*100)</f>
        <v>97.322636302794422</v>
      </c>
      <c r="O20" s="35">
        <f t="shared" si="3"/>
        <v>92.687924640657798</v>
      </c>
      <c r="P20" s="35">
        <f t="shared" ref="P20:Q22" si="4">IF(+$J20=0," ",+K20/$J20*100)</f>
        <v>97.49596772614774</v>
      </c>
      <c r="Q20" s="36">
        <f t="shared" si="4"/>
        <v>93.131729497931616</v>
      </c>
      <c r="R20"/>
      <c r="S20" s="34">
        <f t="shared" ref="S20:U22" si="5">IF(+J20=0," ",(+F20/J20-1)*100)</f>
        <v>3.1466466791909564</v>
      </c>
      <c r="T20" s="35">
        <f t="shared" si="5"/>
        <v>2.9632692995926302</v>
      </c>
      <c r="U20" s="36">
        <f t="shared" si="5"/>
        <v>2.6551172825555414</v>
      </c>
    </row>
    <row r="21" spans="2:21" s="7" customFormat="1" ht="18" customHeight="1" x14ac:dyDescent="0.2">
      <c r="B21" s="22"/>
      <c r="C21" s="10" t="s">
        <v>41</v>
      </c>
      <c r="D21" s="16"/>
      <c r="E21"/>
      <c r="F21" s="25">
        <f>SUM(F13:F14)</f>
        <v>1965948.2709999999</v>
      </c>
      <c r="G21" s="28">
        <f>SUM(G13:G14)</f>
        <v>1525692.5109999999</v>
      </c>
      <c r="H21" s="31">
        <f>SUM(H13:H14)</f>
        <v>1297330.645</v>
      </c>
      <c r="I21"/>
      <c r="J21" s="25">
        <v>2142204.0809999998</v>
      </c>
      <c r="K21" s="28">
        <v>1424803.183</v>
      </c>
      <c r="L21" s="31">
        <v>989500.6</v>
      </c>
      <c r="M21"/>
      <c r="N21" s="34">
        <f t="shared" si="3"/>
        <v>77.605933660906572</v>
      </c>
      <c r="O21" s="35">
        <f t="shared" si="3"/>
        <v>65.990070244325366</v>
      </c>
      <c r="P21" s="35">
        <f t="shared" si="4"/>
        <v>66.511085271338359</v>
      </c>
      <c r="Q21" s="36">
        <f t="shared" si="4"/>
        <v>46.190771867920837</v>
      </c>
      <c r="R21"/>
      <c r="S21" s="34">
        <f t="shared" si="5"/>
        <v>-8.2277786492555904</v>
      </c>
      <c r="T21" s="35">
        <f t="shared" si="5"/>
        <v>7.0809308403966487</v>
      </c>
      <c r="U21" s="36">
        <f t="shared" si="5"/>
        <v>31.109637022958857</v>
      </c>
    </row>
    <row r="22" spans="2:21" s="7" customFormat="1" ht="18" customHeight="1" x14ac:dyDescent="0.2">
      <c r="B22" s="22"/>
      <c r="C22" s="10" t="s">
        <v>42</v>
      </c>
      <c r="D22" s="16"/>
      <c r="E22"/>
      <c r="F22" s="25">
        <f>SUM(F15:F16)</f>
        <v>1008013.867</v>
      </c>
      <c r="G22" s="28">
        <f>SUM(G15:G16)</f>
        <v>999151.82</v>
      </c>
      <c r="H22" s="31">
        <f>SUM(H15:H16)</f>
        <v>999151.82</v>
      </c>
      <c r="I22"/>
      <c r="J22" s="25">
        <v>735927.38199999998</v>
      </c>
      <c r="K22" s="28">
        <v>726980.20299999998</v>
      </c>
      <c r="L22" s="31">
        <v>726980.20299999998</v>
      </c>
      <c r="M22"/>
      <c r="N22" s="34">
        <f t="shared" si="3"/>
        <v>99.120840765179679</v>
      </c>
      <c r="O22" s="35">
        <f t="shared" si="3"/>
        <v>99.120840765179679</v>
      </c>
      <c r="P22" s="35">
        <f t="shared" si="4"/>
        <v>98.784230724547214</v>
      </c>
      <c r="Q22" s="36">
        <f t="shared" si="4"/>
        <v>98.784230724547214</v>
      </c>
      <c r="R22"/>
      <c r="S22" s="34">
        <f t="shared" si="5"/>
        <v>36.971920281123616</v>
      </c>
      <c r="T22" s="35">
        <f t="shared" si="5"/>
        <v>37.438655946453615</v>
      </c>
      <c r="U22" s="36">
        <f t="shared" si="5"/>
        <v>37.438655946453615</v>
      </c>
    </row>
    <row r="23" spans="2:21" ht="5.0999999999999996" customHeight="1" x14ac:dyDescent="0.2">
      <c r="B23" s="20"/>
      <c r="C23" s="9"/>
      <c r="D23" s="18"/>
      <c r="E23"/>
      <c r="F23" s="26"/>
      <c r="G23" s="29"/>
      <c r="H23" s="32"/>
      <c r="I23"/>
      <c r="J23" s="26"/>
      <c r="K23" s="29"/>
      <c r="L23" s="32"/>
      <c r="M23"/>
      <c r="N23" s="37"/>
      <c r="O23" s="38"/>
      <c r="P23" s="38"/>
      <c r="Q23" s="39"/>
      <c r="R23"/>
      <c r="S23" s="37"/>
      <c r="T23" s="38"/>
      <c r="U23" s="39"/>
    </row>
    <row r="24" spans="2:21" ht="18" customHeight="1" x14ac:dyDescent="0.2">
      <c r="B24" s="43"/>
      <c r="C24" s="44" t="s">
        <v>39</v>
      </c>
      <c r="D24" s="19"/>
      <c r="E24"/>
      <c r="F24" s="45">
        <f>SUM(F20:F22)</f>
        <v>16477682.771000002</v>
      </c>
      <c r="G24" s="46">
        <f>SUM(G20:G22)</f>
        <v>15667021.25</v>
      </c>
      <c r="H24" s="47">
        <f>SUM(H20:H22)</f>
        <v>14812800.868999999</v>
      </c>
      <c r="I24"/>
      <c r="J24" s="45">
        <f>SUM(J20:J22)</f>
        <v>15969900.384</v>
      </c>
      <c r="K24" s="46">
        <f>SUM(K20:K22)</f>
        <v>14915730.187999999</v>
      </c>
      <c r="L24" s="47">
        <f>SUM(L20:L22)</f>
        <v>13909071.620999999</v>
      </c>
      <c r="M24"/>
      <c r="N24" s="48">
        <f>IF(+$F24=0," ",+G24/$F24*100)</f>
        <v>95.080245613013432</v>
      </c>
      <c r="O24" s="49">
        <f>IF(+$F24=0," ",+H24/$F24*100)</f>
        <v>89.896140585191247</v>
      </c>
      <c r="P24" s="49">
        <f>IF(+$J24=0," ",+K24/$J24*100)</f>
        <v>93.399018336669414</v>
      </c>
      <c r="Q24" s="50">
        <f>IF(+$J24=0," ",+L24/$J24*100)</f>
        <v>87.095544033169332</v>
      </c>
      <c r="R24"/>
      <c r="S24" s="48">
        <f>IF(+J24=0," ",(+F24/J24-1)*100)</f>
        <v>3.1796215053961241</v>
      </c>
      <c r="T24" s="49">
        <f>IF(+K24=0," ",(+G24/K24-1)*100)</f>
        <v>5.0369043454837392</v>
      </c>
      <c r="U24" s="50">
        <f>IF(+L24=0," ",(+H24/L24-1)*100)</f>
        <v>6.4974088323446644</v>
      </c>
    </row>
    <row r="25" spans="2:21" ht="14.25" x14ac:dyDescent="0.2">
      <c r="B25" s="165"/>
      <c r="C25" s="16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x14ac:dyDescent="0.2">
      <c r="B26" s="165"/>
      <c r="C26" s="135" t="s">
        <v>43</v>
      </c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</row>
  </sheetData>
  <mergeCells count="8">
    <mergeCell ref="B5:D7"/>
    <mergeCell ref="B2:U2"/>
    <mergeCell ref="N6:O6"/>
    <mergeCell ref="P6:Q6"/>
    <mergeCell ref="S5:U6"/>
    <mergeCell ref="J5:L5"/>
    <mergeCell ref="N5:Q5"/>
    <mergeCell ref="F5:H5"/>
  </mergeCells>
  <phoneticPr fontId="0" type="noConversion"/>
  <hyperlinks>
    <hyperlink ref="C26" location="Índice!A1" tooltip="Volver al índice" display="◄ volver al menu" xr:uid="{00000000-0004-0000-01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ignoredErrors>
    <ignoredError sqref="F20:F22 G20:G22 H20:H22" formulaRange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1"/>
    <pageSetUpPr fitToPage="1"/>
  </sheetPr>
  <dimension ref="A1:U28"/>
  <sheetViews>
    <sheetView showGridLines="0" showZeros="0" zoomScaleNormal="100" workbookViewId="0">
      <selection activeCell="K34" sqref="K34"/>
    </sheetView>
  </sheetViews>
  <sheetFormatPr baseColWidth="10" defaultColWidth="11.42578125" defaultRowHeight="12.75" x14ac:dyDescent="0.2"/>
  <cols>
    <col min="1" max="1" width="3.140625" style="4" customWidth="1"/>
    <col min="2" max="2" width="2.140625" style="4" customWidth="1"/>
    <col min="3" max="3" width="18.140625" style="4" customWidth="1"/>
    <col min="4" max="4" width="9.8554687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4" width="7.140625" style="4" customWidth="1"/>
    <col min="15" max="15" width="7.7109375" style="4" customWidth="1"/>
    <col min="16" max="16" width="8" style="4" customWidth="1"/>
    <col min="17" max="17" width="7.42578125" style="4" bestFit="1" customWidth="1"/>
    <col min="18" max="18" width="0.7109375" style="4" customWidth="1"/>
    <col min="19" max="21" width="7.42578125" style="4" customWidth="1"/>
    <col min="22" max="22" width="11.42578125" style="1"/>
    <col min="23" max="24" width="13.7109375" style="1" customWidth="1"/>
    <col min="25" max="16384" width="11.42578125" style="1"/>
  </cols>
  <sheetData>
    <row r="1" spans="2:21" s="55" customFormat="1" ht="15.75" x14ac:dyDescent="0.2">
      <c r="B1" s="173" t="s">
        <v>1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6" t="str">
        <f>Índice!B8</f>
        <v>4ºTrimestre 2025</v>
      </c>
    </row>
    <row r="2" spans="2:21" s="4" customFormat="1" ht="27" customHeight="1" x14ac:dyDescent="0.2">
      <c r="B2" s="273" t="s">
        <v>44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spans="2:21" s="4" customFormat="1" ht="14.25" customHeight="1" x14ac:dyDescent="0.2">
      <c r="B3" s="5"/>
      <c r="C3" s="5"/>
      <c r="D3" s="165"/>
      <c r="E3" s="165"/>
      <c r="F3" s="165"/>
      <c r="G3" s="165"/>
      <c r="H3" s="165"/>
      <c r="I3"/>
      <c r="J3" s="165"/>
      <c r="K3" s="165"/>
      <c r="L3" s="165"/>
      <c r="M3" s="165"/>
      <c r="N3" s="165"/>
      <c r="O3" s="165"/>
      <c r="P3" s="165"/>
      <c r="Q3" s="165"/>
      <c r="R3" s="165"/>
      <c r="S3" s="6"/>
      <c r="T3" s="165"/>
      <c r="U3" s="165"/>
    </row>
    <row r="4" spans="2:21" s="4" customFormat="1" ht="21" customHeight="1" x14ac:dyDescent="0.2">
      <c r="B4" s="165"/>
      <c r="C4" s="165"/>
      <c r="D4" s="165"/>
      <c r="E4" s="165"/>
      <c r="F4" s="165"/>
      <c r="G4" s="165"/>
      <c r="H4" s="165"/>
      <c r="I4"/>
      <c r="J4" s="165"/>
      <c r="K4" s="165"/>
      <c r="L4" s="165"/>
      <c r="M4" s="165"/>
      <c r="N4"/>
      <c r="O4"/>
      <c r="P4"/>
      <c r="Q4"/>
      <c r="R4" s="165"/>
      <c r="S4" s="2"/>
      <c r="T4" s="165"/>
      <c r="U4" s="11" t="s">
        <v>12</v>
      </c>
    </row>
    <row r="5" spans="2:21" s="4" customFormat="1" ht="25.5" customHeight="1" x14ac:dyDescent="0.2">
      <c r="B5" s="264" t="s">
        <v>45</v>
      </c>
      <c r="C5" s="265"/>
      <c r="D5" s="266"/>
      <c r="E5"/>
      <c r="F5" s="82">
        <v>2025</v>
      </c>
      <c r="G5" s="83"/>
      <c r="H5" s="84"/>
      <c r="I5"/>
      <c r="J5" s="82">
        <v>2024</v>
      </c>
      <c r="K5" s="83"/>
      <c r="L5" s="84"/>
      <c r="M5"/>
      <c r="N5" s="82" t="s">
        <v>14</v>
      </c>
      <c r="O5" s="85"/>
      <c r="P5" s="85"/>
      <c r="Q5" s="86"/>
      <c r="R5"/>
      <c r="S5" s="278" t="s">
        <v>223</v>
      </c>
      <c r="T5" s="265"/>
      <c r="U5" s="266"/>
    </row>
    <row r="6" spans="2:21" s="8" customFormat="1" ht="24" customHeight="1" x14ac:dyDescent="0.2">
      <c r="B6" s="267"/>
      <c r="C6" s="268"/>
      <c r="D6" s="269"/>
      <c r="E6"/>
      <c r="F6" s="96" t="s">
        <v>15</v>
      </c>
      <c r="G6" s="98" t="s">
        <v>46</v>
      </c>
      <c r="H6" s="78" t="s">
        <v>47</v>
      </c>
      <c r="I6" s="52"/>
      <c r="J6" s="96" t="s">
        <v>15</v>
      </c>
      <c r="K6" s="98" t="s">
        <v>46</v>
      </c>
      <c r="L6" s="78" t="s">
        <v>47</v>
      </c>
      <c r="M6"/>
      <c r="N6" s="274">
        <v>2025</v>
      </c>
      <c r="O6" s="275"/>
      <c r="P6" s="268">
        <v>2024</v>
      </c>
      <c r="Q6" s="269"/>
      <c r="R6"/>
      <c r="S6" s="267"/>
      <c r="T6" s="268"/>
      <c r="U6" s="269"/>
    </row>
    <row r="7" spans="2:21" s="8" customFormat="1" ht="12.75" customHeight="1" x14ac:dyDescent="0.2">
      <c r="B7" s="270"/>
      <c r="C7" s="271"/>
      <c r="D7" s="272"/>
      <c r="E7" s="51"/>
      <c r="F7" s="97" t="s">
        <v>18</v>
      </c>
      <c r="G7" s="99" t="s">
        <v>19</v>
      </c>
      <c r="H7" s="81" t="s">
        <v>20</v>
      </c>
      <c r="I7" s="51"/>
      <c r="J7" s="97" t="s">
        <v>21</v>
      </c>
      <c r="K7" s="99" t="s">
        <v>22</v>
      </c>
      <c r="L7" s="81" t="s">
        <v>23</v>
      </c>
      <c r="M7" s="51"/>
      <c r="N7" s="79" t="s">
        <v>24</v>
      </c>
      <c r="O7" s="87" t="s">
        <v>25</v>
      </c>
      <c r="P7" s="80" t="s">
        <v>26</v>
      </c>
      <c r="Q7" s="81" t="s">
        <v>27</v>
      </c>
      <c r="R7" s="51"/>
      <c r="S7" s="79" t="s">
        <v>28</v>
      </c>
      <c r="T7" s="80" t="s">
        <v>29</v>
      </c>
      <c r="U7" s="81" t="s">
        <v>30</v>
      </c>
    </row>
    <row r="8" spans="2:21" s="4" customFormat="1" ht="5.0999999999999996" customHeight="1" x14ac:dyDescent="0.2">
      <c r="B8" s="20"/>
      <c r="C8" s="9"/>
      <c r="D8" s="18"/>
      <c r="E8"/>
      <c r="F8" s="24"/>
      <c r="G8" s="8"/>
      <c r="H8" s="18"/>
      <c r="I8"/>
      <c r="J8" s="24"/>
      <c r="K8" s="8"/>
      <c r="L8" s="18"/>
      <c r="M8"/>
      <c r="N8" s="24"/>
      <c r="O8" s="8"/>
      <c r="P8" s="8"/>
      <c r="Q8" s="18"/>
      <c r="R8"/>
      <c r="S8" s="24"/>
      <c r="T8" s="8"/>
      <c r="U8" s="18"/>
    </row>
    <row r="9" spans="2:21" s="7" customFormat="1" ht="18" customHeight="1" x14ac:dyDescent="0.2">
      <c r="B9" s="21">
        <v>1</v>
      </c>
      <c r="C9" s="10" t="s">
        <v>48</v>
      </c>
      <c r="D9" s="15"/>
      <c r="E9"/>
      <c r="F9" s="169"/>
      <c r="G9" s="170"/>
      <c r="H9" s="171"/>
      <c r="I9" s="161"/>
      <c r="J9" s="169"/>
      <c r="K9" s="170"/>
      <c r="L9" s="171"/>
      <c r="M9"/>
      <c r="N9" s="34" t="str">
        <f t="shared" ref="N9:O17" si="0">IF(+$F9=0," ",+G9/$F9*100)</f>
        <v xml:space="preserve"> </v>
      </c>
      <c r="O9" s="35" t="str">
        <f t="shared" si="0"/>
        <v xml:space="preserve"> </v>
      </c>
      <c r="P9" s="35" t="str">
        <f t="shared" ref="P9:Q16" si="1">IF(+$J9=0," ",+K9/$J9*100)</f>
        <v xml:space="preserve"> </v>
      </c>
      <c r="Q9" s="36" t="str">
        <f t="shared" si="1"/>
        <v xml:space="preserve"> </v>
      </c>
      <c r="R9"/>
      <c r="S9" s="34" t="str">
        <f t="shared" ref="S9:U17" si="2">IF(+J9=0," ",(+F9/J9-1)*100)</f>
        <v xml:space="preserve"> </v>
      </c>
      <c r="T9" s="35" t="str">
        <f t="shared" si="2"/>
        <v xml:space="preserve"> </v>
      </c>
      <c r="U9" s="36" t="str">
        <f t="shared" si="2"/>
        <v xml:space="preserve"> </v>
      </c>
    </row>
    <row r="10" spans="2:21" s="7" customFormat="1" ht="18" customHeight="1" x14ac:dyDescent="0.2">
      <c r="B10" s="21">
        <v>2</v>
      </c>
      <c r="C10" s="10" t="s">
        <v>49</v>
      </c>
      <c r="D10" s="15"/>
      <c r="E10"/>
      <c r="F10" s="25">
        <v>4040</v>
      </c>
      <c r="G10" s="28">
        <v>3802.1109999999999</v>
      </c>
      <c r="H10" s="31">
        <v>3024.212</v>
      </c>
      <c r="I10" s="161"/>
      <c r="J10" s="25">
        <v>4040</v>
      </c>
      <c r="K10" s="28">
        <v>3855.337</v>
      </c>
      <c r="L10" s="31">
        <v>3187.4549999999999</v>
      </c>
      <c r="M10"/>
      <c r="N10" s="34">
        <f t="shared" si="0"/>
        <v>94.111658415841575</v>
      </c>
      <c r="O10" s="35">
        <f>IF(+$F10=0," ",+H10/$F10*100)</f>
        <v>74.856732673267317</v>
      </c>
      <c r="P10" s="35">
        <f t="shared" si="1"/>
        <v>95.429133663366343</v>
      </c>
      <c r="Q10" s="36">
        <f t="shared" si="1"/>
        <v>78.897400990099015</v>
      </c>
      <c r="R10"/>
      <c r="S10" s="34">
        <f t="shared" si="2"/>
        <v>0</v>
      </c>
      <c r="T10" s="35">
        <f t="shared" si="2"/>
        <v>-1.3805797002959808</v>
      </c>
      <c r="U10" s="36">
        <f>IF(+L10=0," ",(+H10/L10-1)*100)</f>
        <v>-5.1214213220265092</v>
      </c>
    </row>
    <row r="11" spans="2:21" s="7" customFormat="1" ht="18" customHeight="1" x14ac:dyDescent="0.2">
      <c r="B11" s="21">
        <v>3</v>
      </c>
      <c r="C11" s="10" t="s">
        <v>50</v>
      </c>
      <c r="D11" s="15"/>
      <c r="E11"/>
      <c r="F11" s="25">
        <v>167969.12400000001</v>
      </c>
      <c r="G11" s="28">
        <v>209388.49100000001</v>
      </c>
      <c r="H11" s="31">
        <v>179262.40400000001</v>
      </c>
      <c r="I11" s="161"/>
      <c r="J11" s="25">
        <v>150423.182</v>
      </c>
      <c r="K11" s="28">
        <v>194477.84899999999</v>
      </c>
      <c r="L11" s="31">
        <v>167124.242</v>
      </c>
      <c r="M11"/>
      <c r="N11" s="34">
        <f t="shared" si="0"/>
        <v>124.65891707573589</v>
      </c>
      <c r="O11" s="35">
        <f>IF(+$F11=0," ",+H11/$F11*100)</f>
        <v>106.72342614586714</v>
      </c>
      <c r="P11" s="35">
        <f t="shared" si="1"/>
        <v>129.2871526943234</v>
      </c>
      <c r="Q11" s="36">
        <f t="shared" si="1"/>
        <v>111.1027168671382</v>
      </c>
      <c r="R11"/>
      <c r="S11" s="34">
        <f t="shared" si="2"/>
        <v>11.66438694269878</v>
      </c>
      <c r="T11" s="35">
        <f t="shared" si="2"/>
        <v>7.6670130180224394</v>
      </c>
      <c r="U11" s="36">
        <f>IF(+L11=0," ",(+H11/L11-1)*100)</f>
        <v>7.2629570999041659</v>
      </c>
    </row>
    <row r="12" spans="2:21" s="7" customFormat="1" ht="18" customHeight="1" x14ac:dyDescent="0.2">
      <c r="B12" s="21">
        <v>4</v>
      </c>
      <c r="C12" s="10" t="s">
        <v>34</v>
      </c>
      <c r="D12" s="15"/>
      <c r="E12"/>
      <c r="F12" s="25">
        <v>14010890.808</v>
      </c>
      <c r="G12" s="28">
        <v>14223943.368000001</v>
      </c>
      <c r="H12" s="31">
        <v>13973092.442</v>
      </c>
      <c r="I12" s="161"/>
      <c r="J12" s="25">
        <v>13282033.136</v>
      </c>
      <c r="K12" s="28">
        <v>12873449.130999999</v>
      </c>
      <c r="L12" s="31">
        <v>12747187.457</v>
      </c>
      <c r="M12"/>
      <c r="N12" s="34">
        <f t="shared" si="0"/>
        <v>101.52062108626492</v>
      </c>
      <c r="O12" s="35">
        <f>IF(+$F12=0," ",+H12/$F12*100)</f>
        <v>99.73022153610377</v>
      </c>
      <c r="P12" s="35">
        <f t="shared" si="1"/>
        <v>96.923784176591425</v>
      </c>
      <c r="Q12" s="36">
        <f t="shared" si="1"/>
        <v>95.973164096765146</v>
      </c>
      <c r="R12"/>
      <c r="S12" s="34">
        <f t="shared" si="2"/>
        <v>5.487545954274764</v>
      </c>
      <c r="T12" s="35">
        <f t="shared" si="2"/>
        <v>10.490539273953669</v>
      </c>
      <c r="U12" s="36">
        <f>IF(+L12=0," ",(+H12/L12-1)*100)</f>
        <v>9.6170625021035896</v>
      </c>
    </row>
    <row r="13" spans="2:21" s="7" customFormat="1" ht="18" customHeight="1" x14ac:dyDescent="0.2">
      <c r="B13" s="21">
        <v>5</v>
      </c>
      <c r="C13" s="10" t="s">
        <v>51</v>
      </c>
      <c r="D13" s="15"/>
      <c r="E13"/>
      <c r="F13" s="25">
        <v>137531.03400000001</v>
      </c>
      <c r="G13" s="28">
        <v>52858.608</v>
      </c>
      <c r="H13" s="31">
        <v>40807.894999999997</v>
      </c>
      <c r="I13" s="161"/>
      <c r="J13" s="25">
        <v>63838.707000000002</v>
      </c>
      <c r="K13" s="28">
        <v>113325.356</v>
      </c>
      <c r="L13" s="31">
        <v>92048.107999999993</v>
      </c>
      <c r="M13"/>
      <c r="N13" s="34">
        <f t="shared" si="0"/>
        <v>38.433949387743276</v>
      </c>
      <c r="O13" s="35">
        <f>IF(+$F13=0," ",+H13/$F13*100)</f>
        <v>29.671772117993378</v>
      </c>
      <c r="P13" s="35">
        <f t="shared" si="1"/>
        <v>177.51825080041172</v>
      </c>
      <c r="Q13" s="36">
        <f t="shared" si="1"/>
        <v>144.18855319234456</v>
      </c>
      <c r="R13"/>
      <c r="S13" s="198" t="s">
        <v>52</v>
      </c>
      <c r="T13" s="199" t="s">
        <v>52</v>
      </c>
      <c r="U13" s="200" t="s">
        <v>52</v>
      </c>
    </row>
    <row r="14" spans="2:21" s="7" customFormat="1" ht="18" customHeight="1" x14ac:dyDescent="0.2">
      <c r="B14" s="21">
        <v>6</v>
      </c>
      <c r="C14" s="10" t="s">
        <v>53</v>
      </c>
      <c r="D14" s="15"/>
      <c r="E14"/>
      <c r="F14" s="25">
        <v>20</v>
      </c>
      <c r="G14" s="28">
        <v>168.602</v>
      </c>
      <c r="H14" s="31">
        <v>168.602</v>
      </c>
      <c r="I14" s="161"/>
      <c r="J14" s="25">
        <v>20</v>
      </c>
      <c r="K14" s="28">
        <v>266.34199999999998</v>
      </c>
      <c r="L14" s="31">
        <v>266.34199999999998</v>
      </c>
      <c r="M14"/>
      <c r="N14" s="34">
        <f t="shared" si="0"/>
        <v>843.01</v>
      </c>
      <c r="O14" s="35">
        <f>IF(+$F14=0," ",+H14/$F14*100)</f>
        <v>843.01</v>
      </c>
      <c r="P14" s="35">
        <f t="shared" si="1"/>
        <v>1331.71</v>
      </c>
      <c r="Q14" s="36">
        <f t="shared" si="1"/>
        <v>1331.71</v>
      </c>
      <c r="R14"/>
      <c r="S14" s="34">
        <f>IF(+J14=0," ",(+F14/J14-1)*100)</f>
        <v>0</v>
      </c>
      <c r="T14" s="35">
        <f t="shared" ref="T14" si="3">IF(+K14=0," ",(+G14/K14-1)*100)</f>
        <v>-36.697178815207508</v>
      </c>
      <c r="U14" s="36">
        <f>IF(+L14=0," ",(+H14/L14-1)*100)</f>
        <v>-36.697178815207508</v>
      </c>
    </row>
    <row r="15" spans="2:21" s="7" customFormat="1" ht="18" customHeight="1" x14ac:dyDescent="0.2">
      <c r="B15" s="21">
        <v>7</v>
      </c>
      <c r="C15" s="10" t="s">
        <v>36</v>
      </c>
      <c r="D15" s="15"/>
      <c r="E15"/>
      <c r="F15" s="25">
        <v>186148.63200000001</v>
      </c>
      <c r="G15" s="28">
        <v>176879.217</v>
      </c>
      <c r="H15" s="31">
        <v>162303.42300000001</v>
      </c>
      <c r="I15" s="161"/>
      <c r="J15" s="25">
        <v>317411.24699999997</v>
      </c>
      <c r="K15" s="28">
        <v>230622.899</v>
      </c>
      <c r="L15" s="31">
        <v>209041.32500000001</v>
      </c>
      <c r="M15"/>
      <c r="N15" s="34">
        <f t="shared" si="0"/>
        <v>95.020422712534355</v>
      </c>
      <c r="O15" s="35">
        <f t="shared" si="0"/>
        <v>87.190231406051907</v>
      </c>
      <c r="P15" s="35">
        <f t="shared" si="1"/>
        <v>72.657443987799226</v>
      </c>
      <c r="Q15" s="36">
        <f t="shared" si="1"/>
        <v>65.858197204965464</v>
      </c>
      <c r="R15"/>
      <c r="S15" s="34">
        <f>IF(+J15=0," ",(+F15/J15-1)*100)</f>
        <v>-41.354115911336933</v>
      </c>
      <c r="T15" s="35">
        <f t="shared" si="2"/>
        <v>-23.303705847527311</v>
      </c>
      <c r="U15" s="36">
        <f t="shared" si="2"/>
        <v>-22.358211707661159</v>
      </c>
    </row>
    <row r="16" spans="2:21" s="7" customFormat="1" ht="18" customHeight="1" x14ac:dyDescent="0.2">
      <c r="B16" s="21">
        <v>8</v>
      </c>
      <c r="C16" s="10" t="s">
        <v>37</v>
      </c>
      <c r="D16" s="15"/>
      <c r="E16"/>
      <c r="F16" s="25">
        <v>686090.23999999999</v>
      </c>
      <c r="G16" s="28">
        <v>41899.165999999997</v>
      </c>
      <c r="H16" s="31">
        <v>39910.881000000001</v>
      </c>
      <c r="I16" s="161"/>
      <c r="J16" s="25">
        <v>1315041.2320000001</v>
      </c>
      <c r="K16" s="28">
        <v>21611.819</v>
      </c>
      <c r="L16" s="31">
        <v>13451.215</v>
      </c>
      <c r="M16"/>
      <c r="N16" s="34">
        <f t="shared" si="0"/>
        <v>6.1069468062976666</v>
      </c>
      <c r="O16" s="35">
        <f t="shared" si="0"/>
        <v>5.8171474644501577</v>
      </c>
      <c r="P16" s="35">
        <f t="shared" si="1"/>
        <v>1.6434328045464661</v>
      </c>
      <c r="Q16" s="36">
        <f t="shared" si="1"/>
        <v>1.0228740112994417</v>
      </c>
      <c r="R16"/>
      <c r="S16" s="34">
        <f t="shared" si="2"/>
        <v>-47.827473138880258</v>
      </c>
      <c r="T16" s="35">
        <f t="shared" si="2"/>
        <v>93.871538531763548</v>
      </c>
      <c r="U16" s="36">
        <f t="shared" si="2"/>
        <v>196.7083716972779</v>
      </c>
    </row>
    <row r="17" spans="2:21" s="7" customFormat="1" ht="18" customHeight="1" x14ac:dyDescent="0.2">
      <c r="B17" s="21">
        <v>9</v>
      </c>
      <c r="C17" s="10" t="s">
        <v>38</v>
      </c>
      <c r="D17" s="15"/>
      <c r="E17"/>
      <c r="F17" s="25">
        <v>1284992.9339999999</v>
      </c>
      <c r="G17" s="28">
        <v>1126606</v>
      </c>
      <c r="H17" s="31">
        <v>1126606</v>
      </c>
      <c r="I17" s="161"/>
      <c r="J17" s="25">
        <v>837092.88100000005</v>
      </c>
      <c r="K17" s="28">
        <v>834058</v>
      </c>
      <c r="L17" s="31">
        <v>834058</v>
      </c>
      <c r="M17"/>
      <c r="N17" s="34">
        <f t="shared" si="0"/>
        <v>87.674100782253802</v>
      </c>
      <c r="O17" s="35">
        <f t="shared" si="0"/>
        <v>87.674100782253802</v>
      </c>
      <c r="P17" s="35">
        <f>IF(+$J17=0," ",+K17/$J17*100)</f>
        <v>99.637449909217409</v>
      </c>
      <c r="Q17" s="36">
        <f>IF(+$J17=0," ",+L17/$J17*100)</f>
        <v>99.637449909217409</v>
      </c>
      <c r="R17"/>
      <c r="S17" s="34">
        <f t="shared" si="2"/>
        <v>53.5066135629936</v>
      </c>
      <c r="T17" s="35">
        <f t="shared" si="2"/>
        <v>35.075258555160424</v>
      </c>
      <c r="U17" s="36">
        <f t="shared" si="2"/>
        <v>35.075258555160424</v>
      </c>
    </row>
    <row r="18" spans="2:21" s="4" customFormat="1" ht="5.0999999999999996" customHeight="1" x14ac:dyDescent="0.2">
      <c r="B18" s="20"/>
      <c r="C18" s="9"/>
      <c r="D18" s="18"/>
      <c r="E18"/>
      <c r="F18" s="167"/>
      <c r="G18" s="168"/>
      <c r="H18" s="172"/>
      <c r="I18" s="161"/>
      <c r="J18" s="167"/>
      <c r="K18" s="168"/>
      <c r="L18" s="172"/>
      <c r="M18"/>
      <c r="N18" s="37"/>
      <c r="O18" s="38"/>
      <c r="P18" s="38"/>
      <c r="Q18" s="39"/>
      <c r="R18"/>
      <c r="S18" s="37"/>
      <c r="T18" s="38"/>
      <c r="U18" s="39"/>
    </row>
    <row r="19" spans="2:21" s="4" customFormat="1" ht="18" customHeight="1" x14ac:dyDescent="0.2">
      <c r="B19" s="23"/>
      <c r="C19" s="14" t="s">
        <v>54</v>
      </c>
      <c r="D19" s="17"/>
      <c r="E19"/>
      <c r="F19" s="27">
        <f>SUM(F9:F17)</f>
        <v>16477682.772</v>
      </c>
      <c r="G19" s="30">
        <f>SUM(G9:G17)</f>
        <v>15835545.562999999</v>
      </c>
      <c r="H19" s="33">
        <f>SUM(H9:H17)</f>
        <v>15525175.858999999</v>
      </c>
      <c r="I19"/>
      <c r="J19" s="27">
        <f>SUM(J9:J17)</f>
        <v>15969900.385000002</v>
      </c>
      <c r="K19" s="30">
        <f>SUM(K9:K17)</f>
        <v>14271666.733000001</v>
      </c>
      <c r="L19" s="33">
        <f>SUM(L9:L17)</f>
        <v>14066364.143999999</v>
      </c>
      <c r="M19"/>
      <c r="N19" s="40">
        <f>IF(+$F19=0," ",+G19/$F19*100)</f>
        <v>96.10298840021872</v>
      </c>
      <c r="O19" s="41">
        <f>IF(+$F19=0," ",+H19/$F19*100)</f>
        <v>94.219412242730115</v>
      </c>
      <c r="P19" s="41">
        <f>IF(+$J19=0," ",+K19/$J19*100)</f>
        <v>89.366034783816843</v>
      </c>
      <c r="Q19" s="42">
        <f>IF(+$J19=0," ",+L19/$J19*100)</f>
        <v>88.080475174485557</v>
      </c>
      <c r="R19"/>
      <c r="S19" s="40">
        <f>IF(+J19=0," ",(+F19/J19-1)*100)</f>
        <v>3.1796215051969945</v>
      </c>
      <c r="T19" s="41">
        <f>IF(+K19=0," ",(+G19/K19-1)*100)</f>
        <v>10.957927054055162</v>
      </c>
      <c r="U19" s="42">
        <f>IF(+L19=0," ",(+H19/L19-1)*100)</f>
        <v>10.370922436429719</v>
      </c>
    </row>
    <row r="20" spans="2:21" s="4" customFormat="1" ht="5.0999999999999996" customHeight="1" x14ac:dyDescent="0.2">
      <c r="B20" s="20"/>
      <c r="C20" s="9"/>
      <c r="D20" s="18"/>
      <c r="E20"/>
      <c r="F20" s="26"/>
      <c r="G20" s="29"/>
      <c r="H20" s="32"/>
      <c r="I20"/>
      <c r="J20" s="26"/>
      <c r="K20" s="29"/>
      <c r="L20" s="32"/>
      <c r="M20"/>
      <c r="N20" s="37"/>
      <c r="O20" s="38"/>
      <c r="P20" s="38"/>
      <c r="Q20" s="39"/>
      <c r="R20"/>
      <c r="S20" s="37"/>
      <c r="T20" s="38"/>
      <c r="U20" s="39"/>
    </row>
    <row r="21" spans="2:21" s="7" customFormat="1" ht="18" customHeight="1" x14ac:dyDescent="0.2">
      <c r="B21" s="22"/>
      <c r="C21" s="10" t="s">
        <v>40</v>
      </c>
      <c r="D21" s="16"/>
      <c r="E21"/>
      <c r="F21" s="25">
        <f>SUM(F9:F13)</f>
        <v>14320430.966</v>
      </c>
      <c r="G21" s="28">
        <f>SUM(G9:G13)</f>
        <v>14489992.578</v>
      </c>
      <c r="H21" s="31">
        <f>SUM(H9:H13)</f>
        <v>14196186.953</v>
      </c>
      <c r="I21"/>
      <c r="J21" s="25">
        <v>13500335.025</v>
      </c>
      <c r="K21" s="28">
        <v>13185107.673</v>
      </c>
      <c r="L21" s="31">
        <v>13009547.261</v>
      </c>
      <c r="M21"/>
      <c r="N21" s="34">
        <f t="shared" ref="N21:O23" si="4">IF(+$F21=0," ",+G21/$F21*100)</f>
        <v>101.18405383471054</v>
      </c>
      <c r="O21" s="35">
        <f t="shared" si="4"/>
        <v>99.132400321645449</v>
      </c>
      <c r="P21" s="35">
        <f>IF(+$J21=0," ",+K21/$J21*100)</f>
        <v>97.665040523688788</v>
      </c>
      <c r="Q21" s="36">
        <f t="shared" ref="P21:Q23" si="5">IF(+$J21=0," ",+L21/$J21*100)</f>
        <v>96.364625299363638</v>
      </c>
      <c r="R21"/>
      <c r="S21" s="34">
        <f t="shared" ref="S21:U23" si="6">IF(+J21=0," ",(+F21/J21-1)*100)</f>
        <v>6.074633995981138</v>
      </c>
      <c r="T21" s="35">
        <f t="shared" si="6"/>
        <v>9.8966571784020907</v>
      </c>
      <c r="U21" s="36">
        <f t="shared" si="6"/>
        <v>9.1212989060526883</v>
      </c>
    </row>
    <row r="22" spans="2:21" s="7" customFormat="1" ht="18" customHeight="1" x14ac:dyDescent="0.2">
      <c r="B22" s="22"/>
      <c r="C22" s="10" t="s">
        <v>41</v>
      </c>
      <c r="D22" s="16"/>
      <c r="E22"/>
      <c r="F22" s="25">
        <f>SUM(F14:F15)</f>
        <v>186168.63200000001</v>
      </c>
      <c r="G22" s="28">
        <f>SUM(G14:G15)</f>
        <v>177047.81900000002</v>
      </c>
      <c r="H22" s="31">
        <f>SUM(H14:H15)</f>
        <v>162472.02500000002</v>
      </c>
      <c r="I22"/>
      <c r="J22" s="25">
        <v>317431.24699999997</v>
      </c>
      <c r="K22" s="28">
        <v>230889.24</v>
      </c>
      <c r="L22" s="31">
        <v>209307.66699999999</v>
      </c>
      <c r="M22"/>
      <c r="N22" s="34">
        <f t="shared" si="4"/>
        <v>95.100778846567451</v>
      </c>
      <c r="O22" s="35">
        <f t="shared" si="4"/>
        <v>87.271428733493622</v>
      </c>
      <c r="P22" s="35">
        <f t="shared" si="5"/>
        <v>72.736771247979874</v>
      </c>
      <c r="Q22" s="36">
        <f t="shared" si="5"/>
        <v>65.937953171950966</v>
      </c>
      <c r="R22"/>
      <c r="S22" s="34">
        <f t="shared" si="6"/>
        <v>-41.351510363439417</v>
      </c>
      <c r="T22" s="35">
        <f t="shared" si="6"/>
        <v>-23.319155539686463</v>
      </c>
      <c r="U22" s="36">
        <f t="shared" si="6"/>
        <v>-22.376457905863511</v>
      </c>
    </row>
    <row r="23" spans="2:21" s="7" customFormat="1" ht="18" customHeight="1" x14ac:dyDescent="0.2">
      <c r="B23" s="22"/>
      <c r="C23" s="10" t="s">
        <v>42</v>
      </c>
      <c r="D23" s="16"/>
      <c r="E23"/>
      <c r="F23" s="25">
        <f>SUM(F16:F17)</f>
        <v>1971083.1739999999</v>
      </c>
      <c r="G23" s="28">
        <f>SUM(G16:G17)</f>
        <v>1168505.166</v>
      </c>
      <c r="H23" s="31">
        <f>SUM(H16:H17)</f>
        <v>1166516.8810000001</v>
      </c>
      <c r="I23"/>
      <c r="J23" s="25">
        <v>2152134.1129999999</v>
      </c>
      <c r="K23" s="28">
        <v>855669.81900000002</v>
      </c>
      <c r="L23" s="31">
        <v>847509.21499999997</v>
      </c>
      <c r="M23"/>
      <c r="N23" s="34">
        <f t="shared" si="4"/>
        <v>59.282387542718681</v>
      </c>
      <c r="O23" s="35">
        <f t="shared" si="4"/>
        <v>59.181514833427329</v>
      </c>
      <c r="P23" s="35">
        <f t="shared" si="5"/>
        <v>39.759130893902615</v>
      </c>
      <c r="Q23" s="36">
        <f t="shared" si="5"/>
        <v>39.379944301826136</v>
      </c>
      <c r="R23"/>
      <c r="S23" s="34">
        <f t="shared" si="6"/>
        <v>-8.4126234469477978</v>
      </c>
      <c r="T23" s="35">
        <f t="shared" si="6"/>
        <v>36.560287631227048</v>
      </c>
      <c r="U23" s="36">
        <f t="shared" si="6"/>
        <v>37.640613264600333</v>
      </c>
    </row>
    <row r="24" spans="2:21" s="4" customFormat="1" ht="5.0999999999999996" customHeight="1" x14ac:dyDescent="0.2">
      <c r="B24" s="20"/>
      <c r="C24" s="9"/>
      <c r="D24" s="18"/>
      <c r="E24"/>
      <c r="F24" s="26"/>
      <c r="G24" s="29"/>
      <c r="H24" s="32"/>
      <c r="I24"/>
      <c r="J24" s="26"/>
      <c r="K24" s="29"/>
      <c r="L24" s="32"/>
      <c r="M24"/>
      <c r="N24" s="37"/>
      <c r="O24" s="38"/>
      <c r="P24" s="38"/>
      <c r="Q24" s="39"/>
      <c r="R24"/>
      <c r="S24" s="37"/>
      <c r="T24" s="38"/>
      <c r="U24" s="39"/>
    </row>
    <row r="25" spans="2:21" s="4" customFormat="1" ht="18" customHeight="1" x14ac:dyDescent="0.2">
      <c r="B25" s="43"/>
      <c r="C25" s="44" t="s">
        <v>54</v>
      </c>
      <c r="D25" s="19"/>
      <c r="E25"/>
      <c r="F25" s="45">
        <f>SUM(F21:F23)</f>
        <v>16477682.772</v>
      </c>
      <c r="G25" s="46">
        <f>SUM(G9:G17)</f>
        <v>15835545.562999999</v>
      </c>
      <c r="H25" s="47">
        <f>SUM(H21:H23)</f>
        <v>15525175.859000001</v>
      </c>
      <c r="I25"/>
      <c r="J25" s="45">
        <f>SUM(J21:J23)</f>
        <v>15969900.385</v>
      </c>
      <c r="K25" s="46">
        <f>SUM(K21:K23)</f>
        <v>14271666.732000001</v>
      </c>
      <c r="L25" s="47">
        <f>SUM(L20:L23)</f>
        <v>14066364.142999999</v>
      </c>
      <c r="M25"/>
      <c r="N25" s="48">
        <f>IF(+$F25=0," ",+G25/$F25*100)</f>
        <v>96.10298840021872</v>
      </c>
      <c r="O25" s="49">
        <f>IF(+$F25=0," ",+H25/$F25*100)</f>
        <v>94.219412242730129</v>
      </c>
      <c r="P25" s="49">
        <f>IF(+$J25=0," ",+K25/$J25*100)</f>
        <v>89.366034777555072</v>
      </c>
      <c r="Q25" s="50">
        <f>IF(+$J25=0," ",+L25/$J25*100)</f>
        <v>88.080475168223785</v>
      </c>
      <c r="R25"/>
      <c r="S25" s="48">
        <f>IF(+J25=0," ",(+F25/J25-1)*100)</f>
        <v>3.1796215051970167</v>
      </c>
      <c r="T25" s="49">
        <f>IF(+K25=0," ",(+G25/K25-1)*100)</f>
        <v>10.957927061829874</v>
      </c>
      <c r="U25" s="50">
        <f>IF(+L25=0," ",(+H25/L25-1)*100)</f>
        <v>10.370922444276175</v>
      </c>
    </row>
    <row r="26" spans="2:21" ht="6" customHeight="1" x14ac:dyDescent="0.2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</row>
    <row r="27" spans="2:21" s="4" customFormat="1" ht="14.25" x14ac:dyDescent="0.2">
      <c r="B27" s="165"/>
      <c r="C27" s="165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ht="15.75" customHeight="1" x14ac:dyDescent="0.2">
      <c r="B28" s="8"/>
      <c r="C28" s="135" t="s">
        <v>43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</row>
  </sheetData>
  <mergeCells count="5">
    <mergeCell ref="B2:U2"/>
    <mergeCell ref="B5:D7"/>
    <mergeCell ref="S5:U6"/>
    <mergeCell ref="N6:O6"/>
    <mergeCell ref="P6:Q6"/>
  </mergeCells>
  <phoneticPr fontId="0" type="noConversion"/>
  <hyperlinks>
    <hyperlink ref="C28" location="Índice!A1" tooltip="Volver al índice" display="◄ volver al menu" xr:uid="{00000000-0004-0000-02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ignoredErrors>
    <ignoredError sqref="F21:H23" formulaRange="1"/>
    <ignoredError sqref="G25" formula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1"/>
    <pageSetUpPr fitToPage="1"/>
  </sheetPr>
  <dimension ref="B1:I29"/>
  <sheetViews>
    <sheetView showGridLines="0" zoomScaleNormal="100" workbookViewId="0">
      <selection activeCell="L17" sqref="L17"/>
    </sheetView>
  </sheetViews>
  <sheetFormatPr baseColWidth="10" defaultColWidth="12.5703125" defaultRowHeight="11.25" x14ac:dyDescent="0.2"/>
  <cols>
    <col min="1" max="1" width="4.140625" style="113" customWidth="1"/>
    <col min="2" max="2" width="4" style="113" customWidth="1"/>
    <col min="3" max="3" width="34.5703125" style="113" bestFit="1" customWidth="1"/>
    <col min="4" max="4" width="2.7109375" style="113" customWidth="1"/>
    <col min="5" max="5" width="18.7109375" style="113" customWidth="1"/>
    <col min="6" max="6" width="2.7109375" style="113" customWidth="1"/>
    <col min="7" max="7" width="18.7109375" style="113" customWidth="1"/>
    <col min="8" max="8" width="2.7109375" style="113" customWidth="1"/>
    <col min="9" max="9" width="18.7109375" style="113" customWidth="1"/>
    <col min="10" max="10" width="12.5703125" style="113"/>
    <col min="11" max="11" width="13.85546875" style="113" bestFit="1" customWidth="1"/>
    <col min="12" max="16384" width="12.5703125" style="113"/>
  </cols>
  <sheetData>
    <row r="1" spans="2:9" s="134" customFormat="1" ht="15.75" x14ac:dyDescent="0.25">
      <c r="B1" s="62" t="s">
        <v>1</v>
      </c>
      <c r="C1" s="133"/>
      <c r="D1" s="133"/>
      <c r="E1" s="133"/>
      <c r="F1" s="133"/>
      <c r="G1" s="133"/>
      <c r="H1" s="133"/>
      <c r="I1" s="130" t="str">
        <f>Índice!B8</f>
        <v>4ºTrimestre 2025</v>
      </c>
    </row>
    <row r="2" spans="2:9" ht="18" x14ac:dyDescent="0.2">
      <c r="B2" s="259" t="s">
        <v>55</v>
      </c>
      <c r="C2" s="259"/>
      <c r="D2" s="259"/>
      <c r="E2" s="259"/>
      <c r="F2" s="259"/>
      <c r="G2" s="259"/>
      <c r="H2" s="259"/>
      <c r="I2" s="259"/>
    </row>
    <row r="3" spans="2:9" ht="24" customHeight="1" x14ac:dyDescent="0.2">
      <c r="B3" s="115"/>
      <c r="C3" s="114"/>
      <c r="D3" s="114"/>
      <c r="E3" s="114"/>
      <c r="F3" s="114"/>
      <c r="G3" s="128" t="s">
        <v>12</v>
      </c>
      <c r="H3"/>
      <c r="I3" s="114"/>
    </row>
    <row r="4" spans="2:9" ht="32.1" customHeight="1" x14ac:dyDescent="0.2">
      <c r="B4" s="116"/>
      <c r="C4" s="70"/>
      <c r="D4" s="72"/>
      <c r="E4" s="126">
        <v>2025</v>
      </c>
      <c r="F4"/>
      <c r="G4" s="126">
        <v>2024</v>
      </c>
      <c r="H4"/>
      <c r="I4" s="127" t="s">
        <v>224</v>
      </c>
    </row>
    <row r="5" spans="2:9" ht="9" customHeight="1" x14ac:dyDescent="0.2">
      <c r="B5" s="116"/>
      <c r="C5" s="70"/>
      <c r="D5" s="72"/>
      <c r="F5"/>
      <c r="H5"/>
    </row>
    <row r="6" spans="2:9" ht="19.5" customHeight="1" x14ac:dyDescent="0.2">
      <c r="B6" s="262" t="s">
        <v>56</v>
      </c>
      <c r="C6" s="263"/>
      <c r="D6" s="72"/>
      <c r="E6" s="187">
        <f>'ingresos GV'!G21</f>
        <v>14489992.578</v>
      </c>
      <c r="F6"/>
      <c r="G6" s="187">
        <v>13185107.673</v>
      </c>
      <c r="H6"/>
      <c r="I6" s="188">
        <f>(E6/G6-1)*100</f>
        <v>9.8966571784020907</v>
      </c>
    </row>
    <row r="7" spans="2:9" ht="19.5" customHeight="1" x14ac:dyDescent="0.2">
      <c r="B7" s="254" t="s">
        <v>57</v>
      </c>
      <c r="C7" s="255"/>
      <c r="D7" s="72"/>
      <c r="E7" s="189">
        <f>'gastos GV'!G20</f>
        <v>13142176.919</v>
      </c>
      <c r="F7"/>
      <c r="G7" s="189">
        <v>12763946.801999999</v>
      </c>
      <c r="H7"/>
      <c r="I7" s="190">
        <f t="shared" ref="I7:I27" si="0">(E7/G7-1)*100</f>
        <v>2.9632692995926302</v>
      </c>
    </row>
    <row r="8" spans="2:9" ht="12.75" x14ac:dyDescent="0.2">
      <c r="B8" s="117"/>
      <c r="C8" s="118" t="s">
        <v>58</v>
      </c>
      <c r="D8" s="72"/>
      <c r="E8" s="191">
        <f>'gastos GV'!G9</f>
        <v>2905351.7719999999</v>
      </c>
      <c r="F8"/>
      <c r="G8" s="191">
        <v>2804883.182</v>
      </c>
      <c r="H8"/>
      <c r="I8" s="192">
        <f t="shared" si="0"/>
        <v>3.5819170881962181</v>
      </c>
    </row>
    <row r="9" spans="2:9" ht="12.75" x14ac:dyDescent="0.2">
      <c r="B9" s="117"/>
      <c r="C9" s="118" t="s">
        <v>59</v>
      </c>
      <c r="D9" s="72"/>
      <c r="E9" s="191">
        <f>'gastos GV'!G10</f>
        <v>5096687.3</v>
      </c>
      <c r="F9"/>
      <c r="G9" s="191">
        <v>5020717.8669999996</v>
      </c>
      <c r="H9"/>
      <c r="I9" s="192">
        <f t="shared" si="0"/>
        <v>1.5131189406066614</v>
      </c>
    </row>
    <row r="10" spans="2:9" ht="12.75" x14ac:dyDescent="0.2">
      <c r="B10" s="117"/>
      <c r="C10" s="118" t="s">
        <v>60</v>
      </c>
      <c r="D10" s="72"/>
      <c r="E10" s="191">
        <f>'gastos GV'!G11</f>
        <v>213691.633</v>
      </c>
      <c r="F10"/>
      <c r="G10" s="191">
        <v>225518.51199999999</v>
      </c>
      <c r="H10"/>
      <c r="I10" s="192">
        <f t="shared" si="0"/>
        <v>-5.2443051770401876</v>
      </c>
    </row>
    <row r="11" spans="2:9" ht="12.75" x14ac:dyDescent="0.2">
      <c r="B11" s="117"/>
      <c r="C11" s="118" t="s">
        <v>61</v>
      </c>
      <c r="D11" s="72"/>
      <c r="E11" s="191">
        <f>'gastos GV'!G12</f>
        <v>4926446.2139999997</v>
      </c>
      <c r="F11"/>
      <c r="G11" s="191">
        <v>4712827.2410000004</v>
      </c>
      <c r="H11"/>
      <c r="I11" s="192">
        <f t="shared" si="0"/>
        <v>4.5327138483156393</v>
      </c>
    </row>
    <row r="12" spans="2:9" ht="19.5" customHeight="1" x14ac:dyDescent="0.2">
      <c r="B12" s="254" t="s">
        <v>62</v>
      </c>
      <c r="C12" s="255"/>
      <c r="D12" s="72"/>
      <c r="E12" s="189">
        <f>E6-E7</f>
        <v>1347815.659</v>
      </c>
      <c r="F12"/>
      <c r="G12" s="189">
        <v>421160.87100000121</v>
      </c>
      <c r="H12"/>
      <c r="I12" s="190">
        <f t="shared" si="0"/>
        <v>220.02395089547534</v>
      </c>
    </row>
    <row r="13" spans="2:9" ht="19.5" customHeight="1" x14ac:dyDescent="0.2">
      <c r="B13" s="254" t="s">
        <v>63</v>
      </c>
      <c r="C13" s="255"/>
      <c r="D13" s="72"/>
      <c r="E13" s="189">
        <f>'ingresos GV'!G22</f>
        <v>177047.81900000002</v>
      </c>
      <c r="F13"/>
      <c r="G13" s="189">
        <v>230889.24</v>
      </c>
      <c r="H13"/>
      <c r="I13" s="190">
        <f t="shared" si="0"/>
        <v>-23.319155539686463</v>
      </c>
    </row>
    <row r="14" spans="2:9" ht="19.5" customHeight="1" x14ac:dyDescent="0.2">
      <c r="B14" s="254" t="s">
        <v>64</v>
      </c>
      <c r="C14" s="255"/>
      <c r="D14" s="72"/>
      <c r="E14" s="189">
        <f>'gastos GV'!G21</f>
        <v>1525692.5109999999</v>
      </c>
      <c r="F14"/>
      <c r="G14" s="189">
        <v>1424803.183</v>
      </c>
      <c r="H14"/>
      <c r="I14" s="190">
        <f t="shared" si="0"/>
        <v>7.0809308403966487</v>
      </c>
    </row>
    <row r="15" spans="2:9" ht="12.75" x14ac:dyDescent="0.2">
      <c r="B15" s="176"/>
      <c r="C15" s="118" t="s">
        <v>65</v>
      </c>
      <c r="D15" s="72"/>
      <c r="E15" s="191">
        <f>'gastos GV'!G13</f>
        <v>236285.628</v>
      </c>
      <c r="F15"/>
      <c r="G15" s="191">
        <v>218597.77799999999</v>
      </c>
      <c r="H15"/>
      <c r="I15" s="192">
        <f t="shared" si="0"/>
        <v>8.0915049374381098</v>
      </c>
    </row>
    <row r="16" spans="2:9" ht="12.75" x14ac:dyDescent="0.2">
      <c r="B16" s="176"/>
      <c r="C16" s="118" t="s">
        <v>66</v>
      </c>
      <c r="D16" s="72"/>
      <c r="E16" s="191">
        <f>'gastos GV'!G14</f>
        <v>1289406.8829999999</v>
      </c>
      <c r="F16"/>
      <c r="G16" s="191">
        <v>1206205.406</v>
      </c>
      <c r="H16"/>
      <c r="I16" s="192">
        <f t="shared" si="0"/>
        <v>6.8977867771220946</v>
      </c>
    </row>
    <row r="17" spans="2:9" ht="19.5" customHeight="1" x14ac:dyDescent="0.2">
      <c r="B17" s="260" t="s">
        <v>67</v>
      </c>
      <c r="C17" s="261"/>
      <c r="D17" s="72"/>
      <c r="E17" s="189">
        <f>E12+E13-E14</f>
        <v>-829.03299999982119</v>
      </c>
      <c r="F17"/>
      <c r="G17" s="189">
        <v>-772753.07199999876</v>
      </c>
      <c r="H17"/>
      <c r="I17" s="190" t="s">
        <v>52</v>
      </c>
    </row>
    <row r="18" spans="2:9" ht="19.5" customHeight="1" x14ac:dyDescent="0.2">
      <c r="B18" s="254" t="s">
        <v>68</v>
      </c>
      <c r="C18" s="255"/>
      <c r="D18" s="72"/>
      <c r="E18" s="189">
        <f>E19-E20</f>
        <v>-161861.821</v>
      </c>
      <c r="F18"/>
      <c r="G18" s="189">
        <v>-73393.739000000001</v>
      </c>
      <c r="H18"/>
      <c r="I18" s="190" t="s">
        <v>52</v>
      </c>
    </row>
    <row r="19" spans="2:9" ht="12.75" x14ac:dyDescent="0.2">
      <c r="B19" s="176"/>
      <c r="C19" s="118" t="s">
        <v>69</v>
      </c>
      <c r="D19" s="72"/>
      <c r="E19" s="191">
        <f>'ingresos GV'!G16</f>
        <v>41899.165999999997</v>
      </c>
      <c r="F19"/>
      <c r="G19" s="191">
        <v>21611.819</v>
      </c>
      <c r="H19"/>
      <c r="I19" s="192">
        <f t="shared" si="0"/>
        <v>93.871538531763548</v>
      </c>
    </row>
    <row r="20" spans="2:9" ht="12.75" x14ac:dyDescent="0.2">
      <c r="B20" s="176"/>
      <c r="C20" s="118" t="s">
        <v>70</v>
      </c>
      <c r="D20" s="72"/>
      <c r="E20" s="191">
        <f>'gastos GV'!G15</f>
        <v>203760.98699999999</v>
      </c>
      <c r="F20"/>
      <c r="G20" s="191">
        <v>95005.558000000005</v>
      </c>
      <c r="H20"/>
      <c r="I20" s="192">
        <f>(E20/G20-1)*100</f>
        <v>114.47270169183153</v>
      </c>
    </row>
    <row r="21" spans="2:9" ht="19.5" customHeight="1" x14ac:dyDescent="0.2">
      <c r="B21" s="254" t="s">
        <v>71</v>
      </c>
      <c r="C21" s="255"/>
      <c r="D21" s="72"/>
      <c r="E21" s="189">
        <f>E22-E23</f>
        <v>331215.16700000002</v>
      </c>
      <c r="F21"/>
      <c r="G21" s="189">
        <v>202083.35600000003</v>
      </c>
      <c r="H21"/>
      <c r="I21" s="190" t="s">
        <v>52</v>
      </c>
    </row>
    <row r="22" spans="2:9" ht="12.75" x14ac:dyDescent="0.2">
      <c r="B22" s="176"/>
      <c r="C22" s="118" t="s">
        <v>72</v>
      </c>
      <c r="D22" s="72"/>
      <c r="E22" s="191">
        <f>'ingresos GV'!G17</f>
        <v>1126606</v>
      </c>
      <c r="F22"/>
      <c r="G22" s="191">
        <v>834058</v>
      </c>
      <c r="H22"/>
      <c r="I22" s="192">
        <f t="shared" si="0"/>
        <v>35.075258555160424</v>
      </c>
    </row>
    <row r="23" spans="2:9" ht="12.75" x14ac:dyDescent="0.2">
      <c r="B23" s="176"/>
      <c r="C23" s="118" t="s">
        <v>73</v>
      </c>
      <c r="D23" s="72"/>
      <c r="E23" s="182">
        <f>'gastos GV'!G16</f>
        <v>795390.83299999998</v>
      </c>
      <c r="F23"/>
      <c r="G23" s="182">
        <v>631974.64399999997</v>
      </c>
      <c r="H23"/>
      <c r="I23" s="192">
        <f t="shared" si="0"/>
        <v>25.858029361064048</v>
      </c>
    </row>
    <row r="24" spans="2:9" ht="19.5" customHeight="1" x14ac:dyDescent="0.2">
      <c r="B24" s="254" t="s">
        <v>74</v>
      </c>
      <c r="C24" s="255"/>
      <c r="D24" s="72"/>
      <c r="E24" s="189">
        <f>E17+E18+E21</f>
        <v>168524.3130000002</v>
      </c>
      <c r="F24"/>
      <c r="G24" s="189">
        <v>-644063.45499999879</v>
      </c>
      <c r="H24"/>
      <c r="I24" s="190" t="s">
        <v>52</v>
      </c>
    </row>
    <row r="25" spans="2:9" ht="12.75" x14ac:dyDescent="0.2">
      <c r="B25" s="176"/>
      <c r="C25" s="118" t="s">
        <v>75</v>
      </c>
      <c r="D25" s="72"/>
      <c r="E25" s="191">
        <f>'gastos GV'!G18-'gastos GV'!H18</f>
        <v>854220.38100000098</v>
      </c>
      <c r="F25"/>
      <c r="G25" s="191">
        <v>1006658.5670000017</v>
      </c>
      <c r="H25"/>
      <c r="I25" s="192">
        <f t="shared" si="0"/>
        <v>-15.142987999823021</v>
      </c>
    </row>
    <row r="26" spans="2:9" ht="12.75" x14ac:dyDescent="0.2">
      <c r="B26" s="176"/>
      <c r="C26" s="118" t="s">
        <v>76</v>
      </c>
      <c r="D26" s="72"/>
      <c r="E26" s="191">
        <f>'ingresos GV'!G19-'ingresos GV'!H19</f>
        <v>310369.70399999991</v>
      </c>
      <c r="F26"/>
      <c r="G26" s="191">
        <v>205302.58900000155</v>
      </c>
      <c r="H26"/>
      <c r="I26" s="192">
        <f t="shared" si="0"/>
        <v>51.17671214560162</v>
      </c>
    </row>
    <row r="27" spans="2:9" ht="30" customHeight="1" x14ac:dyDescent="0.2">
      <c r="B27" s="256" t="s">
        <v>77</v>
      </c>
      <c r="C27" s="257"/>
      <c r="D27" s="72"/>
      <c r="E27" s="193">
        <f>E24+E25-E26</f>
        <v>712374.99000000127</v>
      </c>
      <c r="F27"/>
      <c r="G27" s="193">
        <v>157292.52300000133</v>
      </c>
      <c r="H27"/>
      <c r="I27" s="194">
        <f t="shared" si="0"/>
        <v>352.89819020831351</v>
      </c>
    </row>
    <row r="28" spans="2:9" ht="23.45" customHeight="1" x14ac:dyDescent="0.2">
      <c r="B28" s="252"/>
      <c r="C28" s="253"/>
      <c r="D28" s="253"/>
      <c r="E28" s="253"/>
      <c r="F28" s="253"/>
      <c r="G28" s="253"/>
      <c r="H28" s="253"/>
      <c r="I28" s="253"/>
    </row>
    <row r="29" spans="2:9" ht="19.899999999999999" customHeight="1" x14ac:dyDescent="0.2">
      <c r="C29" s="135" t="s">
        <v>43</v>
      </c>
    </row>
  </sheetData>
  <mergeCells count="12">
    <mergeCell ref="B2:I2"/>
    <mergeCell ref="B6:C6"/>
    <mergeCell ref="B7:C7"/>
    <mergeCell ref="B12:C12"/>
    <mergeCell ref="B13:C13"/>
    <mergeCell ref="B14:C14"/>
    <mergeCell ref="B17:C17"/>
    <mergeCell ref="B18:C18"/>
    <mergeCell ref="B28:I28"/>
    <mergeCell ref="B24:C24"/>
    <mergeCell ref="B27:C27"/>
    <mergeCell ref="B21:C21"/>
  </mergeCells>
  <phoneticPr fontId="28" type="noConversion"/>
  <hyperlinks>
    <hyperlink ref="C29" location="Índice!A1" tooltip="Volver al índice" display="◄ volver al menu" xr:uid="{00000000-0004-0000-03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1"/>
    <pageSetUpPr fitToPage="1"/>
  </sheetPr>
  <dimension ref="A1:N109"/>
  <sheetViews>
    <sheetView showGridLines="0" showZeros="0" zoomScaleNormal="100" workbookViewId="0">
      <pane xSplit="2" ySplit="5" topLeftCell="C84" activePane="bottomRight" state="frozen"/>
      <selection pane="topRight" activeCell="N32" activeCellId="1" sqref="U1 N32"/>
      <selection pane="bottomLeft" activeCell="N32" activeCellId="1" sqref="U1 N32"/>
      <selection pane="bottomRight" activeCell="B103" sqref="B103"/>
    </sheetView>
  </sheetViews>
  <sheetFormatPr baseColWidth="10" defaultColWidth="11.42578125" defaultRowHeight="15.75" x14ac:dyDescent="0.2"/>
  <cols>
    <col min="1" max="1" width="2.28515625" style="57" customWidth="1"/>
    <col min="2" max="2" width="9.7109375" style="57" customWidth="1"/>
    <col min="3" max="6" width="10.28515625" style="57" customWidth="1"/>
    <col min="7" max="7" width="10.7109375" style="57" customWidth="1"/>
    <col min="8" max="13" width="10.28515625" style="57" customWidth="1"/>
    <col min="14" max="14" width="13" style="57" customWidth="1"/>
    <col min="15" max="15" width="6.7109375" style="54" customWidth="1"/>
    <col min="16" max="16384" width="11.42578125" style="54"/>
  </cols>
  <sheetData>
    <row r="1" spans="2:14" s="62" customFormat="1" x14ac:dyDescent="0.2">
      <c r="B1" s="62" t="s">
        <v>1</v>
      </c>
      <c r="N1" s="130" t="str">
        <f>Índice!B8</f>
        <v>4ºTrimestre 2025</v>
      </c>
    </row>
    <row r="2" spans="2:14" ht="18" customHeight="1" x14ac:dyDescent="0.2">
      <c r="B2" s="88" t="s">
        <v>78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2:14" ht="13.5" customHeight="1" x14ac:dyDescent="0.2">
      <c r="B3" s="89" t="s">
        <v>79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</row>
    <row r="4" spans="2:14" ht="16.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11" t="s">
        <v>80</v>
      </c>
    </row>
    <row r="5" spans="2:14" s="58" customFormat="1" ht="33" customHeight="1" x14ac:dyDescent="0.2">
      <c r="B5" s="90" t="s">
        <v>81</v>
      </c>
      <c r="C5" s="91" t="s">
        <v>82</v>
      </c>
      <c r="D5" s="91" t="s">
        <v>83</v>
      </c>
      <c r="E5" s="91" t="s">
        <v>84</v>
      </c>
      <c r="F5" s="91" t="s">
        <v>85</v>
      </c>
      <c r="G5" s="92" t="s">
        <v>86</v>
      </c>
      <c r="H5" s="91" t="s">
        <v>87</v>
      </c>
      <c r="I5" s="91" t="s">
        <v>88</v>
      </c>
      <c r="J5" s="92" t="s">
        <v>89</v>
      </c>
      <c r="K5" s="91" t="s">
        <v>90</v>
      </c>
      <c r="L5" s="91" t="s">
        <v>91</v>
      </c>
      <c r="M5" s="92" t="s">
        <v>92</v>
      </c>
      <c r="N5" s="93" t="s">
        <v>93</v>
      </c>
    </row>
    <row r="6" spans="2:14" ht="5.25" customHeight="1" x14ac:dyDescent="0.2">
      <c r="B6" s="55"/>
      <c r="C6" s="55"/>
      <c r="D6" s="55"/>
      <c r="E6" s="55"/>
      <c r="F6" s="55"/>
      <c r="G6" s="62"/>
      <c r="H6" s="55"/>
      <c r="I6" s="55"/>
      <c r="J6" s="62"/>
      <c r="K6" s="55"/>
      <c r="L6" s="55"/>
      <c r="M6" s="55"/>
      <c r="N6" s="62"/>
    </row>
    <row r="7" spans="2:14" ht="13.5" customHeight="1" x14ac:dyDescent="0.2">
      <c r="B7" s="143" t="s">
        <v>94</v>
      </c>
      <c r="C7" s="144">
        <v>840192</v>
      </c>
      <c r="D7" s="144">
        <v>140625</v>
      </c>
      <c r="E7" s="144">
        <v>176867</v>
      </c>
      <c r="F7" s="144">
        <v>1984272</v>
      </c>
      <c r="G7" s="144">
        <v>3141956</v>
      </c>
      <c r="H7" s="144">
        <v>286425</v>
      </c>
      <c r="I7" s="144">
        <v>326963</v>
      </c>
      <c r="J7" s="144">
        <v>613388</v>
      </c>
      <c r="K7" s="144">
        <v>117658</v>
      </c>
      <c r="L7" s="144">
        <v>213456</v>
      </c>
      <c r="M7" s="144">
        <v>331113</v>
      </c>
      <c r="N7" s="145">
        <v>4086457</v>
      </c>
    </row>
    <row r="8" spans="2:14" ht="13.5" customHeight="1" x14ac:dyDescent="0.2">
      <c r="B8" s="143" t="s">
        <v>95</v>
      </c>
      <c r="C8" s="144">
        <v>918256</v>
      </c>
      <c r="D8" s="144">
        <v>246469</v>
      </c>
      <c r="E8" s="144">
        <v>174174</v>
      </c>
      <c r="F8" s="144">
        <v>2036006</v>
      </c>
      <c r="G8" s="144">
        <v>3374906</v>
      </c>
      <c r="H8" s="144">
        <v>269861</v>
      </c>
      <c r="I8" s="144">
        <v>361766</v>
      </c>
      <c r="J8" s="144">
        <v>631627</v>
      </c>
      <c r="K8" s="144">
        <v>76154</v>
      </c>
      <c r="L8" s="144">
        <v>179648</v>
      </c>
      <c r="M8" s="144">
        <v>255802</v>
      </c>
      <c r="N8" s="145">
        <v>4262335</v>
      </c>
    </row>
    <row r="9" spans="2:14" ht="13.5" customHeight="1" x14ac:dyDescent="0.2">
      <c r="B9" s="143" t="s">
        <v>96</v>
      </c>
      <c r="C9" s="144">
        <v>973395</v>
      </c>
      <c r="D9" s="144">
        <v>262597</v>
      </c>
      <c r="E9" s="144">
        <v>161370</v>
      </c>
      <c r="F9" s="144">
        <v>2056212</v>
      </c>
      <c r="G9" s="144">
        <v>3453574</v>
      </c>
      <c r="H9" s="144">
        <v>224496</v>
      </c>
      <c r="I9" s="144">
        <v>495571</v>
      </c>
      <c r="J9" s="144">
        <v>720067</v>
      </c>
      <c r="K9" s="144">
        <v>83511</v>
      </c>
      <c r="L9" s="144">
        <v>71671</v>
      </c>
      <c r="M9" s="144">
        <v>155182</v>
      </c>
      <c r="N9" s="145">
        <v>4328823</v>
      </c>
    </row>
    <row r="10" spans="2:14" ht="13.5" customHeight="1" x14ac:dyDescent="0.2">
      <c r="B10" s="143" t="s">
        <v>97</v>
      </c>
      <c r="C10" s="144">
        <v>1033048</v>
      </c>
      <c r="D10" s="144">
        <v>1313780</v>
      </c>
      <c r="E10" s="144">
        <v>146018</v>
      </c>
      <c r="F10" s="144">
        <v>1134042</v>
      </c>
      <c r="G10" s="144">
        <v>3626887</v>
      </c>
      <c r="H10" s="144">
        <v>218996</v>
      </c>
      <c r="I10" s="144">
        <v>510711</v>
      </c>
      <c r="J10" s="144">
        <v>729707</v>
      </c>
      <c r="K10" s="144">
        <v>101206</v>
      </c>
      <c r="L10" s="144">
        <v>191122</v>
      </c>
      <c r="M10" s="144">
        <v>292328</v>
      </c>
      <c r="N10" s="145">
        <v>4648923</v>
      </c>
    </row>
    <row r="11" spans="2:14" ht="13.5" customHeight="1" x14ac:dyDescent="0.2">
      <c r="B11" s="143" t="s">
        <v>98</v>
      </c>
      <c r="C11" s="144">
        <v>1167562</v>
      </c>
      <c r="D11" s="144">
        <v>1367809</v>
      </c>
      <c r="E11" s="144">
        <v>118840</v>
      </c>
      <c r="F11" s="144">
        <v>1188953</v>
      </c>
      <c r="G11" s="144">
        <v>3843164</v>
      </c>
      <c r="H11" s="144">
        <v>201027</v>
      </c>
      <c r="I11" s="144">
        <v>453269</v>
      </c>
      <c r="J11" s="144">
        <v>654296</v>
      </c>
      <c r="K11" s="144">
        <v>175958</v>
      </c>
      <c r="L11" s="144">
        <v>311024</v>
      </c>
      <c r="M11" s="144">
        <v>486982</v>
      </c>
      <c r="N11" s="145">
        <v>4984442</v>
      </c>
    </row>
    <row r="12" spans="2:14" ht="13.5" customHeight="1" x14ac:dyDescent="0.2">
      <c r="B12" s="143" t="s">
        <v>99</v>
      </c>
      <c r="C12" s="144">
        <v>1155613</v>
      </c>
      <c r="D12" s="144">
        <v>1470537</v>
      </c>
      <c r="E12" s="144">
        <v>101461</v>
      </c>
      <c r="F12" s="144">
        <v>1304611</v>
      </c>
      <c r="G12" s="144">
        <v>4032222</v>
      </c>
      <c r="H12" s="144">
        <v>221118</v>
      </c>
      <c r="I12" s="144">
        <v>530010</v>
      </c>
      <c r="J12" s="144">
        <v>751128</v>
      </c>
      <c r="K12" s="144">
        <v>183573</v>
      </c>
      <c r="L12" s="144">
        <v>330557</v>
      </c>
      <c r="M12" s="144">
        <v>514130</v>
      </c>
      <c r="N12" s="145">
        <v>5297480</v>
      </c>
    </row>
    <row r="13" spans="2:14" ht="13.5" customHeight="1" x14ac:dyDescent="0.2">
      <c r="B13" s="143" t="s">
        <v>100</v>
      </c>
      <c r="C13" s="144">
        <v>1237103</v>
      </c>
      <c r="D13" s="144">
        <v>1638897</v>
      </c>
      <c r="E13" s="144">
        <v>84969</v>
      </c>
      <c r="F13" s="144">
        <v>1392055</v>
      </c>
      <c r="G13" s="144">
        <v>4353025</v>
      </c>
      <c r="H13" s="144">
        <v>229305</v>
      </c>
      <c r="I13" s="144">
        <v>531503</v>
      </c>
      <c r="J13" s="144">
        <v>760809</v>
      </c>
      <c r="K13" s="144">
        <v>220006</v>
      </c>
      <c r="L13" s="144">
        <v>390658</v>
      </c>
      <c r="M13" s="144">
        <v>610664</v>
      </c>
      <c r="N13" s="145">
        <v>5724498</v>
      </c>
    </row>
    <row r="14" spans="2:14" ht="13.5" customHeight="1" x14ac:dyDescent="0.2">
      <c r="B14" s="143" t="s">
        <v>101</v>
      </c>
      <c r="C14" s="144">
        <v>1288433</v>
      </c>
      <c r="D14" s="144">
        <v>1817468</v>
      </c>
      <c r="E14" s="144">
        <v>59498</v>
      </c>
      <c r="F14" s="144">
        <v>1591812</v>
      </c>
      <c r="G14" s="144">
        <v>4757212</v>
      </c>
      <c r="H14" s="144">
        <v>233963</v>
      </c>
      <c r="I14" s="144">
        <v>553511</v>
      </c>
      <c r="J14" s="144">
        <v>787474</v>
      </c>
      <c r="K14" s="144">
        <v>259160</v>
      </c>
      <c r="L14" s="144">
        <v>222461</v>
      </c>
      <c r="M14" s="144">
        <v>481620</v>
      </c>
      <c r="N14" s="145">
        <v>6026306</v>
      </c>
    </row>
    <row r="15" spans="2:14" ht="14.1" customHeight="1" x14ac:dyDescent="0.2">
      <c r="B15" s="63" t="s">
        <v>102</v>
      </c>
      <c r="C15" s="60">
        <v>305977.73116000002</v>
      </c>
      <c r="D15" s="60">
        <v>325891.99956000003</v>
      </c>
      <c r="E15" s="60">
        <v>1.8930400000000001</v>
      </c>
      <c r="F15" s="60">
        <v>451240.28311999998</v>
      </c>
      <c r="G15" s="60">
        <v>1083111.9068800001</v>
      </c>
      <c r="H15" s="60">
        <v>3785.96967</v>
      </c>
      <c r="I15" s="60">
        <v>17828.472100000003</v>
      </c>
      <c r="J15" s="60">
        <v>21614.441770000001</v>
      </c>
      <c r="K15" s="60">
        <v>46570.109369999998</v>
      </c>
      <c r="L15" s="60"/>
      <c r="M15" s="60">
        <v>46570.109369999998</v>
      </c>
      <c r="N15" s="61">
        <v>1151296.45802</v>
      </c>
    </row>
    <row r="16" spans="2:14" ht="14.1" customHeight="1" x14ac:dyDescent="0.2">
      <c r="B16" s="146" t="s">
        <v>103</v>
      </c>
      <c r="C16" s="60">
        <v>658834.76774000004</v>
      </c>
      <c r="D16" s="60">
        <v>797137.70236</v>
      </c>
      <c r="E16" s="60">
        <v>18075.426400000004</v>
      </c>
      <c r="F16" s="60">
        <v>862489.21134999988</v>
      </c>
      <c r="G16" s="60">
        <v>2336537.1078499998</v>
      </c>
      <c r="H16" s="60">
        <v>43863.703990000002</v>
      </c>
      <c r="I16" s="60">
        <v>110212.43340000001</v>
      </c>
      <c r="J16" s="60">
        <v>154076.13739000002</v>
      </c>
      <c r="K16" s="60">
        <v>86747.011939999997</v>
      </c>
      <c r="L16" s="60"/>
      <c r="M16" s="60">
        <v>86747.011939999997</v>
      </c>
      <c r="N16" s="61">
        <v>2577360.2571799997</v>
      </c>
    </row>
    <row r="17" spans="2:14" ht="14.1" customHeight="1" x14ac:dyDescent="0.2">
      <c r="B17" s="146" t="s">
        <v>104</v>
      </c>
      <c r="C17" s="60">
        <v>950893.98532000009</v>
      </c>
      <c r="D17" s="60">
        <v>1279638.1975100001</v>
      </c>
      <c r="E17" s="60">
        <v>18155.690469999998</v>
      </c>
      <c r="F17" s="60">
        <v>1162073.1701000002</v>
      </c>
      <c r="G17" s="60">
        <v>3410761.0434000003</v>
      </c>
      <c r="H17" s="60">
        <v>70568.31551</v>
      </c>
      <c r="I17" s="60">
        <v>195022.53957999998</v>
      </c>
      <c r="J17" s="60">
        <v>265590.85508999997</v>
      </c>
      <c r="K17" s="60">
        <v>119074.35119</v>
      </c>
      <c r="L17" s="60"/>
      <c r="M17" s="60">
        <v>119074.35119</v>
      </c>
      <c r="N17" s="61">
        <v>3795426.2496800004</v>
      </c>
    </row>
    <row r="18" spans="2:14" ht="14.1" customHeight="1" x14ac:dyDescent="0.2">
      <c r="B18" s="143" t="s">
        <v>105</v>
      </c>
      <c r="C18" s="144">
        <v>1348434.1883399999</v>
      </c>
      <c r="D18" s="144">
        <v>1974442.8287599999</v>
      </c>
      <c r="E18" s="144">
        <v>69564.436310000005</v>
      </c>
      <c r="F18" s="144">
        <v>1861173.28149</v>
      </c>
      <c r="G18" s="144">
        <v>5253614.7348999996</v>
      </c>
      <c r="H18" s="144">
        <v>239035.02827000001</v>
      </c>
      <c r="I18" s="144">
        <v>574822.55500000005</v>
      </c>
      <c r="J18" s="144">
        <v>813857.58327000006</v>
      </c>
      <c r="K18" s="144">
        <v>196111.84375999999</v>
      </c>
      <c r="L18" s="144">
        <v>128922.3251</v>
      </c>
      <c r="M18" s="144">
        <v>325034.16885999998</v>
      </c>
      <c r="N18" s="145">
        <v>6392506.4870299995</v>
      </c>
    </row>
    <row r="19" spans="2:14" ht="14.1" customHeight="1" x14ac:dyDescent="0.2">
      <c r="B19" s="63" t="s">
        <v>106</v>
      </c>
      <c r="C19" s="60">
        <v>313632</v>
      </c>
      <c r="D19" s="60">
        <v>396465</v>
      </c>
      <c r="E19" s="60">
        <v>1599</v>
      </c>
      <c r="F19" s="60">
        <v>490744</v>
      </c>
      <c r="G19" s="60">
        <v>1202440</v>
      </c>
      <c r="H19" s="60">
        <v>7780</v>
      </c>
      <c r="I19" s="60">
        <v>13606</v>
      </c>
      <c r="J19" s="60">
        <v>21386</v>
      </c>
      <c r="K19" s="60">
        <v>30464</v>
      </c>
      <c r="L19" s="60"/>
      <c r="M19" s="60">
        <v>30464</v>
      </c>
      <c r="N19" s="61">
        <v>1254290</v>
      </c>
    </row>
    <row r="20" spans="2:14" ht="14.1" customHeight="1" x14ac:dyDescent="0.2">
      <c r="B20" s="146" t="s">
        <v>107</v>
      </c>
      <c r="C20" s="60">
        <v>687398.37835999997</v>
      </c>
      <c r="D20" s="60">
        <v>863037.97936999996</v>
      </c>
      <c r="E20" s="60">
        <v>25663.006730000001</v>
      </c>
      <c r="F20" s="60">
        <v>967839.08822999988</v>
      </c>
      <c r="G20" s="60">
        <v>2543938.4526899997</v>
      </c>
      <c r="H20" s="60">
        <v>55576.05156</v>
      </c>
      <c r="I20" s="60">
        <v>100231.85878</v>
      </c>
      <c r="J20" s="60">
        <v>155807.91034</v>
      </c>
      <c r="K20" s="60">
        <v>61693</v>
      </c>
      <c r="L20" s="60"/>
      <c r="M20" s="60">
        <v>61693</v>
      </c>
      <c r="N20" s="61">
        <v>2761439.3630299997</v>
      </c>
    </row>
    <row r="21" spans="2:14" ht="12" customHeight="1" x14ac:dyDescent="0.2">
      <c r="B21" s="146" t="s">
        <v>108</v>
      </c>
      <c r="C21" s="60">
        <v>1013462.04749</v>
      </c>
      <c r="D21" s="60">
        <v>1378306.4385499998</v>
      </c>
      <c r="E21" s="60">
        <v>29550.497600000002</v>
      </c>
      <c r="F21" s="60">
        <v>1312887.11552</v>
      </c>
      <c r="G21" s="60">
        <v>3734206.0991599998</v>
      </c>
      <c r="H21" s="60">
        <v>89309.515370000008</v>
      </c>
      <c r="I21" s="60">
        <v>167164.45420000001</v>
      </c>
      <c r="J21" s="60">
        <v>256473.96957000002</v>
      </c>
      <c r="K21" s="60">
        <v>99252.296560000003</v>
      </c>
      <c r="L21" s="60">
        <v>115935.23493999999</v>
      </c>
      <c r="M21" s="60">
        <v>215187.53149999998</v>
      </c>
      <c r="N21" s="61">
        <v>4205867.60023</v>
      </c>
    </row>
    <row r="22" spans="2:14" ht="12" customHeight="1" x14ac:dyDescent="0.2">
      <c r="B22" s="143" t="s">
        <v>109</v>
      </c>
      <c r="C22" s="144">
        <v>1392779</v>
      </c>
      <c r="D22" s="144">
        <v>2108648</v>
      </c>
      <c r="E22" s="144">
        <v>71715</v>
      </c>
      <c r="F22" s="144">
        <v>2078100</v>
      </c>
      <c r="G22" s="144">
        <v>5651242</v>
      </c>
      <c r="H22" s="144">
        <v>246983</v>
      </c>
      <c r="I22" s="144">
        <v>573826</v>
      </c>
      <c r="J22" s="144">
        <v>820809</v>
      </c>
      <c r="K22" s="144">
        <v>137321</v>
      </c>
      <c r="L22" s="144">
        <v>115935</v>
      </c>
      <c r="M22" s="144">
        <v>253256</v>
      </c>
      <c r="N22" s="145">
        <v>6725307</v>
      </c>
    </row>
    <row r="23" spans="2:14" ht="12" customHeight="1" x14ac:dyDescent="0.2">
      <c r="B23" s="63" t="s">
        <v>110</v>
      </c>
      <c r="C23" s="60">
        <v>326079</v>
      </c>
      <c r="D23" s="60">
        <v>371748</v>
      </c>
      <c r="E23" s="60">
        <v>57</v>
      </c>
      <c r="F23" s="60">
        <v>519230</v>
      </c>
      <c r="G23" s="60">
        <v>1217114</v>
      </c>
      <c r="H23" s="60">
        <v>7519</v>
      </c>
      <c r="I23" s="60">
        <v>41919</v>
      </c>
      <c r="J23" s="60">
        <v>49438</v>
      </c>
      <c r="K23" s="60">
        <v>14891</v>
      </c>
      <c r="L23" s="60"/>
      <c r="M23" s="60">
        <v>14891</v>
      </c>
      <c r="N23" s="61">
        <v>1281443</v>
      </c>
    </row>
    <row r="24" spans="2:14" ht="12" customHeight="1" x14ac:dyDescent="0.2">
      <c r="B24" s="146" t="s">
        <v>111</v>
      </c>
      <c r="C24" s="60">
        <v>720308</v>
      </c>
      <c r="D24" s="60">
        <v>896692</v>
      </c>
      <c r="E24" s="60">
        <v>20854</v>
      </c>
      <c r="F24" s="60">
        <v>1033678</v>
      </c>
      <c r="G24" s="60">
        <v>2671532</v>
      </c>
      <c r="H24" s="60">
        <v>51841</v>
      </c>
      <c r="I24" s="60">
        <v>97905</v>
      </c>
      <c r="J24" s="60">
        <v>149746</v>
      </c>
      <c r="K24" s="60">
        <v>95374</v>
      </c>
      <c r="L24" s="60">
        <v>120202</v>
      </c>
      <c r="M24" s="60">
        <v>215576</v>
      </c>
      <c r="N24" s="61">
        <v>3036854</v>
      </c>
    </row>
    <row r="25" spans="2:14" ht="12" customHeight="1" x14ac:dyDescent="0.2">
      <c r="B25" s="146" t="s">
        <v>112</v>
      </c>
      <c r="C25" s="60">
        <v>1068877.7482100001</v>
      </c>
      <c r="D25" s="60">
        <v>1420506.15695</v>
      </c>
      <c r="E25" s="60">
        <v>32783.493150000002</v>
      </c>
      <c r="F25" s="60">
        <v>1432070.62136</v>
      </c>
      <c r="G25" s="60">
        <v>3954238.0196700003</v>
      </c>
      <c r="H25" s="60">
        <v>95203.76062999999</v>
      </c>
      <c r="I25" s="60">
        <v>180263.95990000002</v>
      </c>
      <c r="J25" s="60">
        <v>275467.72052999999</v>
      </c>
      <c r="K25" s="60">
        <v>144896.15831999999</v>
      </c>
      <c r="L25" s="60">
        <v>230718.63018000001</v>
      </c>
      <c r="M25" s="60">
        <v>375614.78850000002</v>
      </c>
      <c r="N25" s="61">
        <v>4605320.5286999997</v>
      </c>
    </row>
    <row r="26" spans="2:14" ht="12" customHeight="1" x14ac:dyDescent="0.2">
      <c r="B26" s="143" t="s">
        <v>113</v>
      </c>
      <c r="C26" s="144">
        <v>1468517.966</v>
      </c>
      <c r="D26" s="144">
        <v>2256781.3050000002</v>
      </c>
      <c r="E26" s="144">
        <v>60129.425000000003</v>
      </c>
      <c r="F26" s="144">
        <v>2290310.4219999998</v>
      </c>
      <c r="G26" s="144">
        <v>6075739.1179999998</v>
      </c>
      <c r="H26" s="144">
        <v>271504.891</v>
      </c>
      <c r="I26" s="144">
        <v>569532.11495000008</v>
      </c>
      <c r="J26" s="144">
        <v>841037.00595000014</v>
      </c>
      <c r="K26" s="144">
        <v>165416.29058999999</v>
      </c>
      <c r="L26" s="144">
        <v>230718.63018000001</v>
      </c>
      <c r="M26" s="144">
        <v>396134.92076999997</v>
      </c>
      <c r="N26" s="145">
        <v>7312911.0447199997</v>
      </c>
    </row>
    <row r="27" spans="2:14" ht="12" customHeight="1" x14ac:dyDescent="0.2">
      <c r="B27" s="63" t="s">
        <v>114</v>
      </c>
      <c r="C27" s="60">
        <v>357626.75099999999</v>
      </c>
      <c r="D27" s="60">
        <v>417361.22499999998</v>
      </c>
      <c r="E27" s="60">
        <v>18.504000000000001</v>
      </c>
      <c r="F27" s="60">
        <v>616067.75199999998</v>
      </c>
      <c r="G27" s="60">
        <v>1391074.2319999998</v>
      </c>
      <c r="H27" s="60">
        <v>9319.009</v>
      </c>
      <c r="I27" s="60">
        <v>17123.739000000001</v>
      </c>
      <c r="J27" s="60">
        <v>26442.748</v>
      </c>
      <c r="K27" s="60">
        <v>35293.616000000002</v>
      </c>
      <c r="L27" s="60">
        <v>0</v>
      </c>
      <c r="M27" s="60">
        <v>35293.616000000002</v>
      </c>
      <c r="N27" s="61">
        <v>1452810.5959999997</v>
      </c>
    </row>
    <row r="28" spans="2:14" ht="12" customHeight="1" x14ac:dyDescent="0.2">
      <c r="B28" s="146" t="s">
        <v>115</v>
      </c>
      <c r="C28" s="60">
        <v>772972.23199999996</v>
      </c>
      <c r="D28" s="60">
        <v>1010291.25</v>
      </c>
      <c r="E28" s="60">
        <v>268.46199999999999</v>
      </c>
      <c r="F28" s="60">
        <v>1126212.142</v>
      </c>
      <c r="G28" s="60">
        <v>2909744.0860000001</v>
      </c>
      <c r="H28" s="60">
        <v>47838.500999999997</v>
      </c>
      <c r="I28" s="60">
        <v>163559.861</v>
      </c>
      <c r="J28" s="60">
        <v>211398.36199999999</v>
      </c>
      <c r="K28" s="60">
        <v>80886.521999999997</v>
      </c>
      <c r="L28" s="60">
        <v>0</v>
      </c>
      <c r="M28" s="60">
        <v>80886.521999999997</v>
      </c>
      <c r="N28" s="61">
        <v>3202028.97</v>
      </c>
    </row>
    <row r="29" spans="2:14" ht="12" customHeight="1" x14ac:dyDescent="0.2">
      <c r="B29" s="146" t="s">
        <v>116</v>
      </c>
      <c r="C29" s="60">
        <v>1134789.058</v>
      </c>
      <c r="D29" s="60">
        <v>1566722.6270000001</v>
      </c>
      <c r="E29" s="60">
        <v>6332.66</v>
      </c>
      <c r="F29" s="60">
        <v>1576928.5149999999</v>
      </c>
      <c r="G29" s="60">
        <v>4284772.8600000003</v>
      </c>
      <c r="H29" s="60">
        <v>81900.966</v>
      </c>
      <c r="I29" s="60">
        <v>226047.64199999999</v>
      </c>
      <c r="J29" s="60">
        <v>307948.60800000001</v>
      </c>
      <c r="K29" s="60">
        <v>84951.862999999998</v>
      </c>
      <c r="L29" s="60">
        <v>0</v>
      </c>
      <c r="M29" s="60">
        <v>84951.862999999998</v>
      </c>
      <c r="N29" s="61">
        <v>4677673.3310000002</v>
      </c>
    </row>
    <row r="30" spans="2:14" ht="12" customHeight="1" x14ac:dyDescent="0.2">
      <c r="B30" s="143" t="s">
        <v>117</v>
      </c>
      <c r="C30" s="144">
        <v>1553899.4210000001</v>
      </c>
      <c r="D30" s="144">
        <v>2461989.128</v>
      </c>
      <c r="E30" s="144">
        <v>42363.413</v>
      </c>
      <c r="F30" s="144">
        <v>2480229.5490000001</v>
      </c>
      <c r="G30" s="144">
        <v>6538481.5109999999</v>
      </c>
      <c r="H30" s="144">
        <v>280433.58799999999</v>
      </c>
      <c r="I30" s="144">
        <v>634023.76500000001</v>
      </c>
      <c r="J30" s="144">
        <v>914457.353</v>
      </c>
      <c r="K30" s="144">
        <v>134817.37100000001</v>
      </c>
      <c r="L30" s="144">
        <v>183182.179</v>
      </c>
      <c r="M30" s="144">
        <v>317999.55</v>
      </c>
      <c r="N30" s="145">
        <v>7770938.4139999999</v>
      </c>
    </row>
    <row r="31" spans="2:14" ht="14.1" customHeight="1" x14ac:dyDescent="0.2">
      <c r="B31" s="63" t="s">
        <v>118</v>
      </c>
      <c r="C31" s="60">
        <v>371545.66200000001</v>
      </c>
      <c r="D31" s="60">
        <v>498530.76500000001</v>
      </c>
      <c r="E31" s="60">
        <v>0.31900000000000001</v>
      </c>
      <c r="F31" s="60">
        <v>703264.40399999998</v>
      </c>
      <c r="G31" s="60">
        <v>1573341.15</v>
      </c>
      <c r="H31" s="60">
        <v>9643.4629999999997</v>
      </c>
      <c r="I31" s="60">
        <v>61165.684000000001</v>
      </c>
      <c r="J31" s="60">
        <v>70809.146999999997</v>
      </c>
      <c r="K31" s="60">
        <v>13004.137000000001</v>
      </c>
      <c r="L31" s="60">
        <v>80000</v>
      </c>
      <c r="M31" s="60">
        <v>93004.137000000002</v>
      </c>
      <c r="N31" s="61">
        <v>1737154.4339999999</v>
      </c>
    </row>
    <row r="32" spans="2:14" ht="14.1" customHeight="1" x14ac:dyDescent="0.2">
      <c r="B32" s="146" t="s">
        <v>119</v>
      </c>
      <c r="C32" s="60">
        <v>828081.299</v>
      </c>
      <c r="D32" s="60">
        <v>1095047.7660000001</v>
      </c>
      <c r="E32" s="60">
        <v>6685.6610000000001</v>
      </c>
      <c r="F32" s="60">
        <v>1258688.423</v>
      </c>
      <c r="G32" s="60">
        <v>3188503.1490000002</v>
      </c>
      <c r="H32" s="60">
        <v>58791.03</v>
      </c>
      <c r="I32" s="60">
        <v>155952.95699999999</v>
      </c>
      <c r="J32" s="60">
        <v>214743.98699999999</v>
      </c>
      <c r="K32" s="60">
        <v>66386.326000000001</v>
      </c>
      <c r="L32" s="60">
        <v>80000</v>
      </c>
      <c r="M32" s="60">
        <v>146386.326</v>
      </c>
      <c r="N32" s="61">
        <v>3549633.4620000003</v>
      </c>
    </row>
    <row r="33" spans="2:14" ht="14.1" customHeight="1" x14ac:dyDescent="0.2">
      <c r="B33" s="146" t="s">
        <v>120</v>
      </c>
      <c r="C33" s="60">
        <v>1219108.8030000001</v>
      </c>
      <c r="D33" s="60">
        <v>1762515.8160000001</v>
      </c>
      <c r="E33" s="60">
        <v>6711.4809999999998</v>
      </c>
      <c r="F33" s="60">
        <v>1748572.4410000001</v>
      </c>
      <c r="G33" s="60">
        <v>4736908.5410000002</v>
      </c>
      <c r="H33" s="60">
        <v>94857.376999999993</v>
      </c>
      <c r="I33" s="60">
        <v>211368.946</v>
      </c>
      <c r="J33" s="60">
        <v>306226.32299999997</v>
      </c>
      <c r="K33" s="60">
        <v>84702.087</v>
      </c>
      <c r="L33" s="60">
        <v>80000</v>
      </c>
      <c r="M33" s="60">
        <v>164702.087</v>
      </c>
      <c r="N33" s="61">
        <v>5207836.9510000004</v>
      </c>
    </row>
    <row r="34" spans="2:14" ht="14.1" customHeight="1" x14ac:dyDescent="0.2">
      <c r="B34" s="143" t="s">
        <v>121</v>
      </c>
      <c r="C34" s="144">
        <v>1688303.9069999999</v>
      </c>
      <c r="D34" s="144">
        <v>2751917.895</v>
      </c>
      <c r="E34" s="144">
        <v>29128.455000000002</v>
      </c>
      <c r="F34" s="144">
        <v>2718063.2280000001</v>
      </c>
      <c r="G34" s="144">
        <v>7187413.4850000003</v>
      </c>
      <c r="H34" s="144">
        <v>316100.43900000001</v>
      </c>
      <c r="I34" s="144">
        <v>679754.80700000003</v>
      </c>
      <c r="J34" s="144">
        <v>995855.24600000004</v>
      </c>
      <c r="K34" s="144">
        <v>185101.84299999999</v>
      </c>
      <c r="L34" s="144">
        <v>216515.51199999999</v>
      </c>
      <c r="M34" s="144">
        <v>401617.35499999998</v>
      </c>
      <c r="N34" s="145">
        <v>8584886.0860000011</v>
      </c>
    </row>
    <row r="35" spans="2:14" ht="14.1" customHeight="1" x14ac:dyDescent="0.2">
      <c r="B35" s="63" t="s">
        <v>122</v>
      </c>
      <c r="C35" s="60">
        <v>403933.38299999997</v>
      </c>
      <c r="D35" s="60">
        <v>518821.967</v>
      </c>
      <c r="E35" s="60">
        <v>188.393</v>
      </c>
      <c r="F35" s="60">
        <v>726090.48800000001</v>
      </c>
      <c r="G35" s="60">
        <v>1649034.2310000001</v>
      </c>
      <c r="H35" s="60">
        <v>3897.123</v>
      </c>
      <c r="I35" s="60">
        <v>89607.106</v>
      </c>
      <c r="J35" s="60">
        <v>93504.229000000007</v>
      </c>
      <c r="K35" s="60">
        <v>12598.135</v>
      </c>
      <c r="L35" s="60">
        <v>56666.667000000001</v>
      </c>
      <c r="M35" s="60">
        <v>69264.801999999996</v>
      </c>
      <c r="N35" s="61">
        <v>1811803.2620000001</v>
      </c>
    </row>
    <row r="36" spans="2:14" ht="14.1" customHeight="1" x14ac:dyDescent="0.2">
      <c r="B36" s="146" t="s">
        <v>123</v>
      </c>
      <c r="C36" s="60">
        <v>898085.40500000003</v>
      </c>
      <c r="D36" s="60">
        <v>1258727</v>
      </c>
      <c r="E36" s="60">
        <v>6255.79</v>
      </c>
      <c r="F36" s="60">
        <v>1375302.1070000001</v>
      </c>
      <c r="G36" s="60">
        <v>3538370.3020000001</v>
      </c>
      <c r="H36" s="60">
        <v>56506.224999999999</v>
      </c>
      <c r="I36" s="60">
        <v>253462.98499999999</v>
      </c>
      <c r="J36" s="60">
        <v>309969.21000000002</v>
      </c>
      <c r="K36" s="60">
        <v>43307.093000000001</v>
      </c>
      <c r="L36" s="60">
        <v>176869.08799999999</v>
      </c>
      <c r="M36" s="60">
        <v>220176.18099999998</v>
      </c>
      <c r="N36" s="61">
        <v>4068515.693</v>
      </c>
    </row>
    <row r="37" spans="2:14" ht="14.1" customHeight="1" x14ac:dyDescent="0.2">
      <c r="B37" s="146" t="s">
        <v>124</v>
      </c>
      <c r="C37" s="60">
        <v>1313989.5889999999</v>
      </c>
      <c r="D37" s="60">
        <v>1968250.9210000001</v>
      </c>
      <c r="E37" s="60">
        <v>6337.5330000000004</v>
      </c>
      <c r="F37" s="60">
        <v>1872537.3219999999</v>
      </c>
      <c r="G37" s="60">
        <v>5161115.3649999993</v>
      </c>
      <c r="H37" s="60">
        <v>92291.736999999994</v>
      </c>
      <c r="I37" s="60">
        <v>405697.72100000002</v>
      </c>
      <c r="J37" s="60">
        <v>497989.45799999998</v>
      </c>
      <c r="K37" s="60">
        <v>67315.112999999998</v>
      </c>
      <c r="L37" s="60">
        <v>176869.08799999999</v>
      </c>
      <c r="M37" s="60">
        <v>244184.201</v>
      </c>
      <c r="N37" s="61">
        <v>5903289.0239999993</v>
      </c>
    </row>
    <row r="38" spans="2:14" ht="14.1" customHeight="1" x14ac:dyDescent="0.2">
      <c r="B38" s="143" t="s">
        <v>125</v>
      </c>
      <c r="C38" s="144">
        <v>1815082.6869999999</v>
      </c>
      <c r="D38" s="144">
        <v>3072013.2510000002</v>
      </c>
      <c r="E38" s="144">
        <v>17659.73</v>
      </c>
      <c r="F38" s="144">
        <v>2887679.426</v>
      </c>
      <c r="G38" s="144">
        <v>7792435.0940000005</v>
      </c>
      <c r="H38" s="144">
        <v>317645.99</v>
      </c>
      <c r="I38" s="144">
        <v>925425.58700000006</v>
      </c>
      <c r="J38" s="144">
        <v>1243071.577</v>
      </c>
      <c r="K38" s="144">
        <v>104924.56200000001</v>
      </c>
      <c r="L38" s="144">
        <v>176869.08799999999</v>
      </c>
      <c r="M38" s="144">
        <v>281793.65000000002</v>
      </c>
      <c r="N38" s="145">
        <v>9317300.3210000005</v>
      </c>
    </row>
    <row r="39" spans="2:14" ht="14.1" customHeight="1" x14ac:dyDescent="0.2">
      <c r="B39" s="63" t="s">
        <v>126</v>
      </c>
      <c r="C39" s="60">
        <v>438780.8</v>
      </c>
      <c r="D39" s="60">
        <v>653222.90300000005</v>
      </c>
      <c r="E39" s="60">
        <v>2866.1379999999999</v>
      </c>
      <c r="F39" s="60">
        <v>753109.79500000004</v>
      </c>
      <c r="G39" s="60">
        <v>1847979.6359999999</v>
      </c>
      <c r="H39" s="60">
        <v>22010.098000000002</v>
      </c>
      <c r="I39" s="60">
        <v>103963.53</v>
      </c>
      <c r="J39" s="60">
        <v>125973.628</v>
      </c>
      <c r="K39" s="60">
        <v>101881.178</v>
      </c>
      <c r="L39" s="60">
        <v>0</v>
      </c>
      <c r="M39" s="60">
        <v>101881.178</v>
      </c>
      <c r="N39" s="61">
        <v>2075834.442</v>
      </c>
    </row>
    <row r="40" spans="2:14" ht="14.1" customHeight="1" x14ac:dyDescent="0.2">
      <c r="B40" s="146" t="s">
        <v>127</v>
      </c>
      <c r="C40" s="60">
        <v>958731.48100000003</v>
      </c>
      <c r="D40" s="60">
        <v>1429234.47</v>
      </c>
      <c r="E40" s="60">
        <v>4922.9219999999996</v>
      </c>
      <c r="F40" s="60">
        <v>1492034.219</v>
      </c>
      <c r="G40" s="60">
        <v>3884923.0919999997</v>
      </c>
      <c r="H40" s="60">
        <v>68624.519</v>
      </c>
      <c r="I40" s="60">
        <v>274909.864</v>
      </c>
      <c r="J40" s="60">
        <v>343534.38300000003</v>
      </c>
      <c r="K40" s="60">
        <v>126408.132</v>
      </c>
      <c r="L40" s="60">
        <v>0</v>
      </c>
      <c r="M40" s="60">
        <v>126408.132</v>
      </c>
      <c r="N40" s="61">
        <v>4354865.6069999998</v>
      </c>
    </row>
    <row r="41" spans="2:14" ht="14.1" customHeight="1" x14ac:dyDescent="0.2">
      <c r="B41" s="146" t="s">
        <v>128</v>
      </c>
      <c r="C41" s="60">
        <v>1402687.3030000001</v>
      </c>
      <c r="D41" s="60">
        <v>2166252.5690000001</v>
      </c>
      <c r="E41" s="60">
        <v>7955.2979999999998</v>
      </c>
      <c r="F41" s="60">
        <v>2053294.9280000001</v>
      </c>
      <c r="G41" s="60">
        <v>5630190.0980000002</v>
      </c>
      <c r="H41" s="60">
        <v>121659.65700000001</v>
      </c>
      <c r="I41" s="60">
        <v>455521.54800000001</v>
      </c>
      <c r="J41" s="60">
        <v>577181.20500000007</v>
      </c>
      <c r="K41" s="60">
        <v>144700.23300000001</v>
      </c>
      <c r="L41" s="60">
        <v>0</v>
      </c>
      <c r="M41" s="60">
        <v>144700.23300000001</v>
      </c>
      <c r="N41" s="61">
        <v>6352071.5360000003</v>
      </c>
    </row>
    <row r="42" spans="2:14" ht="14.1" customHeight="1" x14ac:dyDescent="0.2">
      <c r="B42" s="143" t="s">
        <v>129</v>
      </c>
      <c r="C42" s="144">
        <v>1930850.8359999999</v>
      </c>
      <c r="D42" s="144">
        <v>3383809.8560000001</v>
      </c>
      <c r="E42" s="144">
        <v>24388.558000000001</v>
      </c>
      <c r="F42" s="144">
        <v>3261843.176</v>
      </c>
      <c r="G42" s="144">
        <v>8600892.425999999</v>
      </c>
      <c r="H42" s="144">
        <v>350732.641</v>
      </c>
      <c r="I42" s="144">
        <v>1059523.1100000001</v>
      </c>
      <c r="J42" s="144">
        <v>1410255.7510000002</v>
      </c>
      <c r="K42" s="144">
        <v>232208.94699999999</v>
      </c>
      <c r="L42" s="144">
        <v>61150</v>
      </c>
      <c r="M42" s="144">
        <v>293358.94699999999</v>
      </c>
      <c r="N42" s="145">
        <v>10304507.124</v>
      </c>
    </row>
    <row r="43" spans="2:14" ht="14.1" customHeight="1" x14ac:dyDescent="0.2">
      <c r="B43" s="63" t="s">
        <v>130</v>
      </c>
      <c r="C43" s="60">
        <v>434550.66</v>
      </c>
      <c r="D43" s="60">
        <v>639053.17799999996</v>
      </c>
      <c r="E43" s="60">
        <v>3849.489</v>
      </c>
      <c r="F43" s="60">
        <v>825498.33400000003</v>
      </c>
      <c r="G43" s="60">
        <v>1902951.6610000001</v>
      </c>
      <c r="H43" s="60">
        <v>21463.19</v>
      </c>
      <c r="I43" s="60">
        <v>127215.90300000001</v>
      </c>
      <c r="J43" s="60">
        <v>148679.09299999999</v>
      </c>
      <c r="K43" s="60">
        <v>7975.0690000000004</v>
      </c>
      <c r="L43" s="60">
        <v>0</v>
      </c>
      <c r="M43" s="60">
        <v>7975.0690000000004</v>
      </c>
      <c r="N43" s="61">
        <v>2059605.8230000001</v>
      </c>
    </row>
    <row r="44" spans="2:14" ht="14.1" customHeight="1" x14ac:dyDescent="0.2">
      <c r="B44" s="146" t="s">
        <v>131</v>
      </c>
      <c r="C44" s="60">
        <v>969809</v>
      </c>
      <c r="D44" s="60">
        <v>1473944</v>
      </c>
      <c r="E44" s="60">
        <v>7097</v>
      </c>
      <c r="F44" s="60">
        <v>1561198</v>
      </c>
      <c r="G44" s="60">
        <v>4012048</v>
      </c>
      <c r="H44" s="60">
        <v>71089</v>
      </c>
      <c r="I44" s="60">
        <v>241621</v>
      </c>
      <c r="J44" s="60">
        <v>312710</v>
      </c>
      <c r="K44" s="60">
        <v>30258</v>
      </c>
      <c r="L44" s="60">
        <v>10000</v>
      </c>
      <c r="M44" s="60">
        <v>40258</v>
      </c>
      <c r="N44" s="61">
        <v>4365016</v>
      </c>
    </row>
    <row r="45" spans="2:14" ht="14.1" customHeight="1" x14ac:dyDescent="0.2">
      <c r="B45" s="146" t="s">
        <v>132</v>
      </c>
      <c r="C45" s="60">
        <v>1407870.682</v>
      </c>
      <c r="D45" s="60">
        <v>2282527.4780000001</v>
      </c>
      <c r="E45" s="60">
        <v>21173.285</v>
      </c>
      <c r="F45" s="60">
        <v>2069807.7220000001</v>
      </c>
      <c r="G45" s="60">
        <v>5781379.1670000004</v>
      </c>
      <c r="H45" s="60">
        <v>104087.124</v>
      </c>
      <c r="I45" s="60">
        <v>434842.25</v>
      </c>
      <c r="J45" s="60">
        <v>538929.37399999995</v>
      </c>
      <c r="K45" s="60">
        <v>51356.817999999999</v>
      </c>
      <c r="L45" s="60">
        <v>12500</v>
      </c>
      <c r="M45" s="60">
        <v>63856.817999999999</v>
      </c>
      <c r="N45" s="61">
        <v>6384165.3590000002</v>
      </c>
    </row>
    <row r="46" spans="2:14" ht="14.1" customHeight="1" x14ac:dyDescent="0.2">
      <c r="B46" s="143" t="s">
        <v>133</v>
      </c>
      <c r="C46" s="144">
        <v>1915485.0419999999</v>
      </c>
      <c r="D46" s="144">
        <v>3378408.699</v>
      </c>
      <c r="E46" s="144">
        <v>81412.595000000001</v>
      </c>
      <c r="F46" s="144">
        <v>3178090</v>
      </c>
      <c r="G46" s="144">
        <v>8553396.3359999992</v>
      </c>
      <c r="H46" s="144">
        <v>433462.33600000001</v>
      </c>
      <c r="I46" s="144">
        <v>1101892.4939999999</v>
      </c>
      <c r="J46" s="144">
        <v>1535354.83</v>
      </c>
      <c r="K46" s="144">
        <v>115155.251</v>
      </c>
      <c r="L46" s="144">
        <v>123650</v>
      </c>
      <c r="M46" s="144">
        <v>238805.25099999999</v>
      </c>
      <c r="N46" s="145">
        <v>10327556.416999999</v>
      </c>
    </row>
    <row r="47" spans="2:14" ht="14.1" customHeight="1" x14ac:dyDescent="0.2">
      <c r="B47" s="63" t="s">
        <v>134</v>
      </c>
      <c r="C47" s="60">
        <v>417473.39299999998</v>
      </c>
      <c r="D47" s="60">
        <v>677813.56400000001</v>
      </c>
      <c r="E47" s="60">
        <v>24816.199000000001</v>
      </c>
      <c r="F47" s="60">
        <v>855857.71</v>
      </c>
      <c r="G47" s="60">
        <f>SUM(C47:F47)</f>
        <v>1975960.8659999999</v>
      </c>
      <c r="H47" s="60">
        <v>10353.187</v>
      </c>
      <c r="I47" s="60">
        <v>54094.421999999999</v>
      </c>
      <c r="J47" s="60">
        <f>SUM(H47:I47)</f>
        <v>64447.608999999997</v>
      </c>
      <c r="K47" s="60">
        <v>24934.197</v>
      </c>
      <c r="L47" s="60">
        <v>0</v>
      </c>
      <c r="M47" s="60">
        <f>SUM(K47:L47)</f>
        <v>24934.197</v>
      </c>
      <c r="N47" s="61">
        <f>+G47+J47+M47</f>
        <v>2065342.6719999998</v>
      </c>
    </row>
    <row r="48" spans="2:14" ht="14.1" customHeight="1" x14ac:dyDescent="0.2">
      <c r="B48" s="146" t="s">
        <v>135</v>
      </c>
      <c r="C48" s="60">
        <v>936834.54099999997</v>
      </c>
      <c r="D48" s="60">
        <v>1502710.2949999999</v>
      </c>
      <c r="E48" s="60">
        <v>53266.557000000001</v>
      </c>
      <c r="F48" s="60">
        <v>1697772.7790000001</v>
      </c>
      <c r="G48" s="60">
        <v>4190584.1720000003</v>
      </c>
      <c r="H48" s="60">
        <v>48126.667000000001</v>
      </c>
      <c r="I48" s="60">
        <v>266181.935</v>
      </c>
      <c r="J48" s="60">
        <v>314308.60200000001</v>
      </c>
      <c r="K48" s="60">
        <v>27536.105</v>
      </c>
      <c r="L48" s="60">
        <v>10000</v>
      </c>
      <c r="M48" s="60">
        <v>37536.104999999996</v>
      </c>
      <c r="N48" s="61">
        <v>4542428.8790000007</v>
      </c>
    </row>
    <row r="49" spans="2:14" ht="14.1" customHeight="1" x14ac:dyDescent="0.2">
      <c r="B49" s="146" t="s">
        <v>136</v>
      </c>
      <c r="C49" s="60">
        <v>1383749.8840000001</v>
      </c>
      <c r="D49" s="60">
        <v>2289382.6979999999</v>
      </c>
      <c r="E49" s="60">
        <v>80878.884000000005</v>
      </c>
      <c r="F49" s="60">
        <v>2248905.4730000002</v>
      </c>
      <c r="G49" s="60">
        <v>6002916.9390000002</v>
      </c>
      <c r="H49" s="60">
        <v>129587.32399999999</v>
      </c>
      <c r="I49" s="60">
        <v>278828.26899999997</v>
      </c>
      <c r="J49" s="60">
        <v>408415.59299999999</v>
      </c>
      <c r="K49" s="60">
        <v>43759.144999999997</v>
      </c>
      <c r="L49" s="60">
        <v>12500</v>
      </c>
      <c r="M49" s="60">
        <v>56259.144999999997</v>
      </c>
      <c r="N49" s="61">
        <v>6467591.6770000001</v>
      </c>
    </row>
    <row r="50" spans="2:14" ht="14.1" customHeight="1" x14ac:dyDescent="0.2">
      <c r="B50" s="143" t="s">
        <v>137</v>
      </c>
      <c r="C50" s="144">
        <v>1905886.5430000001</v>
      </c>
      <c r="D50" s="144">
        <v>3349017.6869999999</v>
      </c>
      <c r="E50" s="144">
        <v>151704.68299999999</v>
      </c>
      <c r="F50" s="144">
        <v>3316873.071</v>
      </c>
      <c r="G50" s="144">
        <v>8723481.9840000011</v>
      </c>
      <c r="H50" s="144">
        <v>444611.75</v>
      </c>
      <c r="I50" s="144">
        <v>730068.80500000005</v>
      </c>
      <c r="J50" s="144">
        <v>1174680.5550000002</v>
      </c>
      <c r="K50" s="144">
        <v>105550.652</v>
      </c>
      <c r="L50" s="144">
        <v>169483.33300000001</v>
      </c>
      <c r="M50" s="144">
        <v>275033.98499999999</v>
      </c>
      <c r="N50" s="145">
        <v>10173196.524</v>
      </c>
    </row>
    <row r="51" spans="2:14" ht="14.1" customHeight="1" x14ac:dyDescent="0.2">
      <c r="B51" s="63" t="s">
        <v>138</v>
      </c>
      <c r="C51" s="60">
        <v>426526.53399999999</v>
      </c>
      <c r="D51" s="60">
        <v>690665.38399999996</v>
      </c>
      <c r="E51" s="60">
        <v>39620.589</v>
      </c>
      <c r="F51" s="60">
        <v>878286.35499999998</v>
      </c>
      <c r="G51" s="60">
        <v>2035098.862</v>
      </c>
      <c r="H51" s="60">
        <v>23227.235000000001</v>
      </c>
      <c r="I51" s="60">
        <v>97064.929000000004</v>
      </c>
      <c r="J51" s="60">
        <v>120292.164</v>
      </c>
      <c r="K51" s="60">
        <v>2301.846</v>
      </c>
      <c r="L51" s="60">
        <v>0</v>
      </c>
      <c r="M51" s="60">
        <v>2301.846</v>
      </c>
      <c r="N51" s="61">
        <v>2157692.872</v>
      </c>
    </row>
    <row r="52" spans="2:14" ht="14.1" customHeight="1" x14ac:dyDescent="0.2">
      <c r="B52" s="146" t="s">
        <v>139</v>
      </c>
      <c r="C52" s="60">
        <v>941839.85100000002</v>
      </c>
      <c r="D52" s="60">
        <v>1467730.068</v>
      </c>
      <c r="E52" s="60">
        <v>85183.400999999998</v>
      </c>
      <c r="F52" s="60">
        <v>1698649.0209999999</v>
      </c>
      <c r="G52" s="60">
        <v>4193402.341</v>
      </c>
      <c r="H52" s="60">
        <v>128382.61</v>
      </c>
      <c r="I52" s="60">
        <v>201515.269</v>
      </c>
      <c r="J52" s="60">
        <v>329897.87900000002</v>
      </c>
      <c r="K52" s="60">
        <v>28674.185000000001</v>
      </c>
      <c r="L52" s="60">
        <v>10000</v>
      </c>
      <c r="M52" s="60">
        <v>38674.184999999998</v>
      </c>
      <c r="N52" s="61">
        <v>4561974.4049999993</v>
      </c>
    </row>
    <row r="53" spans="2:14" ht="14.1" customHeight="1" x14ac:dyDescent="0.2">
      <c r="B53" s="146" t="s">
        <v>140</v>
      </c>
      <c r="C53" s="60">
        <v>1354344.37</v>
      </c>
      <c r="D53" s="60">
        <v>2188103.4419999998</v>
      </c>
      <c r="E53" s="60">
        <v>118051.954</v>
      </c>
      <c r="F53" s="60">
        <v>2260873.7659999998</v>
      </c>
      <c r="G53" s="60">
        <v>5921373.5319999997</v>
      </c>
      <c r="H53" s="60">
        <v>215728.08799999999</v>
      </c>
      <c r="I53" s="60">
        <v>317824.60100000002</v>
      </c>
      <c r="J53" s="60">
        <v>533552.68900000001</v>
      </c>
      <c r="K53" s="60">
        <v>30114.053</v>
      </c>
      <c r="L53" s="60">
        <v>12500</v>
      </c>
      <c r="M53" s="60">
        <v>42614.053</v>
      </c>
      <c r="N53" s="61">
        <v>6497540.2740000002</v>
      </c>
    </row>
    <row r="54" spans="2:14" ht="14.1" customHeight="1" x14ac:dyDescent="0.2">
      <c r="B54" s="143" t="s">
        <v>141</v>
      </c>
      <c r="C54" s="144">
        <v>1781937</v>
      </c>
      <c r="D54" s="144">
        <v>3257516</v>
      </c>
      <c r="E54" s="144">
        <v>196679.00599999999</v>
      </c>
      <c r="F54" s="144">
        <v>3458134.9210000001</v>
      </c>
      <c r="G54" s="144">
        <v>8694266.9270000011</v>
      </c>
      <c r="H54" s="144">
        <v>519081.01299999998</v>
      </c>
      <c r="I54" s="144">
        <v>783579.52</v>
      </c>
      <c r="J54" s="144">
        <v>1302660.5330000001</v>
      </c>
      <c r="K54" s="144">
        <v>73510.724000000002</v>
      </c>
      <c r="L54" s="144">
        <v>174483.33300000001</v>
      </c>
      <c r="M54" s="144">
        <v>247994.05700000003</v>
      </c>
      <c r="N54" s="145">
        <v>10244921.517000001</v>
      </c>
    </row>
    <row r="55" spans="2:14" ht="14.1" customHeight="1" x14ac:dyDescent="0.2">
      <c r="B55" s="63" t="s">
        <v>142</v>
      </c>
      <c r="C55" s="60">
        <v>419298.549</v>
      </c>
      <c r="D55" s="60">
        <v>736672.21200000006</v>
      </c>
      <c r="E55" s="60">
        <v>45197.788999999997</v>
      </c>
      <c r="F55" s="60">
        <v>590025.13100000005</v>
      </c>
      <c r="G55" s="60">
        <f>SUM(C55:F55)</f>
        <v>1791193.6810000001</v>
      </c>
      <c r="H55" s="60">
        <v>1485.8989999999999</v>
      </c>
      <c r="I55" s="60">
        <v>37098.006000000001</v>
      </c>
      <c r="J55" s="60">
        <f>SUM(H55:I55)</f>
        <v>38583.904999999999</v>
      </c>
      <c r="K55" s="60">
        <v>1598.039</v>
      </c>
      <c r="L55" s="60">
        <v>0</v>
      </c>
      <c r="M55" s="60">
        <f>SUM(K55:L55)</f>
        <v>1598.039</v>
      </c>
      <c r="N55" s="61">
        <f>+G55+J55+M55</f>
        <v>1831375.6250000002</v>
      </c>
    </row>
    <row r="56" spans="2:14" ht="14.1" customHeight="1" x14ac:dyDescent="0.2">
      <c r="B56" s="146" t="s">
        <v>143</v>
      </c>
      <c r="C56" s="60">
        <v>932665.65700000001</v>
      </c>
      <c r="D56" s="60">
        <v>1471833.6440000001</v>
      </c>
      <c r="E56" s="60">
        <v>102741.86</v>
      </c>
      <c r="F56" s="60">
        <v>1415967.2339999999</v>
      </c>
      <c r="G56" s="60">
        <v>3923208.3949999996</v>
      </c>
      <c r="H56" s="60">
        <v>130995.879</v>
      </c>
      <c r="I56" s="60">
        <v>133603.85800000001</v>
      </c>
      <c r="J56" s="60">
        <v>264599.73700000002</v>
      </c>
      <c r="K56" s="60">
        <v>30802.746999999999</v>
      </c>
      <c r="L56" s="60">
        <v>10000</v>
      </c>
      <c r="M56" s="60">
        <v>40802.747000000003</v>
      </c>
      <c r="N56" s="61">
        <v>4228610.8789999997</v>
      </c>
    </row>
    <row r="57" spans="2:14" ht="14.1" customHeight="1" x14ac:dyDescent="0.2">
      <c r="B57" s="146" t="s">
        <v>144</v>
      </c>
      <c r="C57" s="60">
        <v>1344499.3940000001</v>
      </c>
      <c r="D57" s="60">
        <v>2194154.1260000002</v>
      </c>
      <c r="E57" s="60">
        <v>142167.516</v>
      </c>
      <c r="F57" s="60">
        <v>2095829.439</v>
      </c>
      <c r="G57" s="60">
        <v>5776650.4750000006</v>
      </c>
      <c r="H57" s="60">
        <v>225403.41800000001</v>
      </c>
      <c r="I57" s="60">
        <v>196541.35800000001</v>
      </c>
      <c r="J57" s="60">
        <v>421944.77600000001</v>
      </c>
      <c r="K57" s="60">
        <v>33538.608999999997</v>
      </c>
      <c r="L57" s="60">
        <v>12500</v>
      </c>
      <c r="M57" s="60">
        <v>46038.608999999997</v>
      </c>
      <c r="N57" s="61">
        <v>6244633.8600000003</v>
      </c>
    </row>
    <row r="58" spans="2:14" ht="14.1" customHeight="1" x14ac:dyDescent="0.2">
      <c r="B58" s="143" t="s">
        <v>145</v>
      </c>
      <c r="C58" s="144">
        <v>1867851.85</v>
      </c>
      <c r="D58" s="144">
        <v>3201299.3110000002</v>
      </c>
      <c r="E58" s="144">
        <v>221983.58600000001</v>
      </c>
      <c r="F58" s="144">
        <v>3002978.8289999999</v>
      </c>
      <c r="G58" s="144">
        <v>8294113.5760000004</v>
      </c>
      <c r="H58" s="144">
        <v>452645.57199999999</v>
      </c>
      <c r="I58" s="144">
        <v>457689.78899999999</v>
      </c>
      <c r="J58" s="144">
        <v>910335.36100000003</v>
      </c>
      <c r="K58" s="144">
        <v>175087.361</v>
      </c>
      <c r="L58" s="144">
        <v>199928.33300000001</v>
      </c>
      <c r="M58" s="144">
        <v>375015.69400000002</v>
      </c>
      <c r="N58" s="145">
        <v>9579464.631000001</v>
      </c>
    </row>
    <row r="59" spans="2:14" ht="14.1" customHeight="1" x14ac:dyDescent="0.2">
      <c r="B59" s="146" t="s">
        <v>146</v>
      </c>
      <c r="C59" s="60">
        <v>421066.12400000001</v>
      </c>
      <c r="D59" s="60">
        <v>785726.39500000002</v>
      </c>
      <c r="E59" s="60">
        <v>56622.92</v>
      </c>
      <c r="F59" s="60">
        <v>695886.38699999999</v>
      </c>
      <c r="G59" s="60">
        <v>1959301.8259999999</v>
      </c>
      <c r="H59" s="60">
        <v>49736.887999999999</v>
      </c>
      <c r="I59" s="60">
        <v>93297.104000000007</v>
      </c>
      <c r="J59" s="60">
        <v>143033.992</v>
      </c>
      <c r="K59" s="60">
        <v>1529.578</v>
      </c>
      <c r="L59" s="60">
        <v>0</v>
      </c>
      <c r="M59" s="60">
        <v>1529.578</v>
      </c>
      <c r="N59" s="61">
        <v>2103865.3960000002</v>
      </c>
    </row>
    <row r="60" spans="2:14" ht="14.1" customHeight="1" x14ac:dyDescent="0.2">
      <c r="B60" s="146" t="s">
        <v>147</v>
      </c>
      <c r="C60" s="60">
        <v>941134.57900000003</v>
      </c>
      <c r="D60" s="60">
        <v>1517613.716</v>
      </c>
      <c r="E60" s="60">
        <v>130510.49</v>
      </c>
      <c r="F60" s="60">
        <v>1687568.395</v>
      </c>
      <c r="G60" s="60">
        <v>4276827.18</v>
      </c>
      <c r="H60" s="60">
        <v>117011.08900000001</v>
      </c>
      <c r="I60" s="60">
        <v>248321.40900000001</v>
      </c>
      <c r="J60" s="60">
        <v>365332.49800000002</v>
      </c>
      <c r="K60" s="60">
        <v>40869.618999999999</v>
      </c>
      <c r="L60" s="60">
        <v>16000</v>
      </c>
      <c r="M60" s="60">
        <v>56869.618999999999</v>
      </c>
      <c r="N60" s="61">
        <v>4699029.2969999993</v>
      </c>
    </row>
    <row r="61" spans="2:14" ht="14.1" customHeight="1" x14ac:dyDescent="0.2">
      <c r="B61" s="146" t="s">
        <v>148</v>
      </c>
      <c r="C61" s="60">
        <v>1365924</v>
      </c>
      <c r="D61" s="60">
        <v>2184981</v>
      </c>
      <c r="E61" s="60">
        <v>172986</v>
      </c>
      <c r="F61" s="60">
        <v>2236868</v>
      </c>
      <c r="G61" s="60">
        <v>5960759</v>
      </c>
      <c r="H61" s="60">
        <v>172878</v>
      </c>
      <c r="I61" s="60">
        <v>324906</v>
      </c>
      <c r="J61" s="60">
        <v>497784</v>
      </c>
      <c r="K61" s="60">
        <v>63499</v>
      </c>
      <c r="L61" s="60">
        <v>18500</v>
      </c>
      <c r="M61" s="60">
        <v>81999</v>
      </c>
      <c r="N61" s="61">
        <v>6540542</v>
      </c>
    </row>
    <row r="62" spans="2:14" ht="14.1" customHeight="1" x14ac:dyDescent="0.2">
      <c r="B62" s="143" t="s">
        <v>149</v>
      </c>
      <c r="C62" s="144">
        <v>1884605.1769999999</v>
      </c>
      <c r="D62" s="144">
        <v>3285697.9619999998</v>
      </c>
      <c r="E62" s="144">
        <v>251774.04399999999</v>
      </c>
      <c r="F62" s="144">
        <v>3133802.7659999998</v>
      </c>
      <c r="G62" s="144">
        <v>8555879.9489999991</v>
      </c>
      <c r="H62" s="144">
        <v>332039.98300000001</v>
      </c>
      <c r="I62" s="144">
        <v>600792.88899999997</v>
      </c>
      <c r="J62" s="144">
        <v>932832.87199999997</v>
      </c>
      <c r="K62" s="144">
        <v>85020.076000000001</v>
      </c>
      <c r="L62" s="144">
        <v>479804.79100000003</v>
      </c>
      <c r="M62" s="144">
        <v>564824.86700000009</v>
      </c>
      <c r="N62" s="145">
        <v>10053537.687999999</v>
      </c>
    </row>
    <row r="63" spans="2:14" ht="14.1" customHeight="1" x14ac:dyDescent="0.2">
      <c r="B63" s="63" t="s">
        <v>150</v>
      </c>
      <c r="C63" s="60">
        <v>426419.701</v>
      </c>
      <c r="D63" s="60">
        <v>742304.63</v>
      </c>
      <c r="E63" s="60">
        <v>58461.571000000004</v>
      </c>
      <c r="F63" s="60">
        <v>680704.21100000001</v>
      </c>
      <c r="G63" s="60">
        <v>1907890.1129999999</v>
      </c>
      <c r="H63" s="60">
        <v>19932.599999999999</v>
      </c>
      <c r="I63" s="60">
        <v>91160.676999999996</v>
      </c>
      <c r="J63" s="60">
        <v>111093.277</v>
      </c>
      <c r="K63" s="60">
        <v>2750.3180000000002</v>
      </c>
      <c r="L63" s="60">
        <v>11666.666999999999</v>
      </c>
      <c r="M63" s="60">
        <v>14416.985000000001</v>
      </c>
      <c r="N63" s="61">
        <v>2033400.375</v>
      </c>
    </row>
    <row r="64" spans="2:14" ht="14.1" customHeight="1" x14ac:dyDescent="0.2">
      <c r="B64" s="63" t="s">
        <v>151</v>
      </c>
      <c r="C64" s="60">
        <v>972307.16299999994</v>
      </c>
      <c r="D64" s="60">
        <v>1477118.865</v>
      </c>
      <c r="E64" s="60">
        <v>125218.954</v>
      </c>
      <c r="F64" s="60">
        <v>1743024.1669999999</v>
      </c>
      <c r="G64" s="60">
        <v>4317669.1490000002</v>
      </c>
      <c r="H64" s="60">
        <v>79737.797999999995</v>
      </c>
      <c r="I64" s="60">
        <v>170048.78899999999</v>
      </c>
      <c r="J64" s="60">
        <v>249786.587</v>
      </c>
      <c r="K64" s="60">
        <v>25481.83</v>
      </c>
      <c r="L64" s="60">
        <v>587666.66700000002</v>
      </c>
      <c r="M64" s="60">
        <v>613148.49699999997</v>
      </c>
      <c r="N64" s="61">
        <v>5180604.2330000009</v>
      </c>
    </row>
    <row r="65" spans="2:14" ht="14.1" customHeight="1" x14ac:dyDescent="0.2">
      <c r="B65" s="63" t="s">
        <v>152</v>
      </c>
      <c r="C65" s="60">
        <v>1401253.639</v>
      </c>
      <c r="D65" s="60">
        <v>2213354.338</v>
      </c>
      <c r="E65" s="60">
        <v>169276.05900000001</v>
      </c>
      <c r="F65" s="60">
        <v>2378935.665</v>
      </c>
      <c r="G65" s="60">
        <v>6162819.7009999994</v>
      </c>
      <c r="H65" s="60">
        <v>125964.3</v>
      </c>
      <c r="I65" s="60">
        <v>298254.212</v>
      </c>
      <c r="J65" s="60">
        <v>424218.51199999999</v>
      </c>
      <c r="K65" s="60">
        <v>58305.775999999998</v>
      </c>
      <c r="L65" s="60">
        <v>590166.66700000002</v>
      </c>
      <c r="M65" s="60">
        <v>648472.44299999997</v>
      </c>
      <c r="N65" s="61">
        <v>7235510.6559999995</v>
      </c>
    </row>
    <row r="66" spans="2:14" ht="14.1" customHeight="1" x14ac:dyDescent="0.2">
      <c r="B66" s="143" t="s">
        <v>153</v>
      </c>
      <c r="C66" s="144">
        <v>1929534.4790000001</v>
      </c>
      <c r="D66" s="144">
        <v>3308818.9049999998</v>
      </c>
      <c r="E66" s="144">
        <v>231054.58799999999</v>
      </c>
      <c r="F66" s="144">
        <v>3183751.6710000001</v>
      </c>
      <c r="G66" s="144">
        <v>8653159.6429999992</v>
      </c>
      <c r="H66" s="144">
        <v>206942.022</v>
      </c>
      <c r="I66" s="144">
        <v>542081.41799999995</v>
      </c>
      <c r="J66" s="144">
        <v>749023.44</v>
      </c>
      <c r="K66" s="144">
        <v>72965.297999999995</v>
      </c>
      <c r="L66" s="144">
        <v>686326.00300000003</v>
      </c>
      <c r="M66" s="144">
        <v>759291.30099999998</v>
      </c>
      <c r="N66" s="145">
        <v>10161474.384</v>
      </c>
    </row>
    <row r="67" spans="2:14" ht="14.1" customHeight="1" x14ac:dyDescent="0.2">
      <c r="B67" s="63" t="s">
        <v>154</v>
      </c>
      <c r="C67" s="60">
        <v>437675.06800000003</v>
      </c>
      <c r="D67" s="60">
        <v>690499.723</v>
      </c>
      <c r="E67" s="60">
        <v>57880.366999999998</v>
      </c>
      <c r="F67" s="60">
        <v>891568.11399999994</v>
      </c>
      <c r="G67" s="60">
        <v>2077623.2719999999</v>
      </c>
      <c r="H67" s="60">
        <v>18453.846000000001</v>
      </c>
      <c r="I67" s="60">
        <v>68532.563999999998</v>
      </c>
      <c r="J67" s="60">
        <v>86986.41</v>
      </c>
      <c r="K67" s="60">
        <v>2807.62</v>
      </c>
      <c r="L67" s="60">
        <v>420166.66700000002</v>
      </c>
      <c r="M67" s="60">
        <v>422974.28700000001</v>
      </c>
      <c r="N67" s="61">
        <v>2587583.969</v>
      </c>
    </row>
    <row r="68" spans="2:14" ht="14.1" customHeight="1" x14ac:dyDescent="0.2">
      <c r="B68" s="63" t="s">
        <v>155</v>
      </c>
      <c r="C68" s="60">
        <v>995697.35699999996</v>
      </c>
      <c r="D68" s="60">
        <v>1562611.4779999999</v>
      </c>
      <c r="E68" s="60">
        <v>114196.91</v>
      </c>
      <c r="F68" s="60">
        <v>1787130.8870000001</v>
      </c>
      <c r="G68" s="60">
        <v>4459636.6320000002</v>
      </c>
      <c r="H68" s="60">
        <v>95049.755999999994</v>
      </c>
      <c r="I68" s="60">
        <v>174055.59099999999</v>
      </c>
      <c r="J68" s="60">
        <v>269105.34699999995</v>
      </c>
      <c r="K68" s="60">
        <v>51573.254999999997</v>
      </c>
      <c r="L68" s="60">
        <v>436166.66700000002</v>
      </c>
      <c r="M68" s="60">
        <v>487739.92200000002</v>
      </c>
      <c r="N68" s="61">
        <v>5216481.9010000005</v>
      </c>
    </row>
    <row r="69" spans="2:14" ht="14.1" customHeight="1" x14ac:dyDescent="0.2">
      <c r="B69" s="146" t="s">
        <v>156</v>
      </c>
      <c r="C69" s="60">
        <v>1440303.8259999999</v>
      </c>
      <c r="D69" s="60">
        <v>2352936.1860000002</v>
      </c>
      <c r="E69" s="60">
        <v>149723.87299999999</v>
      </c>
      <c r="F69" s="60">
        <v>2403738.0410000002</v>
      </c>
      <c r="G69" s="60">
        <f t="shared" ref="G69:G72" si="0">SUM(C69:F69)</f>
        <v>6346701.9260000009</v>
      </c>
      <c r="H69" s="60">
        <v>131943.08600000001</v>
      </c>
      <c r="I69" s="60">
        <v>280252.55699999997</v>
      </c>
      <c r="J69" s="60">
        <f t="shared" ref="J69:J72" si="1">SUM(H69:I69)</f>
        <v>412195.64299999998</v>
      </c>
      <c r="K69" s="60">
        <v>55588.548999999999</v>
      </c>
      <c r="L69" s="60">
        <v>438666.66700000002</v>
      </c>
      <c r="M69" s="60">
        <f t="shared" ref="M69:M72" si="2">SUM(K69:L69)</f>
        <v>494255.21600000001</v>
      </c>
      <c r="N69" s="61">
        <f t="shared" ref="N69:N72" si="3">+G69+J69+M69</f>
        <v>7253152.7850000011</v>
      </c>
    </row>
    <row r="70" spans="2:14" ht="14.1" customHeight="1" x14ac:dyDescent="0.2">
      <c r="B70" s="143" t="s">
        <v>157</v>
      </c>
      <c r="C70" s="144">
        <v>1972076.16</v>
      </c>
      <c r="D70" s="144">
        <v>3388325.13</v>
      </c>
      <c r="E70" s="144">
        <v>201624.44200000001</v>
      </c>
      <c r="F70" s="144">
        <v>3308510.96</v>
      </c>
      <c r="G70" s="144">
        <f t="shared" si="0"/>
        <v>8870536.6919999998</v>
      </c>
      <c r="H70" s="144">
        <v>228923.68599999999</v>
      </c>
      <c r="I70" s="144">
        <v>581564.61600000004</v>
      </c>
      <c r="J70" s="144">
        <f t="shared" si="1"/>
        <v>810488.30200000003</v>
      </c>
      <c r="K70" s="144">
        <v>111283.289</v>
      </c>
      <c r="L70" s="144">
        <v>572330.61499999999</v>
      </c>
      <c r="M70" s="144">
        <f t="shared" si="2"/>
        <v>683613.90399999998</v>
      </c>
      <c r="N70" s="145">
        <f t="shared" si="3"/>
        <v>10364638.897999998</v>
      </c>
    </row>
    <row r="71" spans="2:14" ht="14.1" customHeight="1" x14ac:dyDescent="0.2">
      <c r="B71" s="146" t="s">
        <v>158</v>
      </c>
      <c r="C71" s="60">
        <v>442410.07900000003</v>
      </c>
      <c r="D71" s="60">
        <v>847208.94799999997</v>
      </c>
      <c r="E71" s="60">
        <v>34757.279999999999</v>
      </c>
      <c r="F71" s="60">
        <v>658428.85199999996</v>
      </c>
      <c r="G71" s="60">
        <f t="shared" ref="G71" si="4">SUM(C71:F71)</f>
        <v>1982805.159</v>
      </c>
      <c r="H71" s="60">
        <v>28024.012999999999</v>
      </c>
      <c r="I71" s="60">
        <v>80143.743000000002</v>
      </c>
      <c r="J71" s="60">
        <f t="shared" si="1"/>
        <v>108167.75599999999</v>
      </c>
      <c r="K71" s="60">
        <v>1104.9290000000001</v>
      </c>
      <c r="L71" s="60">
        <v>24166.667000000001</v>
      </c>
      <c r="M71" s="60">
        <f t="shared" si="2"/>
        <v>25271.596000000001</v>
      </c>
      <c r="N71" s="61">
        <f t="shared" si="3"/>
        <v>2116244.5109999999</v>
      </c>
    </row>
    <row r="72" spans="2:14" ht="14.1" customHeight="1" x14ac:dyDescent="0.2">
      <c r="B72" s="146" t="s">
        <v>159</v>
      </c>
      <c r="C72" s="60">
        <v>1004974.295</v>
      </c>
      <c r="D72" s="60">
        <v>1639964.449</v>
      </c>
      <c r="E72" s="60">
        <v>96790.376999999993</v>
      </c>
      <c r="F72" s="60">
        <v>1805431.5989999999</v>
      </c>
      <c r="G72" s="60">
        <f t="shared" si="0"/>
        <v>4547160.72</v>
      </c>
      <c r="H72" s="60">
        <v>58799.752</v>
      </c>
      <c r="I72" s="60">
        <v>169601.14499999999</v>
      </c>
      <c r="J72" s="60">
        <f t="shared" si="1"/>
        <v>228400.897</v>
      </c>
      <c r="K72" s="60">
        <v>46620.061999999998</v>
      </c>
      <c r="L72" s="60">
        <v>95166.667000000001</v>
      </c>
      <c r="M72" s="60">
        <f t="shared" si="2"/>
        <v>141786.72899999999</v>
      </c>
      <c r="N72" s="61">
        <f t="shared" si="3"/>
        <v>4917348.3459999999</v>
      </c>
    </row>
    <row r="73" spans="2:14" ht="14.1" customHeight="1" x14ac:dyDescent="0.2">
      <c r="B73" s="146" t="s">
        <v>160</v>
      </c>
      <c r="C73" s="60">
        <v>1467734.865</v>
      </c>
      <c r="D73" s="60">
        <v>2389293.2999999998</v>
      </c>
      <c r="E73" s="60">
        <v>130074.53</v>
      </c>
      <c r="F73" s="60">
        <v>2456362.7170000002</v>
      </c>
      <c r="G73" s="60">
        <v>6443465.4120000005</v>
      </c>
      <c r="H73" s="60">
        <v>82056.745999999999</v>
      </c>
      <c r="I73" s="60">
        <v>282429.05300000001</v>
      </c>
      <c r="J73" s="60">
        <v>364485.799</v>
      </c>
      <c r="K73" s="60">
        <v>48981.855000000003</v>
      </c>
      <c r="L73" s="60">
        <v>394666.66700000002</v>
      </c>
      <c r="M73" s="60">
        <v>443648.522</v>
      </c>
      <c r="N73" s="61">
        <v>7251599.733</v>
      </c>
    </row>
    <row r="74" spans="2:14" ht="14.1" customHeight="1" x14ac:dyDescent="0.2">
      <c r="B74" s="143" t="s">
        <v>161</v>
      </c>
      <c r="C74" s="144">
        <v>2020970.7442599998</v>
      </c>
      <c r="D74" s="144">
        <v>3448880.7535499996</v>
      </c>
      <c r="E74" s="144">
        <v>185398.24828</v>
      </c>
      <c r="F74" s="144">
        <v>3509834.6214099997</v>
      </c>
      <c r="G74" s="144">
        <f t="shared" ref="G74" si="5">SUM(C74:F74)</f>
        <v>9165084.3674999997</v>
      </c>
      <c r="H74" s="144">
        <v>202005.91898999998</v>
      </c>
      <c r="I74" s="144">
        <v>697675.08358999994</v>
      </c>
      <c r="J74" s="144">
        <f t="shared" ref="J74:J76" si="6">SUM(H74:I74)</f>
        <v>899681.00257999985</v>
      </c>
      <c r="K74" s="144">
        <v>104945.44999000001</v>
      </c>
      <c r="L74" s="144">
        <v>654023.30734000006</v>
      </c>
      <c r="M74" s="144">
        <f t="shared" ref="M74" si="7">SUM(K74:L74)</f>
        <v>758968.75733000005</v>
      </c>
      <c r="N74" s="145">
        <f t="shared" ref="N74:N76" si="8">+G74+J74+M74</f>
        <v>10823734.12741</v>
      </c>
    </row>
    <row r="75" spans="2:14" ht="14.1" customHeight="1" x14ac:dyDescent="0.2">
      <c r="B75" s="146" t="s">
        <v>162</v>
      </c>
      <c r="C75" s="60">
        <v>448576.27399999998</v>
      </c>
      <c r="D75" s="60">
        <v>867116.77500000002</v>
      </c>
      <c r="E75" s="60">
        <v>36675.016000000003</v>
      </c>
      <c r="F75" s="60">
        <v>898840.53399999999</v>
      </c>
      <c r="G75" s="60">
        <f t="shared" ref="G75" si="9">SUM(C75:F75)</f>
        <v>2251208.5990000004</v>
      </c>
      <c r="H75" s="60">
        <v>8301.8819999999996</v>
      </c>
      <c r="I75" s="60">
        <v>47767.08</v>
      </c>
      <c r="J75" s="60">
        <f t="shared" si="6"/>
        <v>56068.962</v>
      </c>
      <c r="K75" s="60">
        <v>1234.883</v>
      </c>
      <c r="L75" s="60">
        <v>124166.667</v>
      </c>
      <c r="M75" s="60">
        <f t="shared" ref="M75" si="10">SUM(K75:L75)</f>
        <v>125401.55</v>
      </c>
      <c r="N75" s="61">
        <f t="shared" si="8"/>
        <v>2432679.111</v>
      </c>
    </row>
    <row r="76" spans="2:14" ht="14.1" customHeight="1" x14ac:dyDescent="0.2">
      <c r="B76" s="146" t="s">
        <v>163</v>
      </c>
      <c r="C76" s="60">
        <v>998584.11712000007</v>
      </c>
      <c r="D76" s="60">
        <v>1689311.5048999998</v>
      </c>
      <c r="E76" s="60">
        <v>102892.93985000001</v>
      </c>
      <c r="F76" s="60">
        <v>1670261.27954</v>
      </c>
      <c r="G76" s="60">
        <f t="shared" ref="G76" si="11">SUM(C76:F76)</f>
        <v>4461049.8414099999</v>
      </c>
      <c r="H76" s="60">
        <v>48501.056570000001</v>
      </c>
      <c r="I76" s="60">
        <v>151701.72732999999</v>
      </c>
      <c r="J76" s="60">
        <f t="shared" si="6"/>
        <v>200202.78389999998</v>
      </c>
      <c r="K76" s="60">
        <v>24214.325570000001</v>
      </c>
      <c r="L76" s="60">
        <v>540166.66666999995</v>
      </c>
      <c r="M76" s="60">
        <f t="shared" ref="M76" si="12">SUM(K76:L76)</f>
        <v>564380.99223999993</v>
      </c>
      <c r="N76" s="61">
        <f t="shared" si="8"/>
        <v>5225633.6175499996</v>
      </c>
    </row>
    <row r="77" spans="2:14" ht="14.1" customHeight="1" x14ac:dyDescent="0.2">
      <c r="B77" s="146" t="s">
        <v>164</v>
      </c>
      <c r="C77" s="60">
        <v>1454177.7551200001</v>
      </c>
      <c r="D77" s="60">
        <v>2459464.9612199999</v>
      </c>
      <c r="E77" s="60">
        <v>119225.62002000002</v>
      </c>
      <c r="F77" s="60">
        <v>2425467.49144</v>
      </c>
      <c r="G77" s="60">
        <v>6458335.8278000001</v>
      </c>
      <c r="H77" s="60">
        <v>87267.729339999991</v>
      </c>
      <c r="I77" s="60">
        <v>287376.39176999999</v>
      </c>
      <c r="J77" s="60">
        <v>374644.12110999995</v>
      </c>
      <c r="K77" s="60">
        <v>35656.426660000005</v>
      </c>
      <c r="L77" s="60">
        <v>784527.66667000006</v>
      </c>
      <c r="M77" s="60">
        <v>820184.09333000006</v>
      </c>
      <c r="N77" s="61">
        <v>7653164.0422399994</v>
      </c>
    </row>
    <row r="78" spans="2:14" ht="14.1" customHeight="1" x14ac:dyDescent="0.2">
      <c r="B78" s="143" t="s">
        <v>165</v>
      </c>
      <c r="C78" s="144">
        <v>2043783.91</v>
      </c>
      <c r="D78" s="144">
        <v>3524471.1359999999</v>
      </c>
      <c r="E78" s="144">
        <v>180110.524</v>
      </c>
      <c r="F78" s="144">
        <v>3383589.102</v>
      </c>
      <c r="G78" s="144">
        <v>9131954.6720000003</v>
      </c>
      <c r="H78" s="144">
        <v>178621.628</v>
      </c>
      <c r="I78" s="144">
        <v>694347.19799999997</v>
      </c>
      <c r="J78" s="144">
        <v>872968.826</v>
      </c>
      <c r="K78" s="144">
        <v>97619.278000000006</v>
      </c>
      <c r="L78" s="144">
        <v>1215003.048</v>
      </c>
      <c r="M78" s="144">
        <v>1312622.3259999999</v>
      </c>
      <c r="N78" s="145">
        <v>11317545.823999999</v>
      </c>
    </row>
    <row r="79" spans="2:14" ht="14.1" customHeight="1" x14ac:dyDescent="0.2">
      <c r="B79" s="146" t="s">
        <v>166</v>
      </c>
      <c r="C79" s="60">
        <v>484442.02100000001</v>
      </c>
      <c r="D79" s="60">
        <v>860184.05299999996</v>
      </c>
      <c r="E79" s="60">
        <v>44812.92</v>
      </c>
      <c r="F79" s="60">
        <v>881960.67299999995</v>
      </c>
      <c r="G79" s="60">
        <v>2271399.6669999999</v>
      </c>
      <c r="H79" s="60">
        <v>4636.2569999999996</v>
      </c>
      <c r="I79" s="60">
        <v>42799.809000000001</v>
      </c>
      <c r="J79" s="60">
        <v>47436.065999999999</v>
      </c>
      <c r="K79" s="60">
        <v>1165.722</v>
      </c>
      <c r="L79" s="60">
        <v>24166.667000000001</v>
      </c>
      <c r="M79" s="60">
        <v>25332.389000000003</v>
      </c>
      <c r="N79" s="61">
        <v>2344168.122</v>
      </c>
    </row>
    <row r="80" spans="2:14" ht="14.1" customHeight="1" x14ac:dyDescent="0.2">
      <c r="B80" s="146" t="s">
        <v>167</v>
      </c>
      <c r="C80" s="60">
        <v>1074313.6068599999</v>
      </c>
      <c r="D80" s="60">
        <v>1671041.1373999997</v>
      </c>
      <c r="E80" s="60">
        <v>117492.03100999999</v>
      </c>
      <c r="F80" s="60">
        <v>1777029.5545099999</v>
      </c>
      <c r="G80" s="60">
        <v>4639876.3297799993</v>
      </c>
      <c r="H80" s="60">
        <v>22924.238299999997</v>
      </c>
      <c r="I80" s="60">
        <v>155424.80941999998</v>
      </c>
      <c r="J80" s="60">
        <v>178349.04771999997</v>
      </c>
      <c r="K80" s="60">
        <v>167277.09332000001</v>
      </c>
      <c r="L80" s="60">
        <v>34166.666669999999</v>
      </c>
      <c r="M80" s="60">
        <v>201443.75999000002</v>
      </c>
      <c r="N80" s="61">
        <v>5019669.1374899996</v>
      </c>
    </row>
    <row r="81" spans="2:14" ht="14.1" customHeight="1" x14ac:dyDescent="0.2">
      <c r="B81" s="146" t="s">
        <v>168</v>
      </c>
      <c r="C81" s="60">
        <v>1566846.1163100004</v>
      </c>
      <c r="D81" s="60">
        <v>2561865.9041799996</v>
      </c>
      <c r="E81" s="60">
        <v>126464.84087</v>
      </c>
      <c r="F81" s="60">
        <v>2425897.3574600001</v>
      </c>
      <c r="G81" s="60">
        <v>6681074.2188200001</v>
      </c>
      <c r="H81" s="60">
        <v>46726.682090000002</v>
      </c>
      <c r="I81" s="60">
        <v>339312.46980000002</v>
      </c>
      <c r="J81" s="60">
        <v>386039.15189000004</v>
      </c>
      <c r="K81" s="60">
        <v>195987.83299000005</v>
      </c>
      <c r="L81" s="60">
        <v>94166.666670000006</v>
      </c>
      <c r="M81" s="60">
        <v>290154.49966000009</v>
      </c>
      <c r="N81" s="61">
        <v>7357267.8703700006</v>
      </c>
    </row>
    <row r="82" spans="2:14" ht="14.1" customHeight="1" x14ac:dyDescent="0.2">
      <c r="B82" s="143" t="s">
        <v>169</v>
      </c>
      <c r="C82" s="144">
        <v>2161268</v>
      </c>
      <c r="D82" s="144">
        <v>3702055</v>
      </c>
      <c r="E82" s="144">
        <v>178698</v>
      </c>
      <c r="F82" s="144">
        <v>3486252</v>
      </c>
      <c r="G82" s="144">
        <v>9528273</v>
      </c>
      <c r="H82" s="144">
        <v>135067</v>
      </c>
      <c r="I82" s="144">
        <v>701507</v>
      </c>
      <c r="J82" s="144">
        <v>836575</v>
      </c>
      <c r="K82" s="144">
        <v>314033</v>
      </c>
      <c r="L82" s="144">
        <v>1359776</v>
      </c>
      <c r="M82" s="144">
        <v>1673809</v>
      </c>
      <c r="N82" s="145">
        <v>12038657</v>
      </c>
    </row>
    <row r="83" spans="2:14" ht="14.1" customHeight="1" x14ac:dyDescent="0.2">
      <c r="B83" s="146" t="s">
        <v>170</v>
      </c>
      <c r="C83" s="60">
        <v>505018.85009000002</v>
      </c>
      <c r="D83" s="60">
        <v>913663.97620999999</v>
      </c>
      <c r="E83" s="60">
        <v>44065.794780000004</v>
      </c>
      <c r="F83" s="60">
        <v>1018186.1776999999</v>
      </c>
      <c r="G83" s="60">
        <v>2480934.7987799998</v>
      </c>
      <c r="H83" s="60">
        <v>5092.4111800000001</v>
      </c>
      <c r="I83" s="60">
        <v>72882.672409999999</v>
      </c>
      <c r="J83" s="60">
        <v>77975.083589999995</v>
      </c>
      <c r="K83" s="60">
        <v>1491.49928</v>
      </c>
      <c r="L83" s="60">
        <v>436771.66667000001</v>
      </c>
      <c r="M83" s="60">
        <v>438263.16595</v>
      </c>
      <c r="N83" s="61">
        <v>2997173.0483199996</v>
      </c>
    </row>
    <row r="84" spans="2:14" ht="14.1" customHeight="1" x14ac:dyDescent="0.2">
      <c r="B84" s="146" t="s">
        <v>171</v>
      </c>
      <c r="C84" s="60">
        <v>1116627.4796</v>
      </c>
      <c r="D84" s="60">
        <v>1821640.9448200001</v>
      </c>
      <c r="E84" s="60">
        <v>118289.19974000001</v>
      </c>
      <c r="F84" s="60">
        <v>1971604.3398999998</v>
      </c>
      <c r="G84" s="60">
        <v>5028161.9640600001</v>
      </c>
      <c r="H84" s="60">
        <v>42464.914739999993</v>
      </c>
      <c r="I84" s="60">
        <v>142697.75954</v>
      </c>
      <c r="J84" s="60">
        <v>185162.67427999998</v>
      </c>
      <c r="K84" s="60">
        <v>40399.342210000003</v>
      </c>
      <c r="L84" s="60">
        <v>556771.66667000006</v>
      </c>
      <c r="M84" s="60">
        <v>597171.0088800001</v>
      </c>
      <c r="N84" s="61">
        <v>5810495.6472200006</v>
      </c>
    </row>
    <row r="85" spans="2:14" ht="14.1" customHeight="1" x14ac:dyDescent="0.2">
      <c r="B85" s="146" t="s">
        <v>172</v>
      </c>
      <c r="C85" s="60">
        <v>1626885.7080899996</v>
      </c>
      <c r="D85" s="60">
        <v>2649478.7037900006</v>
      </c>
      <c r="E85" s="60">
        <v>125647.66137</v>
      </c>
      <c r="F85" s="60">
        <v>2696954.1903199996</v>
      </c>
      <c r="G85" s="60">
        <v>7098966.2635699995</v>
      </c>
      <c r="H85" s="60">
        <v>62756.862659999999</v>
      </c>
      <c r="I85" s="60">
        <v>259995.10345999998</v>
      </c>
      <c r="J85" s="60">
        <v>322751.96612</v>
      </c>
      <c r="K85" s="60">
        <v>47357.162819999998</v>
      </c>
      <c r="L85" s="60">
        <v>616771.66667000006</v>
      </c>
      <c r="M85" s="60">
        <v>664128.82949000003</v>
      </c>
      <c r="N85" s="61">
        <v>8085847.0591799999</v>
      </c>
    </row>
    <row r="86" spans="2:14" ht="14.1" customHeight="1" x14ac:dyDescent="0.2">
      <c r="B86" s="143" t="s">
        <v>173</v>
      </c>
      <c r="C86" s="144">
        <v>2242129.3060300001</v>
      </c>
      <c r="D86" s="144">
        <v>3958281.6309400001</v>
      </c>
      <c r="E86" s="144">
        <v>146018.18855000002</v>
      </c>
      <c r="F86" s="144">
        <v>3685859.9673200003</v>
      </c>
      <c r="G86" s="144">
        <v>10032289.092840001</v>
      </c>
      <c r="H86" s="144">
        <v>155054.18067000003</v>
      </c>
      <c r="I86" s="144">
        <v>685016.94186000002</v>
      </c>
      <c r="J86" s="144">
        <v>840071.12253000005</v>
      </c>
      <c r="K86" s="144">
        <v>220674.88099999999</v>
      </c>
      <c r="L86" s="144">
        <v>686639.30920000002</v>
      </c>
      <c r="M86" s="144">
        <v>907314.19020000007</v>
      </c>
      <c r="N86" s="145">
        <v>11779674.40557</v>
      </c>
    </row>
    <row r="87" spans="2:14" ht="14.1" customHeight="1" x14ac:dyDescent="0.2">
      <c r="B87" s="146" t="s">
        <v>174</v>
      </c>
      <c r="C87" s="60">
        <v>524511.18350000004</v>
      </c>
      <c r="D87" s="60">
        <v>968625.09802999999</v>
      </c>
      <c r="E87" s="60">
        <v>32105.833340000005</v>
      </c>
      <c r="F87" s="60">
        <v>1020817.59846</v>
      </c>
      <c r="G87" s="60">
        <v>2546059.7133299997</v>
      </c>
      <c r="H87" s="60">
        <v>7644.6937300000009</v>
      </c>
      <c r="I87" s="60">
        <v>56767.808349999992</v>
      </c>
      <c r="J87" s="60">
        <v>64412.502079999991</v>
      </c>
      <c r="K87" s="60">
        <v>15873.37493</v>
      </c>
      <c r="L87" s="60">
        <v>36666.666669999999</v>
      </c>
      <c r="M87" s="60">
        <v>52540.041599999997</v>
      </c>
      <c r="N87" s="61">
        <v>2663012.2570099998</v>
      </c>
    </row>
    <row r="88" spans="2:14" ht="14.1" customHeight="1" x14ac:dyDescent="0.2">
      <c r="B88" s="146" t="s">
        <v>175</v>
      </c>
      <c r="C88" s="60">
        <v>1166907.5909</v>
      </c>
      <c r="D88" s="60">
        <v>1973013.9485599999</v>
      </c>
      <c r="E88" s="60">
        <v>117126.91650000002</v>
      </c>
      <c r="F88" s="60">
        <v>2050922.6325200002</v>
      </c>
      <c r="G88" s="60">
        <v>5307971.0884799995</v>
      </c>
      <c r="H88" s="60">
        <v>52434.209470000002</v>
      </c>
      <c r="I88" s="60">
        <v>161184.17919999998</v>
      </c>
      <c r="J88" s="60">
        <v>213618.38866999999</v>
      </c>
      <c r="K88" s="60">
        <v>17333.046109999999</v>
      </c>
      <c r="L88" s="60">
        <v>410166.66667000001</v>
      </c>
      <c r="M88" s="60">
        <v>427499.71278</v>
      </c>
      <c r="N88" s="61">
        <v>5949089.1899299994</v>
      </c>
    </row>
    <row r="89" spans="2:14" ht="14.1" customHeight="1" x14ac:dyDescent="0.2">
      <c r="B89" s="146" t="s">
        <v>176</v>
      </c>
      <c r="C89" s="60">
        <v>1695300.2278799999</v>
      </c>
      <c r="D89" s="60">
        <v>2846588.0461300001</v>
      </c>
      <c r="E89" s="60">
        <v>125391.04131000002</v>
      </c>
      <c r="F89" s="60">
        <v>2741293.4049800001</v>
      </c>
      <c r="G89" s="60">
        <v>7408572.7203000002</v>
      </c>
      <c r="H89" s="60">
        <v>78678.779779999997</v>
      </c>
      <c r="I89" s="60">
        <v>278821.84329999995</v>
      </c>
      <c r="J89" s="60">
        <v>357500.62307999993</v>
      </c>
      <c r="K89" s="60">
        <v>42134.015909999995</v>
      </c>
      <c r="L89" s="60">
        <v>470166.66667000001</v>
      </c>
      <c r="M89" s="60">
        <v>512300.68258000002</v>
      </c>
      <c r="N89" s="61">
        <v>8278374.0259600002</v>
      </c>
    </row>
    <row r="90" spans="2:14" ht="14.1" customHeight="1" x14ac:dyDescent="0.2">
      <c r="B90" s="143" t="s">
        <v>177</v>
      </c>
      <c r="C90" s="144">
        <v>2359681.1541499998</v>
      </c>
      <c r="D90" s="144">
        <v>4226198.0228599999</v>
      </c>
      <c r="E90" s="144">
        <v>147559.36369999999</v>
      </c>
      <c r="F90" s="144">
        <v>4178518.2165100002</v>
      </c>
      <c r="G90" s="144">
        <v>10911956.75722</v>
      </c>
      <c r="H90" s="144">
        <v>196295.58037000001</v>
      </c>
      <c r="I90" s="144">
        <v>751650.11450000003</v>
      </c>
      <c r="J90" s="144">
        <v>947945.69487000001</v>
      </c>
      <c r="K90" s="144">
        <v>190013.59745999999</v>
      </c>
      <c r="L90" s="144">
        <v>668065.53078999999</v>
      </c>
      <c r="M90" s="144">
        <v>858079.12824999995</v>
      </c>
      <c r="N90" s="145">
        <v>12717981.58034</v>
      </c>
    </row>
    <row r="91" spans="2:14" ht="14.1" customHeight="1" x14ac:dyDescent="0.2">
      <c r="B91" s="146" t="s">
        <v>178</v>
      </c>
      <c r="C91" s="60">
        <v>544726.21016000002</v>
      </c>
      <c r="D91" s="60">
        <v>950395.38859000104</v>
      </c>
      <c r="E91" s="60">
        <v>41428.080549999999</v>
      </c>
      <c r="F91" s="60">
        <v>814989.59436999995</v>
      </c>
      <c r="G91" s="60">
        <v>2351539.273670001</v>
      </c>
      <c r="H91" s="60">
        <v>5437.9311500000003</v>
      </c>
      <c r="I91" s="60">
        <v>60449.581479999993</v>
      </c>
      <c r="J91" s="60">
        <v>65887.512629999997</v>
      </c>
      <c r="K91" s="60">
        <v>11388.75122</v>
      </c>
      <c r="L91" s="60">
        <v>36666.666669999999</v>
      </c>
      <c r="M91" s="60">
        <v>48055.417889999997</v>
      </c>
      <c r="N91" s="61">
        <v>2465482.2041900009</v>
      </c>
    </row>
    <row r="92" spans="2:14" ht="14.1" customHeight="1" x14ac:dyDescent="0.2">
      <c r="B92" s="146" t="s">
        <v>179</v>
      </c>
      <c r="C92" s="60">
        <v>1228399.15399</v>
      </c>
      <c r="D92" s="60">
        <v>1902385.29461</v>
      </c>
      <c r="E92" s="60">
        <v>97677.110659999991</v>
      </c>
      <c r="F92" s="60">
        <v>2017049.8753199999</v>
      </c>
      <c r="G92" s="60">
        <v>5245511.4345799992</v>
      </c>
      <c r="H92" s="60">
        <v>46923.337340000005</v>
      </c>
      <c r="I92" s="60">
        <v>280191.49608999997</v>
      </c>
      <c r="J92" s="60">
        <v>327114.83343</v>
      </c>
      <c r="K92" s="60">
        <v>28297.056379999998</v>
      </c>
      <c r="L92" s="60">
        <v>263329.66667000001</v>
      </c>
      <c r="M92" s="60">
        <v>291626.72305000003</v>
      </c>
      <c r="N92" s="61">
        <v>5864252.991059999</v>
      </c>
    </row>
    <row r="93" spans="2:14" ht="14.1" customHeight="1" x14ac:dyDescent="0.2">
      <c r="B93" s="146" t="s">
        <v>180</v>
      </c>
      <c r="C93" s="60">
        <v>1793309.0581700001</v>
      </c>
      <c r="D93" s="60">
        <v>2935742.3953</v>
      </c>
      <c r="E93" s="60">
        <v>102191.75584</v>
      </c>
      <c r="F93" s="60">
        <v>2944763.35751</v>
      </c>
      <c r="G93" s="60">
        <f t="shared" ref="G93" si="13">SUM(C93:F93)</f>
        <v>7776006.5668199994</v>
      </c>
      <c r="H93" s="60">
        <v>67583.907390000008</v>
      </c>
      <c r="I93" s="60">
        <v>496204.80033</v>
      </c>
      <c r="J93" s="60">
        <f t="shared" ref="J93" si="14">SUM(H93:I93)</f>
        <v>563788.70772000006</v>
      </c>
      <c r="K93" s="60">
        <v>56399.58238</v>
      </c>
      <c r="L93" s="60">
        <v>368329.66667000001</v>
      </c>
      <c r="M93" s="60">
        <f t="shared" ref="M93" si="15">SUM(K93:L93)</f>
        <v>424729.24904999998</v>
      </c>
      <c r="N93" s="61">
        <f>+G93+J93+M93</f>
        <v>8764524.5235900003</v>
      </c>
    </row>
    <row r="94" spans="2:14" ht="14.1" customHeight="1" x14ac:dyDescent="0.2">
      <c r="B94" s="143" t="s">
        <v>181</v>
      </c>
      <c r="C94" s="144">
        <v>2500246.7552300002</v>
      </c>
      <c r="D94" s="144">
        <v>4373027.3658199999</v>
      </c>
      <c r="E94" s="144">
        <v>141459.07749</v>
      </c>
      <c r="F94" s="144">
        <v>4239097.7264200002</v>
      </c>
      <c r="G94" s="144">
        <v>11253830.92496</v>
      </c>
      <c r="H94" s="144">
        <v>185122.36266999997</v>
      </c>
      <c r="I94" s="144">
        <v>1156680.5640799999</v>
      </c>
      <c r="J94" s="144">
        <v>1341802.9267499999</v>
      </c>
      <c r="K94" s="144">
        <v>380022.53066000005</v>
      </c>
      <c r="L94" s="144">
        <v>746217.94607000006</v>
      </c>
      <c r="M94" s="144">
        <v>1126240.4767300002</v>
      </c>
      <c r="N94" s="145">
        <v>13721874.328440001</v>
      </c>
    </row>
    <row r="95" spans="2:14" ht="14.1" customHeight="1" x14ac:dyDescent="0.2">
      <c r="B95" s="146" t="s">
        <v>182</v>
      </c>
      <c r="C95" s="60">
        <v>599334.74906999897</v>
      </c>
      <c r="D95" s="60">
        <v>1111391.29375</v>
      </c>
      <c r="E95" s="60">
        <v>47174.018080000002</v>
      </c>
      <c r="F95" s="60">
        <v>923086.06592999992</v>
      </c>
      <c r="G95" s="60">
        <v>2680986.126829999</v>
      </c>
      <c r="H95" s="60">
        <v>10428.88341</v>
      </c>
      <c r="I95" s="60">
        <v>88035.496480000002</v>
      </c>
      <c r="J95" s="60">
        <v>98464.379889999997</v>
      </c>
      <c r="K95" s="60">
        <v>6630.3671100000001</v>
      </c>
      <c r="L95" s="60">
        <v>86666.666670000006</v>
      </c>
      <c r="M95" s="60">
        <v>93297.033780000012</v>
      </c>
      <c r="N95" s="61">
        <v>2872747.5404999992</v>
      </c>
    </row>
    <row r="96" spans="2:14" ht="14.1" customHeight="1" x14ac:dyDescent="0.2">
      <c r="B96" s="146" t="s">
        <v>183</v>
      </c>
      <c r="C96" s="60">
        <v>1326913.3790199999</v>
      </c>
      <c r="D96" s="60">
        <v>2170377.32705</v>
      </c>
      <c r="E96" s="60">
        <v>114727.54969</v>
      </c>
      <c r="F96" s="60">
        <v>2103719.16377</v>
      </c>
      <c r="G96" s="60">
        <v>5715737.4195299996</v>
      </c>
      <c r="H96" s="60">
        <v>49991.279630000005</v>
      </c>
      <c r="I96" s="60">
        <v>344445.94308999996</v>
      </c>
      <c r="J96" s="60">
        <v>394437.22271999996</v>
      </c>
      <c r="K96" s="60">
        <v>22455.676649999998</v>
      </c>
      <c r="L96" s="60">
        <v>596666.66666999995</v>
      </c>
      <c r="M96" s="60">
        <v>619122.34331999999</v>
      </c>
      <c r="N96" s="61">
        <v>6729296.9855699996</v>
      </c>
    </row>
    <row r="97" spans="2:14" ht="14.1" customHeight="1" x14ac:dyDescent="0.2">
      <c r="B97" s="146" t="s">
        <v>184</v>
      </c>
      <c r="C97" s="60">
        <v>1928900.5658699998</v>
      </c>
      <c r="D97" s="60">
        <v>3244972.7716599996</v>
      </c>
      <c r="E97" s="60">
        <v>135680.9461</v>
      </c>
      <c r="F97" s="60">
        <v>3114467.39096</v>
      </c>
      <c r="G97" s="60">
        <v>8424021.674589999</v>
      </c>
      <c r="H97" s="60">
        <v>104958.5154</v>
      </c>
      <c r="I97" s="60">
        <v>603045.74924999999</v>
      </c>
      <c r="J97" s="60">
        <v>708004.26465000003</v>
      </c>
      <c r="K97" s="60">
        <v>108792.45483</v>
      </c>
      <c r="L97" s="60">
        <v>656666.66666999995</v>
      </c>
      <c r="M97" s="60">
        <v>765459.12149999989</v>
      </c>
      <c r="N97" s="61">
        <v>9897485.0607399996</v>
      </c>
    </row>
    <row r="98" spans="2:14" ht="14.1" customHeight="1" x14ac:dyDescent="0.2">
      <c r="B98" s="143" t="s">
        <v>185</v>
      </c>
      <c r="C98" s="144">
        <v>2662091.6749499999</v>
      </c>
      <c r="D98" s="144">
        <v>4567236.3033699999</v>
      </c>
      <c r="E98" s="144">
        <v>194950.69623999999</v>
      </c>
      <c r="F98" s="144">
        <v>4434486.1923900004</v>
      </c>
      <c r="G98" s="144">
        <f>SUM(C98:F98)</f>
        <v>11858764.866950002</v>
      </c>
      <c r="H98" s="144">
        <v>272489.84187</v>
      </c>
      <c r="I98" s="144">
        <v>1272001.8732</v>
      </c>
      <c r="J98" s="144">
        <f>SUM(H98:I98)</f>
        <v>1544491.7150699999</v>
      </c>
      <c r="K98" s="144">
        <v>226458.49183000001</v>
      </c>
      <c r="L98" s="144">
        <v>778091.82855999994</v>
      </c>
      <c r="M98" s="144">
        <f>SUM(K98:L98)</f>
        <v>1004550.32039</v>
      </c>
      <c r="N98" s="145">
        <f>+G98+J98+M98</f>
        <v>14407806.902410001</v>
      </c>
    </row>
    <row r="99" spans="2:14" ht="14.1" customHeight="1" x14ac:dyDescent="0.2">
      <c r="B99" s="63" t="s">
        <v>218</v>
      </c>
      <c r="C99" s="60">
        <v>636512.98265999998</v>
      </c>
      <c r="D99" s="60">
        <v>1242944.0917400001</v>
      </c>
      <c r="E99" s="60">
        <v>51729.635020000002</v>
      </c>
      <c r="F99" s="60">
        <v>924945.39815999998</v>
      </c>
      <c r="G99" s="60">
        <v>2856132.1075800001</v>
      </c>
      <c r="H99" s="60">
        <v>14028.067949999999</v>
      </c>
      <c r="I99" s="60">
        <v>58959.148729999994</v>
      </c>
      <c r="J99" s="60">
        <v>72987.216679999998</v>
      </c>
      <c r="K99" s="60">
        <v>29711.424030000002</v>
      </c>
      <c r="L99" s="60">
        <v>103333.33332999999</v>
      </c>
      <c r="M99" s="60">
        <v>133044.75735999999</v>
      </c>
      <c r="N99" s="61">
        <v>3062164.0816200003</v>
      </c>
    </row>
    <row r="100" spans="2:14" ht="14.1" customHeight="1" x14ac:dyDescent="0.2">
      <c r="B100" s="63" t="s">
        <v>219</v>
      </c>
      <c r="C100" s="60">
        <v>1401156.36</v>
      </c>
      <c r="D100" s="60">
        <v>2539501.165</v>
      </c>
      <c r="E100" s="60">
        <v>150397.693</v>
      </c>
      <c r="F100" s="60">
        <v>2333055.3319999999</v>
      </c>
      <c r="G100" s="60">
        <v>6424110.5500000007</v>
      </c>
      <c r="H100" s="60">
        <v>53879.616999999998</v>
      </c>
      <c r="I100" s="60">
        <v>299168.74099999998</v>
      </c>
      <c r="J100" s="60">
        <v>353048.35800000001</v>
      </c>
      <c r="K100" s="60">
        <v>32934.305999999997</v>
      </c>
      <c r="L100" s="60">
        <v>183333.33300000001</v>
      </c>
      <c r="M100" s="60">
        <v>216267.63900000002</v>
      </c>
      <c r="N100" s="61">
        <v>6993426.5470000003</v>
      </c>
    </row>
    <row r="101" spans="2:14" ht="14.1" customHeight="1" x14ac:dyDescent="0.2">
      <c r="B101" s="63" t="s">
        <v>220</v>
      </c>
      <c r="C101" s="60">
        <v>2053056.3740000001</v>
      </c>
      <c r="D101" s="60">
        <v>3615086.4730000002</v>
      </c>
      <c r="E101" s="60">
        <v>180385.94200000001</v>
      </c>
      <c r="F101" s="60">
        <v>3214257.639</v>
      </c>
      <c r="G101" s="60">
        <v>9062786.4279999994</v>
      </c>
      <c r="H101" s="60">
        <v>86769.062000000005</v>
      </c>
      <c r="I101" s="60">
        <v>492288.58</v>
      </c>
      <c r="J101" s="60">
        <v>579057.64199999999</v>
      </c>
      <c r="K101" s="60">
        <v>34105.807000000001</v>
      </c>
      <c r="L101" s="60">
        <v>443333.33299999998</v>
      </c>
      <c r="M101" s="60">
        <v>477439.14</v>
      </c>
      <c r="N101" s="61">
        <v>10119283.210000001</v>
      </c>
    </row>
    <row r="102" spans="2:14" ht="14.1" customHeight="1" x14ac:dyDescent="0.2">
      <c r="B102" s="143" t="s">
        <v>221</v>
      </c>
      <c r="C102" s="144">
        <v>2804883.182</v>
      </c>
      <c r="D102" s="144">
        <v>5020717.8669999996</v>
      </c>
      <c r="E102" s="144">
        <v>225518.51199999999</v>
      </c>
      <c r="F102" s="144">
        <v>4712827.2410000004</v>
      </c>
      <c r="G102" s="144">
        <v>12763946.802000001</v>
      </c>
      <c r="H102" s="144">
        <v>218597.77799999999</v>
      </c>
      <c r="I102" s="144">
        <v>1206205.406</v>
      </c>
      <c r="J102" s="144">
        <v>1424803.1839999999</v>
      </c>
      <c r="K102" s="144">
        <v>95005.558000000005</v>
      </c>
      <c r="L102" s="144">
        <v>631974.64399999997</v>
      </c>
      <c r="M102" s="144">
        <v>726980.20199999993</v>
      </c>
      <c r="N102" s="145">
        <v>14915730.188000001</v>
      </c>
    </row>
    <row r="103" spans="2:14" ht="14.1" customHeight="1" x14ac:dyDescent="0.2">
      <c r="B103" s="63" t="s">
        <v>225</v>
      </c>
      <c r="C103" s="60">
        <v>632561.70900000003</v>
      </c>
      <c r="D103" s="60">
        <v>1277747.622</v>
      </c>
      <c r="E103" s="60">
        <v>44139.860999999997</v>
      </c>
      <c r="F103" s="60">
        <v>1017050.13</v>
      </c>
      <c r="G103" s="60">
        <v>2971499.3220000002</v>
      </c>
      <c r="H103" s="60">
        <v>14011.352999999999</v>
      </c>
      <c r="I103" s="60">
        <v>59111.012000000002</v>
      </c>
      <c r="J103" s="60">
        <v>73122.365000000005</v>
      </c>
      <c r="K103" s="60">
        <v>17521.883999999998</v>
      </c>
      <c r="L103" s="60">
        <v>673633.33299999998</v>
      </c>
      <c r="M103" s="60">
        <v>691155.21699999995</v>
      </c>
      <c r="N103" s="61">
        <v>3735776.9040000001</v>
      </c>
    </row>
    <row r="104" spans="2:14" ht="14.1" customHeight="1" x14ac:dyDescent="0.2">
      <c r="B104" s="63" t="s">
        <v>226</v>
      </c>
      <c r="C104" s="60">
        <v>1414493.3019999999</v>
      </c>
      <c r="D104" s="60">
        <v>2468256.023</v>
      </c>
      <c r="E104" s="60">
        <v>155051.63099999999</v>
      </c>
      <c r="F104" s="60">
        <v>2341028.4780000001</v>
      </c>
      <c r="G104" s="60">
        <v>6378829.4340000004</v>
      </c>
      <c r="H104" s="60">
        <v>54506.95</v>
      </c>
      <c r="I104" s="60">
        <v>307807.82299999997</v>
      </c>
      <c r="J104" s="60">
        <v>362314.77299999999</v>
      </c>
      <c r="K104" s="60">
        <v>45326.707999999999</v>
      </c>
      <c r="L104" s="60">
        <v>783633.33299999998</v>
      </c>
      <c r="M104" s="60">
        <v>828960.04099999997</v>
      </c>
      <c r="N104" s="61">
        <v>7570104.2480000006</v>
      </c>
    </row>
    <row r="105" spans="2:14" ht="14.1" customHeight="1" x14ac:dyDescent="0.2">
      <c r="B105" s="63" t="s">
        <v>227</v>
      </c>
      <c r="C105" s="60">
        <v>2091891.162</v>
      </c>
      <c r="D105" s="60">
        <v>3601844.429</v>
      </c>
      <c r="E105" s="60">
        <v>180268.54800000001</v>
      </c>
      <c r="F105" s="60">
        <v>3439991.2749999999</v>
      </c>
      <c r="G105" s="60">
        <v>9313995.4140000008</v>
      </c>
      <c r="H105" s="60">
        <v>117297.62</v>
      </c>
      <c r="I105" s="60">
        <v>567546.18400000001</v>
      </c>
      <c r="J105" s="60">
        <v>684843.804</v>
      </c>
      <c r="K105" s="60">
        <v>68244.471000000005</v>
      </c>
      <c r="L105" s="60">
        <v>786133.33299999998</v>
      </c>
      <c r="M105" s="60">
        <v>854377.804</v>
      </c>
      <c r="N105" s="61">
        <v>10853217.022000002</v>
      </c>
    </row>
    <row r="106" spans="2:14" ht="14.1" customHeight="1" x14ac:dyDescent="0.2">
      <c r="B106" s="143" t="s">
        <v>228</v>
      </c>
      <c r="C106" s="144">
        <f>'gastos GV'!G9</f>
        <v>2905351.7719999999</v>
      </c>
      <c r="D106" s="144">
        <f>'gastos GV'!G10</f>
        <v>5096687.3</v>
      </c>
      <c r="E106" s="144">
        <f>'gastos GV'!G11</f>
        <v>213691.633</v>
      </c>
      <c r="F106" s="144">
        <f>'gastos GV'!G12</f>
        <v>4926446.2139999997</v>
      </c>
      <c r="G106" s="144">
        <f>SUM(C106:F106)</f>
        <v>13142176.919</v>
      </c>
      <c r="H106" s="144">
        <f>'gastos GV'!G13</f>
        <v>236285.628</v>
      </c>
      <c r="I106" s="144">
        <f>'gastos GV'!G14</f>
        <v>1289406.8829999999</v>
      </c>
      <c r="J106" s="144">
        <f>H106+I106</f>
        <v>1525692.5109999999</v>
      </c>
      <c r="K106" s="144">
        <f>'gastos GV'!G15</f>
        <v>203760.98699999999</v>
      </c>
      <c r="L106" s="144">
        <f>'gastos GV'!G16</f>
        <v>795390.83299999998</v>
      </c>
      <c r="M106" s="144">
        <f>K106+L106</f>
        <v>999151.82</v>
      </c>
      <c r="N106" s="145">
        <f>G106+J106+M106</f>
        <v>15667021.25</v>
      </c>
    </row>
    <row r="107" spans="2:14" ht="3.9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</row>
    <row r="108" spans="2:14" ht="18" x14ac:dyDescent="0.2">
      <c r="B108" s="287" t="s">
        <v>43</v>
      </c>
      <c r="C108" s="287"/>
      <c r="E108" s="59"/>
    </row>
    <row r="109" spans="2:14" x14ac:dyDescent="0.2">
      <c r="G109" s="201"/>
    </row>
  </sheetData>
  <mergeCells count="1">
    <mergeCell ref="B108:C108"/>
  </mergeCells>
  <phoneticPr fontId="0" type="noConversion"/>
  <hyperlinks>
    <hyperlink ref="B108" location="Índice!A1" display="◄ volver al menu" xr:uid="{00000000-0004-0000-0400-000000000000}"/>
    <hyperlink ref="B108:C108" location="Índice!A1" tooltip="Volver al índice" display="◄ volver al menu" xr:uid="{00000000-0004-0000-0400-000001000000}"/>
  </hyperlinks>
  <printOptions horizontalCentered="1"/>
  <pageMargins left="0" right="0" top="0" bottom="0" header="0" footer="0"/>
  <pageSetup paperSize="9" scale="77" orientation="portrait" r:id="rId1"/>
  <headerFooter alignWithMargins="0">
    <oddFooter>&amp;C&amp;G</oddFooter>
  </headerFooter>
  <ignoredErrors>
    <ignoredError sqref="G71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1"/>
    <pageSetUpPr fitToPage="1"/>
  </sheetPr>
  <dimension ref="A1:O108"/>
  <sheetViews>
    <sheetView showGridLines="0" showZeros="0" zoomScaleNormal="100" workbookViewId="0">
      <pane xSplit="2" ySplit="5" topLeftCell="C93" activePane="bottomRight" state="frozen"/>
      <selection pane="topRight" activeCell="N32" activeCellId="1" sqref="U1 N32"/>
      <selection pane="bottomLeft" activeCell="N32" activeCellId="1" sqref="U1 N32"/>
      <selection pane="bottomRight" activeCell="H116" sqref="H116"/>
    </sheetView>
  </sheetViews>
  <sheetFormatPr baseColWidth="10" defaultColWidth="11.42578125" defaultRowHeight="15.75" x14ac:dyDescent="0.25"/>
  <cols>
    <col min="1" max="1" width="2.28515625" style="13" customWidth="1"/>
    <col min="2" max="2" width="9.7109375" style="57" customWidth="1"/>
    <col min="3" max="3" width="7.85546875" style="57" customWidth="1"/>
    <col min="4" max="5" width="9.7109375" style="57" customWidth="1"/>
    <col min="6" max="6" width="11.5703125" style="57" customWidth="1"/>
    <col min="7" max="7" width="9.7109375" style="57" customWidth="1"/>
    <col min="8" max="8" width="10.85546875" style="57" customWidth="1"/>
    <col min="9" max="10" width="9.7109375" style="57" customWidth="1"/>
    <col min="11" max="11" width="10.140625" style="57" customWidth="1"/>
    <col min="12" max="13" width="9.7109375" style="57" customWidth="1"/>
    <col min="14" max="14" width="10.140625" style="57" customWidth="1"/>
    <col min="15" max="15" width="12.85546875" style="57" customWidth="1"/>
    <col min="16" max="16" width="5.42578125" style="12" customWidth="1"/>
    <col min="17" max="19" width="11.42578125" style="12"/>
    <col min="20" max="20" width="16" style="12" customWidth="1"/>
    <col min="21" max="16384" width="11.42578125" style="12"/>
  </cols>
  <sheetData>
    <row r="1" spans="2:15" s="62" customFormat="1" x14ac:dyDescent="0.2">
      <c r="B1" s="62" t="s">
        <v>1</v>
      </c>
      <c r="O1" s="130" t="str">
        <f>Índice!B8</f>
        <v>4ºTrimestre 2025</v>
      </c>
    </row>
    <row r="2" spans="2:15" s="54" customFormat="1" ht="18" customHeight="1" x14ac:dyDescent="0.2">
      <c r="B2" s="88" t="s">
        <v>186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s="54" customFormat="1" ht="13.5" customHeight="1" x14ac:dyDescent="0.2">
      <c r="B3" s="89" t="s">
        <v>187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</row>
    <row r="4" spans="2:15" s="54" customFormat="1" ht="14.25" customHeigh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1" t="s">
        <v>80</v>
      </c>
    </row>
    <row r="5" spans="2:15" s="58" customFormat="1" ht="33" customHeight="1" x14ac:dyDescent="0.2">
      <c r="B5" s="90" t="s">
        <v>81</v>
      </c>
      <c r="C5" s="91" t="s">
        <v>188</v>
      </c>
      <c r="D5" s="91" t="s">
        <v>189</v>
      </c>
      <c r="E5" s="91" t="s">
        <v>190</v>
      </c>
      <c r="F5" s="91" t="s">
        <v>85</v>
      </c>
      <c r="G5" s="91" t="s">
        <v>191</v>
      </c>
      <c r="H5" s="92" t="s">
        <v>86</v>
      </c>
      <c r="I5" s="91" t="s">
        <v>192</v>
      </c>
      <c r="J5" s="91" t="s">
        <v>193</v>
      </c>
      <c r="K5" s="92" t="s">
        <v>194</v>
      </c>
      <c r="L5" s="91" t="s">
        <v>90</v>
      </c>
      <c r="M5" s="91" t="s">
        <v>195</v>
      </c>
      <c r="N5" s="92" t="s">
        <v>92</v>
      </c>
      <c r="O5" s="93" t="s">
        <v>93</v>
      </c>
    </row>
    <row r="6" spans="2:15" s="54" customFormat="1" ht="5.0999999999999996" customHeight="1" x14ac:dyDescent="0.2">
      <c r="B6" s="55"/>
      <c r="C6" s="55"/>
      <c r="D6" s="55"/>
      <c r="E6" s="55"/>
      <c r="F6" s="55"/>
      <c r="G6" s="62"/>
      <c r="H6" s="55"/>
      <c r="I6" s="55"/>
      <c r="J6" s="62"/>
      <c r="K6" s="55"/>
      <c r="L6" s="55"/>
      <c r="M6" s="55"/>
      <c r="N6" s="62"/>
      <c r="O6" s="62"/>
    </row>
    <row r="7" spans="2:15" s="54" customFormat="1" ht="14.1" customHeight="1" x14ac:dyDescent="0.2">
      <c r="B7" s="143" t="s">
        <v>94</v>
      </c>
      <c r="C7" s="144" t="s">
        <v>196</v>
      </c>
      <c r="D7" s="144">
        <v>7078</v>
      </c>
      <c r="E7" s="144">
        <v>59716</v>
      </c>
      <c r="F7" s="144">
        <v>3354243</v>
      </c>
      <c r="G7" s="144">
        <v>36714</v>
      </c>
      <c r="H7" s="144">
        <v>3457751</v>
      </c>
      <c r="I7" s="144">
        <v>4685</v>
      </c>
      <c r="J7" s="144">
        <v>114490</v>
      </c>
      <c r="K7" s="144">
        <v>119175</v>
      </c>
      <c r="L7" s="144">
        <v>60072</v>
      </c>
      <c r="M7" s="144">
        <v>471124</v>
      </c>
      <c r="N7" s="144">
        <v>531196</v>
      </c>
      <c r="O7" s="145">
        <v>4108122</v>
      </c>
    </row>
    <row r="8" spans="2:15" s="54" customFormat="1" ht="14.1" customHeight="1" x14ac:dyDescent="0.2">
      <c r="B8" s="143" t="s">
        <v>95</v>
      </c>
      <c r="C8" s="144" t="s">
        <v>196</v>
      </c>
      <c r="D8" s="144">
        <v>6454</v>
      </c>
      <c r="E8" s="144">
        <v>60211</v>
      </c>
      <c r="F8" s="144">
        <v>3851893</v>
      </c>
      <c r="G8" s="144">
        <v>28990</v>
      </c>
      <c r="H8" s="144">
        <v>3947548</v>
      </c>
      <c r="I8" s="144">
        <v>11606</v>
      </c>
      <c r="J8" s="144">
        <v>44175</v>
      </c>
      <c r="K8" s="144">
        <v>55781</v>
      </c>
      <c r="L8" s="144">
        <v>30002</v>
      </c>
      <c r="M8" s="144">
        <v>378638</v>
      </c>
      <c r="N8" s="144">
        <v>408640</v>
      </c>
      <c r="O8" s="145">
        <v>4411968</v>
      </c>
    </row>
    <row r="9" spans="2:15" s="54" customFormat="1" ht="14.1" customHeight="1" x14ac:dyDescent="0.2">
      <c r="B9" s="143" t="s">
        <v>96</v>
      </c>
      <c r="C9" s="144" t="s">
        <v>196</v>
      </c>
      <c r="D9" s="144">
        <v>6625</v>
      </c>
      <c r="E9" s="144">
        <v>55987</v>
      </c>
      <c r="F9" s="144">
        <v>3895955</v>
      </c>
      <c r="G9" s="144">
        <v>27420</v>
      </c>
      <c r="H9" s="144">
        <v>3985987</v>
      </c>
      <c r="I9" s="144">
        <v>14348</v>
      </c>
      <c r="J9" s="144">
        <v>131170</v>
      </c>
      <c r="K9" s="144">
        <v>145518</v>
      </c>
      <c r="L9" s="144">
        <v>25645</v>
      </c>
      <c r="M9" s="144">
        <v>228385</v>
      </c>
      <c r="N9" s="144">
        <v>254030</v>
      </c>
      <c r="O9" s="145">
        <v>4385535</v>
      </c>
    </row>
    <row r="10" spans="2:15" s="54" customFormat="1" ht="14.1" customHeight="1" x14ac:dyDescent="0.2">
      <c r="B10" s="143" t="s">
        <v>97</v>
      </c>
      <c r="C10" s="144" t="s">
        <v>196</v>
      </c>
      <c r="D10" s="144">
        <v>6735</v>
      </c>
      <c r="E10" s="144">
        <v>54729</v>
      </c>
      <c r="F10" s="144">
        <v>4395977</v>
      </c>
      <c r="G10" s="144">
        <v>26461</v>
      </c>
      <c r="H10" s="144">
        <v>4483901</v>
      </c>
      <c r="I10" s="144">
        <v>15426</v>
      </c>
      <c r="J10" s="144">
        <v>129726</v>
      </c>
      <c r="K10" s="144">
        <v>145152</v>
      </c>
      <c r="L10" s="144">
        <v>11053</v>
      </c>
      <c r="M10" s="144">
        <v>120202</v>
      </c>
      <c r="N10" s="144">
        <v>131255</v>
      </c>
      <c r="O10" s="145">
        <v>4760309</v>
      </c>
    </row>
    <row r="11" spans="2:15" s="54" customFormat="1" ht="14.1" customHeight="1" x14ac:dyDescent="0.2">
      <c r="B11" s="143" t="s">
        <v>98</v>
      </c>
      <c r="C11" s="144" t="s">
        <v>196</v>
      </c>
      <c r="D11" s="144">
        <v>7011</v>
      </c>
      <c r="E11" s="144">
        <v>67229</v>
      </c>
      <c r="F11" s="144">
        <v>4803534</v>
      </c>
      <c r="G11" s="144">
        <v>25763</v>
      </c>
      <c r="H11" s="144">
        <v>4903538</v>
      </c>
      <c r="I11" s="144">
        <v>1176</v>
      </c>
      <c r="J11" s="144">
        <v>57345</v>
      </c>
      <c r="K11" s="144">
        <v>58522</v>
      </c>
      <c r="L11" s="144">
        <v>6462</v>
      </c>
      <c r="M11" s="144">
        <v>125000</v>
      </c>
      <c r="N11" s="144">
        <v>131462</v>
      </c>
      <c r="O11" s="145">
        <v>5093521</v>
      </c>
    </row>
    <row r="12" spans="2:15" s="54" customFormat="1" ht="14.1" customHeight="1" x14ac:dyDescent="0.2">
      <c r="B12" s="143" t="s">
        <v>99</v>
      </c>
      <c r="C12" s="144" t="s">
        <v>196</v>
      </c>
      <c r="D12" s="144">
        <v>7060</v>
      </c>
      <c r="E12" s="144">
        <v>79245</v>
      </c>
      <c r="F12" s="144">
        <v>5093669</v>
      </c>
      <c r="G12" s="144">
        <v>50807</v>
      </c>
      <c r="H12" s="144">
        <v>5230782</v>
      </c>
      <c r="I12" s="144">
        <v>2855</v>
      </c>
      <c r="J12" s="144">
        <v>39099</v>
      </c>
      <c r="K12" s="144">
        <v>41954</v>
      </c>
      <c r="L12" s="144">
        <v>13528</v>
      </c>
      <c r="M12" s="144" t="s">
        <v>196</v>
      </c>
      <c r="N12" s="144">
        <v>13528</v>
      </c>
      <c r="O12" s="145">
        <v>5286263</v>
      </c>
    </row>
    <row r="13" spans="2:15" s="54" customFormat="1" ht="14.1" customHeight="1" x14ac:dyDescent="0.2">
      <c r="B13" s="143" t="s">
        <v>100</v>
      </c>
      <c r="C13" s="144" t="s">
        <v>196</v>
      </c>
      <c r="D13" s="144">
        <v>6890</v>
      </c>
      <c r="E13" s="144">
        <v>89323</v>
      </c>
      <c r="F13" s="144">
        <v>5185458</v>
      </c>
      <c r="G13" s="144">
        <v>54641</v>
      </c>
      <c r="H13" s="144">
        <v>5336312</v>
      </c>
      <c r="I13" s="144">
        <v>1028</v>
      </c>
      <c r="J13" s="144">
        <v>66553</v>
      </c>
      <c r="K13" s="144">
        <v>67581</v>
      </c>
      <c r="L13" s="144">
        <v>14883</v>
      </c>
      <c r="M13" s="144">
        <v>240000</v>
      </c>
      <c r="N13" s="144">
        <v>254883</v>
      </c>
      <c r="O13" s="145">
        <v>5658776</v>
      </c>
    </row>
    <row r="14" spans="2:15" s="54" customFormat="1" ht="14.1" customHeight="1" x14ac:dyDescent="0.2">
      <c r="B14" s="143" t="s">
        <v>101</v>
      </c>
      <c r="C14" s="144" t="s">
        <v>196</v>
      </c>
      <c r="D14" s="144">
        <v>7076</v>
      </c>
      <c r="E14" s="144">
        <v>94053</v>
      </c>
      <c r="F14" s="144">
        <v>5593039</v>
      </c>
      <c r="G14" s="144">
        <v>36030</v>
      </c>
      <c r="H14" s="144">
        <v>5730198</v>
      </c>
      <c r="I14" s="144">
        <v>504</v>
      </c>
      <c r="J14" s="144">
        <v>139698</v>
      </c>
      <c r="K14" s="144">
        <v>140201</v>
      </c>
      <c r="L14" s="144">
        <v>20712</v>
      </c>
      <c r="M14" s="144">
        <v>366900</v>
      </c>
      <c r="N14" s="144">
        <v>387612</v>
      </c>
      <c r="O14" s="145">
        <v>6258012</v>
      </c>
    </row>
    <row r="15" spans="2:15" s="54" customFormat="1" ht="14.1" customHeight="1" x14ac:dyDescent="0.2">
      <c r="B15" s="63" t="s">
        <v>102</v>
      </c>
      <c r="C15" s="60"/>
      <c r="D15" s="60">
        <v>0</v>
      </c>
      <c r="E15" s="60">
        <v>2769.3116500000001</v>
      </c>
      <c r="F15" s="60">
        <v>930688.09299999999</v>
      </c>
      <c r="G15" s="60">
        <v>885.79300999999998</v>
      </c>
      <c r="H15" s="60">
        <v>934343.19766000006</v>
      </c>
      <c r="I15" s="60">
        <v>0</v>
      </c>
      <c r="J15" s="60">
        <v>1001.78826</v>
      </c>
      <c r="K15" s="60">
        <v>1001.78826</v>
      </c>
      <c r="L15" s="60">
        <v>1507.32599</v>
      </c>
      <c r="M15" s="60">
        <v>0</v>
      </c>
      <c r="N15" s="60">
        <v>1507.32599</v>
      </c>
      <c r="O15" s="61">
        <v>936852.31191000005</v>
      </c>
    </row>
    <row r="16" spans="2:15" s="54" customFormat="1" ht="14.1" customHeight="1" x14ac:dyDescent="0.2">
      <c r="B16" s="146" t="s">
        <v>103</v>
      </c>
      <c r="C16" s="60"/>
      <c r="D16" s="60">
        <v>0</v>
      </c>
      <c r="E16" s="60">
        <v>13931.635109999999</v>
      </c>
      <c r="F16" s="60">
        <v>2815318.0657500001</v>
      </c>
      <c r="G16" s="60">
        <v>2320.2552099999998</v>
      </c>
      <c r="H16" s="60">
        <v>2831569.9560700003</v>
      </c>
      <c r="I16" s="60">
        <v>192.86517000000001</v>
      </c>
      <c r="J16" s="60">
        <v>43407.409809999997</v>
      </c>
      <c r="K16" s="60">
        <v>43600.274979999995</v>
      </c>
      <c r="L16" s="60">
        <v>3422.1921200000002</v>
      </c>
      <c r="M16" s="60">
        <v>0</v>
      </c>
      <c r="N16" s="60">
        <v>3422.1921200000002</v>
      </c>
      <c r="O16" s="61">
        <v>2878592.4231700003</v>
      </c>
    </row>
    <row r="17" spans="2:15" s="54" customFormat="1" ht="14.1" customHeight="1" x14ac:dyDescent="0.2">
      <c r="B17" s="63" t="s">
        <v>104</v>
      </c>
      <c r="C17" s="60"/>
      <c r="D17" s="60">
        <v>2426.3534799999998</v>
      </c>
      <c r="E17" s="60">
        <v>30238.161629999999</v>
      </c>
      <c r="F17" s="60">
        <v>3778000.6771400003</v>
      </c>
      <c r="G17" s="60">
        <v>12817.353300000001</v>
      </c>
      <c r="H17" s="60">
        <v>3823482.5455500004</v>
      </c>
      <c r="I17" s="60">
        <v>192.86517000000001</v>
      </c>
      <c r="J17" s="60">
        <v>75951.980920000002</v>
      </c>
      <c r="K17" s="60">
        <v>76144.846090000006</v>
      </c>
      <c r="L17" s="60">
        <v>6581.4111500000008</v>
      </c>
      <c r="M17" s="60">
        <v>0</v>
      </c>
      <c r="N17" s="60">
        <v>6581.4111500000008</v>
      </c>
      <c r="O17" s="61">
        <v>3906208.8027900006</v>
      </c>
    </row>
    <row r="18" spans="2:15" s="54" customFormat="1" ht="14.1" customHeight="1" x14ac:dyDescent="0.2">
      <c r="B18" s="143" t="s">
        <v>105</v>
      </c>
      <c r="C18" s="144"/>
      <c r="D18" s="144">
        <v>6892.9650499999998</v>
      </c>
      <c r="E18" s="144">
        <v>102801.52112999999</v>
      </c>
      <c r="F18" s="144">
        <v>5858089.4023500001</v>
      </c>
      <c r="G18" s="144">
        <v>43090.973460000001</v>
      </c>
      <c r="H18" s="144">
        <v>6010874.8619900001</v>
      </c>
      <c r="I18" s="144">
        <v>353.03568000000001</v>
      </c>
      <c r="J18" s="144">
        <v>110093.5772</v>
      </c>
      <c r="K18" s="144">
        <v>110446.61288</v>
      </c>
      <c r="L18" s="144">
        <v>12346.260330000001</v>
      </c>
      <c r="M18" s="144">
        <v>390000</v>
      </c>
      <c r="N18" s="144">
        <v>402346.26033000002</v>
      </c>
      <c r="O18" s="145">
        <v>6523667.7352</v>
      </c>
    </row>
    <row r="19" spans="2:15" s="54" customFormat="1" ht="14.1" customHeight="1" x14ac:dyDescent="0.2">
      <c r="B19" s="63" t="s">
        <v>106</v>
      </c>
      <c r="C19" s="60"/>
      <c r="D19" s="60">
        <v>0</v>
      </c>
      <c r="E19" s="60">
        <v>2723</v>
      </c>
      <c r="F19" s="60">
        <v>998490</v>
      </c>
      <c r="G19" s="60">
        <v>1428</v>
      </c>
      <c r="H19" s="60">
        <v>1002641</v>
      </c>
      <c r="I19" s="60">
        <v>0</v>
      </c>
      <c r="J19" s="60">
        <v>1001.78826</v>
      </c>
      <c r="K19" s="60">
        <v>1001.78826</v>
      </c>
      <c r="L19" s="60">
        <v>1444</v>
      </c>
      <c r="M19" s="60">
        <v>0</v>
      </c>
      <c r="N19" s="60">
        <v>1444</v>
      </c>
      <c r="O19" s="61">
        <v>1005086.7882599999</v>
      </c>
    </row>
    <row r="20" spans="2:15" s="54" customFormat="1" ht="14.1" customHeight="1" x14ac:dyDescent="0.2">
      <c r="B20" s="146" t="s">
        <v>107</v>
      </c>
      <c r="C20" s="60"/>
      <c r="D20" s="60">
        <v>2107.2182400000002</v>
      </c>
      <c r="E20" s="60">
        <v>19421.086149999999</v>
      </c>
      <c r="F20" s="60">
        <v>3017513.9162700004</v>
      </c>
      <c r="G20" s="60">
        <v>129195.73153</v>
      </c>
      <c r="H20" s="60">
        <v>3168237.9521900006</v>
      </c>
      <c r="I20" s="60">
        <v>1542.72021</v>
      </c>
      <c r="J20" s="60">
        <v>9599.1056199999985</v>
      </c>
      <c r="K20" s="60">
        <v>11141.825829999998</v>
      </c>
      <c r="L20" s="60">
        <v>4351</v>
      </c>
      <c r="M20" s="60"/>
      <c r="N20" s="60">
        <v>4351</v>
      </c>
      <c r="O20" s="61">
        <v>3183730.7780200006</v>
      </c>
    </row>
    <row r="21" spans="2:15" s="54" customFormat="1" ht="14.1" customHeight="1" x14ac:dyDescent="0.2">
      <c r="B21" s="63" t="s">
        <v>108</v>
      </c>
      <c r="C21" s="60"/>
      <c r="D21" s="60">
        <v>3236.76</v>
      </c>
      <c r="E21" s="60">
        <v>33842.670760000001</v>
      </c>
      <c r="F21" s="60">
        <v>4046506.2826</v>
      </c>
      <c r="G21" s="60">
        <v>137697.04227000001</v>
      </c>
      <c r="H21" s="60">
        <v>4221282.7556299996</v>
      </c>
      <c r="I21" s="60">
        <v>1542.72021</v>
      </c>
      <c r="J21" s="60">
        <v>17475.077100000002</v>
      </c>
      <c r="K21" s="60">
        <v>19017.797310000002</v>
      </c>
      <c r="L21" s="60">
        <v>6568.8484400000007</v>
      </c>
      <c r="M21" s="60"/>
      <c r="N21" s="60">
        <v>6568.8484400000007</v>
      </c>
      <c r="O21" s="61">
        <v>4246869.4013799997</v>
      </c>
    </row>
    <row r="22" spans="2:15" s="54" customFormat="1" ht="12" customHeight="1" x14ac:dyDescent="0.2">
      <c r="B22" s="143" t="s">
        <v>109</v>
      </c>
      <c r="C22" s="144"/>
      <c r="D22" s="144">
        <v>6838</v>
      </c>
      <c r="E22" s="144">
        <v>122082</v>
      </c>
      <c r="F22" s="144">
        <v>6277118</v>
      </c>
      <c r="G22" s="144">
        <v>230050</v>
      </c>
      <c r="H22" s="144">
        <v>6636088</v>
      </c>
      <c r="I22" s="144">
        <v>2184</v>
      </c>
      <c r="J22" s="144">
        <v>44670</v>
      </c>
      <c r="K22" s="144">
        <v>46854</v>
      </c>
      <c r="L22" s="144">
        <v>74379</v>
      </c>
      <c r="M22" s="144">
        <v>275000</v>
      </c>
      <c r="N22" s="144">
        <v>349379</v>
      </c>
      <c r="O22" s="145">
        <v>7032321</v>
      </c>
    </row>
    <row r="23" spans="2:15" s="54" customFormat="1" ht="12" customHeight="1" x14ac:dyDescent="0.2">
      <c r="B23" s="63" t="s">
        <v>110</v>
      </c>
      <c r="C23" s="60"/>
      <c r="D23" s="60">
        <v>0</v>
      </c>
      <c r="E23" s="60">
        <v>3220</v>
      </c>
      <c r="F23" s="60">
        <v>1070980</v>
      </c>
      <c r="G23" s="60">
        <v>196</v>
      </c>
      <c r="H23" s="60">
        <v>1074396</v>
      </c>
      <c r="I23" s="60"/>
      <c r="J23" s="60">
        <v>13983</v>
      </c>
      <c r="K23" s="60">
        <v>13983</v>
      </c>
      <c r="L23" s="60">
        <v>1599</v>
      </c>
      <c r="M23" s="60"/>
      <c r="N23" s="60">
        <v>1599</v>
      </c>
      <c r="O23" s="61">
        <v>1089978</v>
      </c>
    </row>
    <row r="24" spans="2:15" s="54" customFormat="1" ht="12" customHeight="1" x14ac:dyDescent="0.2">
      <c r="B24" s="146" t="s">
        <v>111</v>
      </c>
      <c r="C24" s="60"/>
      <c r="D24" s="60">
        <v>1696</v>
      </c>
      <c r="E24" s="60">
        <v>19149</v>
      </c>
      <c r="F24" s="60">
        <v>3238358</v>
      </c>
      <c r="G24" s="60">
        <v>6712</v>
      </c>
      <c r="H24" s="60">
        <v>3265915</v>
      </c>
      <c r="I24" s="60"/>
      <c r="J24" s="60">
        <v>25204</v>
      </c>
      <c r="K24" s="60">
        <v>25204</v>
      </c>
      <c r="L24" s="60">
        <v>4145</v>
      </c>
      <c r="M24" s="60"/>
      <c r="N24" s="60">
        <v>4145</v>
      </c>
      <c r="O24" s="61">
        <v>3295264</v>
      </c>
    </row>
    <row r="25" spans="2:15" s="54" customFormat="1" ht="12" customHeight="1" x14ac:dyDescent="0.2">
      <c r="B25" s="63" t="s">
        <v>112</v>
      </c>
      <c r="C25" s="60"/>
      <c r="D25" s="60">
        <v>1696.41</v>
      </c>
      <c r="E25" s="60">
        <v>30834.55</v>
      </c>
      <c r="F25" s="60">
        <v>4338367.8499999996</v>
      </c>
      <c r="G25" s="60">
        <v>17042.509999999998</v>
      </c>
      <c r="H25" s="60">
        <v>4387941.32</v>
      </c>
      <c r="I25" s="60">
        <v>210</v>
      </c>
      <c r="J25" s="60">
        <v>34948.019999999997</v>
      </c>
      <c r="K25" s="60">
        <v>35158.019999999997</v>
      </c>
      <c r="L25" s="60">
        <v>6335</v>
      </c>
      <c r="M25" s="60">
        <v>0</v>
      </c>
      <c r="N25" s="60">
        <v>6335</v>
      </c>
      <c r="O25" s="61">
        <v>4429434.34</v>
      </c>
    </row>
    <row r="26" spans="2:15" s="54" customFormat="1" ht="12" customHeight="1" x14ac:dyDescent="0.2">
      <c r="B26" s="143" t="s">
        <v>113</v>
      </c>
      <c r="C26" s="144">
        <v>0</v>
      </c>
      <c r="D26" s="144">
        <v>6986.2731100000001</v>
      </c>
      <c r="E26" s="144">
        <v>116756.167</v>
      </c>
      <c r="F26" s="144">
        <v>7224206.0682100002</v>
      </c>
      <c r="G26" s="144">
        <v>36569.317999999999</v>
      </c>
      <c r="H26" s="144">
        <v>7384517.82632</v>
      </c>
      <c r="I26" s="144">
        <v>1897.21183</v>
      </c>
      <c r="J26" s="144">
        <v>69891.521840000001</v>
      </c>
      <c r="K26" s="144">
        <v>71788.733670000001</v>
      </c>
      <c r="L26" s="144">
        <v>9371.1252800000002</v>
      </c>
      <c r="M26" s="144">
        <v>300000</v>
      </c>
      <c r="N26" s="144">
        <v>309371.12527999998</v>
      </c>
      <c r="O26" s="145">
        <v>7765677.6852700002</v>
      </c>
    </row>
    <row r="27" spans="2:15" s="54" customFormat="1" ht="12" customHeight="1" x14ac:dyDescent="0.2">
      <c r="B27" s="63" t="s">
        <v>114</v>
      </c>
      <c r="C27" s="60">
        <v>0</v>
      </c>
      <c r="D27" s="60">
        <v>0</v>
      </c>
      <c r="E27" s="60">
        <v>1639.473</v>
      </c>
      <c r="F27" s="60">
        <v>1185259.4879999999</v>
      </c>
      <c r="G27" s="60">
        <v>39.109000000000002</v>
      </c>
      <c r="H27" s="60">
        <v>1186938.07</v>
      </c>
      <c r="I27" s="60">
        <v>0</v>
      </c>
      <c r="J27" s="60">
        <v>1001.687</v>
      </c>
      <c r="K27" s="60">
        <v>1001.687</v>
      </c>
      <c r="L27" s="60">
        <v>1084.1379999999999</v>
      </c>
      <c r="M27" s="60">
        <v>0</v>
      </c>
      <c r="N27" s="60">
        <v>1084.1379999999999</v>
      </c>
      <c r="O27" s="61">
        <v>1189023.8949999998</v>
      </c>
    </row>
    <row r="28" spans="2:15" s="54" customFormat="1" ht="12" customHeight="1" x14ac:dyDescent="0.2">
      <c r="B28" s="146" t="s">
        <v>115</v>
      </c>
      <c r="C28" s="60">
        <v>0</v>
      </c>
      <c r="D28" s="60">
        <v>0</v>
      </c>
      <c r="E28" s="60">
        <v>21477.499</v>
      </c>
      <c r="F28" s="60">
        <v>3569583.2239999999</v>
      </c>
      <c r="G28" s="60">
        <v>210.33199999999999</v>
      </c>
      <c r="H28" s="60">
        <v>3591271.0549999997</v>
      </c>
      <c r="I28" s="60">
        <v>0</v>
      </c>
      <c r="J28" s="60">
        <v>24271.842000000001</v>
      </c>
      <c r="K28" s="60">
        <v>24271.842000000001</v>
      </c>
      <c r="L28" s="60">
        <v>3896.58</v>
      </c>
      <c r="M28" s="60">
        <v>0</v>
      </c>
      <c r="N28" s="60">
        <v>3896.58</v>
      </c>
      <c r="O28" s="61">
        <v>3619439.4769999995</v>
      </c>
    </row>
    <row r="29" spans="2:15" s="54" customFormat="1" ht="12" customHeight="1" x14ac:dyDescent="0.2">
      <c r="B29" s="63" t="s">
        <v>116</v>
      </c>
      <c r="C29" s="60">
        <v>0</v>
      </c>
      <c r="D29" s="60">
        <v>0</v>
      </c>
      <c r="E29" s="60">
        <v>46867.720999999998</v>
      </c>
      <c r="F29" s="60">
        <v>4760262.2419999996</v>
      </c>
      <c r="G29" s="60">
        <v>22577.903999999999</v>
      </c>
      <c r="H29" s="60">
        <v>4829707.8669999996</v>
      </c>
      <c r="I29" s="60">
        <v>0</v>
      </c>
      <c r="J29" s="60">
        <v>31123.315999999999</v>
      </c>
      <c r="K29" s="60">
        <v>31123.315999999999</v>
      </c>
      <c r="L29" s="60">
        <v>6010.8639999999996</v>
      </c>
      <c r="M29" s="60">
        <v>0</v>
      </c>
      <c r="N29" s="60">
        <v>6010.8639999999996</v>
      </c>
      <c r="O29" s="61">
        <v>4866842.0469999993</v>
      </c>
    </row>
    <row r="30" spans="2:15" s="54" customFormat="1" ht="14.1" customHeight="1" x14ac:dyDescent="0.2">
      <c r="B30" s="143" t="s">
        <v>117</v>
      </c>
      <c r="C30" s="144"/>
      <c r="D30" s="144">
        <v>6421.8869999999997</v>
      </c>
      <c r="E30" s="144">
        <v>135369.967</v>
      </c>
      <c r="F30" s="144">
        <v>7984064.6320000002</v>
      </c>
      <c r="G30" s="144">
        <v>57341.627</v>
      </c>
      <c r="H30" s="144">
        <v>8183198.1130000008</v>
      </c>
      <c r="I30" s="144">
        <v>1116.173</v>
      </c>
      <c r="J30" s="144">
        <v>48855.552000000003</v>
      </c>
      <c r="K30" s="144">
        <v>49971.725000000006</v>
      </c>
      <c r="L30" s="144">
        <v>14478.564</v>
      </c>
      <c r="M30" s="144"/>
      <c r="N30" s="144">
        <v>14478.564</v>
      </c>
      <c r="O30" s="145">
        <v>8247648.4020000007</v>
      </c>
    </row>
    <row r="31" spans="2:15" s="54" customFormat="1" ht="12.75" customHeight="1" x14ac:dyDescent="0.2">
      <c r="B31" s="63" t="s">
        <v>118</v>
      </c>
      <c r="C31" s="60">
        <v>0</v>
      </c>
      <c r="D31" s="60">
        <v>0</v>
      </c>
      <c r="E31" s="60">
        <v>4669.0209999999997</v>
      </c>
      <c r="F31" s="60">
        <v>1332668.436</v>
      </c>
      <c r="G31" s="60">
        <v>128.667</v>
      </c>
      <c r="H31" s="60">
        <v>1337466.1239999998</v>
      </c>
      <c r="I31" s="60">
        <v>0</v>
      </c>
      <c r="J31" s="60">
        <v>1000</v>
      </c>
      <c r="K31" s="60">
        <v>1000</v>
      </c>
      <c r="L31" s="60">
        <v>2342.9409999999998</v>
      </c>
      <c r="M31" s="60">
        <v>0</v>
      </c>
      <c r="N31" s="60">
        <v>2342.9409999999998</v>
      </c>
      <c r="O31" s="61">
        <v>1340809.0649999999</v>
      </c>
    </row>
    <row r="32" spans="2:15" s="54" customFormat="1" ht="14.1" customHeight="1" x14ac:dyDescent="0.2">
      <c r="B32" s="146" t="s">
        <v>119</v>
      </c>
      <c r="C32" s="60">
        <v>0</v>
      </c>
      <c r="D32" s="60">
        <v>0</v>
      </c>
      <c r="E32" s="60">
        <v>23712.534</v>
      </c>
      <c r="F32" s="60">
        <v>4013265.8311700001</v>
      </c>
      <c r="G32" s="60">
        <v>883.34900000000005</v>
      </c>
      <c r="H32" s="60">
        <v>4037861.7141700001</v>
      </c>
      <c r="I32" s="60">
        <v>0</v>
      </c>
      <c r="J32" s="60">
        <v>10978.121999999999</v>
      </c>
      <c r="K32" s="60">
        <v>10978.121999999999</v>
      </c>
      <c r="L32" s="60">
        <v>5284.5780000000004</v>
      </c>
      <c r="M32" s="60">
        <v>0</v>
      </c>
      <c r="N32" s="60">
        <v>5284.5780000000004</v>
      </c>
      <c r="O32" s="61">
        <v>4054124.4141700002</v>
      </c>
    </row>
    <row r="33" spans="2:15" s="54" customFormat="1" ht="14.1" customHeight="1" x14ac:dyDescent="0.2">
      <c r="B33" s="63" t="s">
        <v>120</v>
      </c>
      <c r="C33" s="60">
        <v>0</v>
      </c>
      <c r="D33" s="60">
        <v>1594.2360000000001</v>
      </c>
      <c r="E33" s="60">
        <v>44772.536</v>
      </c>
      <c r="F33" s="60">
        <v>5396286.0539999995</v>
      </c>
      <c r="G33" s="60">
        <v>32293.205999999998</v>
      </c>
      <c r="H33" s="60">
        <v>5474946.0319999997</v>
      </c>
      <c r="I33" s="60">
        <v>0</v>
      </c>
      <c r="J33" s="60">
        <v>16580.985000000001</v>
      </c>
      <c r="K33" s="60">
        <v>16580.985000000001</v>
      </c>
      <c r="L33" s="60">
        <v>6957.6570000000002</v>
      </c>
      <c r="M33" s="60">
        <v>0</v>
      </c>
      <c r="N33" s="60">
        <v>6957.6570000000002</v>
      </c>
      <c r="O33" s="61">
        <v>5498484.6739999996</v>
      </c>
    </row>
    <row r="34" spans="2:15" s="54" customFormat="1" ht="14.1" customHeight="1" x14ac:dyDescent="0.2">
      <c r="B34" s="143" t="s">
        <v>121</v>
      </c>
      <c r="C34" s="144">
        <v>0</v>
      </c>
      <c r="D34" s="144">
        <v>6263.473</v>
      </c>
      <c r="E34" s="144">
        <v>151561.18900000001</v>
      </c>
      <c r="F34" s="144">
        <v>8699954.4499999993</v>
      </c>
      <c r="G34" s="144">
        <v>87011.581999999995</v>
      </c>
      <c r="H34" s="144">
        <v>8944790.6940000001</v>
      </c>
      <c r="I34" s="144">
        <v>528.33100000000002</v>
      </c>
      <c r="J34" s="144">
        <v>42720.466999999997</v>
      </c>
      <c r="K34" s="144">
        <v>43248.797999999995</v>
      </c>
      <c r="L34" s="144">
        <v>10529.858</v>
      </c>
      <c r="M34" s="144">
        <v>0</v>
      </c>
      <c r="N34" s="144">
        <v>10529.858</v>
      </c>
      <c r="O34" s="145">
        <v>8998569.3499999996</v>
      </c>
    </row>
    <row r="35" spans="2:15" s="54" customFormat="1" ht="14.1" customHeight="1" x14ac:dyDescent="0.2">
      <c r="B35" s="63" t="s">
        <v>122</v>
      </c>
      <c r="C35" s="60">
        <v>0</v>
      </c>
      <c r="D35" s="60">
        <v>0</v>
      </c>
      <c r="E35" s="60">
        <v>9373.4110000000001</v>
      </c>
      <c r="F35" s="60">
        <v>1496358.1429999999</v>
      </c>
      <c r="G35" s="60">
        <v>79.561999999999998</v>
      </c>
      <c r="H35" s="60">
        <v>1505811.1159999999</v>
      </c>
      <c r="I35" s="60">
        <v>0</v>
      </c>
      <c r="J35" s="60">
        <v>1000</v>
      </c>
      <c r="K35" s="60">
        <v>1000</v>
      </c>
      <c r="L35" s="60">
        <v>1764.7049999999999</v>
      </c>
      <c r="M35" s="60">
        <v>0</v>
      </c>
      <c r="N35" s="60">
        <v>1764.7049999999999</v>
      </c>
      <c r="O35" s="61">
        <v>1508575.821</v>
      </c>
    </row>
    <row r="36" spans="2:15" s="54" customFormat="1" ht="14.1" customHeight="1" x14ac:dyDescent="0.2">
      <c r="B36" s="146" t="s">
        <v>123</v>
      </c>
      <c r="C36" s="60">
        <v>0</v>
      </c>
      <c r="D36" s="60">
        <v>1200.4590000000001</v>
      </c>
      <c r="E36" s="60">
        <v>42701.508000000002</v>
      </c>
      <c r="F36" s="60">
        <v>4518472.3830000004</v>
      </c>
      <c r="G36" s="60">
        <v>56692.483</v>
      </c>
      <c r="H36" s="60">
        <v>4619066.8330000006</v>
      </c>
      <c r="I36" s="60">
        <v>0</v>
      </c>
      <c r="J36" s="60">
        <v>23249.388999999999</v>
      </c>
      <c r="K36" s="60">
        <v>23249.388999999999</v>
      </c>
      <c r="L36" s="60">
        <v>24977.043000000001</v>
      </c>
      <c r="M36" s="60">
        <v>0</v>
      </c>
      <c r="N36" s="60">
        <v>24977.043000000001</v>
      </c>
      <c r="O36" s="61">
        <v>4667293.2650000006</v>
      </c>
    </row>
    <row r="37" spans="2:15" s="54" customFormat="1" ht="14.1" customHeight="1" x14ac:dyDescent="0.2">
      <c r="B37" s="63" t="s">
        <v>124</v>
      </c>
      <c r="C37" s="60">
        <v>0</v>
      </c>
      <c r="D37" s="60">
        <v>1487.393</v>
      </c>
      <c r="E37" s="60">
        <v>66746.807000000001</v>
      </c>
      <c r="F37" s="60">
        <v>6017757.3219999997</v>
      </c>
      <c r="G37" s="60">
        <v>108557.32799999999</v>
      </c>
      <c r="H37" s="60">
        <v>6194548.8499999996</v>
      </c>
      <c r="I37" s="60">
        <v>0</v>
      </c>
      <c r="J37" s="60">
        <v>33299.383000000002</v>
      </c>
      <c r="K37" s="60">
        <v>33299.383000000002</v>
      </c>
      <c r="L37" s="60">
        <v>28328.257000000001</v>
      </c>
      <c r="M37" s="60">
        <v>0</v>
      </c>
      <c r="N37" s="60">
        <v>28328.257000000001</v>
      </c>
      <c r="O37" s="61">
        <v>6256176.4899999993</v>
      </c>
    </row>
    <row r="38" spans="2:15" s="54" customFormat="1" ht="14.1" customHeight="1" x14ac:dyDescent="0.2">
      <c r="B38" s="143" t="s">
        <v>125</v>
      </c>
      <c r="C38" s="144"/>
      <c r="D38" s="144">
        <v>5555.33</v>
      </c>
      <c r="E38" s="144">
        <v>154951.13200000001</v>
      </c>
      <c r="F38" s="144">
        <v>8006720.8760000002</v>
      </c>
      <c r="G38" s="144">
        <v>180035.899</v>
      </c>
      <c r="H38" s="144">
        <v>8347263.2370000007</v>
      </c>
      <c r="I38" s="144">
        <v>8803.1779999999999</v>
      </c>
      <c r="J38" s="144">
        <v>75880.255000000005</v>
      </c>
      <c r="K38" s="144">
        <v>84683.433000000005</v>
      </c>
      <c r="L38" s="144">
        <v>48039.754999999997</v>
      </c>
      <c r="M38" s="144">
        <v>200000</v>
      </c>
      <c r="N38" s="144">
        <v>248039.755</v>
      </c>
      <c r="O38" s="145">
        <v>8679986.4250000007</v>
      </c>
    </row>
    <row r="39" spans="2:15" s="54" customFormat="1" ht="14.1" customHeight="1" x14ac:dyDescent="0.2">
      <c r="B39" s="63" t="s">
        <v>126</v>
      </c>
      <c r="C39" s="60">
        <v>0</v>
      </c>
      <c r="D39" s="60">
        <v>0</v>
      </c>
      <c r="E39" s="60">
        <v>16610.060000000001</v>
      </c>
      <c r="F39" s="60">
        <v>1474769.9950000001</v>
      </c>
      <c r="G39" s="60">
        <v>127.56</v>
      </c>
      <c r="H39" s="60">
        <v>1491507.6150000002</v>
      </c>
      <c r="I39" s="60">
        <v>0</v>
      </c>
      <c r="J39" s="60">
        <v>3702.48</v>
      </c>
      <c r="K39" s="60">
        <v>3702.48</v>
      </c>
      <c r="L39" s="60">
        <v>1401.1279999999999</v>
      </c>
      <c r="M39" s="60">
        <v>0</v>
      </c>
      <c r="N39" s="60">
        <v>1401.1279999999999</v>
      </c>
      <c r="O39" s="61">
        <v>1496611.2230000002</v>
      </c>
    </row>
    <row r="40" spans="2:15" s="54" customFormat="1" ht="14.1" customHeight="1" x14ac:dyDescent="0.2">
      <c r="B40" s="146" t="s">
        <v>127</v>
      </c>
      <c r="C40" s="60">
        <v>0</v>
      </c>
      <c r="D40" s="60">
        <v>1445.8689999999999</v>
      </c>
      <c r="E40" s="60">
        <v>54839.264999999999</v>
      </c>
      <c r="F40" s="60">
        <v>4441481.7290000003</v>
      </c>
      <c r="G40" s="60">
        <v>18378.87</v>
      </c>
      <c r="H40" s="60">
        <v>4516145.733</v>
      </c>
      <c r="I40" s="60">
        <v>13.115</v>
      </c>
      <c r="J40" s="60">
        <v>12763.422</v>
      </c>
      <c r="K40" s="60">
        <v>12776.537</v>
      </c>
      <c r="L40" s="60">
        <v>6759.4870000000001</v>
      </c>
      <c r="M40" s="60">
        <v>50000</v>
      </c>
      <c r="N40" s="60">
        <v>56759.487000000001</v>
      </c>
      <c r="O40" s="61">
        <v>4585681.7570000002</v>
      </c>
    </row>
    <row r="41" spans="2:15" s="54" customFormat="1" ht="14.1" customHeight="1" x14ac:dyDescent="0.2">
      <c r="B41" s="63" t="s">
        <v>128</v>
      </c>
      <c r="C41" s="60">
        <v>0</v>
      </c>
      <c r="D41" s="60">
        <v>2077.0659999999998</v>
      </c>
      <c r="E41" s="60">
        <v>73038.070999999996</v>
      </c>
      <c r="F41" s="60">
        <v>6054653.0369999995</v>
      </c>
      <c r="G41" s="60">
        <v>25909.456999999999</v>
      </c>
      <c r="H41" s="60">
        <v>6155677.6310000001</v>
      </c>
      <c r="I41" s="60">
        <v>13.115</v>
      </c>
      <c r="J41" s="60">
        <v>15992.767</v>
      </c>
      <c r="K41" s="60">
        <v>16005.882</v>
      </c>
      <c r="L41" s="60">
        <v>9343.6280000000006</v>
      </c>
      <c r="M41" s="60">
        <v>50000</v>
      </c>
      <c r="N41" s="60">
        <v>59343.627999999997</v>
      </c>
      <c r="O41" s="61">
        <v>6231027.1409999998</v>
      </c>
    </row>
    <row r="42" spans="2:15" s="54" customFormat="1" ht="14.1" customHeight="1" x14ac:dyDescent="0.2">
      <c r="B42" s="143" t="s">
        <v>129</v>
      </c>
      <c r="C42" s="144"/>
      <c r="D42" s="144">
        <v>4641.2359999999999</v>
      </c>
      <c r="E42" s="144">
        <v>169757.837</v>
      </c>
      <c r="F42" s="144">
        <v>7181787.0750000002</v>
      </c>
      <c r="G42" s="144">
        <v>48973.807000000001</v>
      </c>
      <c r="H42" s="144">
        <v>7405159.9550000001</v>
      </c>
      <c r="I42" s="144">
        <v>386.37900000000002</v>
      </c>
      <c r="J42" s="144">
        <v>93420.433000000005</v>
      </c>
      <c r="K42" s="144">
        <v>93806.812000000005</v>
      </c>
      <c r="L42" s="144">
        <v>20412.938999999998</v>
      </c>
      <c r="M42" s="144">
        <v>1411000</v>
      </c>
      <c r="N42" s="144">
        <v>1431412.939</v>
      </c>
      <c r="O42" s="145">
        <v>8930379.7060000002</v>
      </c>
    </row>
    <row r="43" spans="2:15" s="54" customFormat="1" ht="14.1" customHeight="1" x14ac:dyDescent="0.2">
      <c r="B43" s="63" t="s">
        <v>130</v>
      </c>
      <c r="C43" s="60">
        <v>0</v>
      </c>
      <c r="D43" s="60">
        <v>0</v>
      </c>
      <c r="E43" s="60">
        <v>8867</v>
      </c>
      <c r="F43" s="60">
        <v>1308386</v>
      </c>
      <c r="G43" s="60">
        <v>144</v>
      </c>
      <c r="H43" s="60">
        <v>1317397</v>
      </c>
      <c r="I43" s="60">
        <v>0</v>
      </c>
      <c r="J43" s="60">
        <v>0</v>
      </c>
      <c r="K43" s="60">
        <v>0</v>
      </c>
      <c r="L43" s="60">
        <v>2088</v>
      </c>
      <c r="M43" s="60">
        <v>0</v>
      </c>
      <c r="N43" s="60">
        <v>2088</v>
      </c>
      <c r="O43" s="61">
        <v>1319485</v>
      </c>
    </row>
    <row r="44" spans="2:15" s="54" customFormat="1" ht="14.1" customHeight="1" x14ac:dyDescent="0.2">
      <c r="B44" s="146" t="s">
        <v>131</v>
      </c>
      <c r="C44" s="60">
        <v>0</v>
      </c>
      <c r="D44" s="60">
        <v>500.15199999999999</v>
      </c>
      <c r="E44" s="60">
        <v>29692.744999999999</v>
      </c>
      <c r="F44" s="60">
        <v>3903992.841</v>
      </c>
      <c r="G44" s="60">
        <v>2638.1729999999998</v>
      </c>
      <c r="H44" s="60">
        <v>3936823.9109999998</v>
      </c>
      <c r="I44" s="60">
        <v>19.428999999999998</v>
      </c>
      <c r="J44" s="60">
        <v>19407.484</v>
      </c>
      <c r="K44" s="60">
        <v>19426.913</v>
      </c>
      <c r="L44" s="60">
        <v>7060.9070000000002</v>
      </c>
      <c r="M44" s="60">
        <v>950000</v>
      </c>
      <c r="N44" s="60">
        <v>957060.90700000001</v>
      </c>
      <c r="O44" s="61">
        <v>4913311.7309999997</v>
      </c>
    </row>
    <row r="45" spans="2:15" s="54" customFormat="1" ht="14.1" customHeight="1" x14ac:dyDescent="0.2">
      <c r="B45" s="63" t="s">
        <v>132</v>
      </c>
      <c r="C45" s="60"/>
      <c r="D45" s="60">
        <v>1757.998</v>
      </c>
      <c r="E45" s="60">
        <v>68692.055999999997</v>
      </c>
      <c r="F45" s="60">
        <v>5233530.148</v>
      </c>
      <c r="G45" s="60">
        <v>4702.0609999999997</v>
      </c>
      <c r="H45" s="60">
        <v>5308682.2629999993</v>
      </c>
      <c r="I45" s="60">
        <v>19.428999999999998</v>
      </c>
      <c r="J45" s="60">
        <v>27590.613000000001</v>
      </c>
      <c r="K45" s="60">
        <v>27610.042000000001</v>
      </c>
      <c r="L45" s="60">
        <v>11587.903</v>
      </c>
      <c r="M45" s="60">
        <v>1155000</v>
      </c>
      <c r="N45" s="60">
        <v>1166587.9029999999</v>
      </c>
      <c r="O45" s="61">
        <v>6502880.2079999987</v>
      </c>
    </row>
    <row r="46" spans="2:15" s="54" customFormat="1" ht="14.1" customHeight="1" x14ac:dyDescent="0.2">
      <c r="B46" s="143" t="s">
        <v>133</v>
      </c>
      <c r="C46" s="144">
        <v>0</v>
      </c>
      <c r="D46" s="144">
        <v>4274.4669999999996</v>
      </c>
      <c r="E46" s="144">
        <v>189464.11900000001</v>
      </c>
      <c r="F46" s="144">
        <v>8090882.8789999997</v>
      </c>
      <c r="G46" s="144">
        <v>83867.75</v>
      </c>
      <c r="H46" s="144">
        <v>8368489.2149999999</v>
      </c>
      <c r="I46" s="144">
        <v>713.44</v>
      </c>
      <c r="J46" s="144">
        <v>196146.30499999999</v>
      </c>
      <c r="K46" s="144">
        <v>196859.745</v>
      </c>
      <c r="L46" s="144">
        <v>17484.952000000001</v>
      </c>
      <c r="M46" s="144">
        <v>1893000</v>
      </c>
      <c r="N46" s="144">
        <v>1910484.952</v>
      </c>
      <c r="O46" s="145">
        <v>10475833.912</v>
      </c>
    </row>
    <row r="47" spans="2:15" s="54" customFormat="1" ht="14.1" customHeight="1" x14ac:dyDescent="0.2">
      <c r="B47" s="63" t="s">
        <v>134</v>
      </c>
      <c r="C47" s="60">
        <v>0</v>
      </c>
      <c r="D47" s="60">
        <v>0</v>
      </c>
      <c r="E47" s="60">
        <v>13971.343000000001</v>
      </c>
      <c r="F47" s="60">
        <v>1445577.7579999999</v>
      </c>
      <c r="G47" s="60">
        <v>40528.588000000003</v>
      </c>
      <c r="H47" s="60">
        <f t="shared" ref="H47:H52" si="0">SUM(C47:G47)</f>
        <v>1500077.689</v>
      </c>
      <c r="I47" s="60">
        <v>0</v>
      </c>
      <c r="J47" s="60">
        <v>0</v>
      </c>
      <c r="K47" s="60">
        <f t="shared" ref="K47:K52" si="1">J47+I47</f>
        <v>0</v>
      </c>
      <c r="L47" s="60">
        <v>4999.674</v>
      </c>
      <c r="M47" s="60">
        <v>0</v>
      </c>
      <c r="N47" s="60">
        <f t="shared" ref="N47:N52" si="2">SUM(L47:M47)</f>
        <v>4999.674</v>
      </c>
      <c r="O47" s="61">
        <f t="shared" ref="O47:O52" si="3">N47+K47+H47</f>
        <v>1505077.3630000001</v>
      </c>
    </row>
    <row r="48" spans="2:15" s="54" customFormat="1" ht="14.1" customHeight="1" x14ac:dyDescent="0.2">
      <c r="B48" s="146" t="s">
        <v>135</v>
      </c>
      <c r="C48" s="60">
        <v>0</v>
      </c>
      <c r="D48" s="60">
        <v>936.02499999999998</v>
      </c>
      <c r="E48" s="60">
        <v>44773.563999999998</v>
      </c>
      <c r="F48" s="60">
        <v>4365531.0669999998</v>
      </c>
      <c r="G48" s="60">
        <v>44421.883000000002</v>
      </c>
      <c r="H48" s="60">
        <f t="shared" si="0"/>
        <v>4455662.5389999999</v>
      </c>
      <c r="I48" s="60">
        <v>13.114000000000001</v>
      </c>
      <c r="J48" s="60">
        <v>7224.277</v>
      </c>
      <c r="K48" s="60">
        <f t="shared" si="1"/>
        <v>7237.3909999999996</v>
      </c>
      <c r="L48" s="60">
        <v>16012.902</v>
      </c>
      <c r="M48" s="60">
        <v>82000</v>
      </c>
      <c r="N48" s="60">
        <f t="shared" si="2"/>
        <v>98012.902000000002</v>
      </c>
      <c r="O48" s="61">
        <f t="shared" si="3"/>
        <v>4560912.8319999995</v>
      </c>
    </row>
    <row r="49" spans="2:15" s="54" customFormat="1" ht="14.1" customHeight="1" x14ac:dyDescent="0.2">
      <c r="B49" s="63" t="s">
        <v>136</v>
      </c>
      <c r="C49" s="60">
        <v>0</v>
      </c>
      <c r="D49" s="60">
        <v>1238.356</v>
      </c>
      <c r="E49" s="60">
        <v>71279.760999999999</v>
      </c>
      <c r="F49" s="60">
        <v>6539326.1380000003</v>
      </c>
      <c r="G49" s="60">
        <v>60311.680999999997</v>
      </c>
      <c r="H49" s="60">
        <f t="shared" si="0"/>
        <v>6672155.9359999998</v>
      </c>
      <c r="I49" s="60">
        <v>174.626</v>
      </c>
      <c r="J49" s="60">
        <v>66707.95</v>
      </c>
      <c r="K49" s="60">
        <f t="shared" si="1"/>
        <v>66882.576000000001</v>
      </c>
      <c r="L49" s="60">
        <v>18068.648000000001</v>
      </c>
      <c r="M49" s="60">
        <v>82000</v>
      </c>
      <c r="N49" s="60">
        <f t="shared" si="2"/>
        <v>100068.648</v>
      </c>
      <c r="O49" s="61">
        <f t="shared" si="3"/>
        <v>6839107.1600000001</v>
      </c>
    </row>
    <row r="50" spans="2:15" s="54" customFormat="1" ht="14.1" customHeight="1" x14ac:dyDescent="0.2">
      <c r="B50" s="143" t="s">
        <v>137</v>
      </c>
      <c r="C50" s="144"/>
      <c r="D50" s="144">
        <v>3009.8409999999999</v>
      </c>
      <c r="E50" s="144">
        <v>210864.23199999999</v>
      </c>
      <c r="F50" s="144">
        <v>8024907.9409999996</v>
      </c>
      <c r="G50" s="144">
        <v>197261.24</v>
      </c>
      <c r="H50" s="144">
        <f t="shared" si="0"/>
        <v>8436043.2539999988</v>
      </c>
      <c r="I50" s="144">
        <v>1064.4359999999999</v>
      </c>
      <c r="J50" s="144">
        <v>272617.34600000002</v>
      </c>
      <c r="K50" s="144">
        <f t="shared" si="1"/>
        <v>273681.78200000001</v>
      </c>
      <c r="L50" s="144">
        <v>49078.082000000002</v>
      </c>
      <c r="M50" s="144">
        <v>960077.43500000006</v>
      </c>
      <c r="N50" s="144">
        <f t="shared" si="2"/>
        <v>1009155.5170000001</v>
      </c>
      <c r="O50" s="145">
        <f t="shared" si="3"/>
        <v>9718880.5529999994</v>
      </c>
    </row>
    <row r="51" spans="2:15" s="54" customFormat="1" ht="14.1" customHeight="1" x14ac:dyDescent="0.2">
      <c r="B51" s="63" t="s">
        <v>138</v>
      </c>
      <c r="C51" s="60"/>
      <c r="D51" s="60">
        <v>31.631</v>
      </c>
      <c r="E51" s="60">
        <v>13138.329</v>
      </c>
      <c r="F51" s="60">
        <v>2151538.0329999998</v>
      </c>
      <c r="G51" s="60">
        <v>2093.7919999999999</v>
      </c>
      <c r="H51" s="60">
        <f t="shared" si="0"/>
        <v>2166801.7849999997</v>
      </c>
      <c r="I51" s="60">
        <v>841</v>
      </c>
      <c r="J51" s="60">
        <v>13.661</v>
      </c>
      <c r="K51" s="60">
        <f t="shared" si="1"/>
        <v>854.66099999999994</v>
      </c>
      <c r="L51" s="60">
        <v>2487.1149999999998</v>
      </c>
      <c r="M51" s="60">
        <v>0</v>
      </c>
      <c r="N51" s="60">
        <f t="shared" si="2"/>
        <v>2487.1149999999998</v>
      </c>
      <c r="O51" s="61">
        <f t="shared" si="3"/>
        <v>2170143.5609999998</v>
      </c>
    </row>
    <row r="52" spans="2:15" s="54" customFormat="1" ht="14.1" customHeight="1" x14ac:dyDescent="0.2">
      <c r="B52" s="146" t="s">
        <v>139</v>
      </c>
      <c r="C52" s="60">
        <v>0</v>
      </c>
      <c r="D52" s="60">
        <v>532.57600000000002</v>
      </c>
      <c r="E52" s="60">
        <v>39239.459000000003</v>
      </c>
      <c r="F52" s="60">
        <v>4322162.8269999996</v>
      </c>
      <c r="G52" s="60">
        <v>105123.66099999999</v>
      </c>
      <c r="H52" s="60">
        <f t="shared" si="0"/>
        <v>4467058.523</v>
      </c>
      <c r="I52" s="60">
        <v>841</v>
      </c>
      <c r="J52" s="60">
        <v>67697.08</v>
      </c>
      <c r="K52" s="60">
        <f t="shared" si="1"/>
        <v>68538.080000000002</v>
      </c>
      <c r="L52" s="60">
        <v>10346.563</v>
      </c>
      <c r="M52" s="60">
        <v>383097.21399999998</v>
      </c>
      <c r="N52" s="60">
        <f t="shared" si="2"/>
        <v>393443.777</v>
      </c>
      <c r="O52" s="61">
        <f t="shared" si="3"/>
        <v>4929040.38</v>
      </c>
    </row>
    <row r="53" spans="2:15" s="54" customFormat="1" ht="14.1" customHeight="1" x14ac:dyDescent="0.2">
      <c r="B53" s="63" t="s">
        <v>140</v>
      </c>
      <c r="C53" s="60"/>
      <c r="D53" s="60">
        <v>802.99400000000003</v>
      </c>
      <c r="E53" s="60">
        <v>57923.481</v>
      </c>
      <c r="F53" s="60">
        <v>6485557.7010000004</v>
      </c>
      <c r="G53" s="60">
        <v>106727.80100000001</v>
      </c>
      <c r="H53" s="60">
        <v>6651011.977</v>
      </c>
      <c r="I53" s="60">
        <v>2845.6950000000002</v>
      </c>
      <c r="J53" s="60">
        <v>105129.708</v>
      </c>
      <c r="K53" s="60">
        <v>107975.40300000001</v>
      </c>
      <c r="L53" s="60">
        <v>15151.359</v>
      </c>
      <c r="M53" s="60">
        <v>843097.21400000004</v>
      </c>
      <c r="N53" s="60">
        <v>858248.57300000009</v>
      </c>
      <c r="O53" s="61">
        <v>7617235.9529999997</v>
      </c>
    </row>
    <row r="54" spans="2:15" s="54" customFormat="1" ht="14.1" customHeight="1" x14ac:dyDescent="0.2">
      <c r="B54" s="143" t="s">
        <v>141</v>
      </c>
      <c r="C54" s="144">
        <v>0</v>
      </c>
      <c r="D54" s="144">
        <v>2476.4960000000001</v>
      </c>
      <c r="E54" s="144">
        <v>180244.503</v>
      </c>
      <c r="F54" s="144">
        <v>8423796.3859999999</v>
      </c>
      <c r="G54" s="144">
        <v>165031.55600000001</v>
      </c>
      <c r="H54" s="144">
        <v>8771548.9409999996</v>
      </c>
      <c r="I54" s="144">
        <v>71952.479999999996</v>
      </c>
      <c r="J54" s="144">
        <v>371590.10399999999</v>
      </c>
      <c r="K54" s="144">
        <v>443542.58399999997</v>
      </c>
      <c r="L54" s="144">
        <v>48737.601000000002</v>
      </c>
      <c r="M54" s="144">
        <v>1084420.3559999999</v>
      </c>
      <c r="N54" s="144">
        <v>1133157.9569999999</v>
      </c>
      <c r="O54" s="145">
        <v>10348249.481999999</v>
      </c>
    </row>
    <row r="55" spans="2:15" s="54" customFormat="1" ht="14.1" customHeight="1" x14ac:dyDescent="0.2">
      <c r="B55" s="63" t="s">
        <v>142</v>
      </c>
      <c r="C55" s="60">
        <v>0</v>
      </c>
      <c r="D55" s="60">
        <v>146.059</v>
      </c>
      <c r="E55" s="60">
        <v>23593.008000000002</v>
      </c>
      <c r="F55" s="60">
        <v>1986790.1640000001</v>
      </c>
      <c r="G55" s="60">
        <v>185.03200000000001</v>
      </c>
      <c r="H55" s="60">
        <v>2010714.263</v>
      </c>
      <c r="I55" s="60">
        <v>2.294</v>
      </c>
      <c r="J55" s="60">
        <v>21.698</v>
      </c>
      <c r="K55" s="60">
        <v>23.992000000000001</v>
      </c>
      <c r="L55" s="60">
        <v>1447.7380000000001</v>
      </c>
      <c r="M55" s="60">
        <v>462703.13900000002</v>
      </c>
      <c r="N55" s="60">
        <v>464150.87700000004</v>
      </c>
      <c r="O55" s="61">
        <v>2474889.1320000002</v>
      </c>
    </row>
    <row r="56" spans="2:15" s="54" customFormat="1" ht="14.1" customHeight="1" x14ac:dyDescent="0.2">
      <c r="B56" s="146" t="s">
        <v>143</v>
      </c>
      <c r="C56" s="60"/>
      <c r="D56" s="60">
        <v>766.81600000000003</v>
      </c>
      <c r="E56" s="60">
        <v>51322.707000000002</v>
      </c>
      <c r="F56" s="60">
        <v>3970932.4550000001</v>
      </c>
      <c r="G56" s="60">
        <v>41040.201999999997</v>
      </c>
      <c r="H56" s="60">
        <v>4064062.18</v>
      </c>
      <c r="I56" s="60">
        <v>13.419</v>
      </c>
      <c r="J56" s="60">
        <v>44708.451999999997</v>
      </c>
      <c r="K56" s="60">
        <v>44721.870999999999</v>
      </c>
      <c r="L56" s="60">
        <v>7522.7889999999998</v>
      </c>
      <c r="M56" s="60">
        <v>693978.13899999997</v>
      </c>
      <c r="N56" s="60">
        <v>701500.92799999996</v>
      </c>
      <c r="O56" s="61">
        <v>4810284.9790000003</v>
      </c>
    </row>
    <row r="57" spans="2:15" s="54" customFormat="1" ht="14.1" customHeight="1" x14ac:dyDescent="0.2">
      <c r="B57" s="146" t="s">
        <v>144</v>
      </c>
      <c r="C57" s="60"/>
      <c r="D57" s="60">
        <v>1390.7829999999999</v>
      </c>
      <c r="E57" s="60">
        <v>70675.846000000005</v>
      </c>
      <c r="F57" s="60">
        <v>5924737.4110000003</v>
      </c>
      <c r="G57" s="60">
        <v>41474.161</v>
      </c>
      <c r="H57" s="60">
        <v>6038278.2010000004</v>
      </c>
      <c r="I57" s="60">
        <v>13.419</v>
      </c>
      <c r="J57" s="60">
        <v>180992.97500000001</v>
      </c>
      <c r="K57" s="60">
        <v>181006.394</v>
      </c>
      <c r="L57" s="60">
        <v>23929.437000000002</v>
      </c>
      <c r="M57" s="60">
        <v>693978.13899999997</v>
      </c>
      <c r="N57" s="60">
        <v>717907.576</v>
      </c>
      <c r="O57" s="61">
        <v>6937192.1710000001</v>
      </c>
    </row>
    <row r="58" spans="2:15" s="54" customFormat="1" ht="14.1" customHeight="1" x14ac:dyDescent="0.2">
      <c r="B58" s="143" t="s">
        <v>145</v>
      </c>
      <c r="C58" s="144"/>
      <c r="D58" s="144">
        <v>6079.0950000000003</v>
      </c>
      <c r="E58" s="144">
        <v>195658.60800000001</v>
      </c>
      <c r="F58" s="144">
        <v>7923013.7429999998</v>
      </c>
      <c r="G58" s="144">
        <v>48005.052000000003</v>
      </c>
      <c r="H58" s="144">
        <v>8172756.4979999997</v>
      </c>
      <c r="I58" s="144">
        <v>15.946999999999999</v>
      </c>
      <c r="J58" s="144">
        <v>397713.109</v>
      </c>
      <c r="K58" s="144">
        <v>397729.05599999998</v>
      </c>
      <c r="L58" s="144">
        <v>63530.591999999997</v>
      </c>
      <c r="M58" s="144">
        <v>1175253.139</v>
      </c>
      <c r="N58" s="144">
        <v>1238783.7309999999</v>
      </c>
      <c r="O58" s="145">
        <v>9809269.2850000001</v>
      </c>
    </row>
    <row r="59" spans="2:15" s="54" customFormat="1" ht="14.1" customHeight="1" x14ac:dyDescent="0.2">
      <c r="B59" s="146" t="s">
        <v>146</v>
      </c>
      <c r="C59" s="60"/>
      <c r="D59" s="60">
        <v>14.914999999999999</v>
      </c>
      <c r="E59" s="60">
        <v>31956.745999999999</v>
      </c>
      <c r="F59" s="60">
        <v>2104337.7880000002</v>
      </c>
      <c r="G59" s="60">
        <v>67.644000000000005</v>
      </c>
      <c r="H59" s="60">
        <v>2136377.0929999999</v>
      </c>
      <c r="I59" s="60">
        <v>31.920999999999999</v>
      </c>
      <c r="J59" s="60">
        <v>4638.8029999999999</v>
      </c>
      <c r="K59" s="60">
        <v>4670.7240000000002</v>
      </c>
      <c r="L59" s="60">
        <v>2965.0520000000001</v>
      </c>
      <c r="M59" s="60">
        <v>899366.5</v>
      </c>
      <c r="N59" s="60">
        <v>902331.55200000003</v>
      </c>
      <c r="O59" s="61">
        <v>3043379.3689999999</v>
      </c>
    </row>
    <row r="60" spans="2:15" s="54" customFormat="1" ht="14.1" customHeight="1" x14ac:dyDescent="0.2">
      <c r="B60" s="146" t="s">
        <v>147</v>
      </c>
      <c r="C60" s="60"/>
      <c r="D60" s="60">
        <v>1031.671</v>
      </c>
      <c r="E60" s="60">
        <v>58775.930999999997</v>
      </c>
      <c r="F60" s="60">
        <v>4195749.8329999996</v>
      </c>
      <c r="G60" s="60">
        <v>556.447</v>
      </c>
      <c r="H60" s="60">
        <v>4256113.8819999993</v>
      </c>
      <c r="I60" s="60">
        <v>31.920999999999999</v>
      </c>
      <c r="J60" s="60">
        <v>94154.616999999998</v>
      </c>
      <c r="K60" s="60">
        <v>94186.538</v>
      </c>
      <c r="L60" s="60">
        <v>8072.3630000000003</v>
      </c>
      <c r="M60" s="60">
        <v>899366.5</v>
      </c>
      <c r="N60" s="60">
        <v>907438.86300000001</v>
      </c>
      <c r="O60" s="61">
        <v>5257739.2829999998</v>
      </c>
    </row>
    <row r="61" spans="2:15" s="54" customFormat="1" ht="14.1" customHeight="1" x14ac:dyDescent="0.2">
      <c r="B61" s="146" t="s">
        <v>148</v>
      </c>
      <c r="C61" s="60"/>
      <c r="D61" s="60">
        <v>1872.4190000000001</v>
      </c>
      <c r="E61" s="60">
        <v>79739.491999999998</v>
      </c>
      <c r="F61" s="60">
        <v>6301069.5290000001</v>
      </c>
      <c r="G61" s="60">
        <v>4392.4650000000001</v>
      </c>
      <c r="H61" s="60">
        <v>6387073.9050000003</v>
      </c>
      <c r="I61" s="60">
        <v>1143.0319999999999</v>
      </c>
      <c r="J61" s="60">
        <v>187941.883</v>
      </c>
      <c r="K61" s="60">
        <v>189084.91500000001</v>
      </c>
      <c r="L61" s="60">
        <v>22453.052</v>
      </c>
      <c r="M61" s="60">
        <v>899366.5</v>
      </c>
      <c r="N61" s="60">
        <v>921819.55200000003</v>
      </c>
      <c r="O61" s="61">
        <v>7497978.3720000004</v>
      </c>
    </row>
    <row r="62" spans="2:15" s="54" customFormat="1" ht="14.1" customHeight="1" x14ac:dyDescent="0.2">
      <c r="B62" s="143" t="s">
        <v>149</v>
      </c>
      <c r="C62" s="144">
        <v>0</v>
      </c>
      <c r="D62" s="144">
        <v>5699.96</v>
      </c>
      <c r="E62" s="144">
        <v>213372.02900000001</v>
      </c>
      <c r="F62" s="144">
        <v>8364077.5099999998</v>
      </c>
      <c r="G62" s="144">
        <v>48138.764000000003</v>
      </c>
      <c r="H62" s="144">
        <v>8631288.2630000003</v>
      </c>
      <c r="I62" s="144">
        <v>1965.9970000000001</v>
      </c>
      <c r="J62" s="144">
        <v>298786.109</v>
      </c>
      <c r="K62" s="144">
        <v>300752.10599999997</v>
      </c>
      <c r="L62" s="144">
        <v>36122.35</v>
      </c>
      <c r="M62" s="144">
        <v>1139366.5</v>
      </c>
      <c r="N62" s="144">
        <v>1175488.8500000001</v>
      </c>
      <c r="O62" s="145">
        <v>10107529.219000001</v>
      </c>
    </row>
    <row r="63" spans="2:15" s="54" customFormat="1" ht="14.1" customHeight="1" x14ac:dyDescent="0.2">
      <c r="B63" s="63" t="s">
        <v>150</v>
      </c>
      <c r="C63" s="60">
        <v>0</v>
      </c>
      <c r="D63" s="60">
        <v>0</v>
      </c>
      <c r="E63" s="60">
        <v>11608.14</v>
      </c>
      <c r="F63" s="60">
        <v>2217494.6850000001</v>
      </c>
      <c r="G63" s="60">
        <v>366.31299999999999</v>
      </c>
      <c r="H63" s="60">
        <v>2229469.1380000003</v>
      </c>
      <c r="I63" s="60">
        <v>1105.8430000000001</v>
      </c>
      <c r="J63" s="60">
        <v>1184.1300000000001</v>
      </c>
      <c r="K63" s="60">
        <v>2289.973</v>
      </c>
      <c r="L63" s="60">
        <v>2862.52</v>
      </c>
      <c r="M63" s="60">
        <v>415000</v>
      </c>
      <c r="N63" s="60">
        <v>417862.52</v>
      </c>
      <c r="O63" s="61">
        <v>2649621.6310000001</v>
      </c>
    </row>
    <row r="64" spans="2:15" s="54" customFormat="1" ht="14.1" customHeight="1" x14ac:dyDescent="0.2">
      <c r="B64" s="63" t="s">
        <v>151</v>
      </c>
      <c r="C64" s="60"/>
      <c r="D64" s="60">
        <v>928.91899999999998</v>
      </c>
      <c r="E64" s="60">
        <v>34064.411999999997</v>
      </c>
      <c r="F64" s="60">
        <v>4427386.3099999996</v>
      </c>
      <c r="G64" s="60">
        <v>7456.9989999999998</v>
      </c>
      <c r="H64" s="60">
        <v>4469836.6399999997</v>
      </c>
      <c r="I64" s="60">
        <v>1105.8430000000001</v>
      </c>
      <c r="J64" s="60">
        <v>39202.262000000002</v>
      </c>
      <c r="K64" s="60">
        <v>40308.105000000003</v>
      </c>
      <c r="L64" s="60">
        <v>8416.3819999999996</v>
      </c>
      <c r="M64" s="60">
        <v>839847</v>
      </c>
      <c r="N64" s="60">
        <v>848263.38199999998</v>
      </c>
      <c r="O64" s="61">
        <v>5358408.1269999994</v>
      </c>
    </row>
    <row r="65" spans="2:15" s="54" customFormat="1" ht="14.1" customHeight="1" x14ac:dyDescent="0.2">
      <c r="B65" s="63" t="s">
        <v>152</v>
      </c>
      <c r="C65" s="60">
        <v>0</v>
      </c>
      <c r="D65" s="60">
        <v>1470.1780000000001</v>
      </c>
      <c r="E65" s="60">
        <v>54735.464999999997</v>
      </c>
      <c r="F65" s="60">
        <v>6634225.648</v>
      </c>
      <c r="G65" s="60">
        <v>30414.978999999999</v>
      </c>
      <c r="H65" s="60">
        <v>6720846.2700000005</v>
      </c>
      <c r="I65" s="60">
        <v>1457.047</v>
      </c>
      <c r="J65" s="60">
        <v>83613.895999999993</v>
      </c>
      <c r="K65" s="60">
        <v>85070.942999999999</v>
      </c>
      <c r="L65" s="60">
        <v>23348.344000000001</v>
      </c>
      <c r="M65" s="60">
        <v>839847</v>
      </c>
      <c r="N65" s="60">
        <v>863195.34400000004</v>
      </c>
      <c r="O65" s="61">
        <v>7669112.557</v>
      </c>
    </row>
    <row r="66" spans="2:15" s="54" customFormat="1" ht="14.1" customHeight="1" x14ac:dyDescent="0.2">
      <c r="B66" s="143" t="s">
        <v>153</v>
      </c>
      <c r="C66" s="144"/>
      <c r="D66" s="144">
        <v>3940.9450000000002</v>
      </c>
      <c r="E66" s="144">
        <v>180366.85500000001</v>
      </c>
      <c r="F66" s="144">
        <v>8539794.3049999997</v>
      </c>
      <c r="G66" s="144">
        <v>35408.904000000002</v>
      </c>
      <c r="H66" s="144">
        <v>8759511.0089999996</v>
      </c>
      <c r="I66" s="144">
        <v>1466.5840000000001</v>
      </c>
      <c r="J66" s="144">
        <v>125726.289</v>
      </c>
      <c r="K66" s="144">
        <v>127192.87300000001</v>
      </c>
      <c r="L66" s="144">
        <v>52589.764999999999</v>
      </c>
      <c r="M66" s="144">
        <v>1163018.1640000001</v>
      </c>
      <c r="N66" s="144">
        <v>1215607.929</v>
      </c>
      <c r="O66" s="145">
        <v>10102311.810999999</v>
      </c>
    </row>
    <row r="67" spans="2:15" s="54" customFormat="1" ht="14.1" customHeight="1" x14ac:dyDescent="0.2">
      <c r="B67" s="63" t="s">
        <v>154</v>
      </c>
      <c r="C67" s="60"/>
      <c r="D67" s="60">
        <v>0</v>
      </c>
      <c r="E67" s="60">
        <v>14597.593999999999</v>
      </c>
      <c r="F67" s="60">
        <v>2296362.767</v>
      </c>
      <c r="G67" s="60">
        <v>168.99299999999999</v>
      </c>
      <c r="H67" s="60">
        <v>2311129.3539999998</v>
      </c>
      <c r="I67" s="60">
        <v>2.726</v>
      </c>
      <c r="J67" s="60">
        <v>33152.741999999998</v>
      </c>
      <c r="K67" s="60">
        <v>33155.468000000001</v>
      </c>
      <c r="L67" s="60">
        <v>1940.5640000000001</v>
      </c>
      <c r="M67" s="60">
        <v>495970</v>
      </c>
      <c r="N67" s="60">
        <v>497910.56400000001</v>
      </c>
      <c r="O67" s="61">
        <v>2842195.3859999999</v>
      </c>
    </row>
    <row r="68" spans="2:15" s="54" customFormat="1" ht="14.1" customHeight="1" x14ac:dyDescent="0.2">
      <c r="B68" s="63" t="s">
        <v>155</v>
      </c>
      <c r="C68" s="60"/>
      <c r="D68" s="60">
        <v>425.55500000000001</v>
      </c>
      <c r="E68" s="60">
        <v>36528.841999999997</v>
      </c>
      <c r="F68" s="60">
        <v>4594095.4740000004</v>
      </c>
      <c r="G68" s="60">
        <v>1873.7159999999999</v>
      </c>
      <c r="H68" s="60">
        <v>4632923.5870000003</v>
      </c>
      <c r="I68" s="60">
        <v>2.726</v>
      </c>
      <c r="J68" s="60">
        <v>72021.523000000001</v>
      </c>
      <c r="K68" s="60">
        <v>72024.248999999996</v>
      </c>
      <c r="L68" s="60">
        <v>31119.841</v>
      </c>
      <c r="M68" s="60">
        <v>745970</v>
      </c>
      <c r="N68" s="60">
        <v>777089.84100000001</v>
      </c>
      <c r="O68" s="61">
        <v>5482037.6770000001</v>
      </c>
    </row>
    <row r="69" spans="2:15" s="54" customFormat="1" ht="14.1" customHeight="1" x14ac:dyDescent="0.2">
      <c r="B69" s="63" t="s">
        <v>156</v>
      </c>
      <c r="C69" s="60"/>
      <c r="D69" s="60">
        <v>1818.8050000000001</v>
      </c>
      <c r="E69" s="60">
        <v>62406.675999999999</v>
      </c>
      <c r="F69" s="60">
        <v>6901519.5710000005</v>
      </c>
      <c r="G69" s="60">
        <v>1945.3140000000001</v>
      </c>
      <c r="H69" s="60">
        <v>6967690.3660000004</v>
      </c>
      <c r="I69" s="60">
        <v>932.726</v>
      </c>
      <c r="J69" s="60">
        <v>107539.227</v>
      </c>
      <c r="K69" s="60">
        <v>108471.95299999999</v>
      </c>
      <c r="L69" s="60">
        <v>36033.411999999997</v>
      </c>
      <c r="M69" s="60">
        <v>745970</v>
      </c>
      <c r="N69" s="60">
        <v>782003.41200000001</v>
      </c>
      <c r="O69" s="61">
        <v>7858165.7310000006</v>
      </c>
    </row>
    <row r="70" spans="2:15" s="54" customFormat="1" ht="14.1" customHeight="1" x14ac:dyDescent="0.2">
      <c r="B70" s="143" t="s">
        <v>157</v>
      </c>
      <c r="C70" s="144"/>
      <c r="D70" s="144">
        <v>3917.7570000000001</v>
      </c>
      <c r="E70" s="144">
        <v>181563.86199999999</v>
      </c>
      <c r="F70" s="144">
        <v>8837819.9399999995</v>
      </c>
      <c r="G70" s="144">
        <v>36197.716</v>
      </c>
      <c r="H70" s="144">
        <v>9059499.2750000004</v>
      </c>
      <c r="I70" s="144">
        <v>945.65099999999995</v>
      </c>
      <c r="J70" s="144">
        <v>173210.247</v>
      </c>
      <c r="K70" s="144">
        <v>174155.89800000002</v>
      </c>
      <c r="L70" s="144">
        <v>66574.107000000004</v>
      </c>
      <c r="M70" s="144">
        <v>1106042</v>
      </c>
      <c r="N70" s="144">
        <v>1172616.1070000001</v>
      </c>
      <c r="O70" s="145">
        <v>10406271.280000001</v>
      </c>
    </row>
    <row r="71" spans="2:15" s="54" customFormat="1" ht="14.1" customHeight="1" x14ac:dyDescent="0.2">
      <c r="B71" s="63" t="s">
        <v>158</v>
      </c>
      <c r="C71" s="60"/>
      <c r="D71" s="60">
        <v>0</v>
      </c>
      <c r="E71" s="60">
        <v>13703.445</v>
      </c>
      <c r="F71" s="60">
        <v>2311309.551</v>
      </c>
      <c r="G71" s="60">
        <v>109.61199999999999</v>
      </c>
      <c r="H71" s="60">
        <v>2325122.608</v>
      </c>
      <c r="I71" s="60">
        <v>0</v>
      </c>
      <c r="J71" s="60">
        <v>3817.1039999999998</v>
      </c>
      <c r="K71" s="60">
        <v>3817.1039999999998</v>
      </c>
      <c r="L71" s="60">
        <v>3980.2710000000002</v>
      </c>
      <c r="M71" s="60">
        <v>520000</v>
      </c>
      <c r="N71" s="60">
        <v>523980.27100000001</v>
      </c>
      <c r="O71" s="61">
        <v>2852919.983</v>
      </c>
    </row>
    <row r="72" spans="2:15" s="54" customFormat="1" ht="14.1" customHeight="1" x14ac:dyDescent="0.2">
      <c r="B72" s="63" t="s">
        <v>159</v>
      </c>
      <c r="C72" s="60">
        <v>0</v>
      </c>
      <c r="D72" s="60">
        <v>561.98900000000003</v>
      </c>
      <c r="E72" s="60">
        <v>37113.754999999997</v>
      </c>
      <c r="F72" s="60">
        <v>4610205.3320000004</v>
      </c>
      <c r="G72" s="60">
        <v>593.28899999999999</v>
      </c>
      <c r="H72" s="60">
        <v>4648474.3650000002</v>
      </c>
      <c r="I72" s="60">
        <v>0</v>
      </c>
      <c r="J72" s="60">
        <v>38343.949999999997</v>
      </c>
      <c r="K72" s="60">
        <v>38343.949999999997</v>
      </c>
      <c r="L72" s="60">
        <v>9361.4989999999998</v>
      </c>
      <c r="M72" s="60">
        <v>746665.09199999995</v>
      </c>
      <c r="N72" s="60">
        <v>756026.5909999999</v>
      </c>
      <c r="O72" s="61">
        <v>5442844.9060000004</v>
      </c>
    </row>
    <row r="73" spans="2:15" s="54" customFormat="1" ht="14.1" customHeight="1" x14ac:dyDescent="0.2">
      <c r="B73" s="63" t="s">
        <v>160</v>
      </c>
      <c r="C73" s="60"/>
      <c r="D73" s="60">
        <v>980.38400000000001</v>
      </c>
      <c r="E73" s="60">
        <v>63273.781999999999</v>
      </c>
      <c r="F73" s="60">
        <v>6893070.4419999998</v>
      </c>
      <c r="G73" s="60">
        <v>820.31700000000001</v>
      </c>
      <c r="H73" s="60">
        <v>6958144.9249999998</v>
      </c>
      <c r="I73" s="60">
        <v>0</v>
      </c>
      <c r="J73" s="60">
        <v>44991.589</v>
      </c>
      <c r="K73" s="60">
        <v>44991.589</v>
      </c>
      <c r="L73" s="60">
        <v>17555.715</v>
      </c>
      <c r="M73" s="60">
        <v>946665.09199999995</v>
      </c>
      <c r="N73" s="60">
        <v>964220.80699999991</v>
      </c>
      <c r="O73" s="61">
        <v>7967357.3209999995</v>
      </c>
    </row>
    <row r="74" spans="2:15" s="54" customFormat="1" ht="14.1" customHeight="1" x14ac:dyDescent="0.2">
      <c r="B74" s="143" t="s">
        <v>161</v>
      </c>
      <c r="C74" s="144">
        <v>0</v>
      </c>
      <c r="D74" s="144">
        <v>3991.7905900000005</v>
      </c>
      <c r="E74" s="144">
        <v>178021.76699999999</v>
      </c>
      <c r="F74" s="144">
        <v>9944281.6582699995</v>
      </c>
      <c r="G74" s="144">
        <v>2152.1970799999999</v>
      </c>
      <c r="H74" s="144">
        <f t="shared" ref="H74" si="4">SUM(C74:G74)</f>
        <v>10128447.412939999</v>
      </c>
      <c r="I74" s="144">
        <v>177.01770999999999</v>
      </c>
      <c r="J74" s="144">
        <v>137005.15420000002</v>
      </c>
      <c r="K74" s="144">
        <f t="shared" ref="K74:K76" si="5">J74+I74</f>
        <v>137182.17191</v>
      </c>
      <c r="L74" s="144">
        <v>23787.02363</v>
      </c>
      <c r="M74" s="144">
        <v>975047.23332</v>
      </c>
      <c r="N74" s="144">
        <f t="shared" ref="N74:N76" si="6">SUM(L74:M74)</f>
        <v>998834.25694999995</v>
      </c>
      <c r="O74" s="145">
        <f t="shared" ref="O74:O76" si="7">N74+K74+H74</f>
        <v>11264463.841799999</v>
      </c>
    </row>
    <row r="75" spans="2:15" s="54" customFormat="1" ht="14.1" customHeight="1" x14ac:dyDescent="0.2">
      <c r="B75" s="63" t="s">
        <v>162</v>
      </c>
      <c r="C75" s="60">
        <v>0</v>
      </c>
      <c r="D75" s="60">
        <v>0</v>
      </c>
      <c r="E75" s="60">
        <v>12906.805</v>
      </c>
      <c r="F75" s="60">
        <v>2416695.7009999999</v>
      </c>
      <c r="G75" s="60">
        <v>667.90200000000004</v>
      </c>
      <c r="H75" s="60">
        <f t="shared" ref="H75" si="8">SUM(C75:G75)</f>
        <v>2430270.4079999998</v>
      </c>
      <c r="I75" s="60">
        <v>0</v>
      </c>
      <c r="J75" s="60">
        <v>2656.4960000000001</v>
      </c>
      <c r="K75" s="60">
        <f t="shared" si="5"/>
        <v>2656.4960000000001</v>
      </c>
      <c r="L75" s="60">
        <v>2014.971</v>
      </c>
      <c r="M75" s="60">
        <v>497708</v>
      </c>
      <c r="N75" s="60">
        <f t="shared" si="6"/>
        <v>499722.97100000002</v>
      </c>
      <c r="O75" s="61">
        <f t="shared" si="7"/>
        <v>2932649.875</v>
      </c>
    </row>
    <row r="76" spans="2:15" s="54" customFormat="1" ht="14.1" customHeight="1" x14ac:dyDescent="0.2">
      <c r="B76" s="63" t="s">
        <v>163</v>
      </c>
      <c r="C76" s="60">
        <v>0</v>
      </c>
      <c r="D76" s="60">
        <v>866.80207000000007</v>
      </c>
      <c r="E76" s="60">
        <v>34415.63869</v>
      </c>
      <c r="F76" s="60">
        <v>4834620.8338099997</v>
      </c>
      <c r="G76" s="60">
        <v>784.24940000000004</v>
      </c>
      <c r="H76" s="60">
        <f t="shared" ref="H76" si="9">SUM(C76:G76)</f>
        <v>4870687.5239699995</v>
      </c>
      <c r="I76" s="60">
        <v>11295.75568</v>
      </c>
      <c r="J76" s="60">
        <v>19932.374390000001</v>
      </c>
      <c r="K76" s="60">
        <f t="shared" si="5"/>
        <v>31228.130069999999</v>
      </c>
      <c r="L76" s="60">
        <v>9769.1398499999996</v>
      </c>
      <c r="M76" s="60">
        <v>994438</v>
      </c>
      <c r="N76" s="60">
        <f t="shared" si="6"/>
        <v>1004207.13985</v>
      </c>
      <c r="O76" s="61">
        <f t="shared" si="7"/>
        <v>5906122.7938899994</v>
      </c>
    </row>
    <row r="77" spans="2:15" s="54" customFormat="1" ht="14.1" customHeight="1" x14ac:dyDescent="0.2">
      <c r="B77" s="63" t="s">
        <v>164</v>
      </c>
      <c r="C77" s="60"/>
      <c r="D77" s="60">
        <v>1615.0881399999998</v>
      </c>
      <c r="E77" s="60">
        <v>51976.279429999995</v>
      </c>
      <c r="F77" s="60">
        <v>7267334.8865200002</v>
      </c>
      <c r="G77" s="60">
        <v>1143.5916599999998</v>
      </c>
      <c r="H77" s="60">
        <v>7322069.8457500003</v>
      </c>
      <c r="I77" s="60">
        <v>11295.75568</v>
      </c>
      <c r="J77" s="60">
        <v>37918.688699999999</v>
      </c>
      <c r="K77" s="60">
        <v>49214.444380000001</v>
      </c>
      <c r="L77" s="60">
        <v>18394.612440000001</v>
      </c>
      <c r="M77" s="60">
        <v>994438</v>
      </c>
      <c r="N77" s="60">
        <v>1012832.6124400001</v>
      </c>
      <c r="O77" s="61">
        <v>8384116.9025699999</v>
      </c>
    </row>
    <row r="78" spans="2:15" s="54" customFormat="1" ht="14.1" customHeight="1" x14ac:dyDescent="0.2">
      <c r="B78" s="143" t="s">
        <v>165</v>
      </c>
      <c r="C78" s="144"/>
      <c r="D78" s="144">
        <v>4133.6679999999997</v>
      </c>
      <c r="E78" s="144">
        <v>170011.15299999999</v>
      </c>
      <c r="F78" s="144">
        <v>10099605.665999999</v>
      </c>
      <c r="G78" s="144">
        <v>1663.2809999999999</v>
      </c>
      <c r="H78" s="144">
        <v>10275413.767999999</v>
      </c>
      <c r="I78" s="144">
        <v>12073.880999999999</v>
      </c>
      <c r="J78" s="144">
        <v>106385.281</v>
      </c>
      <c r="K78" s="144">
        <v>118459.162</v>
      </c>
      <c r="L78" s="144">
        <v>23447.327000000001</v>
      </c>
      <c r="M78" s="144">
        <v>1273710.5279999999</v>
      </c>
      <c r="N78" s="144">
        <v>1297157.855</v>
      </c>
      <c r="O78" s="145">
        <v>11691030.785</v>
      </c>
    </row>
    <row r="79" spans="2:15" s="54" customFormat="1" ht="14.1" customHeight="1" x14ac:dyDescent="0.2">
      <c r="B79" s="63" t="s">
        <v>166</v>
      </c>
      <c r="C79" s="60">
        <v>0</v>
      </c>
      <c r="D79" s="60">
        <v>0</v>
      </c>
      <c r="E79" s="60">
        <v>14783.897999999999</v>
      </c>
      <c r="F79" s="60">
        <v>2578475.2749999999</v>
      </c>
      <c r="G79" s="60">
        <v>538.827</v>
      </c>
      <c r="H79" s="60">
        <v>2593798</v>
      </c>
      <c r="I79" s="60">
        <v>0</v>
      </c>
      <c r="J79" s="60">
        <v>6177.6090000000004</v>
      </c>
      <c r="K79" s="60">
        <v>6177.6090000000004</v>
      </c>
      <c r="L79" s="60">
        <v>2483.1120000000001</v>
      </c>
      <c r="M79" s="60">
        <v>0</v>
      </c>
      <c r="N79" s="60">
        <v>2483.1120000000001</v>
      </c>
      <c r="O79" s="61">
        <v>2602458.7209999999</v>
      </c>
    </row>
    <row r="80" spans="2:15" s="54" customFormat="1" ht="14.1" customHeight="1" x14ac:dyDescent="0.2">
      <c r="B80" s="63" t="s">
        <v>167</v>
      </c>
      <c r="C80" s="60"/>
      <c r="D80" s="60">
        <v>1034.9876200000001</v>
      </c>
      <c r="E80" s="60">
        <v>40046.451240000002</v>
      </c>
      <c r="F80" s="60">
        <v>5173255.2405399997</v>
      </c>
      <c r="G80" s="60">
        <v>579.95769999999993</v>
      </c>
      <c r="H80" s="60">
        <v>5214916.6370999999</v>
      </c>
      <c r="I80" s="60">
        <v>0</v>
      </c>
      <c r="J80" s="60">
        <v>23877.374680000004</v>
      </c>
      <c r="K80" s="60">
        <v>23877.374680000004</v>
      </c>
      <c r="L80" s="60">
        <v>7230.1907499999998</v>
      </c>
      <c r="M80" s="60">
        <v>785064.15</v>
      </c>
      <c r="N80" s="60">
        <v>792294.34074999997</v>
      </c>
      <c r="O80" s="61">
        <v>6031088.3525299998</v>
      </c>
    </row>
    <row r="81" spans="2:15" s="54" customFormat="1" ht="14.1" customHeight="1" x14ac:dyDescent="0.2">
      <c r="B81" s="146" t="s">
        <v>168</v>
      </c>
      <c r="C81" s="174">
        <v>0</v>
      </c>
      <c r="D81" s="60">
        <v>2086.6199000000001</v>
      </c>
      <c r="E81" s="60">
        <v>58414.53282</v>
      </c>
      <c r="F81" s="60">
        <v>7773300.3234999999</v>
      </c>
      <c r="G81" s="60">
        <v>2749.7650200000003</v>
      </c>
      <c r="H81" s="60">
        <f t="shared" ref="H81" si="10">SUM(C81:G81)</f>
        <v>7836551.2412399994</v>
      </c>
      <c r="I81" s="60">
        <v>11.737</v>
      </c>
      <c r="J81" s="60">
        <v>44229.798239999996</v>
      </c>
      <c r="K81" s="60">
        <f t="shared" ref="K81" si="11">J81+I81</f>
        <v>44241.535239999997</v>
      </c>
      <c r="L81" s="60">
        <v>10128.234850000001</v>
      </c>
      <c r="M81" s="60">
        <v>785064.15</v>
      </c>
      <c r="N81" s="60">
        <f t="shared" ref="N81" si="12">SUM(L81:M81)</f>
        <v>795192.38485000003</v>
      </c>
      <c r="O81" s="61">
        <f t="shared" ref="O81" si="13">N81+K81+H81</f>
        <v>8675985.1613299996</v>
      </c>
    </row>
    <row r="82" spans="2:15" s="54" customFormat="1" ht="14.1" customHeight="1" x14ac:dyDescent="0.2">
      <c r="B82" s="143" t="s">
        <v>169</v>
      </c>
      <c r="C82" s="144"/>
      <c r="D82" s="144">
        <v>4147</v>
      </c>
      <c r="E82" s="144">
        <v>179812</v>
      </c>
      <c r="F82" s="144">
        <v>10499214</v>
      </c>
      <c r="G82" s="144">
        <v>3397</v>
      </c>
      <c r="H82" s="144">
        <v>10686570</v>
      </c>
      <c r="I82" s="144">
        <v>47</v>
      </c>
      <c r="J82" s="144">
        <v>56379</v>
      </c>
      <c r="K82" s="144">
        <v>56426</v>
      </c>
      <c r="L82" s="144">
        <v>20725</v>
      </c>
      <c r="M82" s="144">
        <v>870696</v>
      </c>
      <c r="N82" s="144">
        <v>891421</v>
      </c>
      <c r="O82" s="145">
        <v>11634417</v>
      </c>
    </row>
    <row r="83" spans="2:15" s="54" customFormat="1" ht="14.1" customHeight="1" x14ac:dyDescent="0.2">
      <c r="B83" s="63" t="s">
        <v>170</v>
      </c>
      <c r="C83" s="60">
        <v>0</v>
      </c>
      <c r="D83" s="60">
        <v>0</v>
      </c>
      <c r="E83" s="60">
        <v>14558.69564</v>
      </c>
      <c r="F83" s="60">
        <v>2655845.2720500003</v>
      </c>
      <c r="G83" s="60">
        <v>533.59335999999996</v>
      </c>
      <c r="H83" s="60">
        <v>2670937.5610500001</v>
      </c>
      <c r="I83" s="60"/>
      <c r="J83" s="60">
        <v>7897.2181700000001</v>
      </c>
      <c r="K83" s="60">
        <v>7897.2181700000001</v>
      </c>
      <c r="L83" s="60">
        <v>1591.7676000000001</v>
      </c>
      <c r="M83" s="60">
        <v>0</v>
      </c>
      <c r="N83" s="60">
        <v>1591.7676000000001</v>
      </c>
      <c r="O83" s="61">
        <v>2680426.5468200003</v>
      </c>
    </row>
    <row r="84" spans="2:15" s="54" customFormat="1" ht="14.1" customHeight="1" x14ac:dyDescent="0.2">
      <c r="B84" s="63" t="s">
        <v>171</v>
      </c>
      <c r="C84" s="60">
        <v>0</v>
      </c>
      <c r="D84" s="60">
        <v>51.065010000000001</v>
      </c>
      <c r="E84" s="60">
        <v>24489.368920000001</v>
      </c>
      <c r="F84" s="60">
        <v>5341014.4476299994</v>
      </c>
      <c r="G84" s="60">
        <v>600.53006000000005</v>
      </c>
      <c r="H84" s="60">
        <v>5366155.4116199994</v>
      </c>
      <c r="I84" s="60">
        <v>0.77</v>
      </c>
      <c r="J84" s="60">
        <v>32890.203009999997</v>
      </c>
      <c r="K84" s="60">
        <v>32890.973009999994</v>
      </c>
      <c r="L84" s="60">
        <v>7750.4894399999994</v>
      </c>
      <c r="M84" s="60">
        <v>882009.35499999998</v>
      </c>
      <c r="N84" s="60">
        <v>889759.84444000002</v>
      </c>
      <c r="O84" s="61">
        <v>6288806.2290699994</v>
      </c>
    </row>
    <row r="85" spans="2:15" s="54" customFormat="1" ht="14.1" customHeight="1" x14ac:dyDescent="0.2">
      <c r="B85" s="63" t="s">
        <v>172</v>
      </c>
      <c r="C85" s="60">
        <v>0</v>
      </c>
      <c r="D85" s="60">
        <v>323.67811</v>
      </c>
      <c r="E85" s="60">
        <v>46771.752959999998</v>
      </c>
      <c r="F85" s="60">
        <v>6278593.1575399991</v>
      </c>
      <c r="G85" s="60">
        <v>640.21367000000009</v>
      </c>
      <c r="H85" s="60">
        <v>6326328.8022799995</v>
      </c>
      <c r="I85" s="60">
        <v>1.1439999999999999</v>
      </c>
      <c r="J85" s="60">
        <v>40883.98489</v>
      </c>
      <c r="K85" s="60">
        <v>40885.12889</v>
      </c>
      <c r="L85" s="60">
        <v>10394.92052</v>
      </c>
      <c r="M85" s="60">
        <v>882009.35499999998</v>
      </c>
      <c r="N85" s="60">
        <v>892404.27552000002</v>
      </c>
      <c r="O85" s="61">
        <v>7259618.2066899994</v>
      </c>
    </row>
    <row r="86" spans="2:15" s="54" customFormat="1" ht="14.1" customHeight="1" x14ac:dyDescent="0.2">
      <c r="B86" s="143" t="s">
        <v>173</v>
      </c>
      <c r="C86" s="144">
        <v>0</v>
      </c>
      <c r="D86" s="144">
        <v>2363.6486500000001</v>
      </c>
      <c r="E86" s="144">
        <v>138540.48683000001</v>
      </c>
      <c r="F86" s="144">
        <v>9943131.1882199999</v>
      </c>
      <c r="G86" s="144">
        <v>26949.509449999998</v>
      </c>
      <c r="H86" s="144">
        <v>10110984.833149999</v>
      </c>
      <c r="I86" s="144">
        <v>1.2629999999999999</v>
      </c>
      <c r="J86" s="144">
        <v>69940.049400000004</v>
      </c>
      <c r="K86" s="144">
        <v>69941.31240000001</v>
      </c>
      <c r="L86" s="144">
        <v>48605.804600000003</v>
      </c>
      <c r="M86" s="144">
        <v>2092610.415</v>
      </c>
      <c r="N86" s="144">
        <v>2141216.2196</v>
      </c>
      <c r="O86" s="145">
        <v>12322142.365149999</v>
      </c>
    </row>
    <row r="87" spans="2:15" s="54" customFormat="1" ht="14.1" customHeight="1" x14ac:dyDescent="0.2">
      <c r="B87" s="63" t="s">
        <v>174</v>
      </c>
      <c r="C87" s="60">
        <v>0</v>
      </c>
      <c r="D87" s="60">
        <v>0</v>
      </c>
      <c r="E87" s="60">
        <v>17529.831679999999</v>
      </c>
      <c r="F87" s="60">
        <v>2443717.1160800001</v>
      </c>
      <c r="G87" s="60">
        <v>498.55133000000001</v>
      </c>
      <c r="H87" s="60">
        <v>2461745.4990900001</v>
      </c>
      <c r="I87" s="60">
        <v>6.8000000000000005E-2</v>
      </c>
      <c r="J87" s="60">
        <v>10525.316469999998</v>
      </c>
      <c r="K87" s="60">
        <v>10525.384469999997</v>
      </c>
      <c r="L87" s="60">
        <v>1572.9193700000001</v>
      </c>
      <c r="M87" s="60">
        <v>172389.83562</v>
      </c>
      <c r="N87" s="60">
        <v>173962.75498999999</v>
      </c>
      <c r="O87" s="61">
        <v>2646233.6385500003</v>
      </c>
    </row>
    <row r="88" spans="2:15" s="54" customFormat="1" ht="14.1" customHeight="1" x14ac:dyDescent="0.2">
      <c r="B88" s="63" t="s">
        <v>175</v>
      </c>
      <c r="C88" s="60">
        <v>0</v>
      </c>
      <c r="D88" s="60">
        <v>122.73293</v>
      </c>
      <c r="E88" s="60">
        <v>42243.835769999998</v>
      </c>
      <c r="F88" s="60">
        <v>5122213.08237</v>
      </c>
      <c r="G88" s="60">
        <v>565.25794000000008</v>
      </c>
      <c r="H88" s="60">
        <v>5165144.9090099996</v>
      </c>
      <c r="I88" s="60">
        <v>0.82699999999999996</v>
      </c>
      <c r="J88" s="60">
        <v>42177.467499999992</v>
      </c>
      <c r="K88" s="60">
        <v>42178.294499999989</v>
      </c>
      <c r="L88" s="60">
        <v>4225.3625400000001</v>
      </c>
      <c r="M88" s="60">
        <v>1165109.8356199998</v>
      </c>
      <c r="N88" s="60">
        <v>1169335.1981599997</v>
      </c>
      <c r="O88" s="61">
        <v>6376658.4016699996</v>
      </c>
    </row>
    <row r="89" spans="2:15" s="54" customFormat="1" ht="14.1" customHeight="1" x14ac:dyDescent="0.2">
      <c r="B89" s="63" t="s">
        <v>176</v>
      </c>
      <c r="C89" s="60">
        <v>0</v>
      </c>
      <c r="D89" s="60">
        <v>766.31799999999998</v>
      </c>
      <c r="E89" s="60">
        <v>61918.83881999999</v>
      </c>
      <c r="F89" s="60">
        <v>8129582.2365199998</v>
      </c>
      <c r="G89" s="60">
        <v>616.98361999999997</v>
      </c>
      <c r="H89" s="60">
        <v>8192884.37696</v>
      </c>
      <c r="I89" s="60">
        <v>0.82699999999999996</v>
      </c>
      <c r="J89" s="60">
        <v>100971.05931999999</v>
      </c>
      <c r="K89" s="60">
        <v>100971.88631999999</v>
      </c>
      <c r="L89" s="60">
        <v>53609.1734</v>
      </c>
      <c r="M89" s="60">
        <v>1165109.8356199998</v>
      </c>
      <c r="N89" s="60">
        <v>1218719.0090199998</v>
      </c>
      <c r="O89" s="61">
        <v>9512575.2722999994</v>
      </c>
    </row>
    <row r="90" spans="2:15" s="54" customFormat="1" ht="14.1" customHeight="1" x14ac:dyDescent="0.2">
      <c r="B90" s="143" t="s">
        <v>177</v>
      </c>
      <c r="C90" s="144"/>
      <c r="D90" s="144">
        <v>3148.6597700000002</v>
      </c>
      <c r="E90" s="144">
        <v>168734.81469000003</v>
      </c>
      <c r="F90" s="144">
        <v>12044566.290520001</v>
      </c>
      <c r="G90" s="144">
        <v>1764.8655800000001</v>
      </c>
      <c r="H90" s="144">
        <v>12218214.630560001</v>
      </c>
      <c r="I90" s="144">
        <v>2865.9232800000004</v>
      </c>
      <c r="J90" s="144">
        <v>341598.34675000003</v>
      </c>
      <c r="K90" s="144">
        <v>344464.27003000001</v>
      </c>
      <c r="L90" s="144">
        <v>73533.389540000004</v>
      </c>
      <c r="M90" s="144">
        <v>1165109.83562</v>
      </c>
      <c r="N90" s="144">
        <v>1238643.2251599999</v>
      </c>
      <c r="O90" s="145">
        <v>13801322.125750002</v>
      </c>
    </row>
    <row r="91" spans="2:15" s="54" customFormat="1" ht="14.1" customHeight="1" x14ac:dyDescent="0.2">
      <c r="B91" s="63" t="s">
        <v>178</v>
      </c>
      <c r="C91" s="60"/>
      <c r="D91" s="60">
        <v>0.96250000000000002</v>
      </c>
      <c r="E91" s="60">
        <v>43828.861420000001</v>
      </c>
      <c r="F91" s="60">
        <v>2794713.0505399997</v>
      </c>
      <c r="G91" s="60">
        <v>3.6549299999999998</v>
      </c>
      <c r="H91" s="60">
        <v>2838546.5293899998</v>
      </c>
      <c r="I91" s="60">
        <v>0</v>
      </c>
      <c r="J91" s="60">
        <v>42105.963069999998</v>
      </c>
      <c r="K91" s="60">
        <v>42105.963069999998</v>
      </c>
      <c r="L91" s="60">
        <v>4038.61814</v>
      </c>
      <c r="M91" s="60">
        <v>0</v>
      </c>
      <c r="N91" s="60">
        <v>4038.61814</v>
      </c>
      <c r="O91" s="61">
        <v>2884691.1105999998</v>
      </c>
    </row>
    <row r="92" spans="2:15" s="54" customFormat="1" ht="14.1" customHeight="1" x14ac:dyDescent="0.2">
      <c r="B92" s="63" t="s">
        <v>179</v>
      </c>
      <c r="C92" s="60">
        <v>0</v>
      </c>
      <c r="D92" s="60">
        <v>407.74759999999998</v>
      </c>
      <c r="E92" s="60">
        <v>75745.766109999997</v>
      </c>
      <c r="F92" s="60">
        <v>5604969.5629099999</v>
      </c>
      <c r="G92" s="60">
        <v>7.3098599999999996</v>
      </c>
      <c r="H92" s="60">
        <v>5681130.3864799999</v>
      </c>
      <c r="I92" s="60">
        <v>0</v>
      </c>
      <c r="J92" s="60">
        <v>161618.03925999999</v>
      </c>
      <c r="K92" s="60">
        <v>161618.03925999999</v>
      </c>
      <c r="L92" s="60">
        <v>6566.47336</v>
      </c>
      <c r="M92" s="60">
        <v>496615</v>
      </c>
      <c r="N92" s="60">
        <v>503181.47336</v>
      </c>
      <c r="O92" s="61">
        <v>6345929.8991</v>
      </c>
    </row>
    <row r="93" spans="2:15" s="54" customFormat="1" ht="14.1" customHeight="1" x14ac:dyDescent="0.2">
      <c r="B93" s="63" t="s">
        <v>180</v>
      </c>
      <c r="C93" s="60">
        <v>0</v>
      </c>
      <c r="D93" s="60">
        <v>1312.1531</v>
      </c>
      <c r="E93" s="60">
        <v>112529.94079000001</v>
      </c>
      <c r="F93" s="60">
        <v>8487524.7685899995</v>
      </c>
      <c r="G93" s="60">
        <v>103.57489</v>
      </c>
      <c r="H93" s="60">
        <f t="shared" ref="H93" si="14">SUM(C93:G93)</f>
        <v>8601470.4373700004</v>
      </c>
      <c r="I93" s="60">
        <v>0.38500000000000001</v>
      </c>
      <c r="J93" s="60">
        <v>235726.71400000001</v>
      </c>
      <c r="K93" s="60">
        <f t="shared" ref="K93" si="15">J93+I93</f>
        <v>235727.09900000002</v>
      </c>
      <c r="L93" s="60">
        <v>23713.80644</v>
      </c>
      <c r="M93" s="60">
        <v>496615</v>
      </c>
      <c r="N93" s="60">
        <f t="shared" ref="N93" si="16">SUM(L93:M93)</f>
        <v>520328.80644000001</v>
      </c>
      <c r="O93" s="61">
        <f t="shared" ref="O93" si="17">N93+K93+H93</f>
        <v>9357526.3428100012</v>
      </c>
    </row>
    <row r="94" spans="2:15" s="54" customFormat="1" ht="14.1" customHeight="1" x14ac:dyDescent="0.2">
      <c r="B94" s="143" t="s">
        <v>181</v>
      </c>
      <c r="C94" s="144">
        <v>0</v>
      </c>
      <c r="D94" s="144">
        <v>3757.2531300000001</v>
      </c>
      <c r="E94" s="144">
        <v>233498.34917</v>
      </c>
      <c r="F94" s="144">
        <v>12033946.78166</v>
      </c>
      <c r="G94" s="144">
        <v>163.89847</v>
      </c>
      <c r="H94" s="144">
        <v>12271366.282429999</v>
      </c>
      <c r="I94" s="144">
        <v>981.30600000000004</v>
      </c>
      <c r="J94" s="144">
        <v>606786.21163999999</v>
      </c>
      <c r="K94" s="144">
        <v>607767.51763999998</v>
      </c>
      <c r="L94" s="144">
        <v>29062.651129999998</v>
      </c>
      <c r="M94" s="144">
        <v>496615</v>
      </c>
      <c r="N94" s="144">
        <v>525677.65113000001</v>
      </c>
      <c r="O94" s="145">
        <v>13404811.451199999</v>
      </c>
    </row>
    <row r="95" spans="2:15" s="54" customFormat="1" ht="14.1" customHeight="1" x14ac:dyDescent="0.2">
      <c r="B95" s="63" t="s">
        <v>182</v>
      </c>
      <c r="C95" s="60">
        <v>0</v>
      </c>
      <c r="D95" s="60">
        <v>255.7629</v>
      </c>
      <c r="E95" s="60">
        <v>19072.806129999997</v>
      </c>
      <c r="F95" s="60">
        <v>3024422.8405500003</v>
      </c>
      <c r="G95" s="60">
        <v>195.93424999999999</v>
      </c>
      <c r="H95" s="60">
        <v>3043947.3438300001</v>
      </c>
      <c r="I95" s="60"/>
      <c r="J95" s="60">
        <v>87914.352830000003</v>
      </c>
      <c r="K95" s="60">
        <v>87914.352830000003</v>
      </c>
      <c r="L95" s="60">
        <v>4475.0995199999998</v>
      </c>
      <c r="M95" s="60">
        <v>694421</v>
      </c>
      <c r="N95" s="60">
        <v>698896.09952000005</v>
      </c>
      <c r="O95" s="61">
        <v>3830757.7961800001</v>
      </c>
    </row>
    <row r="96" spans="2:15" s="54" customFormat="1" ht="14.1" customHeight="1" x14ac:dyDescent="0.2">
      <c r="B96" s="63" t="s">
        <v>183</v>
      </c>
      <c r="C96" s="60"/>
      <c r="D96" s="60">
        <v>423.51880999999997</v>
      </c>
      <c r="E96" s="60">
        <v>45203.803329999995</v>
      </c>
      <c r="F96" s="60">
        <v>6203837.1543999994</v>
      </c>
      <c r="G96" s="60">
        <v>474.95496999999995</v>
      </c>
      <c r="H96" s="60">
        <v>6249939.4315099996</v>
      </c>
      <c r="I96" s="60">
        <v>4.8256000000000006</v>
      </c>
      <c r="J96" s="60">
        <v>135252.86928000001</v>
      </c>
      <c r="K96" s="60">
        <v>135257.69488000002</v>
      </c>
      <c r="L96" s="60">
        <v>8976.1889200000005</v>
      </c>
      <c r="M96" s="60">
        <v>694421</v>
      </c>
      <c r="N96" s="60">
        <v>703397.18891999999</v>
      </c>
      <c r="O96" s="61">
        <v>7088594.3153099995</v>
      </c>
    </row>
    <row r="97" spans="2:15" s="54" customFormat="1" ht="14.1" customHeight="1" x14ac:dyDescent="0.2">
      <c r="B97" s="63" t="s">
        <v>184</v>
      </c>
      <c r="C97" s="60"/>
      <c r="D97" s="60">
        <v>1385.47318</v>
      </c>
      <c r="E97" s="60">
        <v>67879.718819999995</v>
      </c>
      <c r="F97" s="60">
        <v>9345261.4064799994</v>
      </c>
      <c r="G97" s="60">
        <v>43320.217830000001</v>
      </c>
      <c r="H97" s="60">
        <v>9457846.8163099997</v>
      </c>
      <c r="I97" s="60">
        <v>13.954600000000001</v>
      </c>
      <c r="J97" s="60">
        <v>183039.94669000001</v>
      </c>
      <c r="K97" s="60">
        <v>183053.90129000001</v>
      </c>
      <c r="L97" s="60">
        <v>10050.95125</v>
      </c>
      <c r="M97" s="60">
        <v>694421</v>
      </c>
      <c r="N97" s="60">
        <v>704471.95125000004</v>
      </c>
      <c r="O97" s="61">
        <v>10345372.668849999</v>
      </c>
    </row>
    <row r="98" spans="2:15" s="54" customFormat="1" ht="14.1" customHeight="1" x14ac:dyDescent="0.2">
      <c r="B98" s="143" t="s">
        <v>185</v>
      </c>
      <c r="C98" s="144"/>
      <c r="D98" s="144">
        <v>3872.5204900000003</v>
      </c>
      <c r="E98" s="144">
        <v>198726.48930999998</v>
      </c>
      <c r="F98" s="144">
        <v>12671721.8783</v>
      </c>
      <c r="G98" s="144">
        <v>111351.52939</v>
      </c>
      <c r="H98" s="144">
        <f>SUM(D98:G98)</f>
        <v>12985672.41749</v>
      </c>
      <c r="I98" s="144">
        <v>2933.9407999999999</v>
      </c>
      <c r="J98" s="144">
        <v>317302.98404999997</v>
      </c>
      <c r="K98" s="144">
        <f>SUM(I98:J98)</f>
        <v>320236.92484999995</v>
      </c>
      <c r="L98" s="144">
        <v>15649.607209999998</v>
      </c>
      <c r="M98" s="144">
        <v>694421</v>
      </c>
      <c r="N98" s="144">
        <f>SUM(L98:M98)</f>
        <v>710070.60721000005</v>
      </c>
      <c r="O98" s="145">
        <f>+H98+K98+N98</f>
        <v>14015979.949549999</v>
      </c>
    </row>
    <row r="99" spans="2:15" s="54" customFormat="1" ht="14.1" customHeight="1" x14ac:dyDescent="0.2">
      <c r="B99" s="63" t="s">
        <v>218</v>
      </c>
      <c r="C99" s="60">
        <v>0</v>
      </c>
      <c r="D99" s="60">
        <v>130.37044</v>
      </c>
      <c r="E99" s="60">
        <v>17243.589079999998</v>
      </c>
      <c r="F99" s="60">
        <v>3250117.3894199999</v>
      </c>
      <c r="G99" s="60">
        <v>21.202810000000003</v>
      </c>
      <c r="H99" s="60">
        <v>3267512.5517500001</v>
      </c>
      <c r="I99" s="60">
        <v>7.9063999999999997</v>
      </c>
      <c r="J99" s="60">
        <v>16680.154170000002</v>
      </c>
      <c r="K99" s="60">
        <v>16688.060570000001</v>
      </c>
      <c r="L99" s="60">
        <v>6609.9382800000003</v>
      </c>
      <c r="M99" s="60">
        <v>599058</v>
      </c>
      <c r="N99" s="60">
        <v>605667.93828</v>
      </c>
      <c r="O99" s="61">
        <v>3889868.5506000002</v>
      </c>
    </row>
    <row r="100" spans="2:15" s="54" customFormat="1" ht="14.1" customHeight="1" x14ac:dyDescent="0.2">
      <c r="B100" s="63" t="s">
        <v>219</v>
      </c>
      <c r="C100" s="60"/>
      <c r="D100" s="60">
        <v>965.31399999999996</v>
      </c>
      <c r="E100" s="60">
        <v>51110.445</v>
      </c>
      <c r="F100" s="60">
        <v>6622336.3619999997</v>
      </c>
      <c r="G100" s="60">
        <v>31151.341</v>
      </c>
      <c r="H100" s="60">
        <v>6705563.4619999994</v>
      </c>
      <c r="I100" s="60">
        <v>25.763999999999999</v>
      </c>
      <c r="J100" s="60">
        <v>91899.324999999997</v>
      </c>
      <c r="K100" s="60">
        <v>91925.088999999993</v>
      </c>
      <c r="L100" s="60">
        <v>10114.428</v>
      </c>
      <c r="M100" s="60">
        <v>599058</v>
      </c>
      <c r="N100" s="60">
        <v>609172.42799999996</v>
      </c>
      <c r="O100" s="61">
        <v>7406660.9790000003</v>
      </c>
    </row>
    <row r="101" spans="2:15" s="54" customFormat="1" ht="14.1" customHeight="1" x14ac:dyDescent="0.2">
      <c r="B101" s="63" t="s">
        <v>220</v>
      </c>
      <c r="C101" s="60"/>
      <c r="D101" s="60">
        <v>1517.4010000000001</v>
      </c>
      <c r="E101" s="60">
        <v>70871.691999999995</v>
      </c>
      <c r="F101" s="60">
        <v>9930295.5309999995</v>
      </c>
      <c r="G101" s="60">
        <v>58328.004999999997</v>
      </c>
      <c r="H101" s="60">
        <v>10061012.629000001</v>
      </c>
      <c r="I101" s="60">
        <v>38.642000000000003</v>
      </c>
      <c r="J101" s="60">
        <v>126812.35400000001</v>
      </c>
      <c r="K101" s="60">
        <v>126850.99600000001</v>
      </c>
      <c r="L101" s="60">
        <v>14344.413</v>
      </c>
      <c r="M101" s="60">
        <v>599058</v>
      </c>
      <c r="N101" s="60">
        <v>613402.41299999994</v>
      </c>
      <c r="O101" s="61">
        <v>10801266.038000001</v>
      </c>
    </row>
    <row r="102" spans="2:15" s="54" customFormat="1" ht="14.1" customHeight="1" x14ac:dyDescent="0.2">
      <c r="B102" s="143" t="s">
        <v>221</v>
      </c>
      <c r="C102" s="144"/>
      <c r="D102" s="144">
        <v>3855.337</v>
      </c>
      <c r="E102" s="144">
        <v>194477.84899999999</v>
      </c>
      <c r="F102" s="144">
        <v>12873449.130999999</v>
      </c>
      <c r="G102" s="144">
        <v>113325.356</v>
      </c>
      <c r="H102" s="144">
        <v>13185107.673</v>
      </c>
      <c r="I102" s="144">
        <v>266.34199999999998</v>
      </c>
      <c r="J102" s="144">
        <v>230622.899</v>
      </c>
      <c r="K102" s="144">
        <v>230889.24100000001</v>
      </c>
      <c r="L102" s="144">
        <v>21611.819</v>
      </c>
      <c r="M102" s="144">
        <v>834058</v>
      </c>
      <c r="N102" s="144">
        <v>855669.81900000002</v>
      </c>
      <c r="O102" s="145">
        <v>14271666.733000001</v>
      </c>
    </row>
    <row r="103" spans="2:15" s="54" customFormat="1" ht="14.1" customHeight="1" x14ac:dyDescent="0.2">
      <c r="B103" s="63" t="s">
        <v>225</v>
      </c>
      <c r="C103" s="60"/>
      <c r="D103" s="60">
        <v>0</v>
      </c>
      <c r="E103" s="60">
        <v>18737.883999999998</v>
      </c>
      <c r="F103" s="60">
        <v>3324066.1680000001</v>
      </c>
      <c r="G103" s="60">
        <v>180.429</v>
      </c>
      <c r="H103" s="60">
        <v>3342984.4810000001</v>
      </c>
      <c r="I103" s="60">
        <v>0</v>
      </c>
      <c r="J103" s="60">
        <v>1022.423</v>
      </c>
      <c r="K103" s="60">
        <v>1022.423</v>
      </c>
      <c r="L103" s="60">
        <v>5701.0190000000002</v>
      </c>
      <c r="M103" s="60">
        <v>697606</v>
      </c>
      <c r="N103" s="60">
        <v>703307.01899999997</v>
      </c>
      <c r="O103" s="61">
        <v>4047313.923</v>
      </c>
    </row>
    <row r="104" spans="2:15" s="54" customFormat="1" ht="14.1" customHeight="1" x14ac:dyDescent="0.2">
      <c r="B104" s="63" t="s">
        <v>226</v>
      </c>
      <c r="C104" s="60"/>
      <c r="D104" s="60">
        <v>436.69400000000002</v>
      </c>
      <c r="E104" s="60">
        <v>68528.928</v>
      </c>
      <c r="F104" s="60">
        <v>6829107.0460000001</v>
      </c>
      <c r="G104" s="60">
        <v>13292.821</v>
      </c>
      <c r="H104" s="60">
        <v>6911365.489000001</v>
      </c>
      <c r="I104" s="60">
        <v>114.277</v>
      </c>
      <c r="J104" s="60">
        <v>63581.872000000003</v>
      </c>
      <c r="K104" s="60">
        <v>63696.149000000005</v>
      </c>
      <c r="L104" s="60">
        <v>32394.552</v>
      </c>
      <c r="M104" s="60">
        <v>697606</v>
      </c>
      <c r="N104" s="60">
        <v>730000.55200000003</v>
      </c>
      <c r="O104" s="61">
        <v>7705062.1900000013</v>
      </c>
    </row>
    <row r="105" spans="2:15" s="54" customFormat="1" ht="14.1" customHeight="1" x14ac:dyDescent="0.2">
      <c r="B105" s="63" t="s">
        <v>227</v>
      </c>
      <c r="C105" s="60"/>
      <c r="D105" s="60">
        <f>'[1]ingresos GV'!G10</f>
        <v>1855.8</v>
      </c>
      <c r="E105" s="60">
        <f>'[1]ingresos GV'!G11</f>
        <v>89377.695000000007</v>
      </c>
      <c r="F105" s="60">
        <f>'[1]ingresos GV'!G12</f>
        <v>10279481.896</v>
      </c>
      <c r="G105" s="60">
        <f>'[1]ingresos GV'!G13</f>
        <v>16066.534</v>
      </c>
      <c r="H105" s="60">
        <f>SUM(C105:G105)</f>
        <v>10386781.924999999</v>
      </c>
      <c r="I105" s="60">
        <f>'[1]ingresos GV'!G14</f>
        <v>114.277</v>
      </c>
      <c r="J105" s="60">
        <f>'[1]ingresos GV'!G15</f>
        <v>89594.289000000004</v>
      </c>
      <c r="K105" s="60">
        <f>SUM(I105:J105)</f>
        <v>89708.566000000006</v>
      </c>
      <c r="L105" s="60">
        <f>'[1]ingresos GV'!G16</f>
        <v>35854.288999999997</v>
      </c>
      <c r="M105" s="60">
        <f>'[1]ingresos GV'!G17</f>
        <v>1126606</v>
      </c>
      <c r="N105" s="60">
        <f>SUM(L105:M105)</f>
        <v>1162460.2890000001</v>
      </c>
      <c r="O105" s="61">
        <f>H105+K105+N105</f>
        <v>11638950.779999999</v>
      </c>
    </row>
    <row r="106" spans="2:15" s="54" customFormat="1" ht="14.1" customHeight="1" x14ac:dyDescent="0.2">
      <c r="B106" s="143" t="s">
        <v>228</v>
      </c>
      <c r="C106" s="144"/>
      <c r="D106" s="144">
        <f>'ingresos GV'!G10</f>
        <v>3802.1109999999999</v>
      </c>
      <c r="E106" s="144">
        <f>'ingresos GV'!G11</f>
        <v>209388.49100000001</v>
      </c>
      <c r="F106" s="144">
        <f>'ingresos GV'!G12</f>
        <v>14223943.368000001</v>
      </c>
      <c r="G106" s="144">
        <f>'ingresos GV'!G13</f>
        <v>52858.608</v>
      </c>
      <c r="H106" s="144">
        <f>SUM(D106:G106)</f>
        <v>14489992.578</v>
      </c>
      <c r="I106" s="144">
        <f>'ingresos GV'!G14</f>
        <v>168.602</v>
      </c>
      <c r="J106" s="144">
        <f>'ingresos GV'!G15</f>
        <v>176879.217</v>
      </c>
      <c r="K106" s="144">
        <f>I106+J106</f>
        <v>177047.81900000002</v>
      </c>
      <c r="L106" s="144">
        <f>'ingresos GV'!G16</f>
        <v>41899.165999999997</v>
      </c>
      <c r="M106" s="144">
        <f>'ingresos GV'!G17</f>
        <v>1126606</v>
      </c>
      <c r="N106" s="144">
        <f>L106+M106</f>
        <v>1168505.166</v>
      </c>
      <c r="O106" s="145">
        <f>H106+K106+N106</f>
        <v>15835545.562999999</v>
      </c>
    </row>
    <row r="107" spans="2:15" s="54" customFormat="1" ht="3.95" customHeight="1" x14ac:dyDescent="0.2"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2:15" x14ac:dyDescent="0.25">
      <c r="B108" s="287" t="s">
        <v>43</v>
      </c>
      <c r="C108" s="287"/>
    </row>
  </sheetData>
  <mergeCells count="1">
    <mergeCell ref="B108:C108"/>
  </mergeCells>
  <phoneticPr fontId="0" type="noConversion"/>
  <hyperlinks>
    <hyperlink ref="B108" location="Índice!A1" display="◄ volver al menu" xr:uid="{00000000-0004-0000-0500-000000000000}"/>
    <hyperlink ref="B108:C108" location="Índice!A1" tooltip="Volver al índice" display="◄ volver al menu" xr:uid="{00000000-0004-0000-0500-000001000000}"/>
  </hyperlinks>
  <printOptions horizontalCentered="1"/>
  <pageMargins left="0" right="0" top="0" bottom="0" header="0" footer="0"/>
  <pageSetup paperSize="9" scale="74" orientation="portrait" r:id="rId1"/>
  <headerFooter alignWithMargins="0"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  <pageSetUpPr fitToPage="1"/>
  </sheetPr>
  <dimension ref="A1:AB58"/>
  <sheetViews>
    <sheetView showGridLines="0" zoomScaleNormal="100" workbookViewId="0">
      <selection activeCell="P35" sqref="P35"/>
    </sheetView>
  </sheetViews>
  <sheetFormatPr baseColWidth="10" defaultColWidth="11.42578125" defaultRowHeight="12.75" x14ac:dyDescent="0.2"/>
  <cols>
    <col min="1" max="1" width="1" style="4" customWidth="1"/>
    <col min="2" max="2" width="2.7109375" style="4" customWidth="1"/>
    <col min="3" max="3" width="18.140625" style="4" customWidth="1"/>
    <col min="4" max="4" width="8.8554687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7" width="6" style="4" customWidth="1"/>
    <col min="18" max="18" width="0.7109375" style="4" customWidth="1"/>
    <col min="19" max="19" width="6.7109375" style="4" bestFit="1" customWidth="1"/>
    <col min="20" max="20" width="7.42578125" style="4" bestFit="1" customWidth="1"/>
    <col min="21" max="21" width="7.28515625" style="4" customWidth="1"/>
    <col min="22" max="23" width="11.42578125" style="1"/>
    <col min="24" max="24" width="12.42578125" style="1" bestFit="1" customWidth="1"/>
    <col min="25" max="25" width="11.85546875" style="1" bestFit="1" customWidth="1"/>
    <col min="26" max="16384" width="11.42578125" style="1"/>
  </cols>
  <sheetData>
    <row r="1" spans="2:25" s="55" customFormat="1" ht="15.75" x14ac:dyDescent="0.2">
      <c r="B1" s="62" t="s">
        <v>7</v>
      </c>
      <c r="U1" s="130" t="str">
        <f>Índice!B8</f>
        <v>4ºTrimestre 2025</v>
      </c>
    </row>
    <row r="2" spans="2:25" s="4" customFormat="1" ht="27" customHeight="1" x14ac:dyDescent="0.2">
      <c r="B2" s="273" t="s">
        <v>11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spans="2:25" s="4" customFormat="1" ht="14.25" customHeight="1" x14ac:dyDescent="0.2">
      <c r="B3" s="5"/>
      <c r="C3" s="5"/>
      <c r="D3" s="165"/>
      <c r="E3" s="165"/>
      <c r="F3" s="165"/>
      <c r="G3" s="165"/>
      <c r="H3" s="165"/>
      <c r="I3"/>
      <c r="J3" s="165" t="s">
        <v>197</v>
      </c>
      <c r="K3" s="165"/>
      <c r="L3" s="165"/>
      <c r="M3" s="165"/>
      <c r="N3" s="165"/>
      <c r="O3" s="165"/>
      <c r="P3" s="165"/>
      <c r="Q3" s="165"/>
      <c r="R3" s="165"/>
      <c r="S3" s="6"/>
      <c r="T3" s="165"/>
      <c r="U3" s="165"/>
    </row>
    <row r="4" spans="2:25" s="4" customFormat="1" ht="21" customHeight="1" x14ac:dyDescent="0.2">
      <c r="B4" s="165"/>
      <c r="C4" s="165"/>
      <c r="D4" s="165"/>
      <c r="E4" s="165"/>
      <c r="F4" s="165"/>
      <c r="G4" s="165"/>
      <c r="H4" s="165"/>
      <c r="I4"/>
      <c r="J4" s="165"/>
      <c r="K4" s="165"/>
      <c r="L4" s="165"/>
      <c r="M4" s="165"/>
      <c r="N4"/>
      <c r="O4"/>
      <c r="P4"/>
      <c r="Q4"/>
      <c r="R4" s="165"/>
      <c r="S4" s="2"/>
      <c r="T4" s="165"/>
      <c r="U4" s="11" t="s">
        <v>12</v>
      </c>
    </row>
    <row r="5" spans="2:25" s="4" customFormat="1" ht="25.5" customHeight="1" x14ac:dyDescent="0.2">
      <c r="B5" s="264" t="s">
        <v>13</v>
      </c>
      <c r="C5" s="265"/>
      <c r="D5" s="266"/>
      <c r="E5"/>
      <c r="F5" s="82">
        <v>2025</v>
      </c>
      <c r="G5" s="83"/>
      <c r="H5" s="84"/>
      <c r="I5"/>
      <c r="J5" s="82">
        <v>2024</v>
      </c>
      <c r="K5" s="83"/>
      <c r="L5" s="84"/>
      <c r="M5"/>
      <c r="N5" s="82" t="s">
        <v>14</v>
      </c>
      <c r="O5" s="85"/>
      <c r="P5" s="85"/>
      <c r="Q5" s="86"/>
      <c r="R5"/>
      <c r="S5" s="278" t="s">
        <v>223</v>
      </c>
      <c r="T5" s="265"/>
      <c r="U5" s="266"/>
    </row>
    <row r="6" spans="2:25" s="8" customFormat="1" ht="24" customHeight="1" x14ac:dyDescent="0.2">
      <c r="B6" s="267"/>
      <c r="C6" s="268"/>
      <c r="D6" s="269"/>
      <c r="E6"/>
      <c r="F6" s="158" t="s">
        <v>15</v>
      </c>
      <c r="G6" s="159" t="s">
        <v>16</v>
      </c>
      <c r="H6" s="160" t="s">
        <v>17</v>
      </c>
      <c r="I6" s="52"/>
      <c r="J6" s="158" t="s">
        <v>15</v>
      </c>
      <c r="K6" s="159" t="s">
        <v>16</v>
      </c>
      <c r="L6" s="160" t="s">
        <v>17</v>
      </c>
      <c r="M6"/>
      <c r="N6" s="274">
        <v>2025</v>
      </c>
      <c r="O6" s="275"/>
      <c r="P6" s="276">
        <v>2024</v>
      </c>
      <c r="Q6" s="277"/>
      <c r="R6"/>
      <c r="S6" s="267"/>
      <c r="T6" s="268"/>
      <c r="U6" s="269"/>
    </row>
    <row r="7" spans="2:25" s="8" customFormat="1" ht="12.75" customHeight="1" x14ac:dyDescent="0.2">
      <c r="B7" s="270"/>
      <c r="C7" s="271"/>
      <c r="D7" s="272"/>
      <c r="E7" s="51"/>
      <c r="F7" s="97" t="s">
        <v>18</v>
      </c>
      <c r="G7" s="99" t="s">
        <v>19</v>
      </c>
      <c r="H7" s="81" t="s">
        <v>20</v>
      </c>
      <c r="I7" s="51"/>
      <c r="J7" s="97" t="s">
        <v>21</v>
      </c>
      <c r="K7" s="99" t="s">
        <v>22</v>
      </c>
      <c r="L7" s="81" t="s">
        <v>23</v>
      </c>
      <c r="M7" s="51"/>
      <c r="N7" s="79" t="s">
        <v>24</v>
      </c>
      <c r="O7" s="87" t="s">
        <v>25</v>
      </c>
      <c r="P7" s="80" t="s">
        <v>26</v>
      </c>
      <c r="Q7" s="81" t="s">
        <v>27</v>
      </c>
      <c r="R7" s="51"/>
      <c r="S7" s="79" t="s">
        <v>28</v>
      </c>
      <c r="T7" s="80" t="s">
        <v>29</v>
      </c>
      <c r="U7" s="81" t="s">
        <v>30</v>
      </c>
    </row>
    <row r="8" spans="2:25" s="4" customFormat="1" ht="5.0999999999999996" customHeight="1" x14ac:dyDescent="0.2">
      <c r="B8" s="20"/>
      <c r="C8" s="9"/>
      <c r="D8" s="18"/>
      <c r="E8"/>
      <c r="F8" s="24"/>
      <c r="G8" s="8"/>
      <c r="H8" s="18"/>
      <c r="I8"/>
      <c r="J8" s="24"/>
      <c r="K8" s="8"/>
      <c r="L8" s="18"/>
      <c r="M8"/>
      <c r="N8" s="24"/>
      <c r="O8" s="8"/>
      <c r="P8" s="8"/>
      <c r="Q8" s="18"/>
      <c r="R8"/>
      <c r="S8" s="24"/>
      <c r="T8" s="8"/>
      <c r="U8" s="18"/>
    </row>
    <row r="9" spans="2:25" s="7" customFormat="1" ht="18" customHeight="1" x14ac:dyDescent="0.2">
      <c r="B9" s="21">
        <v>1</v>
      </c>
      <c r="C9" s="10" t="s">
        <v>31</v>
      </c>
      <c r="D9" s="15"/>
      <c r="E9"/>
      <c r="F9" s="25">
        <v>510922.00956000003</v>
      </c>
      <c r="G9" s="28">
        <v>481327.80299999996</v>
      </c>
      <c r="H9" s="31">
        <v>476335.94354000001</v>
      </c>
      <c r="I9" s="161"/>
      <c r="J9" s="25">
        <f>82551.957+146020.89+263542.629</f>
        <v>492115.47600000002</v>
      </c>
      <c r="K9" s="28">
        <f>79292.21+143354.049+255289.569</f>
        <v>477935.82799999998</v>
      </c>
      <c r="L9" s="31">
        <f>79282.596+143350.806+248539.592</f>
        <v>471172.99400000001</v>
      </c>
      <c r="M9"/>
      <c r="N9" s="34">
        <f t="shared" ref="N9:O16" si="0">IF(+$F9=0," ",+G9/$F9*100)</f>
        <v>94.207686103504088</v>
      </c>
      <c r="O9" s="35">
        <f t="shared" si="0"/>
        <v>93.230656465595374</v>
      </c>
      <c r="P9" s="35">
        <f t="shared" ref="P9:Q15" si="1">IF(+$J9=0," ",+K9/$J9*100)</f>
        <v>97.11863400126029</v>
      </c>
      <c r="Q9" s="36">
        <f t="shared" si="1"/>
        <v>95.744396788691915</v>
      </c>
      <c r="R9"/>
      <c r="S9" s="34">
        <f t="shared" ref="S9:U16" si="2">IF(+J9=0," ",(+F9/J9-1)*100)</f>
        <v>3.8215692204729645</v>
      </c>
      <c r="T9" s="35">
        <f t="shared" si="2"/>
        <v>0.70971348061397155</v>
      </c>
      <c r="U9" s="36">
        <f t="shared" si="2"/>
        <v>1.0957651660315593</v>
      </c>
      <c r="W9" s="225"/>
      <c r="X9" s="225"/>
    </row>
    <row r="10" spans="2:25" s="7" customFormat="1" ht="18" customHeight="1" x14ac:dyDescent="0.2">
      <c r="B10" s="22">
        <v>2</v>
      </c>
      <c r="C10" s="10" t="s">
        <v>32</v>
      </c>
      <c r="D10" s="16"/>
      <c r="E10"/>
      <c r="F10" s="25">
        <v>876519.23881000001</v>
      </c>
      <c r="G10" s="28">
        <v>838484.58455000003</v>
      </c>
      <c r="H10" s="31">
        <v>716951.11846000003</v>
      </c>
      <c r="I10" s="161"/>
      <c r="J10" s="25">
        <f>67199.428+186864.064+571835.606</f>
        <v>825899.098</v>
      </c>
      <c r="K10" s="28">
        <f>61389.72+170315.796+544383.973</f>
        <v>776089.48900000006</v>
      </c>
      <c r="L10" s="31">
        <f>51509.945+148561.365+445125.941</f>
        <v>645197.25099999993</v>
      </c>
      <c r="M10"/>
      <c r="N10" s="34">
        <f t="shared" si="0"/>
        <v>95.660716550655806</v>
      </c>
      <c r="O10" s="35">
        <f t="shared" si="0"/>
        <v>81.795251799990552</v>
      </c>
      <c r="P10" s="35">
        <f t="shared" si="1"/>
        <v>93.969044266954754</v>
      </c>
      <c r="Q10" s="36">
        <f t="shared" si="1"/>
        <v>78.120590343591829</v>
      </c>
      <c r="R10"/>
      <c r="S10" s="34">
        <f t="shared" si="2"/>
        <v>6.1290950592610915</v>
      </c>
      <c r="T10" s="35">
        <f t="shared" si="2"/>
        <v>8.0396779539427587</v>
      </c>
      <c r="U10" s="36">
        <f t="shared" si="2"/>
        <v>11.121229569528968</v>
      </c>
      <c r="W10" s="225"/>
    </row>
    <row r="11" spans="2:25" s="7" customFormat="1" ht="18" customHeight="1" x14ac:dyDescent="0.2">
      <c r="B11" s="22">
        <v>3</v>
      </c>
      <c r="C11" s="10" t="s">
        <v>33</v>
      </c>
      <c r="D11" s="16"/>
      <c r="E11"/>
      <c r="F11" s="25">
        <v>71414.380090000006</v>
      </c>
      <c r="G11" s="28">
        <v>52101.994570000003</v>
      </c>
      <c r="H11" s="31">
        <v>51231.268172000004</v>
      </c>
      <c r="I11" s="161"/>
      <c r="J11" s="25">
        <f>11630.273+5121.167+66221.505</f>
        <v>82972.945000000007</v>
      </c>
      <c r="K11" s="28">
        <f>9876.153+3538.682+54731.3</f>
        <v>68146.135000000009</v>
      </c>
      <c r="L11" s="31">
        <f>9337.621+2945.782+54730.172</f>
        <v>67013.574999999997</v>
      </c>
      <c r="M11"/>
      <c r="N11" s="34">
        <f t="shared" si="0"/>
        <v>72.957287459946357</v>
      </c>
      <c r="O11" s="35">
        <f t="shared" si="0"/>
        <v>71.738028261865153</v>
      </c>
      <c r="P11" s="35">
        <f t="shared" si="1"/>
        <v>82.130548698735467</v>
      </c>
      <c r="Q11" s="36">
        <f t="shared" si="1"/>
        <v>80.765573645722696</v>
      </c>
      <c r="R11"/>
      <c r="S11" s="34">
        <f t="shared" si="2"/>
        <v>-13.930522666153411</v>
      </c>
      <c r="T11" s="35">
        <f t="shared" si="2"/>
        <v>-23.543727652345957</v>
      </c>
      <c r="U11" s="36">
        <f t="shared" si="2"/>
        <v>-23.550910137237114</v>
      </c>
    </row>
    <row r="12" spans="2:25" s="7" customFormat="1" ht="18" customHeight="1" x14ac:dyDescent="0.2">
      <c r="B12" s="22">
        <v>4</v>
      </c>
      <c r="C12" s="10" t="s">
        <v>34</v>
      </c>
      <c r="D12" s="16"/>
      <c r="E12"/>
      <c r="F12" s="25">
        <v>18671707.713540003</v>
      </c>
      <c r="G12" s="28">
        <v>18564891.1479</v>
      </c>
      <c r="H12" s="31">
        <v>18306265.869149998</v>
      </c>
      <c r="I12" s="161"/>
      <c r="J12" s="25">
        <f>2797169.48+5889140.382+8883599.136</f>
        <v>17569908.998</v>
      </c>
      <c r="K12" s="28">
        <f>2694201.34+5710330.005+8554621.286</f>
        <v>16959152.630999997</v>
      </c>
      <c r="L12" s="31">
        <f>2680157.277+5551252.184+8500169.378</f>
        <v>16731578.839000002</v>
      </c>
      <c r="M12"/>
      <c r="N12" s="34">
        <f t="shared" si="0"/>
        <v>99.427922891259996</v>
      </c>
      <c r="O12" s="35">
        <f t="shared" si="0"/>
        <v>98.04280438620512</v>
      </c>
      <c r="P12" s="35">
        <f t="shared" si="1"/>
        <v>96.523850140205482</v>
      </c>
      <c r="Q12" s="36">
        <f t="shared" si="1"/>
        <v>95.228602725856888</v>
      </c>
      <c r="R12"/>
      <c r="S12" s="34">
        <f t="shared" si="2"/>
        <v>6.2709415038257887</v>
      </c>
      <c r="T12" s="35">
        <f t="shared" si="2"/>
        <v>9.4682709203574245</v>
      </c>
      <c r="U12" s="36">
        <f t="shared" si="2"/>
        <v>9.4114670546184378</v>
      </c>
    </row>
    <row r="13" spans="2:25" s="7" customFormat="1" ht="18" customHeight="1" x14ac:dyDescent="0.2">
      <c r="B13" s="22">
        <v>6</v>
      </c>
      <c r="C13" s="10" t="s">
        <v>35</v>
      </c>
      <c r="D13" s="16"/>
      <c r="E13"/>
      <c r="F13" s="25">
        <v>493070.00341999996</v>
      </c>
      <c r="G13" s="28">
        <v>434449.35836999997</v>
      </c>
      <c r="H13" s="31">
        <v>341746.22350999998</v>
      </c>
      <c r="I13" s="161"/>
      <c r="J13" s="25">
        <f>115912.316+224819.75+182246.601</f>
        <v>522978.66700000002</v>
      </c>
      <c r="K13" s="28">
        <f>80441.484+154788.687+165409.012</f>
        <v>400639.18299999996</v>
      </c>
      <c r="L13" s="31">
        <f>62239.957+130198.19+123823.302</f>
        <v>316261.44900000002</v>
      </c>
      <c r="M13"/>
      <c r="N13" s="34">
        <f t="shared" si="0"/>
        <v>88.111090789664885</v>
      </c>
      <c r="O13" s="35">
        <f t="shared" si="0"/>
        <v>69.309879152980741</v>
      </c>
      <c r="P13" s="35">
        <f t="shared" si="1"/>
        <v>76.607175068576922</v>
      </c>
      <c r="Q13" s="36">
        <f t="shared" si="1"/>
        <v>60.473107022547055</v>
      </c>
      <c r="R13"/>
      <c r="S13" s="34">
        <f t="shared" si="2"/>
        <v>-5.7189069970228879</v>
      </c>
      <c r="T13" s="35">
        <f>IF(+K13=0," ",(+G13/K13-1)*100)</f>
        <v>8.4390585855403053</v>
      </c>
      <c r="U13" s="36">
        <f t="shared" si="2"/>
        <v>8.0581349989324647</v>
      </c>
    </row>
    <row r="14" spans="2:25" s="7" customFormat="1" ht="18" customHeight="1" x14ac:dyDescent="0.2">
      <c r="B14" s="22">
        <v>7</v>
      </c>
      <c r="C14" s="10" t="s">
        <v>36</v>
      </c>
      <c r="D14" s="16"/>
      <c r="E14"/>
      <c r="F14" s="25">
        <v>373732.37560999999</v>
      </c>
      <c r="G14" s="28">
        <v>266215.22773000004</v>
      </c>
      <c r="H14" s="31">
        <v>166906.09502000001</v>
      </c>
      <c r="I14" s="161"/>
      <c r="J14" s="25">
        <f>86543.424+65138.745+134392.574</f>
        <v>286074.74300000002</v>
      </c>
      <c r="K14" s="28">
        <f>38013.429+55000.939+110320.868</f>
        <v>203335.23599999998</v>
      </c>
      <c r="L14" s="31">
        <f>24237.595+36473.687+83452.324</f>
        <v>144163.606</v>
      </c>
      <c r="M14"/>
      <c r="N14" s="34">
        <f t="shared" si="0"/>
        <v>71.231513538394381</v>
      </c>
      <c r="O14" s="35">
        <f t="shared" si="0"/>
        <v>44.659255101348535</v>
      </c>
      <c r="P14" s="35">
        <f t="shared" si="1"/>
        <v>71.077660987359508</v>
      </c>
      <c r="Q14" s="36">
        <f t="shared" si="1"/>
        <v>50.393685401300871</v>
      </c>
      <c r="R14"/>
      <c r="S14" s="34">
        <f t="shared" si="2"/>
        <v>30.641514064036034</v>
      </c>
      <c r="T14" s="35">
        <f t="shared" si="2"/>
        <v>30.924296726416898</v>
      </c>
      <c r="U14" s="36">
        <f t="shared" si="2"/>
        <v>15.775471806663877</v>
      </c>
    </row>
    <row r="15" spans="2:25" s="7" customFormat="1" ht="18" customHeight="1" x14ac:dyDescent="0.2">
      <c r="B15" s="22">
        <v>8</v>
      </c>
      <c r="C15" s="10" t="s">
        <v>37</v>
      </c>
      <c r="D15" s="16"/>
      <c r="E15"/>
      <c r="F15" s="25">
        <v>114722.26068000001</v>
      </c>
      <c r="G15" s="28">
        <v>108165.88884</v>
      </c>
      <c r="H15" s="31">
        <v>107058.53448</v>
      </c>
      <c r="I15" s="161"/>
      <c r="J15" s="25">
        <f>4079.39+17626.437+79672.231</f>
        <v>101378.058</v>
      </c>
      <c r="K15" s="28">
        <f>3297.715+16363.723+79259.581</f>
        <v>98921.019</v>
      </c>
      <c r="L15" s="31">
        <f>2735.253+14363.723+76259.581</f>
        <v>93358.557000000001</v>
      </c>
      <c r="M15"/>
      <c r="N15" s="34">
        <f t="shared" si="0"/>
        <v>94.285004670289766</v>
      </c>
      <c r="O15" s="35">
        <f t="shared" si="0"/>
        <v>93.31975664132284</v>
      </c>
      <c r="P15" s="35">
        <f t="shared" si="1"/>
        <v>97.576360162669516</v>
      </c>
      <c r="Q15" s="36">
        <f t="shared" si="1"/>
        <v>92.089510138377278</v>
      </c>
      <c r="R15"/>
      <c r="S15" s="34">
        <f t="shared" si="2"/>
        <v>13.162811503057203</v>
      </c>
      <c r="T15" s="35">
        <f>IF(+K15=0," ",(+G15/K15-1)*100)</f>
        <v>9.3457082564020197</v>
      </c>
      <c r="U15" s="36">
        <f>IF(+L15=0," ",(+H15/L15-1)*100)</f>
        <v>14.674581441956104</v>
      </c>
      <c r="X15" s="225"/>
      <c r="Y15" s="225"/>
    </row>
    <row r="16" spans="2:25" s="7" customFormat="1" ht="18" customHeight="1" x14ac:dyDescent="0.2">
      <c r="B16" s="22">
        <v>9</v>
      </c>
      <c r="C16" s="10" t="s">
        <v>38</v>
      </c>
      <c r="D16" s="16"/>
      <c r="E16"/>
      <c r="F16" s="25">
        <v>285056.60599999997</v>
      </c>
      <c r="G16" s="28">
        <v>285056.60259999998</v>
      </c>
      <c r="H16" s="31">
        <v>285056.60259999998</v>
      </c>
      <c r="I16" s="161"/>
      <c r="J16" s="25">
        <f>68648.516+31015+184492.667</f>
        <v>284156.18299999996</v>
      </c>
      <c r="K16" s="28">
        <f>68648.515+31015+184492.667</f>
        <v>284156.18199999997</v>
      </c>
      <c r="L16" s="31">
        <f>68648.515+31015+184492.667</f>
        <v>284156.18199999997</v>
      </c>
      <c r="M16"/>
      <c r="N16" s="34">
        <f t="shared" si="0"/>
        <v>99.999998807254457</v>
      </c>
      <c r="O16" s="35">
        <f t="shared" si="0"/>
        <v>99.999998807254457</v>
      </c>
      <c r="P16" s="35">
        <f>IF(+$J16=0," ",+K16/$J16*100)</f>
        <v>99.999999648080859</v>
      </c>
      <c r="Q16" s="36">
        <f>IF(+$J16=0," ",+L16/$J16*100)</f>
        <v>99.999999648080859</v>
      </c>
      <c r="R16"/>
      <c r="S16" s="34">
        <f t="shared" si="2"/>
        <v>0.31687608923154365</v>
      </c>
      <c r="T16" s="35">
        <f t="shared" si="2"/>
        <v>0.31687524574073311</v>
      </c>
      <c r="U16" s="36">
        <f t="shared" si="2"/>
        <v>0.31687524574073311</v>
      </c>
      <c r="X16" s="225"/>
    </row>
    <row r="17" spans="1:24" s="4" customFormat="1" ht="5.0999999999999996" customHeight="1" x14ac:dyDescent="0.2">
      <c r="A17" s="165"/>
      <c r="B17" s="20"/>
      <c r="C17" s="9"/>
      <c r="D17" s="18"/>
      <c r="E17"/>
      <c r="F17" s="26"/>
      <c r="G17" s="29"/>
      <c r="H17" s="32"/>
      <c r="I17"/>
      <c r="J17" s="26"/>
      <c r="K17" s="29"/>
      <c r="L17" s="32"/>
      <c r="M17"/>
      <c r="N17" s="37"/>
      <c r="O17" s="38"/>
      <c r="P17" s="38"/>
      <c r="Q17" s="39"/>
      <c r="R17"/>
      <c r="S17" s="37"/>
      <c r="T17" s="38"/>
      <c r="U17" s="39"/>
    </row>
    <row r="18" spans="1:24" s="4" customFormat="1" ht="18" customHeight="1" x14ac:dyDescent="0.2">
      <c r="A18" s="165"/>
      <c r="B18" s="23"/>
      <c r="C18" s="14" t="s">
        <v>39</v>
      </c>
      <c r="D18" s="17"/>
      <c r="E18"/>
      <c r="F18" s="27">
        <f>SUM(F9:F16)</f>
        <v>21397144.587710004</v>
      </c>
      <c r="G18" s="30">
        <f>SUM(G9:G16)</f>
        <v>21030692.607559998</v>
      </c>
      <c r="H18" s="33">
        <f>SUM(H9:H16)</f>
        <v>20451551.654932</v>
      </c>
      <c r="I18"/>
      <c r="J18" s="27">
        <f>SUM(J9:J16)</f>
        <v>20165484.167999998</v>
      </c>
      <c r="K18" s="30">
        <f>SUM(K9:K16)</f>
        <v>19268375.702999998</v>
      </c>
      <c r="L18" s="33">
        <f>SUM(L9:L16)</f>
        <v>18752902.453000002</v>
      </c>
      <c r="M18"/>
      <c r="N18" s="40">
        <f>IF(+$F18=0," ",+G18/$F18*100)</f>
        <v>98.287379053556108</v>
      </c>
      <c r="O18" s="41">
        <f>IF(+$F18=0," ",+H18/$F18*100)</f>
        <v>95.580751773200944</v>
      </c>
      <c r="P18" s="41">
        <f>IF(+$J18=0," ",+K18/$J18*100)</f>
        <v>95.55126741551986</v>
      </c>
      <c r="Q18" s="42">
        <f>IF(+$J18=0," ",+L18/$J18*100)</f>
        <v>92.995051826022703</v>
      </c>
      <c r="R18"/>
      <c r="S18" s="40">
        <f>IF(+J18=0," ",(+F18/J18-1)*100)</f>
        <v>6.1077651766204166</v>
      </c>
      <c r="T18" s="41">
        <f>IF(+K18=0," ",(+G18/K18-1)*100)</f>
        <v>9.1461622490867978</v>
      </c>
      <c r="U18" s="42">
        <f>IF(+L18=0," ",(+H18/L18-1)*100)</f>
        <v>9.0580602452835492</v>
      </c>
      <c r="X18" s="224"/>
    </row>
    <row r="19" spans="1:24" s="4" customFormat="1" ht="5.0999999999999996" customHeight="1" x14ac:dyDescent="0.2">
      <c r="A19" s="165"/>
      <c r="B19" s="20"/>
      <c r="C19" s="9"/>
      <c r="D19" s="18"/>
      <c r="E19"/>
      <c r="F19" s="26"/>
      <c r="G19" s="29"/>
      <c r="H19" s="32"/>
      <c r="I19"/>
      <c r="J19" s="26"/>
      <c r="K19" s="29"/>
      <c r="L19" s="32"/>
      <c r="M19"/>
      <c r="N19" s="37"/>
      <c r="O19" s="38"/>
      <c r="P19" s="38"/>
      <c r="Q19" s="39"/>
      <c r="R19"/>
      <c r="S19" s="37"/>
      <c r="T19" s="38"/>
      <c r="U19" s="39"/>
    </row>
    <row r="20" spans="1:24" s="7" customFormat="1" ht="18" customHeight="1" x14ac:dyDescent="0.2">
      <c r="A20" s="202"/>
      <c r="B20" s="22"/>
      <c r="C20" s="10" t="s">
        <v>40</v>
      </c>
      <c r="D20" s="16"/>
      <c r="E20"/>
      <c r="F20" s="25">
        <f>SUM(F9:F12)</f>
        <v>20130563.342000004</v>
      </c>
      <c r="G20" s="28">
        <f>SUM(G9:G12)</f>
        <v>19936805.530019999</v>
      </c>
      <c r="H20" s="31">
        <f>SUM(H9:H12)</f>
        <v>19550784.199321996</v>
      </c>
      <c r="I20"/>
      <c r="J20" s="25">
        <f>SUM(J9:J12)</f>
        <v>18970896.517000001</v>
      </c>
      <c r="K20" s="28">
        <f>SUM(K9:K12)</f>
        <v>18281324.082999997</v>
      </c>
      <c r="L20" s="31">
        <f>SUM(L9:L12)</f>
        <v>17914962.659000002</v>
      </c>
      <c r="M20"/>
      <c r="N20" s="34">
        <f t="shared" ref="N20:O22" si="3">IF(+$F20=0," ",+G20/$F20*100)</f>
        <v>99.037494337896874</v>
      </c>
      <c r="O20" s="35">
        <f t="shared" si="3"/>
        <v>97.119906021366191</v>
      </c>
      <c r="P20" s="35">
        <f t="shared" ref="P20:Q22" si="4">IF(+$J20=0," ",+K20/$J20*100)</f>
        <v>96.365103602868359</v>
      </c>
      <c r="Q20" s="36">
        <f t="shared" si="4"/>
        <v>94.433927479105876</v>
      </c>
      <c r="R20"/>
      <c r="S20" s="34">
        <f t="shared" ref="S20:U22" si="5">IF(+J20=0," ",(+F20/J20-1)*100)</f>
        <v>6.1128730735567238</v>
      </c>
      <c r="T20" s="35">
        <f t="shared" si="5"/>
        <v>9.0555883124431524</v>
      </c>
      <c r="U20" s="36">
        <f t="shared" si="5"/>
        <v>9.1310351657373001</v>
      </c>
    </row>
    <row r="21" spans="1:24" s="7" customFormat="1" ht="18" customHeight="1" x14ac:dyDescent="0.2">
      <c r="A21" s="202"/>
      <c r="B21" s="22"/>
      <c r="C21" s="10" t="s">
        <v>41</v>
      </c>
      <c r="D21" s="16"/>
      <c r="E21"/>
      <c r="F21" s="25">
        <f>SUM(F13:F14)</f>
        <v>866802.37902999995</v>
      </c>
      <c r="G21" s="28">
        <f>SUM(G13:G14)</f>
        <v>700664.58609999996</v>
      </c>
      <c r="H21" s="31">
        <f>SUM(H13:H14)</f>
        <v>508652.31852999999</v>
      </c>
      <c r="I21"/>
      <c r="J21" s="25">
        <f>SUM(J13:J14)</f>
        <v>809053.41</v>
      </c>
      <c r="K21" s="28">
        <f>SUM(K13:K14)</f>
        <v>603974.41899999999</v>
      </c>
      <c r="L21" s="31">
        <f>SUM(L13:L14)</f>
        <v>460425.05500000005</v>
      </c>
      <c r="M21"/>
      <c r="N21" s="34">
        <f t="shared" si="3"/>
        <v>80.833256005144165</v>
      </c>
      <c r="O21" s="35">
        <f t="shared" si="3"/>
        <v>58.681463138023481</v>
      </c>
      <c r="P21" s="35">
        <f t="shared" si="4"/>
        <v>74.651983606372781</v>
      </c>
      <c r="Q21" s="36">
        <f t="shared" si="4"/>
        <v>56.909105049072103</v>
      </c>
      <c r="R21"/>
      <c r="S21" s="34">
        <f t="shared" si="5"/>
        <v>7.1378438451918713</v>
      </c>
      <c r="T21" s="35">
        <f t="shared" si="5"/>
        <v>16.008983834131563</v>
      </c>
      <c r="U21" s="36">
        <f>IF(+L21=0," ",(+H21/L21-1)*100)</f>
        <v>10.474508936096004</v>
      </c>
    </row>
    <row r="22" spans="1:24" s="7" customFormat="1" ht="18" customHeight="1" x14ac:dyDescent="0.2">
      <c r="A22" s="202"/>
      <c r="B22" s="22"/>
      <c r="C22" s="10" t="s">
        <v>42</v>
      </c>
      <c r="D22" s="16"/>
      <c r="E22"/>
      <c r="F22" s="25">
        <f>SUM(F15:F16)</f>
        <v>399778.86667999998</v>
      </c>
      <c r="G22" s="28">
        <f>SUM(G15:G16)</f>
        <v>393222.49144000001</v>
      </c>
      <c r="H22" s="31">
        <f>SUM(H15:H16)</f>
        <v>392115.13708000001</v>
      </c>
      <c r="I22"/>
      <c r="J22" s="25">
        <f>SUM(J15:J16)</f>
        <v>385534.24099999998</v>
      </c>
      <c r="K22" s="28">
        <f>SUM(K15:K16)</f>
        <v>383077.201</v>
      </c>
      <c r="L22" s="31">
        <f>SUM(L15:L16)</f>
        <v>377514.73899999994</v>
      </c>
      <c r="M22"/>
      <c r="N22" s="34">
        <f t="shared" si="3"/>
        <v>98.35999954313543</v>
      </c>
      <c r="O22" s="35">
        <f t="shared" si="3"/>
        <v>98.083007822888675</v>
      </c>
      <c r="P22" s="35">
        <f t="shared" si="4"/>
        <v>99.362692145417</v>
      </c>
      <c r="Q22" s="36">
        <f t="shared" si="4"/>
        <v>97.919898896866059</v>
      </c>
      <c r="R22"/>
      <c r="S22" s="34">
        <f t="shared" si="5"/>
        <v>3.6947757592301622</v>
      </c>
      <c r="T22" s="35">
        <f t="shared" si="5"/>
        <v>2.648367068965829</v>
      </c>
      <c r="U22" s="36">
        <f t="shared" si="5"/>
        <v>3.8675041188259707</v>
      </c>
    </row>
    <row r="23" spans="1:24" s="4" customFormat="1" ht="5.0999999999999996" customHeight="1" x14ac:dyDescent="0.2">
      <c r="A23" s="165"/>
      <c r="B23" s="20"/>
      <c r="C23" s="9"/>
      <c r="D23" s="18"/>
      <c r="E23"/>
      <c r="F23" s="26"/>
      <c r="G23" s="29"/>
      <c r="H23" s="32"/>
      <c r="I23"/>
      <c r="J23" s="26"/>
      <c r="K23" s="29"/>
      <c r="L23" s="32"/>
      <c r="M23"/>
      <c r="N23" s="37"/>
      <c r="O23" s="38"/>
      <c r="P23" s="38"/>
      <c r="Q23" s="39"/>
      <c r="R23"/>
      <c r="S23" s="37"/>
      <c r="T23" s="38"/>
      <c r="U23" s="39"/>
    </row>
    <row r="24" spans="1:24" s="4" customFormat="1" ht="18" customHeight="1" x14ac:dyDescent="0.2">
      <c r="A24" s="165"/>
      <c r="B24" s="43"/>
      <c r="C24" s="44" t="s">
        <v>39</v>
      </c>
      <c r="D24" s="19"/>
      <c r="E24"/>
      <c r="F24" s="45">
        <f>SUM(F20:F22)</f>
        <v>21397144.587710004</v>
      </c>
      <c r="G24" s="46">
        <f>SUM(G20:G22)</f>
        <v>21030692.607560001</v>
      </c>
      <c r="H24" s="47">
        <f>SUM(H20:H22)</f>
        <v>20451551.654931996</v>
      </c>
      <c r="I24"/>
      <c r="J24" s="45">
        <f>SUM(J20:J22)</f>
        <v>20165484.168000001</v>
      </c>
      <c r="K24" s="46">
        <f>SUM(K20:K22)</f>
        <v>19268375.702999998</v>
      </c>
      <c r="L24" s="47">
        <f>SUM(L20:L22)</f>
        <v>18752902.453000002</v>
      </c>
      <c r="M24"/>
      <c r="N24" s="48">
        <f>IF(+$F24=0," ",+G24/$F24*100)</f>
        <v>98.287379053556123</v>
      </c>
      <c r="O24" s="49">
        <f>IF(+$F24=0," ",+H24/$F24*100)</f>
        <v>95.580751773200916</v>
      </c>
      <c r="P24" s="49">
        <f>IF(+$J24=0," ",+K24/$J24*100)</f>
        <v>95.551267415519845</v>
      </c>
      <c r="Q24" s="50">
        <f>IF(+$J24=0," ",+L24/$J24*100)</f>
        <v>92.995051826022689</v>
      </c>
      <c r="R24"/>
      <c r="S24" s="48">
        <f>IF(+J24=0," ",(+F24/J24-1)*100)</f>
        <v>6.1077651766203944</v>
      </c>
      <c r="T24" s="49">
        <f>IF(+K24=0," ",(+G24/K24-1)*100)</f>
        <v>9.1461622490868209</v>
      </c>
      <c r="U24" s="50">
        <f>IF(+L24=0," ",(+H24/L24-1)*100)</f>
        <v>9.0580602452835279</v>
      </c>
    </row>
    <row r="25" spans="1:24" ht="6.75" customHeight="1" x14ac:dyDescent="0.2">
      <c r="A25" s="165"/>
      <c r="B25" s="165"/>
      <c r="C25" s="165"/>
      <c r="D25" s="165"/>
      <c r="E25" s="165"/>
      <c r="F25" s="178"/>
      <c r="G25" s="165"/>
      <c r="H25" s="165"/>
      <c r="I25" s="165"/>
      <c r="J25" s="178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</row>
    <row r="26" spans="1:24" x14ac:dyDescent="0.2">
      <c r="A26" s="165"/>
      <c r="B26" s="165"/>
      <c r="C26" s="135" t="s">
        <v>43</v>
      </c>
      <c r="D26" s="165"/>
      <c r="E26" s="165"/>
      <c r="F26" s="178"/>
      <c r="G26" s="165"/>
      <c r="H26" s="165"/>
      <c r="I26" s="165"/>
      <c r="J26" s="178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</row>
    <row r="33" spans="1:28" ht="15.75" x14ac:dyDescent="0.2">
      <c r="A33" s="165"/>
      <c r="B33" s="165"/>
      <c r="C33" s="165"/>
      <c r="D33" s="165"/>
      <c r="E33" s="165"/>
      <c r="F33" s="165"/>
      <c r="G33" s="165"/>
      <c r="H33" s="55"/>
      <c r="I33" s="62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130"/>
    </row>
    <row r="34" spans="1:28" x14ac:dyDescent="0.2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36"/>
      <c r="W34" s="136"/>
      <c r="X34" s="136"/>
      <c r="Y34" s="136"/>
      <c r="Z34" s="136"/>
      <c r="AA34" s="136"/>
      <c r="AB34" s="136"/>
    </row>
    <row r="35" spans="1:28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36"/>
      <c r="W35" s="136"/>
      <c r="X35" s="136"/>
      <c r="Y35" s="136"/>
      <c r="Z35" s="136"/>
      <c r="AA35" s="136"/>
      <c r="AB35" s="136"/>
    </row>
    <row r="36" spans="1:28" x14ac:dyDescent="0.2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36"/>
      <c r="W36" s="136"/>
      <c r="X36" s="136"/>
      <c r="Y36" s="136"/>
      <c r="Z36" s="136"/>
      <c r="AA36" s="136"/>
      <c r="AB36" s="136"/>
    </row>
    <row r="37" spans="1:28" x14ac:dyDescent="0.2">
      <c r="A37" s="165"/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36"/>
      <c r="W37" s="136"/>
      <c r="X37" s="136"/>
      <c r="Y37" s="136"/>
      <c r="Z37" s="136"/>
      <c r="AA37" s="136"/>
      <c r="AB37" s="136"/>
    </row>
    <row r="38" spans="1:28" x14ac:dyDescent="0.2">
      <c r="A38" s="165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36"/>
      <c r="W38" s="136"/>
      <c r="X38" s="136"/>
      <c r="Y38" s="136"/>
      <c r="Z38" s="136"/>
      <c r="AA38" s="136"/>
      <c r="AB38" s="136"/>
    </row>
    <row r="39" spans="1:28" x14ac:dyDescent="0.2">
      <c r="A39" s="165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36"/>
      <c r="W39" s="136"/>
      <c r="X39" s="136"/>
      <c r="Y39" s="136"/>
      <c r="Z39" s="136"/>
      <c r="AA39" s="136"/>
      <c r="AB39" s="136"/>
    </row>
    <row r="40" spans="1:28" x14ac:dyDescent="0.2">
      <c r="A40" s="165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36"/>
      <c r="W40" s="136"/>
      <c r="X40" s="136"/>
      <c r="Y40" s="136"/>
      <c r="Z40" s="136"/>
      <c r="AA40" s="136"/>
      <c r="AB40" s="136"/>
    </row>
    <row r="41" spans="1:28" x14ac:dyDescent="0.2">
      <c r="A41" s="165"/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36"/>
      <c r="W41" s="136"/>
      <c r="X41" s="136"/>
      <c r="Y41" s="136"/>
      <c r="Z41" s="136"/>
      <c r="AA41" s="136"/>
      <c r="AB41" s="136"/>
    </row>
    <row r="42" spans="1:28" x14ac:dyDescent="0.2">
      <c r="A42" s="165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36"/>
      <c r="W42" s="136"/>
      <c r="X42" s="136"/>
      <c r="Y42" s="136"/>
      <c r="Z42" s="136"/>
      <c r="AA42" s="136"/>
      <c r="AB42" s="136"/>
    </row>
    <row r="43" spans="1:28" x14ac:dyDescent="0.2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36"/>
      <c r="W43" s="136"/>
      <c r="X43" s="136"/>
      <c r="Y43" s="136"/>
      <c r="Z43" s="136"/>
      <c r="AA43" s="136"/>
      <c r="AB43" s="136"/>
    </row>
    <row r="44" spans="1:28" x14ac:dyDescent="0.2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36"/>
      <c r="W44" s="136"/>
      <c r="X44" s="136"/>
      <c r="Y44" s="136"/>
      <c r="Z44" s="136"/>
      <c r="AA44" s="136"/>
      <c r="AB44" s="136"/>
    </row>
    <row r="45" spans="1:28" x14ac:dyDescent="0.2">
      <c r="A45" s="165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36"/>
      <c r="W45" s="136"/>
      <c r="X45" s="136"/>
      <c r="Y45" s="136"/>
      <c r="Z45" s="136"/>
      <c r="AA45" s="136"/>
      <c r="AB45" s="136"/>
    </row>
    <row r="46" spans="1:28" x14ac:dyDescent="0.2">
      <c r="A46" s="165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36"/>
      <c r="W46" s="136"/>
      <c r="X46" s="136"/>
      <c r="Y46" s="136"/>
      <c r="Z46" s="136"/>
      <c r="AA46" s="136"/>
      <c r="AB46" s="136"/>
    </row>
    <row r="47" spans="1:28" x14ac:dyDescent="0.2">
      <c r="A47" s="165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36"/>
      <c r="W47" s="136"/>
      <c r="X47" s="136"/>
      <c r="Y47" s="136"/>
      <c r="Z47" s="136"/>
      <c r="AA47" s="136"/>
      <c r="AB47" s="136"/>
    </row>
    <row r="48" spans="1:28" x14ac:dyDescent="0.2">
      <c r="A48" s="165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36"/>
      <c r="W48" s="136"/>
      <c r="X48" s="136"/>
      <c r="Y48" s="136"/>
      <c r="Z48" s="136"/>
      <c r="AA48" s="136"/>
      <c r="AB48" s="136"/>
    </row>
    <row r="49" spans="1:28" x14ac:dyDescent="0.2">
      <c r="A49" s="16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36"/>
      <c r="W49" s="136"/>
      <c r="X49" s="136"/>
      <c r="Y49" s="136"/>
      <c r="Z49" s="136"/>
      <c r="AA49" s="136"/>
      <c r="AB49" s="136"/>
    </row>
    <row r="50" spans="1:28" x14ac:dyDescent="0.2">
      <c r="A50" s="165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36"/>
      <c r="W50" s="136"/>
      <c r="X50" s="136"/>
      <c r="Y50" s="136"/>
      <c r="Z50" s="136"/>
      <c r="AA50" s="136"/>
      <c r="AB50" s="136"/>
    </row>
    <row r="51" spans="1:28" x14ac:dyDescent="0.2">
      <c r="A51" s="165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36"/>
      <c r="W51" s="136"/>
      <c r="X51" s="136"/>
      <c r="Y51" s="136"/>
      <c r="Z51" s="136"/>
      <c r="AA51" s="136"/>
      <c r="AB51" s="136"/>
    </row>
    <row r="52" spans="1:28" x14ac:dyDescent="0.2">
      <c r="A52" s="165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36"/>
      <c r="W52" s="136"/>
      <c r="X52" s="136"/>
      <c r="Y52" s="136"/>
      <c r="Z52" s="136"/>
      <c r="AA52" s="136"/>
      <c r="AB52" s="136"/>
    </row>
    <row r="53" spans="1:28" x14ac:dyDescent="0.2">
      <c r="A53" s="165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36"/>
      <c r="W53" s="136"/>
      <c r="X53" s="136"/>
      <c r="Y53" s="136"/>
      <c r="Z53" s="136"/>
      <c r="AA53" s="136"/>
      <c r="AB53" s="136"/>
    </row>
    <row r="54" spans="1:28" x14ac:dyDescent="0.2">
      <c r="A54" s="165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36"/>
      <c r="W54" s="136"/>
      <c r="X54" s="136"/>
      <c r="Y54" s="136"/>
      <c r="Z54" s="136"/>
      <c r="AA54" s="136"/>
      <c r="AB54" s="136"/>
    </row>
    <row r="55" spans="1:28" x14ac:dyDescent="0.2">
      <c r="A55" s="165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36"/>
      <c r="W55" s="136"/>
      <c r="X55" s="136"/>
      <c r="Y55" s="136"/>
      <c r="Z55" s="136"/>
      <c r="AA55" s="136"/>
      <c r="AB55" s="136"/>
    </row>
    <row r="56" spans="1:28" x14ac:dyDescent="0.2">
      <c r="A56" s="165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36"/>
      <c r="W56" s="136"/>
      <c r="X56" s="136"/>
      <c r="Y56" s="136"/>
      <c r="Z56" s="136"/>
      <c r="AA56" s="136"/>
      <c r="AB56" s="136"/>
    </row>
    <row r="57" spans="1:28" x14ac:dyDescent="0.2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36"/>
      <c r="W57" s="136"/>
      <c r="X57" s="136"/>
      <c r="Y57" s="136"/>
      <c r="Z57" s="136"/>
      <c r="AA57" s="136"/>
      <c r="AB57" s="136"/>
    </row>
    <row r="58" spans="1:28" x14ac:dyDescent="0.2">
      <c r="A58" s="165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36"/>
      <c r="W58" s="136"/>
      <c r="X58" s="136"/>
      <c r="Y58" s="136"/>
      <c r="Z58" s="136"/>
      <c r="AA58" s="136"/>
      <c r="AB58" s="136"/>
    </row>
  </sheetData>
  <mergeCells count="5">
    <mergeCell ref="B2:U2"/>
    <mergeCell ref="B5:D7"/>
    <mergeCell ref="S5:U6"/>
    <mergeCell ref="N6:O6"/>
    <mergeCell ref="P6:Q6"/>
  </mergeCells>
  <phoneticPr fontId="0" type="noConversion"/>
  <hyperlinks>
    <hyperlink ref="C26" location="Índice!A1" tooltip="Volver al índice" display="◄ volver al menu" xr:uid="{00000000-0004-0000-06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ignoredErrors>
    <ignoredError sqref="F20:H22" formulaRange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  <pageSetUpPr fitToPage="1"/>
  </sheetPr>
  <dimension ref="A1:AE70"/>
  <sheetViews>
    <sheetView showGridLines="0" showZeros="0" zoomScaleNormal="100" workbookViewId="0">
      <selection activeCell="X14" sqref="X14"/>
    </sheetView>
  </sheetViews>
  <sheetFormatPr baseColWidth="10" defaultColWidth="11.42578125" defaultRowHeight="12.75" x14ac:dyDescent="0.2"/>
  <cols>
    <col min="1" max="1" width="2.28515625" style="4" customWidth="1"/>
    <col min="2" max="2" width="2.7109375" style="4" customWidth="1"/>
    <col min="3" max="3" width="22.140625" style="4" customWidth="1"/>
    <col min="4" max="4" width="9.14062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4" width="7.42578125" style="4" bestFit="1" customWidth="1"/>
    <col min="15" max="17" width="6.5703125" style="4" customWidth="1"/>
    <col min="18" max="18" width="0.7109375" style="4" customWidth="1"/>
    <col min="19" max="19" width="7.42578125" style="4" bestFit="1" customWidth="1"/>
    <col min="20" max="20" width="8.140625" style="4" customWidth="1"/>
    <col min="21" max="21" width="8.42578125" style="4" customWidth="1"/>
    <col min="22" max="22" width="11.42578125" style="1"/>
    <col min="23" max="23" width="12.7109375" style="1" bestFit="1" customWidth="1"/>
    <col min="24" max="24" width="11.85546875" style="1" bestFit="1" customWidth="1"/>
    <col min="25" max="25" width="11.7109375" style="1" bestFit="1" customWidth="1"/>
    <col min="26" max="26" width="11.42578125" style="1"/>
    <col min="27" max="27" width="11.7109375" style="1" bestFit="1" customWidth="1"/>
    <col min="28" max="16384" width="11.42578125" style="1"/>
  </cols>
  <sheetData>
    <row r="1" spans="2:30" s="55" customFormat="1" ht="15.75" x14ac:dyDescent="0.2">
      <c r="B1" s="62" t="s">
        <v>7</v>
      </c>
      <c r="U1" s="130" t="str">
        <f>Índice!B8</f>
        <v>4ºTrimestre 2025</v>
      </c>
    </row>
    <row r="2" spans="2:30" s="4" customFormat="1" ht="27" customHeight="1" x14ac:dyDescent="0.2">
      <c r="B2" s="273" t="s">
        <v>44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spans="2:30" s="4" customFormat="1" ht="14.25" customHeight="1" x14ac:dyDescent="0.2">
      <c r="B3" s="16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30" s="4" customFormat="1" ht="21" customHeight="1" x14ac:dyDescent="0.2">
      <c r="B4" s="165"/>
      <c r="C4" s="165"/>
      <c r="D4" s="165"/>
      <c r="E4" s="165"/>
      <c r="F4" s="165"/>
      <c r="G4" s="165"/>
      <c r="H4" s="165"/>
      <c r="I4"/>
      <c r="J4" s="165" t="s">
        <v>197</v>
      </c>
      <c r="K4" s="165"/>
      <c r="L4" s="165"/>
      <c r="M4" s="165"/>
      <c r="N4"/>
      <c r="O4"/>
      <c r="P4"/>
      <c r="Q4"/>
      <c r="R4" s="165"/>
      <c r="S4" s="2"/>
      <c r="T4" s="165"/>
      <c r="U4" s="11" t="s">
        <v>12</v>
      </c>
    </row>
    <row r="5" spans="2:30" s="4" customFormat="1" ht="25.5" customHeight="1" x14ac:dyDescent="0.2">
      <c r="B5" s="264" t="s">
        <v>45</v>
      </c>
      <c r="C5" s="265"/>
      <c r="D5" s="266"/>
      <c r="E5"/>
      <c r="F5" s="288">
        <v>2025</v>
      </c>
      <c r="G5" s="289"/>
      <c r="H5" s="290"/>
      <c r="I5"/>
      <c r="J5" s="288">
        <v>2024</v>
      </c>
      <c r="K5" s="289"/>
      <c r="L5" s="290"/>
      <c r="M5"/>
      <c r="N5" s="288" t="s">
        <v>14</v>
      </c>
      <c r="O5" s="289"/>
      <c r="P5" s="289"/>
      <c r="Q5" s="290"/>
      <c r="R5"/>
      <c r="S5" s="278" t="s">
        <v>223</v>
      </c>
      <c r="T5" s="279"/>
      <c r="U5" s="280"/>
    </row>
    <row r="6" spans="2:30" s="8" customFormat="1" ht="24" customHeight="1" x14ac:dyDescent="0.2">
      <c r="B6" s="267"/>
      <c r="C6" s="268"/>
      <c r="D6" s="269"/>
      <c r="E6"/>
      <c r="F6" s="158" t="s">
        <v>15</v>
      </c>
      <c r="G6" s="159" t="s">
        <v>46</v>
      </c>
      <c r="H6" s="160" t="s">
        <v>47</v>
      </c>
      <c r="I6" s="52"/>
      <c r="J6" s="158" t="s">
        <v>15</v>
      </c>
      <c r="K6" s="159" t="s">
        <v>46</v>
      </c>
      <c r="L6" s="160" t="s">
        <v>47</v>
      </c>
      <c r="M6"/>
      <c r="N6" s="274">
        <v>2025</v>
      </c>
      <c r="O6" s="275"/>
      <c r="P6" s="276">
        <v>2024</v>
      </c>
      <c r="Q6" s="277"/>
      <c r="R6"/>
      <c r="S6" s="281"/>
      <c r="T6" s="282"/>
      <c r="U6" s="283"/>
    </row>
    <row r="7" spans="2:30" s="8" customFormat="1" x14ac:dyDescent="0.2">
      <c r="B7" s="270"/>
      <c r="C7" s="271"/>
      <c r="D7" s="272"/>
      <c r="E7" s="51"/>
      <c r="F7" s="220" t="s">
        <v>18</v>
      </c>
      <c r="G7" s="221" t="s">
        <v>19</v>
      </c>
      <c r="H7" s="219" t="s">
        <v>20</v>
      </c>
      <c r="I7" s="51"/>
      <c r="J7" s="220" t="s">
        <v>21</v>
      </c>
      <c r="K7" s="221" t="s">
        <v>22</v>
      </c>
      <c r="L7" s="219" t="s">
        <v>23</v>
      </c>
      <c r="M7" s="51"/>
      <c r="N7" s="217" t="s">
        <v>24</v>
      </c>
      <c r="O7" s="222" t="s">
        <v>25</v>
      </c>
      <c r="P7" s="218" t="s">
        <v>26</v>
      </c>
      <c r="Q7" s="219" t="s">
        <v>27</v>
      </c>
      <c r="R7" s="51"/>
      <c r="S7" s="217" t="s">
        <v>28</v>
      </c>
      <c r="T7" s="218" t="s">
        <v>29</v>
      </c>
      <c r="U7" s="219" t="s">
        <v>30</v>
      </c>
    </row>
    <row r="8" spans="2:30" s="4" customFormat="1" ht="5.0999999999999996" customHeight="1" x14ac:dyDescent="0.2">
      <c r="B8" s="20"/>
      <c r="C8" s="9"/>
      <c r="D8" s="18"/>
      <c r="E8"/>
      <c r="F8" s="24"/>
      <c r="G8" s="8"/>
      <c r="H8" s="18"/>
      <c r="I8"/>
      <c r="J8" s="24"/>
      <c r="K8" s="8"/>
      <c r="L8" s="18"/>
      <c r="M8"/>
      <c r="N8" s="24"/>
      <c r="O8" s="8"/>
      <c r="P8" s="8"/>
      <c r="Q8" s="18"/>
      <c r="R8"/>
      <c r="S8" s="24"/>
      <c r="T8" s="8"/>
      <c r="U8" s="18"/>
    </row>
    <row r="9" spans="2:30" s="7" customFormat="1" ht="15.95" customHeight="1" x14ac:dyDescent="0.2">
      <c r="B9" s="21">
        <v>1</v>
      </c>
      <c r="C9" s="10" t="s">
        <v>48</v>
      </c>
      <c r="D9" s="223"/>
      <c r="E9"/>
      <c r="F9" s="25">
        <f>SUM(F10:F12)</f>
        <v>10078373.228800001</v>
      </c>
      <c r="G9" s="28">
        <f>SUM(G10:G12)</f>
        <v>10320479.761724001</v>
      </c>
      <c r="H9" s="31">
        <f>SUM(H10:H12)</f>
        <v>10073798.529859999</v>
      </c>
      <c r="I9" s="161"/>
      <c r="J9" s="25">
        <f>SUM(J10:J12)</f>
        <v>9393312.1710000001</v>
      </c>
      <c r="K9" s="28">
        <f>SUM(K10:K12)</f>
        <v>9361852.5559999999</v>
      </c>
      <c r="L9" s="31">
        <f>SUM(L10:L12)</f>
        <v>9221484.3880000003</v>
      </c>
      <c r="M9"/>
      <c r="N9" s="34">
        <f>IF(+$F9=0," ",+G9/$F9*100)</f>
        <v>102.40223821273216</v>
      </c>
      <c r="O9" s="35">
        <f t="shared" ref="N9:O25" si="0">IF(+$F9=0," ",+H9/$F9*100)</f>
        <v>99.954608756431753</v>
      </c>
      <c r="P9" s="35">
        <f t="shared" ref="P9:Q23" si="1">IF(+$J9=0," ",+K9/$J9*100)</f>
        <v>99.66508496228704</v>
      </c>
      <c r="Q9" s="36">
        <f t="shared" si="1"/>
        <v>98.170743398367151</v>
      </c>
      <c r="R9"/>
      <c r="S9" s="34">
        <f t="shared" ref="S9:U25" si="2">IF(+J9=0," ",(+F9/J9-1)*100)</f>
        <v>7.2930724043750228</v>
      </c>
      <c r="T9" s="35">
        <f>IF(+K9=0," ",(+G9/K9-1)*100)</f>
        <v>10.239716978982095</v>
      </c>
      <c r="U9" s="36">
        <f>IF(+L9=0," ",(+H9/L9-1)*100)</f>
        <v>9.2427000469590617</v>
      </c>
      <c r="W9" s="225"/>
      <c r="Y9" s="225"/>
      <c r="AD9" s="228"/>
    </row>
    <row r="10" spans="2:30" s="7" customFormat="1" ht="15.95" customHeight="1" x14ac:dyDescent="0.2">
      <c r="B10" s="21"/>
      <c r="C10" s="100" t="s">
        <v>198</v>
      </c>
      <c r="D10" s="223"/>
      <c r="E10"/>
      <c r="F10" s="25">
        <v>8004823.3899999997</v>
      </c>
      <c r="G10" s="28">
        <v>8390187.3664800003</v>
      </c>
      <c r="H10" s="31">
        <v>8177808.5012600003</v>
      </c>
      <c r="I10" s="161"/>
      <c r="J10" s="25">
        <f>1397000+2413600+3761712.171</f>
        <v>7572312.1710000001</v>
      </c>
      <c r="K10" s="28">
        <f>1380231.95+2346439.426+3591920.429</f>
        <v>7318591.8049999997</v>
      </c>
      <c r="L10" s="31">
        <f>1346407.336+2346439.426+3525080.925</f>
        <v>7217927.6869999999</v>
      </c>
      <c r="M10"/>
      <c r="N10" s="34">
        <f t="shared" ref="N10:N23" si="3">IF(+$F10=0," ",+G10/$F10*100)</f>
        <v>104.81414714235189</v>
      </c>
      <c r="O10" s="35">
        <f t="shared" si="0"/>
        <v>102.16101096591466</v>
      </c>
      <c r="P10" s="35">
        <f t="shared" si="1"/>
        <v>96.649367323078891</v>
      </c>
      <c r="Q10" s="36">
        <f t="shared" si="1"/>
        <v>95.319996376308922</v>
      </c>
      <c r="R10"/>
      <c r="S10" s="34">
        <f t="shared" si="2"/>
        <v>5.7117457552318784</v>
      </c>
      <c r="T10" s="35">
        <f t="shared" si="2"/>
        <v>14.642100420847303</v>
      </c>
      <c r="U10" s="36">
        <f t="shared" si="2"/>
        <v>13.298565126785821</v>
      </c>
      <c r="W10" s="225"/>
      <c r="X10" s="225"/>
      <c r="Y10" s="228"/>
      <c r="Z10" s="228"/>
      <c r="AA10" s="228"/>
      <c r="AB10" s="228"/>
      <c r="AC10" s="228"/>
      <c r="AD10" s="228"/>
    </row>
    <row r="11" spans="2:30" s="7" customFormat="1" ht="15.95" customHeight="1" x14ac:dyDescent="0.2">
      <c r="B11" s="21"/>
      <c r="C11" s="100" t="s">
        <v>199</v>
      </c>
      <c r="D11" s="223"/>
      <c r="E11"/>
      <c r="F11" s="25">
        <v>1527795</v>
      </c>
      <c r="G11" s="28">
        <v>1218051.15111</v>
      </c>
      <c r="H11" s="31">
        <v>1194423.3263600001</v>
      </c>
      <c r="I11" s="161"/>
      <c r="J11" s="25">
        <f>44500+378600+915000</f>
        <v>1338100</v>
      </c>
      <c r="K11" s="28">
        <f>49697.295+512241.473+935511.263</f>
        <v>1497450.031</v>
      </c>
      <c r="L11" s="31">
        <f>42609.911+512241.473+914003.153</f>
        <v>1468854.537</v>
      </c>
      <c r="M11"/>
      <c r="N11" s="34">
        <f t="shared" si="3"/>
        <v>79.726085705870219</v>
      </c>
      <c r="O11" s="35">
        <f t="shared" si="0"/>
        <v>78.179554610402576</v>
      </c>
      <c r="P11" s="35">
        <f t="shared" si="1"/>
        <v>111.90867879829609</v>
      </c>
      <c r="Q11" s="36">
        <f t="shared" si="1"/>
        <v>109.77165660264554</v>
      </c>
      <c r="R11"/>
      <c r="S11" s="34">
        <f t="shared" si="2"/>
        <v>14.176444211942307</v>
      </c>
      <c r="T11" s="35">
        <f t="shared" si="2"/>
        <v>-18.658310735311613</v>
      </c>
      <c r="U11" s="36">
        <f t="shared" si="2"/>
        <v>-18.683348400209898</v>
      </c>
      <c r="X11" s="228"/>
      <c r="Y11" s="231"/>
      <c r="Z11" s="228"/>
      <c r="AA11" s="228"/>
      <c r="AB11" s="228"/>
      <c r="AC11" s="228"/>
      <c r="AD11" s="228"/>
    </row>
    <row r="12" spans="2:30" s="7" customFormat="1" ht="15.95" customHeight="1" x14ac:dyDescent="0.2">
      <c r="B12" s="21"/>
      <c r="C12" s="100" t="s">
        <v>200</v>
      </c>
      <c r="D12" s="223"/>
      <c r="E12"/>
      <c r="F12" s="25">
        <v>545754.83880000003</v>
      </c>
      <c r="G12" s="28">
        <v>712241.24413399992</v>
      </c>
      <c r="H12" s="31">
        <v>701566.70224000001</v>
      </c>
      <c r="I12" s="161"/>
      <c r="J12" s="25">
        <f>7000+164400+311500</f>
        <v>482900</v>
      </c>
      <c r="K12" s="28">
        <f>6536.518+180742.708+358531.494</f>
        <v>545810.72</v>
      </c>
      <c r="L12" s="31">
        <f>6534.917+180742.708+347424.539</f>
        <v>534702.16399999999</v>
      </c>
      <c r="M12"/>
      <c r="N12" s="34">
        <f t="shared" si="3"/>
        <v>130.5057130963911</v>
      </c>
      <c r="O12" s="35">
        <f t="shared" si="0"/>
        <v>128.54979055844882</v>
      </c>
      <c r="P12" s="35">
        <f t="shared" si="1"/>
        <v>113.02769103334023</v>
      </c>
      <c r="Q12" s="36">
        <f t="shared" si="1"/>
        <v>110.72730668875543</v>
      </c>
      <c r="R12"/>
      <c r="S12" s="34">
        <f t="shared" si="2"/>
        <v>13.016119030855243</v>
      </c>
      <c r="T12" s="35">
        <f t="shared" si="2"/>
        <v>30.492351658831463</v>
      </c>
      <c r="U12" s="36">
        <f t="shared" si="2"/>
        <v>31.207006343815745</v>
      </c>
      <c r="W12" s="225"/>
      <c r="X12" s="225"/>
      <c r="Y12" s="225"/>
      <c r="Z12" s="228"/>
      <c r="AA12" s="228"/>
      <c r="AB12" s="228"/>
      <c r="AC12" s="228"/>
      <c r="AD12" s="228"/>
    </row>
    <row r="13" spans="2:30" s="7" customFormat="1" ht="15.95" customHeight="1" x14ac:dyDescent="0.2">
      <c r="B13" s="21">
        <v>2</v>
      </c>
      <c r="C13" s="10" t="s">
        <v>49</v>
      </c>
      <c r="D13" s="223"/>
      <c r="E13"/>
      <c r="F13" s="25">
        <f>SUM(F14:F17)</f>
        <v>9784446.5853500012</v>
      </c>
      <c r="G13" s="28">
        <f>SUM(G14:G17)</f>
        <v>10121494.050120002</v>
      </c>
      <c r="H13" s="31">
        <f>SUM(H14:H17)</f>
        <v>9855581.0762099996</v>
      </c>
      <c r="I13" s="161"/>
      <c r="J13" s="25">
        <f>SUM(J14:J17)</f>
        <v>9594416.2730000019</v>
      </c>
      <c r="K13" s="28">
        <f>SUM(K14:K17)</f>
        <v>8966771.4220000003</v>
      </c>
      <c r="L13" s="31">
        <f>SUM(L14:L17)</f>
        <v>8747254.3890000004</v>
      </c>
      <c r="M13"/>
      <c r="N13" s="34">
        <f t="shared" si="3"/>
        <v>103.44472691255378</v>
      </c>
      <c r="O13" s="35">
        <f t="shared" si="0"/>
        <v>100.72701598643816</v>
      </c>
      <c r="P13" s="35">
        <f t="shared" si="1"/>
        <v>93.458227857318633</v>
      </c>
      <c r="Q13" s="36">
        <f t="shared" si="1"/>
        <v>91.170261328101518</v>
      </c>
      <c r="R13"/>
      <c r="S13" s="34">
        <f t="shared" si="2"/>
        <v>1.980634433016748</v>
      </c>
      <c r="T13" s="35">
        <f t="shared" si="2"/>
        <v>12.877797077406106</v>
      </c>
      <c r="U13" s="36">
        <f t="shared" si="2"/>
        <v>12.67056653346863</v>
      </c>
      <c r="W13" s="225"/>
      <c r="X13" s="228"/>
      <c r="Y13" s="228"/>
      <c r="Z13" s="228"/>
      <c r="AA13" s="228"/>
      <c r="AB13" s="228"/>
      <c r="AC13" s="228"/>
      <c r="AD13" s="228"/>
    </row>
    <row r="14" spans="2:30" s="7" customFormat="1" ht="15.95" customHeight="1" x14ac:dyDescent="0.2">
      <c r="B14" s="21"/>
      <c r="C14" s="100" t="s">
        <v>201</v>
      </c>
      <c r="D14" s="223"/>
      <c r="E14"/>
      <c r="F14" s="25">
        <v>224233</v>
      </c>
      <c r="G14" s="28">
        <v>284579.77302999998</v>
      </c>
      <c r="H14" s="31">
        <v>283486.83630999998</v>
      </c>
      <c r="I14" s="161"/>
      <c r="J14" s="25">
        <f>24500+86000+95500</f>
        <v>206000</v>
      </c>
      <c r="K14" s="28">
        <f>33238.801+93667.343+104623.847</f>
        <v>231529.99099999998</v>
      </c>
      <c r="L14" s="31">
        <f>32904.582+93667.343+103059.327</f>
        <v>229631.25199999998</v>
      </c>
      <c r="M14"/>
      <c r="N14" s="34">
        <f t="shared" si="3"/>
        <v>126.91252983726748</v>
      </c>
      <c r="O14" s="35">
        <f t="shared" si="0"/>
        <v>126.425118653365</v>
      </c>
      <c r="P14" s="35">
        <f t="shared" si="1"/>
        <v>112.39319951456311</v>
      </c>
      <c r="Q14" s="36">
        <f t="shared" si="1"/>
        <v>111.47148155339805</v>
      </c>
      <c r="R14"/>
      <c r="S14" s="34">
        <f t="shared" si="2"/>
        <v>8.8509708737864123</v>
      </c>
      <c r="T14" s="35">
        <f t="shared" si="2"/>
        <v>22.912704225000379</v>
      </c>
      <c r="U14" s="36">
        <f t="shared" si="2"/>
        <v>23.453072628807515</v>
      </c>
      <c r="W14" s="225"/>
      <c r="X14" s="228"/>
      <c r="Y14" s="228"/>
      <c r="Z14" s="228"/>
      <c r="AA14" s="228"/>
      <c r="AB14" s="228"/>
      <c r="AC14" s="228"/>
      <c r="AD14" s="228"/>
    </row>
    <row r="15" spans="2:30" s="7" customFormat="1" ht="15.95" customHeight="1" x14ac:dyDescent="0.2">
      <c r="B15" s="21"/>
      <c r="C15" s="100" t="s">
        <v>202</v>
      </c>
      <c r="D15" s="223"/>
      <c r="E15"/>
      <c r="F15" s="25">
        <v>7647482.6853499999</v>
      </c>
      <c r="G15" s="29">
        <v>7859534.3336200006</v>
      </c>
      <c r="H15" s="31">
        <v>7655481.72578</v>
      </c>
      <c r="I15" s="161"/>
      <c r="J15" s="25">
        <f>1198502.4+2540492.8+3856471.073</f>
        <v>7595466.273</v>
      </c>
      <c r="K15" s="29">
        <f>1085137.118+2312261.238+3492963.769</f>
        <v>6890362.125</v>
      </c>
      <c r="L15" s="31">
        <f>1058218.451+2312261.238+3369174.492</f>
        <v>6739654.1809999999</v>
      </c>
      <c r="M15"/>
      <c r="N15" s="34">
        <f t="shared" si="3"/>
        <v>102.77282940014001</v>
      </c>
      <c r="O15" s="35">
        <f t="shared" si="0"/>
        <v>100.10459703877883</v>
      </c>
      <c r="P15" s="35">
        <f t="shared" si="1"/>
        <v>90.716775999566082</v>
      </c>
      <c r="Q15" s="36">
        <f t="shared" si="1"/>
        <v>88.732593085928116</v>
      </c>
      <c r="R15"/>
      <c r="S15" s="34">
        <f t="shared" si="2"/>
        <v>0.6848350118399571</v>
      </c>
      <c r="T15" s="35">
        <f t="shared" si="2"/>
        <v>14.065620805379675</v>
      </c>
      <c r="U15" s="36">
        <f t="shared" si="2"/>
        <v>13.588642980552956</v>
      </c>
      <c r="X15" s="228"/>
      <c r="Y15" s="228"/>
      <c r="Z15" s="228"/>
      <c r="AA15" s="228"/>
      <c r="AB15" s="228"/>
      <c r="AC15" s="228"/>
      <c r="AD15" s="228"/>
    </row>
    <row r="16" spans="2:30" s="7" customFormat="1" ht="15.95" customHeight="1" x14ac:dyDescent="0.2">
      <c r="B16" s="21"/>
      <c r="C16" s="100" t="s">
        <v>203</v>
      </c>
      <c r="D16" s="223"/>
      <c r="E16"/>
      <c r="F16" s="25">
        <v>1669513.6900000004</v>
      </c>
      <c r="G16" s="28">
        <v>1698378.9336700002</v>
      </c>
      <c r="H16" s="31">
        <v>1637736.3084899997</v>
      </c>
      <c r="I16" s="161"/>
      <c r="J16" s="25">
        <f>241701.05+517735.88+780261.485</f>
        <v>1539698.415</v>
      </c>
      <c r="K16" s="28">
        <f>239120.722+516963.627+839011.927</f>
        <v>1595096.2760000001</v>
      </c>
      <c r="L16" s="31">
        <f>239102.301+516963.627+772139.158</f>
        <v>1528205.0860000001</v>
      </c>
      <c r="M16"/>
      <c r="N16" s="34">
        <f t="shared" si="3"/>
        <v>101.72896118449917</v>
      </c>
      <c r="O16" s="35">
        <f t="shared" si="0"/>
        <v>98.0966085093917</v>
      </c>
      <c r="P16" s="35">
        <f t="shared" si="1"/>
        <v>103.59796830731946</v>
      </c>
      <c r="Q16" s="36">
        <f t="shared" si="1"/>
        <v>99.253533751283371</v>
      </c>
      <c r="R16"/>
      <c r="S16" s="34">
        <f t="shared" si="2"/>
        <v>8.4312144336396102</v>
      </c>
      <c r="T16" s="35">
        <f t="shared" si="2"/>
        <v>6.4750108958313568</v>
      </c>
      <c r="U16" s="36">
        <f t="shared" si="2"/>
        <v>7.1673117367180073</v>
      </c>
      <c r="X16" s="246"/>
      <c r="Y16" s="228"/>
      <c r="Z16" s="228"/>
      <c r="AA16" s="228"/>
      <c r="AB16" s="228"/>
      <c r="AC16" s="228"/>
      <c r="AD16" s="228"/>
    </row>
    <row r="17" spans="2:31" s="7" customFormat="1" ht="15.95" customHeight="1" x14ac:dyDescent="0.2">
      <c r="B17" s="21"/>
      <c r="C17" s="100" t="s">
        <v>204</v>
      </c>
      <c r="D17" s="223"/>
      <c r="E17"/>
      <c r="F17" s="25">
        <v>243217.21</v>
      </c>
      <c r="G17" s="28">
        <v>279001.0098</v>
      </c>
      <c r="H17" s="31">
        <v>278876.20562999998</v>
      </c>
      <c r="I17" s="161"/>
      <c r="J17" s="25">
        <f>36815.605+78904.78+137531.2</f>
        <v>253251.58500000002</v>
      </c>
      <c r="K17" s="28">
        <f>42498.488+76665.22+130619.322</f>
        <v>249783.03</v>
      </c>
      <c r="L17" s="31">
        <f>42485.052+76665.22+130613.598</f>
        <v>249763.87</v>
      </c>
      <c r="M17"/>
      <c r="N17" s="34">
        <f t="shared" si="3"/>
        <v>114.71269232962587</v>
      </c>
      <c r="O17" s="35">
        <f t="shared" si="0"/>
        <v>114.66137845673011</v>
      </c>
      <c r="P17" s="35">
        <f t="shared" si="1"/>
        <v>98.630391592613321</v>
      </c>
      <c r="Q17" s="36">
        <f t="shared" si="1"/>
        <v>98.622825993369389</v>
      </c>
      <c r="R17"/>
      <c r="S17" s="34">
        <f t="shared" si="2"/>
        <v>-3.9622160706319076</v>
      </c>
      <c r="T17" s="35">
        <f t="shared" si="2"/>
        <v>11.697343810746474</v>
      </c>
      <c r="U17" s="36">
        <f t="shared" si="2"/>
        <v>11.655943523777079</v>
      </c>
      <c r="W17" s="239"/>
      <c r="Y17" s="228"/>
      <c r="Z17" s="228"/>
      <c r="AA17" s="228"/>
      <c r="AB17" s="228"/>
      <c r="AC17" s="228"/>
      <c r="AD17" s="228"/>
    </row>
    <row r="18" spans="2:31" s="7" customFormat="1" ht="15.95" customHeight="1" x14ac:dyDescent="0.2">
      <c r="B18" s="21">
        <v>3</v>
      </c>
      <c r="C18" s="10" t="s">
        <v>50</v>
      </c>
      <c r="D18" s="223"/>
      <c r="E18"/>
      <c r="F18" s="25">
        <v>256374.86</v>
      </c>
      <c r="G18" s="28">
        <v>257501.47437000001</v>
      </c>
      <c r="H18" s="31">
        <v>189482.28587999998</v>
      </c>
      <c r="I18" s="161"/>
      <c r="J18" s="25">
        <f>14414.205+60773.371+164418.051</f>
        <v>239605.62700000001</v>
      </c>
      <c r="K18" s="28">
        <f>22627.764+66242.542+218479.406</f>
        <v>307349.712</v>
      </c>
      <c r="L18" s="31">
        <f>14268.001+66242.542+154076.598</f>
        <v>234587.141</v>
      </c>
      <c r="M18"/>
      <c r="N18" s="34">
        <f t="shared" si="3"/>
        <v>100.43944026727114</v>
      </c>
      <c r="O18" s="35">
        <f t="shared" si="0"/>
        <v>73.908294237586318</v>
      </c>
      <c r="P18" s="35">
        <f t="shared" si="1"/>
        <v>128.27316113072754</v>
      </c>
      <c r="Q18" s="36">
        <f t="shared" si="1"/>
        <v>97.905522477566848</v>
      </c>
      <c r="R18"/>
      <c r="S18" s="34">
        <f t="shared" si="2"/>
        <v>6.9986807947544527</v>
      </c>
      <c r="T18" s="35">
        <f t="shared" si="2"/>
        <v>-16.218735754013004</v>
      </c>
      <c r="U18" s="36">
        <f t="shared" si="2"/>
        <v>-19.227334852083821</v>
      </c>
      <c r="X18" s="228"/>
      <c r="Y18" s="228"/>
      <c r="Z18" s="228"/>
      <c r="AA18" s="228"/>
      <c r="AB18" s="228"/>
      <c r="AC18" s="228"/>
      <c r="AD18" s="228"/>
    </row>
    <row r="19" spans="2:31" s="7" customFormat="1" ht="15.95" customHeight="1" x14ac:dyDescent="0.2">
      <c r="B19" s="21">
        <v>4</v>
      </c>
      <c r="C19" s="10" t="s">
        <v>34</v>
      </c>
      <c r="D19" s="223"/>
      <c r="E19"/>
      <c r="F19" s="25">
        <v>383631.08415000001</v>
      </c>
      <c r="G19" s="28">
        <v>356673.88871999999</v>
      </c>
      <c r="H19" s="31">
        <v>347687.15648000001</v>
      </c>
      <c r="I19" s="161"/>
      <c r="J19" s="25">
        <f>64854.326+215987.731+74808.519</f>
        <v>355650.576</v>
      </c>
      <c r="K19" s="28">
        <f>91235.927+167223.403+103176.038</f>
        <v>361635.36800000002</v>
      </c>
      <c r="L19" s="31">
        <f>89501.815+167223.403+99373.674</f>
        <v>356098.89199999999</v>
      </c>
      <c r="M19"/>
      <c r="N19" s="34">
        <f t="shared" si="3"/>
        <v>92.973146195979325</v>
      </c>
      <c r="O19" s="35">
        <f t="shared" si="0"/>
        <v>90.630600815457925</v>
      </c>
      <c r="P19" s="35">
        <f t="shared" si="1"/>
        <v>101.68277303731965</v>
      </c>
      <c r="Q19" s="36">
        <f t="shared" si="1"/>
        <v>100.12605518738144</v>
      </c>
      <c r="R19"/>
      <c r="S19" s="34">
        <f t="shared" si="2"/>
        <v>7.8674153897616561</v>
      </c>
      <c r="T19" s="35">
        <f t="shared" si="2"/>
        <v>-1.371956318166323</v>
      </c>
      <c r="U19" s="36">
        <f t="shared" si="2"/>
        <v>-2.3621908714054562</v>
      </c>
      <c r="X19" s="228"/>
      <c r="Y19" s="228"/>
      <c r="Z19" s="228"/>
      <c r="AA19" s="228"/>
      <c r="AB19" s="228"/>
      <c r="AC19" s="228"/>
      <c r="AD19" s="228"/>
    </row>
    <row r="20" spans="2:31" s="7" customFormat="1" ht="15.95" customHeight="1" x14ac:dyDescent="0.2">
      <c r="B20" s="21">
        <v>5</v>
      </c>
      <c r="C20" s="10" t="s">
        <v>51</v>
      </c>
      <c r="D20" s="223"/>
      <c r="E20"/>
      <c r="F20" s="25">
        <v>22586.234499999999</v>
      </c>
      <c r="G20" s="28">
        <v>34476.933799999999</v>
      </c>
      <c r="H20" s="31">
        <v>30826.458269999999</v>
      </c>
      <c r="I20" s="161"/>
      <c r="J20" s="25">
        <f>8383.5+5105.096+15570.813</f>
        <v>29059.409</v>
      </c>
      <c r="K20" s="28">
        <f>9154.923+7710.733+24655.305</f>
        <v>41520.961000000003</v>
      </c>
      <c r="L20" s="31">
        <f>7162.093+7615.623+24524.482</f>
        <v>39302.198000000004</v>
      </c>
      <c r="M20"/>
      <c r="N20" s="34">
        <f t="shared" si="3"/>
        <v>152.64577988863084</v>
      </c>
      <c r="O20" s="35">
        <f t="shared" si="0"/>
        <v>136.48338889778196</v>
      </c>
      <c r="P20" s="35">
        <f t="shared" si="1"/>
        <v>142.88301940345724</v>
      </c>
      <c r="Q20" s="36">
        <f t="shared" si="1"/>
        <v>135.24775400628417</v>
      </c>
      <c r="R20"/>
      <c r="S20" s="34">
        <f t="shared" si="2"/>
        <v>-22.275657774044888</v>
      </c>
      <c r="T20" s="35">
        <f t="shared" si="2"/>
        <v>-16.964990766952639</v>
      </c>
      <c r="U20" s="36">
        <f t="shared" si="2"/>
        <v>-21.565561625840889</v>
      </c>
      <c r="X20" s="228"/>
      <c r="Y20" s="228"/>
      <c r="Z20" s="228"/>
      <c r="AA20" s="228"/>
      <c r="AB20" s="228"/>
      <c r="AC20" s="228"/>
      <c r="AD20" s="228"/>
    </row>
    <row r="21" spans="2:31" s="7" customFormat="1" ht="15.95" customHeight="1" x14ac:dyDescent="0.2">
      <c r="B21" s="21">
        <v>6</v>
      </c>
      <c r="C21" s="10" t="s">
        <v>53</v>
      </c>
      <c r="D21" s="223"/>
      <c r="E21"/>
      <c r="F21" s="25">
        <v>1426.4749999999999</v>
      </c>
      <c r="G21" s="28">
        <v>799.19183999999996</v>
      </c>
      <c r="H21" s="31">
        <v>737.69305000000008</v>
      </c>
      <c r="I21" s="161"/>
      <c r="J21" s="25">
        <f>363.806+200+1046.716</f>
        <v>1610.5219999999999</v>
      </c>
      <c r="K21" s="28">
        <f>287.817+182.047+3460.766</f>
        <v>3930.63</v>
      </c>
      <c r="L21" s="31">
        <f>240.45+182.047+3460.766</f>
        <v>3883.2629999999999</v>
      </c>
      <c r="M21"/>
      <c r="N21" s="34">
        <f t="shared" si="3"/>
        <v>56.025646436145038</v>
      </c>
      <c r="O21" s="35">
        <f t="shared" si="0"/>
        <v>51.714404388440052</v>
      </c>
      <c r="P21" s="35">
        <f t="shared" si="1"/>
        <v>244.05937950552681</v>
      </c>
      <c r="Q21" s="36">
        <f t="shared" si="1"/>
        <v>241.118283388864</v>
      </c>
      <c r="R21"/>
      <c r="S21" s="34">
        <f t="shared" si="2"/>
        <v>-11.427785525438338</v>
      </c>
      <c r="T21" s="35">
        <f t="shared" si="2"/>
        <v>-79.667589165095677</v>
      </c>
      <c r="U21" s="36">
        <f>IF(+L21=0," ",(+H21/L21-1)*100)</f>
        <v>-81.003268385375904</v>
      </c>
      <c r="W21" s="238"/>
      <c r="X21" s="228"/>
      <c r="Y21" s="228"/>
      <c r="Z21" s="228"/>
      <c r="AA21" s="228"/>
      <c r="AB21" s="228"/>
      <c r="AC21" s="228"/>
      <c r="AD21" s="228"/>
      <c r="AE21" s="228"/>
    </row>
    <row r="22" spans="2:31" s="7" customFormat="1" ht="15.95" customHeight="1" x14ac:dyDescent="0.2">
      <c r="B22" s="21">
        <v>7</v>
      </c>
      <c r="C22" s="10" t="s">
        <v>36</v>
      </c>
      <c r="D22" s="223"/>
      <c r="E22"/>
      <c r="F22" s="25">
        <v>66214.531419999999</v>
      </c>
      <c r="G22" s="28">
        <v>67460.00778</v>
      </c>
      <c r="H22" s="31">
        <v>59253.55874</v>
      </c>
      <c r="I22" s="161"/>
      <c r="J22" s="25">
        <f>27807.153+28506.427+8629.5</f>
        <v>64943.08</v>
      </c>
      <c r="K22" s="28">
        <f>21707.559+16526.934+12505.067</f>
        <v>50739.56</v>
      </c>
      <c r="L22" s="31">
        <f>9400.941+16492.885+10790.253</f>
        <v>36684.078999999998</v>
      </c>
      <c r="M22"/>
      <c r="N22" s="34">
        <f t="shared" si="3"/>
        <v>101.88097134162277</v>
      </c>
      <c r="O22" s="35">
        <f t="shared" si="0"/>
        <v>89.487243161404535</v>
      </c>
      <c r="P22" s="35">
        <f t="shared" si="1"/>
        <v>78.129278746865722</v>
      </c>
      <c r="Q22" s="36">
        <f t="shared" si="1"/>
        <v>56.486509417169614</v>
      </c>
      <c r="R22"/>
      <c r="S22" s="34">
        <f t="shared" si="2"/>
        <v>1.9577935324287088</v>
      </c>
      <c r="T22" s="35">
        <f t="shared" si="2"/>
        <v>32.953474133398089</v>
      </c>
      <c r="U22" s="36">
        <f>IF(+L22=0," ",(+H22/L22-1)*100)</f>
        <v>61.523909977404642</v>
      </c>
      <c r="X22" s="228"/>
      <c r="Y22" s="228"/>
      <c r="Z22" s="228"/>
      <c r="AA22" s="228"/>
      <c r="AB22" s="228"/>
      <c r="AC22" s="228"/>
      <c r="AD22" s="228"/>
      <c r="AE22" s="228"/>
    </row>
    <row r="23" spans="2:31" s="7" customFormat="1" ht="15.95" customHeight="1" x14ac:dyDescent="0.2">
      <c r="B23" s="21">
        <v>8</v>
      </c>
      <c r="C23" s="10" t="s">
        <v>37</v>
      </c>
      <c r="D23" s="223"/>
      <c r="E23"/>
      <c r="F23" s="25">
        <v>42449.825599999996</v>
      </c>
      <c r="G23" s="28">
        <v>4238.42821</v>
      </c>
      <c r="H23" s="31">
        <v>4071.79621</v>
      </c>
      <c r="I23" s="161"/>
      <c r="J23" s="25">
        <f>1605.177+72442.241+1290.431</f>
        <v>75337.848999999987</v>
      </c>
      <c r="K23" s="28">
        <f>1652.511+1012.569+811.539</f>
        <v>3476.6189999999997</v>
      </c>
      <c r="L23" s="31">
        <f>1575.255+908.904+811.539</f>
        <v>3295.6980000000003</v>
      </c>
      <c r="M23"/>
      <c r="N23" s="34">
        <f t="shared" si="3"/>
        <v>9.9845597716660581</v>
      </c>
      <c r="O23" s="35">
        <f t="shared" si="0"/>
        <v>9.5920210565011139</v>
      </c>
      <c r="P23" s="35">
        <f t="shared" si="1"/>
        <v>4.6147043566375254</v>
      </c>
      <c r="Q23" s="36">
        <f t="shared" ref="Q23" si="4">IF(+$J23=0," ",+L23/$J23*100)</f>
        <v>4.3745581321282492</v>
      </c>
      <c r="R23"/>
      <c r="S23" s="34">
        <f t="shared" si="2"/>
        <v>-43.654051498072363</v>
      </c>
      <c r="T23" s="35">
        <f t="shared" si="2"/>
        <v>21.912358242303821</v>
      </c>
      <c r="U23" s="36">
        <f t="shared" si="2"/>
        <v>23.5488266825419</v>
      </c>
      <c r="X23" s="228"/>
      <c r="Y23" s="228"/>
      <c r="Z23" s="228"/>
      <c r="AA23" s="228"/>
      <c r="AB23" s="228"/>
      <c r="AC23" s="228"/>
      <c r="AD23" s="228"/>
      <c r="AE23" s="228"/>
    </row>
    <row r="24" spans="2:31" s="7" customFormat="1" ht="14.25" customHeight="1" x14ac:dyDescent="0.2">
      <c r="B24" s="21">
        <v>9</v>
      </c>
      <c r="C24" s="10" t="s">
        <v>38</v>
      </c>
      <c r="D24" s="223"/>
      <c r="E24"/>
      <c r="F24" s="25">
        <v>295056.603</v>
      </c>
      <c r="G24" s="28">
        <v>253948.93599999999</v>
      </c>
      <c r="H24" s="31">
        <v>253948.93599999999</v>
      </c>
      <c r="I24" s="161"/>
      <c r="J24" s="25">
        <f>68648.516+31015+184492.667</f>
        <v>284156.18299999996</v>
      </c>
      <c r="K24" s="28">
        <f>68648+0+184490</f>
        <v>253138</v>
      </c>
      <c r="L24" s="31">
        <f>68648+0+184490</f>
        <v>253138</v>
      </c>
      <c r="M24"/>
      <c r="N24" s="34">
        <f t="shared" si="0"/>
        <v>86.067870848496142</v>
      </c>
      <c r="O24" s="35">
        <f>IF(+$F24=0," ",+H24/$F24*100)</f>
        <v>86.067870848496142</v>
      </c>
      <c r="P24" s="35">
        <f>IF(+$J24=0," ",+K24/$J24*100)</f>
        <v>89.084107664833056</v>
      </c>
      <c r="Q24" s="36">
        <f>IF(+$J24=0," ",+L24/$J24*100)</f>
        <v>89.084107664833056</v>
      </c>
      <c r="R24"/>
      <c r="S24" s="34">
        <f t="shared" si="2"/>
        <v>3.8360664494145658</v>
      </c>
      <c r="T24" s="35">
        <f>IF(+K24=0," ",(+G24/K24-1)*100)</f>
        <v>0.32035332506379355</v>
      </c>
      <c r="U24" s="36">
        <f>IF(+L24=0," ",(+H24/L24-1)*100)</f>
        <v>0.32035332506379355</v>
      </c>
      <c r="X24" s="228"/>
      <c r="Y24" s="228"/>
      <c r="Z24" s="228"/>
      <c r="AA24" s="228"/>
      <c r="AB24" s="228"/>
      <c r="AC24" s="228"/>
      <c r="AD24" s="228"/>
      <c r="AE24" s="228"/>
    </row>
    <row r="25" spans="2:31" s="7" customFormat="1" ht="12" hidden="1" customHeight="1" x14ac:dyDescent="0.2">
      <c r="B25" s="21"/>
      <c r="C25" s="10" t="s">
        <v>205</v>
      </c>
      <c r="D25" s="223"/>
      <c r="E25"/>
      <c r="F25" s="25">
        <v>118830.63482000001</v>
      </c>
      <c r="G25" s="28">
        <v>0</v>
      </c>
      <c r="H25" s="31">
        <v>0</v>
      </c>
      <c r="I25"/>
      <c r="J25" s="25"/>
      <c r="K25" s="28"/>
      <c r="L25" s="31"/>
      <c r="M25"/>
      <c r="N25" s="34">
        <f t="shared" si="0"/>
        <v>0</v>
      </c>
      <c r="O25" s="35">
        <f t="shared" si="0"/>
        <v>0</v>
      </c>
      <c r="P25" s="35" t="str">
        <f>IF(+$J25=0," ",+K25/$J25*100)</f>
        <v xml:space="preserve"> </v>
      </c>
      <c r="Q25" s="36" t="str">
        <f>IF(+$J25=0," ",+L25/$J25*100)</f>
        <v xml:space="preserve"> </v>
      </c>
      <c r="R25"/>
      <c r="S25" s="34" t="str">
        <f t="shared" si="2"/>
        <v xml:space="preserve"> </v>
      </c>
      <c r="T25" s="35" t="str">
        <f t="shared" si="2"/>
        <v xml:space="preserve"> </v>
      </c>
      <c r="U25" s="36" t="str">
        <f t="shared" si="2"/>
        <v xml:space="preserve"> </v>
      </c>
      <c r="X25" s="228"/>
      <c r="Y25" s="228"/>
      <c r="Z25" s="228"/>
      <c r="AA25" s="228"/>
      <c r="AB25" s="228"/>
      <c r="AC25" s="228"/>
      <c r="AD25" s="228"/>
      <c r="AE25" s="228"/>
    </row>
    <row r="26" spans="2:31" s="4" customFormat="1" ht="5.0999999999999996" customHeight="1" x14ac:dyDescent="0.2">
      <c r="B26" s="20"/>
      <c r="C26" s="9"/>
      <c r="D26" s="18"/>
      <c r="E26"/>
      <c r="F26" s="26"/>
      <c r="G26" s="29"/>
      <c r="H26" s="32"/>
      <c r="I26"/>
      <c r="J26" s="26"/>
      <c r="K26" s="29"/>
      <c r="L26" s="32"/>
      <c r="M26"/>
      <c r="N26" s="34" t="str">
        <f t="shared" ref="N26:N34" si="5">IF(+$F26=0," ",+G26/$F26*100)</f>
        <v xml:space="preserve"> </v>
      </c>
      <c r="O26" s="38"/>
      <c r="P26" s="38"/>
      <c r="Q26" s="39"/>
      <c r="R26"/>
      <c r="S26" s="37"/>
      <c r="T26" s="38"/>
      <c r="U26" s="39"/>
      <c r="X26" s="229"/>
      <c r="Y26" s="229"/>
      <c r="Z26" s="229"/>
      <c r="AA26" s="229"/>
      <c r="AB26" s="229"/>
      <c r="AC26" s="229"/>
      <c r="AD26" s="229"/>
      <c r="AE26" s="229"/>
    </row>
    <row r="27" spans="2:31" s="4" customFormat="1" ht="15.95" customHeight="1" x14ac:dyDescent="0.2">
      <c r="B27" s="23"/>
      <c r="C27" s="14" t="s">
        <v>54</v>
      </c>
      <c r="D27" s="17"/>
      <c r="E27"/>
      <c r="F27" s="27">
        <f>F9+F13+F18+F19+F20+F21+F22+F23+F24+F25</f>
        <v>21049390.06264</v>
      </c>
      <c r="G27" s="30">
        <f>G9+G13+G18+G19+G20+G21+G22+G23+G24</f>
        <v>21417072.672564004</v>
      </c>
      <c r="H27" s="234">
        <f>H9+H13+H18+H19+H20+H21+H22+H23+H24</f>
        <v>20815387.490699995</v>
      </c>
      <c r="I27"/>
      <c r="J27" s="27">
        <f>J9+J13+J18+J19+J20+J21+J22+J23+J24</f>
        <v>20038091.690000001</v>
      </c>
      <c r="K27" s="30">
        <f>K9+K13+K18+K19+K20+K21+K22+K23+K24</f>
        <v>19350414.827999998</v>
      </c>
      <c r="L27" s="234">
        <f>L9+L13+L18+L19+L20+L21+L22+L23+L24</f>
        <v>18895728.048</v>
      </c>
      <c r="M27"/>
      <c r="N27" s="226">
        <f t="shared" si="5"/>
        <v>101.7467613495205</v>
      </c>
      <c r="O27" s="235">
        <f>IF(+$F27=0," ",+H27/$F27*100)</f>
        <v>98.888316615143495</v>
      </c>
      <c r="P27" s="235">
        <f>IF(+$J27=0," ",+K27/$J27*100)</f>
        <v>96.568151934631643</v>
      </c>
      <c r="Q27" s="236">
        <f>IF(+$J27=0," ",+L27/$J27*100)</f>
        <v>94.299039750526262</v>
      </c>
      <c r="R27"/>
      <c r="S27" s="40">
        <f>IF(+J27=0," ",(+F27/J27-1)*100)</f>
        <v>5.0468796544367978</v>
      </c>
      <c r="T27" s="41">
        <f>IF(+K27=0," ",(+G27/K27-1)*100)</f>
        <v>10.6801733344422</v>
      </c>
      <c r="U27" s="42">
        <f>IF(+L27=0," ",(+H27/L27-1)*100)</f>
        <v>10.159224549716029</v>
      </c>
      <c r="W27" s="224"/>
      <c r="X27" s="229"/>
      <c r="Y27" s="229"/>
      <c r="Z27" s="229"/>
      <c r="AA27" s="229"/>
      <c r="AB27" s="229"/>
      <c r="AC27" s="229"/>
      <c r="AD27" s="229"/>
      <c r="AE27" s="229"/>
    </row>
    <row r="28" spans="2:31" s="4" customFormat="1" ht="5.0999999999999996" customHeight="1" x14ac:dyDescent="0.2">
      <c r="B28" s="20"/>
      <c r="C28" s="9"/>
      <c r="D28" s="18"/>
      <c r="E28"/>
      <c r="F28" s="26"/>
      <c r="G28" s="29"/>
      <c r="H28" s="32"/>
      <c r="I28"/>
      <c r="J28" s="26"/>
      <c r="K28" s="29"/>
      <c r="L28" s="32"/>
      <c r="M28"/>
      <c r="N28" s="34" t="str">
        <f t="shared" si="5"/>
        <v xml:space="preserve"> </v>
      </c>
      <c r="O28" s="38"/>
      <c r="P28" s="38"/>
      <c r="Q28" s="39"/>
      <c r="R28"/>
      <c r="S28" s="37"/>
      <c r="T28" s="38"/>
      <c r="U28" s="39"/>
      <c r="X28" s="229"/>
      <c r="Y28" s="229"/>
      <c r="Z28" s="229"/>
      <c r="AA28" s="229"/>
      <c r="AB28" s="229"/>
      <c r="AC28" s="229"/>
      <c r="AD28" s="229"/>
      <c r="AE28" s="229"/>
    </row>
    <row r="29" spans="2:31" s="7" customFormat="1" ht="15.95" customHeight="1" x14ac:dyDescent="0.2">
      <c r="B29" s="22"/>
      <c r="C29" s="10" t="s">
        <v>40</v>
      </c>
      <c r="D29" s="16"/>
      <c r="E29"/>
      <c r="F29" s="25">
        <f>F9+F13+F18+F19+F20</f>
        <v>20525411.992800001</v>
      </c>
      <c r="G29" s="28">
        <f>G9+G13+G18+G19+G20</f>
        <v>21090626.108734</v>
      </c>
      <c r="H29" s="31">
        <f>H9+H13+H18+H19+H20</f>
        <v>20497375.506699994</v>
      </c>
      <c r="I29"/>
      <c r="J29" s="25">
        <f>J9+J13+J18+J19+J20</f>
        <v>19612044.056000005</v>
      </c>
      <c r="K29" s="28">
        <f>K9+K13+K18+K19+K20</f>
        <v>19039130.019000001</v>
      </c>
      <c r="L29" s="31">
        <f>L9+L13+L18+L19+L20</f>
        <v>18598727.008000001</v>
      </c>
      <c r="M29"/>
      <c r="N29" s="34">
        <f t="shared" si="5"/>
        <v>102.75372848122252</v>
      </c>
      <c r="O29" s="35">
        <f>IF(+$F29=0," ",+H29/$F29*100)</f>
        <v>99.863405976406995</v>
      </c>
      <c r="P29" s="35">
        <f t="shared" ref="P29:Q32" si="6">IF(+$J29=0," ",+K29/$J29*100)</f>
        <v>97.078764276869293</v>
      </c>
      <c r="Q29" s="36">
        <f t="shared" si="6"/>
        <v>94.833190027992032</v>
      </c>
      <c r="R29"/>
      <c r="S29" s="34">
        <f t="shared" ref="S29:U32" si="7">IF(+J29=0," ",(+F29/J29-1)*100)</f>
        <v>4.6571786917874336</v>
      </c>
      <c r="T29" s="35">
        <f>IF(+K29=0," ",(+G29/K29-1)*100)</f>
        <v>10.775156678307884</v>
      </c>
      <c r="U29" s="36">
        <f t="shared" si="7"/>
        <v>10.208486300612485</v>
      </c>
      <c r="X29" s="228"/>
      <c r="Y29" s="228"/>
      <c r="Z29" s="228"/>
      <c r="AA29" s="228"/>
      <c r="AB29" s="228"/>
      <c r="AC29" s="228"/>
      <c r="AD29" s="228"/>
      <c r="AE29" s="228"/>
    </row>
    <row r="30" spans="2:31" s="7" customFormat="1" ht="15.95" customHeight="1" x14ac:dyDescent="0.2">
      <c r="B30" s="22"/>
      <c r="C30" s="10" t="s">
        <v>41</v>
      </c>
      <c r="D30" s="16"/>
      <c r="E30"/>
      <c r="F30" s="25">
        <f>F21+F22</f>
        <v>67641.006420000005</v>
      </c>
      <c r="G30" s="28">
        <f>G21+G22</f>
        <v>68259.199619999999</v>
      </c>
      <c r="H30" s="31">
        <f>H21+H22</f>
        <v>59991.251790000002</v>
      </c>
      <c r="I30"/>
      <c r="J30" s="25">
        <f>J21+J22</f>
        <v>66553.601999999999</v>
      </c>
      <c r="K30" s="28">
        <f>K21+K22</f>
        <v>54670.189999999995</v>
      </c>
      <c r="L30" s="31">
        <f>L21+L22</f>
        <v>40567.341999999997</v>
      </c>
      <c r="M30"/>
      <c r="N30" s="34">
        <f t="shared" si="5"/>
        <v>100.91393258722599</v>
      </c>
      <c r="O30" s="35">
        <f>IF(+$F30=0," ",+H30/$F30*100)</f>
        <v>88.690655218077694</v>
      </c>
      <c r="P30" s="35">
        <f t="shared" si="6"/>
        <v>82.144599776883595</v>
      </c>
      <c r="Q30" s="36">
        <f t="shared" si="6"/>
        <v>60.954389816497077</v>
      </c>
      <c r="R30"/>
      <c r="S30" s="34">
        <f t="shared" si="7"/>
        <v>1.6338776374568154</v>
      </c>
      <c r="T30" s="35">
        <f>IF(+K30=0," ",(+G30/K30-1)*100)</f>
        <v>24.856342405248654</v>
      </c>
      <c r="U30" s="36">
        <f t="shared" si="7"/>
        <v>47.880656785450725</v>
      </c>
      <c r="W30" s="225"/>
      <c r="X30" s="228"/>
      <c r="Y30" s="228"/>
      <c r="Z30" s="228"/>
      <c r="AA30" s="228"/>
      <c r="AB30" s="228"/>
      <c r="AC30" s="228"/>
      <c r="AD30" s="228"/>
      <c r="AE30" s="228"/>
    </row>
    <row r="31" spans="2:31" s="7" customFormat="1" ht="15.95" customHeight="1" x14ac:dyDescent="0.2">
      <c r="B31" s="22"/>
      <c r="C31" s="10" t="s">
        <v>42</v>
      </c>
      <c r="D31" s="16"/>
      <c r="E31"/>
      <c r="F31" s="25">
        <f>F23+F24</f>
        <v>337506.42859999998</v>
      </c>
      <c r="G31" s="28">
        <f>SUM(G23:G24)</f>
        <v>258187.36421</v>
      </c>
      <c r="H31" s="31">
        <f>SUM(H23:H24)</f>
        <v>258020.73220999999</v>
      </c>
      <c r="I31"/>
      <c r="J31" s="25">
        <f>J23+J24</f>
        <v>359494.03199999995</v>
      </c>
      <c r="K31" s="28">
        <f>SUM(K23:K24)</f>
        <v>256614.61900000001</v>
      </c>
      <c r="L31" s="31">
        <f>L23+L24</f>
        <v>256433.698</v>
      </c>
      <c r="M31"/>
      <c r="N31" s="34">
        <f t="shared" si="5"/>
        <v>76.49850264511376</v>
      </c>
      <c r="O31" s="35">
        <f t="shared" ref="O31:O32" si="8">IF(+$F31=0," ",+H31/$F31*100)</f>
        <v>76.4491311410831</v>
      </c>
      <c r="P31" s="35">
        <f t="shared" si="6"/>
        <v>71.382163863015123</v>
      </c>
      <c r="Q31" s="36">
        <f t="shared" si="6"/>
        <v>71.331837297371337</v>
      </c>
      <c r="R31"/>
      <c r="S31" s="34">
        <f t="shared" si="7"/>
        <v>-6.1162638160290665</v>
      </c>
      <c r="T31" s="35">
        <f>IF(+K31=0," ",(+G31/K31-1)*100)</f>
        <v>0.61288215617989472</v>
      </c>
      <c r="U31" s="36">
        <f t="shared" si="7"/>
        <v>0.61888676191066416</v>
      </c>
      <c r="X31" s="228"/>
      <c r="Y31" s="228"/>
      <c r="Z31" s="228"/>
      <c r="AA31" s="228"/>
      <c r="AB31" s="228"/>
      <c r="AC31" s="228"/>
      <c r="AD31" s="228"/>
      <c r="AE31" s="228"/>
    </row>
    <row r="32" spans="2:31" s="7" customFormat="1" ht="18" hidden="1" customHeight="1" x14ac:dyDescent="0.2">
      <c r="B32" s="22"/>
      <c r="C32" s="10" t="s">
        <v>205</v>
      </c>
      <c r="D32" s="16"/>
      <c r="E32"/>
      <c r="F32" s="25"/>
      <c r="G32" s="28"/>
      <c r="H32" s="31"/>
      <c r="I32"/>
      <c r="J32" s="25"/>
      <c r="K32" s="28"/>
      <c r="L32" s="31"/>
      <c r="M32"/>
      <c r="N32" s="34" t="str">
        <f t="shared" si="5"/>
        <v xml:space="preserve"> </v>
      </c>
      <c r="O32" s="35" t="str">
        <f t="shared" si="8"/>
        <v xml:space="preserve"> </v>
      </c>
      <c r="P32" s="35" t="str">
        <f t="shared" si="6"/>
        <v xml:space="preserve"> </v>
      </c>
      <c r="Q32" s="36" t="str">
        <f t="shared" si="6"/>
        <v xml:space="preserve"> </v>
      </c>
      <c r="R32"/>
      <c r="S32" s="34" t="str">
        <f t="shared" si="7"/>
        <v xml:space="preserve"> </v>
      </c>
      <c r="T32" s="35" t="str">
        <f t="shared" si="7"/>
        <v xml:space="preserve"> </v>
      </c>
      <c r="U32" s="36" t="str">
        <f t="shared" si="7"/>
        <v xml:space="preserve"> </v>
      </c>
      <c r="X32" s="228"/>
      <c r="Y32" s="228"/>
      <c r="Z32" s="228"/>
      <c r="AA32" s="228"/>
      <c r="AB32" s="228"/>
      <c r="AC32" s="228"/>
      <c r="AD32" s="228"/>
      <c r="AE32" s="228"/>
    </row>
    <row r="33" spans="2:31" s="4" customFormat="1" ht="5.0999999999999996" customHeight="1" x14ac:dyDescent="0.2">
      <c r="B33" s="20"/>
      <c r="C33" s="9"/>
      <c r="D33" s="18"/>
      <c r="E33"/>
      <c r="F33" s="26"/>
      <c r="G33" s="29"/>
      <c r="H33" s="32"/>
      <c r="I33"/>
      <c r="J33" s="26"/>
      <c r="K33" s="29"/>
      <c r="L33" s="32"/>
      <c r="M33"/>
      <c r="N33" s="34" t="str">
        <f t="shared" si="5"/>
        <v xml:space="preserve"> </v>
      </c>
      <c r="O33" s="38"/>
      <c r="P33" s="38"/>
      <c r="Q33" s="39"/>
      <c r="R33"/>
      <c r="S33" s="37"/>
      <c r="T33" s="38"/>
      <c r="U33" s="39"/>
      <c r="X33" s="229"/>
      <c r="Y33" s="229"/>
      <c r="Z33" s="229"/>
      <c r="AA33" s="229"/>
      <c r="AB33" s="229"/>
      <c r="AC33" s="229"/>
      <c r="AD33" s="229"/>
      <c r="AE33" s="229"/>
    </row>
    <row r="34" spans="2:31" s="4" customFormat="1" ht="15.95" customHeight="1" x14ac:dyDescent="0.2">
      <c r="B34" s="43"/>
      <c r="C34" s="44" t="s">
        <v>54</v>
      </c>
      <c r="D34" s="19"/>
      <c r="E34"/>
      <c r="F34" s="45">
        <f>SUM(F29:F31)</f>
        <v>20930559.427820001</v>
      </c>
      <c r="G34" s="46">
        <f>SUM(G29:G31)</f>
        <v>21417072.672564</v>
      </c>
      <c r="H34" s="47">
        <f>SUM(H29:H31)</f>
        <v>20815387.490699992</v>
      </c>
      <c r="I34"/>
      <c r="J34" s="45">
        <f>SUM(J29,J30,J31,J32)</f>
        <v>20038091.690000009</v>
      </c>
      <c r="K34" s="46">
        <f>SUM(K29,K30,K31,K32)</f>
        <v>19350414.828000002</v>
      </c>
      <c r="L34" s="47">
        <f>SUM(L29,L30,L31,L32)</f>
        <v>18895728.048</v>
      </c>
      <c r="M34"/>
      <c r="N34" s="227">
        <f t="shared" si="5"/>
        <v>102.32441586868121</v>
      </c>
      <c r="O34" s="49">
        <f>IF(+$F34=0," ",+H34/$F34*100)</f>
        <v>99.449742671631952</v>
      </c>
      <c r="P34" s="49">
        <f>IF(+$J34=0," ",+K34/$J34*100)</f>
        <v>96.568151934631615</v>
      </c>
      <c r="Q34" s="50">
        <f>IF(+$J34=0," ",+L34/$J34*100)</f>
        <v>94.299039750526219</v>
      </c>
      <c r="R34"/>
      <c r="S34" s="48">
        <f>IF(+J34=0," ",(+F34/J34-1)*100)</f>
        <v>4.4538559441035908</v>
      </c>
      <c r="T34" s="49">
        <f>IF(+K34=0," ",(+G34/K34-1)*100)</f>
        <v>10.680173334442156</v>
      </c>
      <c r="U34" s="50">
        <f>IF(+L34=0," ",(+H34/L34-1)*100)</f>
        <v>10.159224549716006</v>
      </c>
      <c r="X34" s="229"/>
      <c r="Y34" s="229"/>
      <c r="Z34" s="229"/>
      <c r="AA34" s="229"/>
      <c r="AB34" s="229"/>
      <c r="AC34" s="229"/>
      <c r="AD34" s="229"/>
      <c r="AE34" s="229"/>
    </row>
    <row r="35" spans="2:31" s="4" customFormat="1" ht="15.75" hidden="1" customHeight="1" x14ac:dyDescent="0.2">
      <c r="B35" s="8" t="s">
        <v>206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X35" s="229"/>
      <c r="Y35" s="229"/>
      <c r="Z35" s="229"/>
      <c r="AA35" s="229"/>
      <c r="AB35" s="229"/>
      <c r="AC35" s="229"/>
      <c r="AD35" s="229"/>
      <c r="AE35" s="229"/>
    </row>
    <row r="36" spans="2:31" ht="8.25" customHeight="1" x14ac:dyDescent="0.2"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X36" s="230"/>
      <c r="Y36" s="230"/>
      <c r="Z36" s="230"/>
      <c r="AA36" s="230"/>
      <c r="AB36" s="232"/>
      <c r="AC36" s="230"/>
      <c r="AD36" s="230"/>
      <c r="AE36" s="230"/>
    </row>
    <row r="37" spans="2:31" x14ac:dyDescent="0.2">
      <c r="B37" s="165"/>
      <c r="C37" s="135" t="s">
        <v>43</v>
      </c>
      <c r="D37" s="165"/>
      <c r="E37" s="165"/>
      <c r="F37" s="29"/>
      <c r="G37" s="29"/>
      <c r="H37" s="29"/>
      <c r="I37" s="29">
        <f>SUM(I10:I12)</f>
        <v>0</v>
      </c>
      <c r="J37" s="29"/>
      <c r="K37" s="29"/>
      <c r="L37" s="29"/>
      <c r="M37" s="165"/>
      <c r="N37" s="165"/>
      <c r="O37" s="165"/>
      <c r="P37" s="165"/>
      <c r="Q37" s="165"/>
      <c r="R37" s="165"/>
      <c r="S37" s="165"/>
      <c r="T37" s="165"/>
      <c r="U37" s="181"/>
      <c r="X37" s="230"/>
      <c r="Y37" s="230"/>
      <c r="Z37" s="230"/>
      <c r="AA37" s="230"/>
      <c r="AB37" s="232"/>
      <c r="AC37" s="230"/>
      <c r="AD37" s="230"/>
      <c r="AE37" s="230"/>
    </row>
    <row r="38" spans="2:31" x14ac:dyDescent="0.2">
      <c r="B38" s="165"/>
      <c r="C38" s="165"/>
      <c r="D38" s="165"/>
      <c r="E38" s="165"/>
      <c r="F38" s="165"/>
      <c r="G38" s="180"/>
      <c r="H38" s="94"/>
      <c r="I38" s="165"/>
      <c r="J38" s="165"/>
      <c r="K38" s="181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X38" s="230"/>
      <c r="Y38" s="230"/>
      <c r="Z38" s="230"/>
      <c r="AA38" s="230"/>
      <c r="AB38" s="232"/>
      <c r="AC38" s="230"/>
      <c r="AD38" s="230"/>
      <c r="AE38" s="230"/>
    </row>
    <row r="39" spans="2:31" x14ac:dyDescent="0.2">
      <c r="B39" s="165"/>
      <c r="C39" s="165"/>
      <c r="D39" s="165"/>
      <c r="E39" s="165"/>
      <c r="F39" s="94"/>
      <c r="G39" s="94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X39" s="230"/>
      <c r="Y39" s="230"/>
      <c r="Z39" s="230"/>
      <c r="AA39" s="230"/>
      <c r="AB39" s="232"/>
      <c r="AC39" s="230"/>
      <c r="AD39" s="230"/>
      <c r="AE39" s="230"/>
    </row>
    <row r="40" spans="2:31" x14ac:dyDescent="0.2">
      <c r="X40" s="230"/>
      <c r="Y40" s="230"/>
      <c r="Z40" s="230"/>
      <c r="AA40" s="230"/>
      <c r="AB40" s="232"/>
      <c r="AC40" s="230"/>
      <c r="AD40" s="230"/>
      <c r="AE40" s="230"/>
    </row>
    <row r="41" spans="2:31" x14ac:dyDescent="0.2">
      <c r="X41" s="230"/>
      <c r="Y41" s="230"/>
      <c r="Z41" s="230"/>
      <c r="AA41" s="230"/>
      <c r="AB41" s="230"/>
      <c r="AC41" s="230"/>
      <c r="AD41" s="230"/>
      <c r="AE41" s="230"/>
    </row>
    <row r="42" spans="2:31" x14ac:dyDescent="0.2">
      <c r="X42" s="230"/>
      <c r="Y42" s="230"/>
      <c r="Z42" s="230"/>
      <c r="AA42" s="230"/>
      <c r="AB42" s="230"/>
      <c r="AC42" s="230"/>
      <c r="AD42" s="230"/>
      <c r="AE42" s="230"/>
    </row>
    <row r="43" spans="2:31" x14ac:dyDescent="0.2">
      <c r="AA43" s="230"/>
      <c r="AC43" s="233"/>
    </row>
    <row r="44" spans="2:31" x14ac:dyDescent="0.2"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 t="str">
        <f t="shared" ref="S44:U45" si="9">IF(+K44=0," ",(+G44/K44-1)*100)</f>
        <v xml:space="preserve"> </v>
      </c>
      <c r="U44" s="165" t="str">
        <f t="shared" si="9"/>
        <v xml:space="preserve"> </v>
      </c>
      <c r="AA44" s="230"/>
      <c r="AC44" s="230"/>
    </row>
    <row r="45" spans="2:31" s="3" customFormat="1" x14ac:dyDescent="0.2">
      <c r="B45" s="165"/>
      <c r="C45" s="165"/>
      <c r="D45" s="165"/>
      <c r="E45" s="165"/>
      <c r="F45" s="165">
        <v>0</v>
      </c>
      <c r="G45" s="165">
        <v>0</v>
      </c>
      <c r="H45" s="165">
        <v>0</v>
      </c>
      <c r="I45" s="165"/>
      <c r="J45" s="165"/>
      <c r="K45" s="165"/>
      <c r="L45" s="165"/>
      <c r="M45" s="165"/>
      <c r="N45" s="165" t="str">
        <f>IF(+$F45=0," ",+G45/$F45*100)</f>
        <v xml:space="preserve"> </v>
      </c>
      <c r="O45" s="165" t="str">
        <f>IF(+$F45=0," ",+H45/$F45*100)</f>
        <v xml:space="preserve"> </v>
      </c>
      <c r="P45" s="165" t="str">
        <f>IF(+$J45=0," ",+K45/$J45*100)</f>
        <v xml:space="preserve"> </v>
      </c>
      <c r="Q45" s="165" t="str">
        <f>IF(+$J45=0," ",+L45/$J45*100)</f>
        <v xml:space="preserve"> </v>
      </c>
      <c r="R45" s="165"/>
      <c r="S45" s="165" t="str">
        <f t="shared" si="9"/>
        <v xml:space="preserve"> </v>
      </c>
      <c r="T45" s="165" t="str">
        <f t="shared" si="9"/>
        <v xml:space="preserve"> </v>
      </c>
      <c r="U45" s="165" t="str">
        <f t="shared" si="9"/>
        <v xml:space="preserve"> </v>
      </c>
    </row>
    <row r="46" spans="2:31" x14ac:dyDescent="0.2">
      <c r="AA46" s="230"/>
    </row>
    <row r="47" spans="2:31" x14ac:dyDescent="0.2">
      <c r="V47" s="228"/>
    </row>
    <row r="48" spans="2:31" x14ac:dyDescent="0.2">
      <c r="V48" s="228"/>
    </row>
    <row r="49" spans="22:22" x14ac:dyDescent="0.2">
      <c r="V49" s="228"/>
    </row>
    <row r="50" spans="22:22" x14ac:dyDescent="0.2">
      <c r="V50" s="228"/>
    </row>
    <row r="51" spans="22:22" x14ac:dyDescent="0.2">
      <c r="V51" s="228"/>
    </row>
    <row r="52" spans="22:22" x14ac:dyDescent="0.2">
      <c r="V52" s="228"/>
    </row>
    <row r="53" spans="22:22" x14ac:dyDescent="0.2">
      <c r="V53" s="228"/>
    </row>
    <row r="54" spans="22:22" x14ac:dyDescent="0.2">
      <c r="V54" s="228"/>
    </row>
    <row r="55" spans="22:22" x14ac:dyDescent="0.2">
      <c r="V55" s="228"/>
    </row>
    <row r="56" spans="22:22" x14ac:dyDescent="0.2">
      <c r="V56" s="228"/>
    </row>
    <row r="57" spans="22:22" x14ac:dyDescent="0.2">
      <c r="V57" s="228"/>
    </row>
    <row r="58" spans="22:22" x14ac:dyDescent="0.2">
      <c r="V58" s="228"/>
    </row>
    <row r="59" spans="22:22" x14ac:dyDescent="0.2">
      <c r="V59" s="228"/>
    </row>
    <row r="60" spans="22:22" x14ac:dyDescent="0.2">
      <c r="V60" s="228"/>
    </row>
    <row r="61" spans="22:22" x14ac:dyDescent="0.2">
      <c r="V61" s="228"/>
    </row>
    <row r="62" spans="22:22" x14ac:dyDescent="0.2">
      <c r="V62" s="229"/>
    </row>
    <row r="63" spans="22:22" x14ac:dyDescent="0.2">
      <c r="V63" s="229"/>
    </row>
    <row r="64" spans="22:22" x14ac:dyDescent="0.2">
      <c r="V64" s="229"/>
    </row>
    <row r="65" spans="22:22" x14ac:dyDescent="0.2">
      <c r="V65" s="228"/>
    </row>
    <row r="66" spans="22:22" x14ac:dyDescent="0.2">
      <c r="V66" s="228"/>
    </row>
    <row r="67" spans="22:22" x14ac:dyDescent="0.2">
      <c r="V67" s="228"/>
    </row>
    <row r="68" spans="22:22" x14ac:dyDescent="0.2">
      <c r="V68" s="228"/>
    </row>
    <row r="69" spans="22:22" x14ac:dyDescent="0.2">
      <c r="V69" s="229"/>
    </row>
    <row r="70" spans="22:22" x14ac:dyDescent="0.2">
      <c r="V70" s="229"/>
    </row>
  </sheetData>
  <mergeCells count="8">
    <mergeCell ref="B2:U2"/>
    <mergeCell ref="B5:D7"/>
    <mergeCell ref="S5:U6"/>
    <mergeCell ref="N6:O6"/>
    <mergeCell ref="P6:Q6"/>
    <mergeCell ref="F5:H5"/>
    <mergeCell ref="J5:L5"/>
    <mergeCell ref="N5:Q5"/>
  </mergeCells>
  <phoneticPr fontId="0" type="noConversion"/>
  <hyperlinks>
    <hyperlink ref="C37" location="Índice!A1" tooltip="Volver al índice" display="◄ volver al menu" xr:uid="{00000000-0004-0000-0700-000000000000}"/>
  </hyperlinks>
  <printOptions horizontalCentered="1"/>
  <pageMargins left="0.39370078740157483" right="0.39370078740157483" top="0.39370078740157483" bottom="0.59055118110236227" header="0" footer="0"/>
  <pageSetup paperSize="9" scale="98" orientation="landscape" r:id="rId1"/>
  <headerFooter alignWithMargins="0">
    <oddFooter>&amp;C&amp;G</oddFooter>
  </headerFooter>
  <ignoredErrors>
    <ignoredError sqref="F13:H13 G31:H31" formulaRange="1"/>
    <ignoredError sqref="K31" 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2"/>
    <pageSetUpPr fitToPage="1"/>
  </sheetPr>
  <dimension ref="B1:I29"/>
  <sheetViews>
    <sheetView showGridLines="0" topLeftCell="A3" zoomScaleNormal="100" workbookViewId="0">
      <selection activeCell="N16" sqref="N16"/>
    </sheetView>
  </sheetViews>
  <sheetFormatPr baseColWidth="10" defaultColWidth="12.5703125" defaultRowHeight="11.25" x14ac:dyDescent="0.2"/>
  <cols>
    <col min="1" max="1" width="4.140625" style="113" customWidth="1"/>
    <col min="2" max="2" width="4" style="113" customWidth="1"/>
    <col min="3" max="3" width="34.5703125" style="113" bestFit="1" customWidth="1"/>
    <col min="4" max="4" width="2.7109375" style="113" customWidth="1"/>
    <col min="5" max="5" width="18.7109375" style="113" customWidth="1"/>
    <col min="6" max="6" width="2.7109375" style="113" customWidth="1"/>
    <col min="7" max="7" width="18.7109375" style="113" customWidth="1"/>
    <col min="8" max="8" width="2.7109375" style="113" customWidth="1"/>
    <col min="9" max="9" width="18.7109375" style="113" customWidth="1"/>
    <col min="10" max="10" width="1.7109375" style="113" customWidth="1"/>
    <col min="11" max="11" width="5.7109375" style="113" customWidth="1"/>
    <col min="12" max="12" width="2.7109375" style="113" customWidth="1"/>
    <col min="13" max="13" width="13.140625" style="113" customWidth="1"/>
    <col min="14" max="14" width="12.5703125" style="113" customWidth="1"/>
    <col min="15" max="15" width="4.42578125" style="113" customWidth="1"/>
    <col min="16" max="16384" width="12.5703125" style="113"/>
  </cols>
  <sheetData>
    <row r="1" spans="2:9" s="132" customFormat="1" ht="15.75" x14ac:dyDescent="0.2">
      <c r="B1" s="62" t="s">
        <v>7</v>
      </c>
      <c r="C1" s="131"/>
      <c r="D1" s="131"/>
      <c r="E1" s="131"/>
      <c r="F1" s="131"/>
      <c r="G1" s="131"/>
      <c r="H1" s="131"/>
      <c r="I1" s="130" t="str">
        <f>Índice!B8</f>
        <v>4ºTrimestre 2025</v>
      </c>
    </row>
    <row r="2" spans="2:9" ht="24.75" customHeight="1" x14ac:dyDescent="0.2">
      <c r="B2" s="259" t="s">
        <v>55</v>
      </c>
      <c r="C2" s="259"/>
      <c r="D2" s="259"/>
      <c r="E2" s="259"/>
      <c r="F2" s="259"/>
      <c r="G2" s="259"/>
      <c r="H2" s="259"/>
      <c r="I2" s="259"/>
    </row>
    <row r="3" spans="2:9" ht="24" customHeight="1" x14ac:dyDescent="0.2">
      <c r="B3" s="115"/>
      <c r="C3" s="114"/>
      <c r="D3" s="114"/>
      <c r="E3" s="114"/>
      <c r="F3" s="114"/>
      <c r="G3" s="128" t="s">
        <v>12</v>
      </c>
      <c r="H3"/>
    </row>
    <row r="4" spans="2:9" ht="32.1" customHeight="1" x14ac:dyDescent="0.2">
      <c r="B4" s="116"/>
      <c r="C4" s="70"/>
      <c r="D4" s="72"/>
      <c r="E4" s="126">
        <v>2025</v>
      </c>
      <c r="F4"/>
      <c r="G4" s="126">
        <v>2024</v>
      </c>
      <c r="H4"/>
      <c r="I4" s="127" t="s">
        <v>224</v>
      </c>
    </row>
    <row r="5" spans="2:9" ht="9" customHeight="1" x14ac:dyDescent="0.2">
      <c r="B5" s="116"/>
      <c r="C5" s="70"/>
      <c r="D5" s="72"/>
      <c r="F5"/>
      <c r="H5"/>
    </row>
    <row r="6" spans="2:9" ht="19.5" customHeight="1" x14ac:dyDescent="0.2">
      <c r="B6" s="262" t="s">
        <v>207</v>
      </c>
      <c r="C6" s="263"/>
      <c r="D6" s="72"/>
      <c r="E6" s="187">
        <f>+'ingresos ddff'!G29</f>
        <v>21090626.108734</v>
      </c>
      <c r="F6"/>
      <c r="G6" s="187">
        <v>19039130.019000001</v>
      </c>
      <c r="H6"/>
      <c r="I6" s="212">
        <f>(E6/G6-1)*100</f>
        <v>10.775156678307884</v>
      </c>
    </row>
    <row r="7" spans="2:9" ht="19.5" customHeight="1" x14ac:dyDescent="0.2">
      <c r="B7" s="254" t="s">
        <v>57</v>
      </c>
      <c r="C7" s="255"/>
      <c r="D7" s="72"/>
      <c r="E7" s="189">
        <f>SUM(E8:E11)</f>
        <v>19936805.530019999</v>
      </c>
      <c r="F7"/>
      <c r="G7" s="189">
        <v>18281324.082999997</v>
      </c>
      <c r="H7"/>
      <c r="I7" s="213">
        <f t="shared" ref="I7:I18" si="0">(E7/G7-1)*100</f>
        <v>9.0555883124431524</v>
      </c>
    </row>
    <row r="8" spans="2:9" ht="12.75" x14ac:dyDescent="0.2">
      <c r="B8" s="117"/>
      <c r="C8" s="118" t="s">
        <v>58</v>
      </c>
      <c r="D8" s="72"/>
      <c r="E8" s="191">
        <f>+'gastos ddff'!G9</f>
        <v>481327.80299999996</v>
      </c>
      <c r="F8"/>
      <c r="G8" s="191">
        <v>477935.82799999998</v>
      </c>
      <c r="H8"/>
      <c r="I8" s="214">
        <f t="shared" si="0"/>
        <v>0.70971348061397155</v>
      </c>
    </row>
    <row r="9" spans="2:9" ht="12.75" x14ac:dyDescent="0.2">
      <c r="B9" s="117"/>
      <c r="C9" s="118" t="s">
        <v>59</v>
      </c>
      <c r="D9" s="72"/>
      <c r="E9" s="191">
        <f>+'gastos ddff'!G10</f>
        <v>838484.58455000003</v>
      </c>
      <c r="F9"/>
      <c r="G9" s="191">
        <v>776089.48900000006</v>
      </c>
      <c r="H9"/>
      <c r="I9" s="214">
        <f t="shared" si="0"/>
        <v>8.0396779539427587</v>
      </c>
    </row>
    <row r="10" spans="2:9" ht="12.75" x14ac:dyDescent="0.2">
      <c r="B10" s="117"/>
      <c r="C10" s="118" t="s">
        <v>60</v>
      </c>
      <c r="D10" s="72"/>
      <c r="E10" s="191">
        <f>+'gastos ddff'!G11</f>
        <v>52101.994570000003</v>
      </c>
      <c r="F10"/>
      <c r="G10" s="191">
        <v>68146.135000000009</v>
      </c>
      <c r="H10"/>
      <c r="I10" s="214">
        <f t="shared" si="0"/>
        <v>-23.543727652345957</v>
      </c>
    </row>
    <row r="11" spans="2:9" ht="12.75" x14ac:dyDescent="0.2">
      <c r="B11" s="117"/>
      <c r="C11" s="118" t="s">
        <v>61</v>
      </c>
      <c r="D11" s="72"/>
      <c r="E11" s="191">
        <f>+'gastos ddff'!G12</f>
        <v>18564891.1479</v>
      </c>
      <c r="F11"/>
      <c r="G11" s="191">
        <v>16959152.630999997</v>
      </c>
      <c r="H11"/>
      <c r="I11" s="214">
        <f t="shared" si="0"/>
        <v>9.4682709203574245</v>
      </c>
    </row>
    <row r="12" spans="2:9" ht="19.5" customHeight="1" x14ac:dyDescent="0.2">
      <c r="B12" s="254" t="s">
        <v>208</v>
      </c>
      <c r="C12" s="255"/>
      <c r="D12" s="72"/>
      <c r="E12" s="189">
        <f>+E6-E7</f>
        <v>1153820.5787140019</v>
      </c>
      <c r="F12"/>
      <c r="G12" s="189">
        <v>757805.93600000441</v>
      </c>
      <c r="H12"/>
      <c r="I12" s="213">
        <f t="shared" si="0"/>
        <v>52.258054984936834</v>
      </c>
    </row>
    <row r="13" spans="2:9" ht="19.5" customHeight="1" x14ac:dyDescent="0.2">
      <c r="B13" s="254" t="s">
        <v>63</v>
      </c>
      <c r="C13" s="255"/>
      <c r="D13" s="72"/>
      <c r="E13" s="189">
        <f>+'ingresos ddff'!G30</f>
        <v>68259.199619999999</v>
      </c>
      <c r="F13"/>
      <c r="G13" s="189">
        <v>54670.189999999995</v>
      </c>
      <c r="H13"/>
      <c r="I13" s="213">
        <f t="shared" si="0"/>
        <v>24.856342405248654</v>
      </c>
    </row>
    <row r="14" spans="2:9" ht="19.5" customHeight="1" x14ac:dyDescent="0.2">
      <c r="B14" s="254" t="s">
        <v>64</v>
      </c>
      <c r="C14" s="255"/>
      <c r="D14" s="72"/>
      <c r="E14" s="189">
        <f>+E15+E16</f>
        <v>700664.58609999996</v>
      </c>
      <c r="F14"/>
      <c r="G14" s="189">
        <v>603974.41899999999</v>
      </c>
      <c r="H14"/>
      <c r="I14" s="213">
        <f t="shared" si="0"/>
        <v>16.008983834131563</v>
      </c>
    </row>
    <row r="15" spans="2:9" ht="12.75" x14ac:dyDescent="0.2">
      <c r="B15" s="176"/>
      <c r="C15" s="118" t="s">
        <v>65</v>
      </c>
      <c r="D15" s="72"/>
      <c r="E15" s="191">
        <f>+'gastos ddff'!G13</f>
        <v>434449.35836999997</v>
      </c>
      <c r="F15"/>
      <c r="G15" s="191">
        <v>400639.18299999996</v>
      </c>
      <c r="H15"/>
      <c r="I15" s="214">
        <f t="shared" si="0"/>
        <v>8.4390585855403053</v>
      </c>
    </row>
    <row r="16" spans="2:9" ht="12.75" x14ac:dyDescent="0.2">
      <c r="B16" s="176"/>
      <c r="C16" s="118" t="s">
        <v>66</v>
      </c>
      <c r="D16" s="72"/>
      <c r="E16" s="191">
        <f>+'gastos ddff'!G14</f>
        <v>266215.22773000004</v>
      </c>
      <c r="F16"/>
      <c r="G16" s="191">
        <v>203335.23599999998</v>
      </c>
      <c r="H16"/>
      <c r="I16" s="214">
        <f t="shared" si="0"/>
        <v>30.924296726416898</v>
      </c>
    </row>
    <row r="17" spans="2:9" ht="19.5" customHeight="1" x14ac:dyDescent="0.2">
      <c r="B17" s="260" t="s">
        <v>67</v>
      </c>
      <c r="C17" s="261"/>
      <c r="D17" s="72"/>
      <c r="E17" s="189">
        <f>+E12+E13-E14</f>
        <v>521415.19223400205</v>
      </c>
      <c r="F17"/>
      <c r="G17" s="189">
        <v>208501.70700000436</v>
      </c>
      <c r="H17"/>
      <c r="I17" s="213">
        <f t="shared" si="0"/>
        <v>150.07718149472566</v>
      </c>
    </row>
    <row r="18" spans="2:9" ht="19.5" customHeight="1" x14ac:dyDescent="0.2">
      <c r="B18" s="254" t="s">
        <v>68</v>
      </c>
      <c r="C18" s="255"/>
      <c r="D18" s="72"/>
      <c r="E18" s="189">
        <f>+E19-E20</f>
        <v>-103927.46063</v>
      </c>
      <c r="F18"/>
      <c r="G18" s="189">
        <v>-95444.4</v>
      </c>
      <c r="H18"/>
      <c r="I18" s="213">
        <f t="shared" si="0"/>
        <v>8.8879605613320543</v>
      </c>
    </row>
    <row r="19" spans="2:9" ht="12.75" x14ac:dyDescent="0.2">
      <c r="B19" s="176"/>
      <c r="C19" s="118" t="s">
        <v>69</v>
      </c>
      <c r="D19" s="72"/>
      <c r="E19" s="191">
        <f>+'ingresos ddff'!G23</f>
        <v>4238.42821</v>
      </c>
      <c r="F19"/>
      <c r="G19" s="191">
        <v>3476.6189999999997</v>
      </c>
      <c r="H19"/>
      <c r="I19" s="214">
        <f>(E19/G19-1)*100</f>
        <v>21.912358242303821</v>
      </c>
    </row>
    <row r="20" spans="2:9" ht="12.75" x14ac:dyDescent="0.2">
      <c r="B20" s="176"/>
      <c r="C20" s="118" t="s">
        <v>70</v>
      </c>
      <c r="D20" s="72"/>
      <c r="E20" s="191">
        <f>+'gastos ddff'!G15</f>
        <v>108165.88884</v>
      </c>
      <c r="F20"/>
      <c r="G20" s="191">
        <v>98921.019</v>
      </c>
      <c r="H20"/>
      <c r="I20" s="214">
        <f>(E20/G20-1)*100</f>
        <v>9.3457082564020197</v>
      </c>
    </row>
    <row r="21" spans="2:9" ht="19.5" customHeight="1" x14ac:dyDescent="0.2">
      <c r="B21" s="254" t="s">
        <v>71</v>
      </c>
      <c r="C21" s="255"/>
      <c r="D21" s="72"/>
      <c r="E21" s="189">
        <f>+E22-E23</f>
        <v>-31107.666599999997</v>
      </c>
      <c r="F21"/>
      <c r="G21" s="189">
        <v>-31018.181999999972</v>
      </c>
      <c r="H21"/>
      <c r="I21" s="213">
        <f>(E21/G21-1)*100</f>
        <v>0.2884907954954441</v>
      </c>
    </row>
    <row r="22" spans="2:9" ht="12.75" x14ac:dyDescent="0.2">
      <c r="B22" s="176"/>
      <c r="C22" s="118" t="s">
        <v>72</v>
      </c>
      <c r="D22" s="72"/>
      <c r="E22" s="191">
        <f>+'ingresos ddff'!G24</f>
        <v>253948.93599999999</v>
      </c>
      <c r="F22"/>
      <c r="G22" s="191">
        <v>253138</v>
      </c>
      <c r="H22"/>
      <c r="I22" s="214">
        <f>(E22/G22-1)*100</f>
        <v>0.32035332506379355</v>
      </c>
    </row>
    <row r="23" spans="2:9" ht="12.75" x14ac:dyDescent="0.2">
      <c r="B23" s="176"/>
      <c r="C23" s="118" t="s">
        <v>73</v>
      </c>
      <c r="D23" s="72"/>
      <c r="E23" s="182">
        <f>+'gastos ddff'!G16</f>
        <v>285056.60259999998</v>
      </c>
      <c r="F23"/>
      <c r="G23" s="182">
        <v>284156.18199999997</v>
      </c>
      <c r="H23"/>
      <c r="I23" s="214">
        <f>(E23/G23-1)*100</f>
        <v>0.31687524574073311</v>
      </c>
    </row>
    <row r="24" spans="2:9" ht="19.5" customHeight="1" x14ac:dyDescent="0.2">
      <c r="B24" s="254" t="s">
        <v>74</v>
      </c>
      <c r="C24" s="255"/>
      <c r="D24" s="72"/>
      <c r="E24" s="189">
        <f>+E17+E18+E21</f>
        <v>386380.06500400207</v>
      </c>
      <c r="F24"/>
      <c r="G24" s="189">
        <v>82039.125000004395</v>
      </c>
      <c r="H24"/>
      <c r="I24" s="213" t="s">
        <v>52</v>
      </c>
    </row>
    <row r="25" spans="2:9" ht="12.75" x14ac:dyDescent="0.2">
      <c r="B25" s="176"/>
      <c r="C25" s="118" t="s">
        <v>75</v>
      </c>
      <c r="D25" s="72"/>
      <c r="E25" s="191">
        <f>+'gastos ddff'!G24-'gastos ddff'!H24</f>
        <v>579140.9526280053</v>
      </c>
      <c r="F25"/>
      <c r="G25" s="191">
        <v>515473.24999999627</v>
      </c>
      <c r="H25"/>
      <c r="I25" s="214">
        <f>(E25/G25-1)*100</f>
        <v>12.3513106893538</v>
      </c>
    </row>
    <row r="26" spans="2:9" ht="12.75" x14ac:dyDescent="0.2">
      <c r="B26" s="176"/>
      <c r="C26" s="118" t="s">
        <v>76</v>
      </c>
      <c r="D26" s="72"/>
      <c r="E26" s="191">
        <f>+'ingresos ddff'!G34-'ingresos ddff'!H34</f>
        <v>601685.18186400831</v>
      </c>
      <c r="F26"/>
      <c r="G26" s="191">
        <v>707824.78000000119</v>
      </c>
      <c r="H26"/>
      <c r="I26" s="214">
        <f>(E26/G26-1)*100</f>
        <v>-14.995179758469702</v>
      </c>
    </row>
    <row r="27" spans="2:9" ht="30" customHeight="1" x14ac:dyDescent="0.2">
      <c r="B27" s="256" t="s">
        <v>209</v>
      </c>
      <c r="C27" s="257"/>
      <c r="D27" s="72"/>
      <c r="E27" s="193">
        <f>+E24+E25-E26</f>
        <v>363835.83576799906</v>
      </c>
      <c r="F27"/>
      <c r="G27" s="193">
        <v>-110312.40500000049</v>
      </c>
      <c r="H27"/>
      <c r="I27" s="215">
        <f>(E27/G27-1)*100</f>
        <v>-429.82313799431483</v>
      </c>
    </row>
    <row r="28" spans="2:9" ht="19.899999999999999" customHeight="1" x14ac:dyDescent="0.2">
      <c r="B28" s="252"/>
      <c r="C28" s="253"/>
      <c r="D28" s="253"/>
      <c r="E28" s="253"/>
      <c r="F28" s="253"/>
      <c r="G28" s="253"/>
      <c r="H28" s="253"/>
      <c r="I28" s="253"/>
    </row>
    <row r="29" spans="2:9" ht="17.25" customHeight="1" x14ac:dyDescent="0.2">
      <c r="C29" s="135" t="s">
        <v>43</v>
      </c>
      <c r="G29" s="203"/>
    </row>
  </sheetData>
  <mergeCells count="12">
    <mergeCell ref="B6:C6"/>
    <mergeCell ref="B7:C7"/>
    <mergeCell ref="B12:C12"/>
    <mergeCell ref="B2:I2"/>
    <mergeCell ref="B24:C24"/>
    <mergeCell ref="B28:I28"/>
    <mergeCell ref="B27:C27"/>
    <mergeCell ref="B21:C21"/>
    <mergeCell ref="B13:C13"/>
    <mergeCell ref="B14:C14"/>
    <mergeCell ref="B17:C17"/>
    <mergeCell ref="B18:C18"/>
  </mergeCells>
  <phoneticPr fontId="28" type="noConversion"/>
  <hyperlinks>
    <hyperlink ref="C29" location="Índice!A1" tooltip="Volver al índice" display="◄ volver al menu" xr:uid="{00000000-0004-0000-08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496141-c5b2-4c30-b397-0e365be94f96" xsi:nil="true"/>
    <lcf76f155ced4ddcb4097134ff3c332f xmlns="2219b620-9d63-45bd-9322-538ab0eb2d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FD4FDB1D1B2C4DB53046EAEF267920" ma:contentTypeVersion="14" ma:contentTypeDescription="Crear nuevo documento." ma:contentTypeScope="" ma:versionID="1f638fab30c00af240d839b2a126fae6">
  <xsd:schema xmlns:xsd="http://www.w3.org/2001/XMLSchema" xmlns:xs="http://www.w3.org/2001/XMLSchema" xmlns:p="http://schemas.microsoft.com/office/2006/metadata/properties" xmlns:ns2="2219b620-9d63-45bd-9322-538ab0eb2d86" xmlns:ns3="58496141-c5b2-4c30-b397-0e365be94f96" targetNamespace="http://schemas.microsoft.com/office/2006/metadata/properties" ma:root="true" ma:fieldsID="06497798900f832c43c58a7dcc4526a1" ns2:_="" ns3:_="">
    <xsd:import namespace="2219b620-9d63-45bd-9322-538ab0eb2d86"/>
    <xsd:import namespace="58496141-c5b2-4c30-b397-0e365be94f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9b620-9d63-45bd-9322-538ab0eb2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96141-c5b2-4c30-b397-0e365be94f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e825115-dad3-46b9-ab4c-69b9bb99492d}" ma:internalName="TaxCatchAll" ma:showField="CatchAllData" ma:web="58496141-c5b2-4c30-b397-0e365be94f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6C3D52-93D9-4F64-BF52-E1C27CC430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C40709-1D07-47BE-B102-BC75373E3905}">
  <ds:schemaRefs>
    <ds:schemaRef ds:uri="http://schemas.microsoft.com/office/2006/metadata/properties"/>
    <ds:schemaRef ds:uri="http://schemas.microsoft.com/office/infopath/2007/PartnerControls"/>
    <ds:schemaRef ds:uri="58496141-c5b2-4c30-b397-0e365be94f96"/>
    <ds:schemaRef ds:uri="2219b620-9d63-45bd-9322-538ab0eb2d86"/>
  </ds:schemaRefs>
</ds:datastoreItem>
</file>

<file path=customXml/itemProps3.xml><?xml version="1.0" encoding="utf-8"?>
<ds:datastoreItem xmlns:ds="http://schemas.openxmlformats.org/officeDocument/2006/customXml" ds:itemID="{01B4D6B3-3F8C-464E-912B-8FC39FDD62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9b620-9d63-45bd-9322-538ab0eb2d86"/>
    <ds:schemaRef ds:uri="58496141-c5b2-4c30-b397-0e365be94f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Índice</vt:lpstr>
      <vt:lpstr>gastos GV</vt:lpstr>
      <vt:lpstr>ingresos GV</vt:lpstr>
      <vt:lpstr>Magnitudes presupuestarias GV</vt:lpstr>
      <vt:lpstr>evol gto GV </vt:lpstr>
      <vt:lpstr>evol ing-GV</vt:lpstr>
      <vt:lpstr>gastos ddff</vt:lpstr>
      <vt:lpstr>ingresos ddff</vt:lpstr>
      <vt:lpstr>Magnitudes presupuestarias DDFF</vt:lpstr>
      <vt:lpstr>Evolucion gasto DDFF</vt:lpstr>
      <vt:lpstr>Evolución ingreso DDFF</vt:lpstr>
      <vt:lpstr>desglose cap 1 y 2</vt:lpstr>
      <vt:lpstr>consolidado GV-DDFF</vt:lpstr>
      <vt:lpstr>evol gto GV-DDFF</vt:lpstr>
      <vt:lpstr>evol ing GV-DDFF</vt:lpstr>
      <vt:lpstr>Magnitudes presup GV-DDFF</vt:lpstr>
      <vt:lpstr>'consolidado GV-DDFF'!Área_de_impresión</vt:lpstr>
      <vt:lpstr>'desglose cap 1 y 2'!Área_de_impresión</vt:lpstr>
      <vt:lpstr>'evol gto GV '!Área_de_impresión</vt:lpstr>
      <vt:lpstr>'evol gto GV-DDFF'!Área_de_impresión</vt:lpstr>
      <vt:lpstr>'evol ing GV-DDFF'!Área_de_impresión</vt:lpstr>
      <vt:lpstr>'evol ing-GV'!Área_de_impresión</vt:lpstr>
      <vt:lpstr>'Evolucion gasto DDFF'!Área_de_impresión</vt:lpstr>
      <vt:lpstr>'Evolución ingreso DDFF'!Área_de_impresión</vt:lpstr>
      <vt:lpstr>'gastos ddff'!Área_de_impresión</vt:lpstr>
      <vt:lpstr>'gastos GV'!Área_de_impresión</vt:lpstr>
      <vt:lpstr>Índice!Área_de_impresión</vt:lpstr>
      <vt:lpstr>'ingresos ddff'!Área_de_impresión</vt:lpstr>
      <vt:lpstr>'ingresos GV'!Área_de_impresión</vt:lpstr>
      <vt:lpstr>'Magnitudes presup GV-DDFF'!Área_de_impresión</vt:lpstr>
      <vt:lpstr>'Magnitudes presupuestarias DDFF'!Área_de_impresión</vt:lpstr>
      <vt:lpstr>'Magnitudes presupuestarias GV'!Área_de_impresión</vt:lpstr>
    </vt:vector>
  </TitlesOfParts>
  <Manager/>
  <Company>ej-gv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</dc:title>
  <dc:subject/>
  <dc:creator>Órgano Estadístico-Hacienda</dc:creator>
  <cp:keywords/>
  <dc:description/>
  <cp:lastModifiedBy>Ordeñana Oleagordia, Josu</cp:lastModifiedBy>
  <cp:revision/>
  <dcterms:created xsi:type="dcterms:W3CDTF">2003-08-04T10:54:11Z</dcterms:created>
  <dcterms:modified xsi:type="dcterms:W3CDTF">2026-07-01T10:49:02Z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0x010100D8FD4FDB1D1B2C4DB53046EAEF267920</vt:lpwstr>
  </property>
  <property fmtid="{D5CDD505-2E9C-101B-9397-08002B2CF9AE}" pid="3" name="MediaServiceImageTags">
    <vt:lpwstr/>
  </property>
</Properties>
</file>