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threadedComments/threadedComment2.xml" ContentType="application/vnd.ms-excel.threaded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omments9.xml" ContentType="application/vnd.openxmlformats-officedocument.spreadsheetml.comments+xml"/>
  <Override PartName="/xl/drawings/drawing7.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elkarlan.sharepoint.com/sites/116-Servicioestadistico/Documentos compartidos/3_MEDIO_AMBIENTE/0_HONDAKINAK/090218-RU/Inventario_RU_2024/Trabajo/"/>
    </mc:Choice>
  </mc:AlternateContent>
  <xr:revisionPtr revIDLastSave="1188" documentId="13_ncr:1_{ED023E67-696A-40B9-86E1-9CDC0EC2F613}" xr6:coauthVersionLast="47" xr6:coauthVersionMax="47" xr10:uidLastSave="{C1765D12-0085-411E-A47F-36593BF19172}"/>
  <bookViews>
    <workbookView xWindow="-12" yWindow="6108" windowWidth="23064" windowHeight="6144" firstSheet="11" activeTab="16" xr2:uid="{6B2E86A8-DC14-49F3-A8DC-97BBB923DF49}"/>
  </bookViews>
  <sheets>
    <sheet name="Gestion final Alava 21" sheetId="79" state="hidden" r:id="rId1"/>
    <sheet name="Gestion final Gipuzkoa 21" sheetId="80" state="hidden" r:id="rId2"/>
    <sheet name="Gestion final Bizkaia 21" sheetId="81" state="hidden" r:id="rId3"/>
    <sheet name="Gestion final CAPV 21" sheetId="82" state="hidden" r:id="rId4"/>
    <sheet name="Gestion final Alava 20" sheetId="66" state="hidden" r:id="rId5"/>
    <sheet name="Gestion final Gipuzkoa 20" sheetId="68" state="hidden" r:id="rId6"/>
    <sheet name="Gestion final Bizkaia 20" sheetId="67" state="hidden" r:id="rId7"/>
    <sheet name="Gestion final CAPV 20" sheetId="11" state="hidden" r:id="rId8"/>
    <sheet name="CaracterizacionZabalgarbi 18" sheetId="17" state="hidden" r:id="rId9"/>
    <sheet name="Chequeos" sheetId="25" state="hidden" r:id="rId10"/>
    <sheet name="Índice" sheetId="31" r:id="rId11"/>
    <sheet name="1.1" sheetId="32" r:id="rId12"/>
    <sheet name="2.1" sheetId="33" r:id="rId13"/>
    <sheet name="2.2" sheetId="34" r:id="rId14"/>
    <sheet name="2.3" sheetId="35" r:id="rId15"/>
    <sheet name="2.4" sheetId="36" r:id="rId16"/>
    <sheet name="3.1" sheetId="37" r:id="rId17"/>
    <sheet name="3.2" sheetId="38" r:id="rId18"/>
    <sheet name="3.3" sheetId="39" r:id="rId19"/>
    <sheet name="4.1" sheetId="40" r:id="rId20"/>
    <sheet name="4.2" sheetId="41" r:id="rId21"/>
    <sheet name="5.1" sheetId="42" r:id="rId22"/>
    <sheet name="5.2" sheetId="43" r:id="rId23"/>
    <sheet name="5.3" sheetId="44" r:id="rId24"/>
    <sheet name="5.4" sheetId="45" r:id="rId25"/>
    <sheet name="5.5" sheetId="46" r:id="rId26"/>
    <sheet name="5.6" sheetId="47" r:id="rId27"/>
    <sheet name="Prevención 2019" sheetId="48" state="hidden" r:id="rId28"/>
    <sheet name="Gestion final Araba 2018" sheetId="49" state="hidden" r:id="rId29"/>
    <sheet name="Gestion final Bizkaia 2018" sheetId="50" state="hidden" r:id="rId30"/>
    <sheet name="Gestion final Gipuzkoa 2018" sheetId="51" state="hidden" r:id="rId31"/>
    <sheet name="Gestion final CAPV 2018" sheetId="52" state="hidden" r:id="rId32"/>
    <sheet name="RAEE 19" sheetId="54" state="hidden" r:id="rId33"/>
    <sheet name="DATOS DFB 21" sheetId="75" state="hidden" r:id="rId34"/>
    <sheet name="DATOS DFG 21" sheetId="76" state="hidden" r:id="rId35"/>
    <sheet name="DATOS DFA 21" sheetId="77" state="hidden" r:id="rId36"/>
    <sheet name="DATOS DFB 20" sheetId="65" state="hidden" r:id="rId37"/>
    <sheet name="DATOS DFG 20" sheetId="64" state="hidden" r:id="rId38"/>
    <sheet name="DATOS DFA 20" sheetId="69" state="hidden" r:id="rId39"/>
    <sheet name="Datos DFB 19" sheetId="55" state="hidden" r:id="rId40"/>
    <sheet name="DATOS DFG 19" sheetId="56" state="hidden" r:id="rId41"/>
    <sheet name="DATOS DFG 18" sheetId="57" state="hidden" r:id="rId42"/>
    <sheet name="DFG 2018_2017" sheetId="58" state="hidden" r:id="rId43"/>
    <sheet name="DATOS DFA 2018" sheetId="59" state="hidden" r:id="rId44"/>
    <sheet name="Privados DFG 18" sheetId="60" state="hidden" r:id="rId45"/>
    <sheet name="Envases ligeros 18" sheetId="61" state="hidden" r:id="rId46"/>
    <sheet name="Recogidas Gipuzkoa 2019" sheetId="62" state="hidden" r:id="rId47"/>
    <sheet name="CMG1-19" sheetId="63" state="hidden" r:id="rId48"/>
  </sheets>
  <definedNames>
    <definedName name="_xlnm._FilterDatabase" localSheetId="11" hidden="1">'1.1'!$N$3:$X$3</definedName>
    <definedName name="_xlnm._FilterDatabase" localSheetId="8" hidden="1">'CaracterizacionZabalgarbi 18'!$A$6:$E$6</definedName>
    <definedName name="_xlnm._FilterDatabase" localSheetId="38" hidden="1">'DATOS DFA 20'!$A$1:$N$280</definedName>
    <definedName name="_xlnm._FilterDatabase" localSheetId="35" hidden="1">'DATOS DFA 21'!$A$25:$G$311</definedName>
    <definedName name="_xlnm._FilterDatabase" localSheetId="40" hidden="1">'DATOS DFG 19'!$A$1:$F$129</definedName>
    <definedName name="_xlnm._FilterDatabase" localSheetId="37" hidden="1">'DATOS DFG 20'!$A$2:$AC$128</definedName>
    <definedName name="_xlnm._FilterDatabase" localSheetId="34" hidden="1">'DATOS DFG 21'!$Z$2:$AE$134</definedName>
    <definedName name="_xlnm._FilterDatabase" localSheetId="42" hidden="1">'DFG 2018_2017'!$A$1:$B$4</definedName>
    <definedName name="_xlnm._FilterDatabase" localSheetId="4" hidden="1">'Gestion final Alava 20'!$A$4:$AZ$49</definedName>
    <definedName name="_xlnm._FilterDatabase" localSheetId="0" hidden="1">'Gestion final Alava 21'!$A$4:$AZ$49</definedName>
    <definedName name="_xlnm._FilterDatabase" localSheetId="6" hidden="1">'Gestion final Bizkaia 20'!$A$4:$BB$48</definedName>
    <definedName name="_xlnm._FilterDatabase" localSheetId="2" hidden="1">'Gestion final Bizkaia 21'!$A$4:$BB$48</definedName>
    <definedName name="_xlnm._FilterDatabase" localSheetId="5" hidden="1">'Gestion final Gipuzkoa 20'!$A$4:$AL$54</definedName>
    <definedName name="_xlnm._FilterDatabase" localSheetId="1" hidden="1">'Gestion final Gipuzkoa 21'!$A$4:$AL$54</definedName>
    <definedName name="_xlnm.Print_Area" localSheetId="11">'1.1'!$A$1:$R$33</definedName>
    <definedName name="_xlnm.Print_Area" localSheetId="12">'2.1'!$A$1:$U$19</definedName>
    <definedName name="_xlnm.Print_Area" localSheetId="13">'2.2'!$A$1:$L$16</definedName>
    <definedName name="_xlnm.Print_Area" localSheetId="14">'2.3'!$A$1:$L$16</definedName>
    <definedName name="_xlnm.Print_Area" localSheetId="15">'2.4'!$A$1:$L$16</definedName>
    <definedName name="_xlnm.Print_Area" localSheetId="20">'4.2'!$A$1:$K$129</definedName>
    <definedName name="_xlnm.Print_Area" localSheetId="10">Índice!$A$1:$A$28</definedName>
    <definedName name="Caracterizaciones">OFFSET(#REF!,0,0,COUNTA(#REF!)-1, COUNTA(#REF!))</definedName>
    <definedName name="Z_3439E729_6533_437E_9C3C_FEF2EF991A59_.wvu.PrintArea" localSheetId="11" hidden="1">'1.1'!$A$1:$R$33</definedName>
    <definedName name="Z_3439E729_6533_437E_9C3C_FEF2EF991A59_.wvu.PrintArea" localSheetId="12" hidden="1">'2.1'!$A$1:$L$16</definedName>
    <definedName name="Z_3439E729_6533_437E_9C3C_FEF2EF991A59_.wvu.PrintArea" localSheetId="13" hidden="1">'2.2'!$A$1:$L$16</definedName>
    <definedName name="Z_3439E729_6533_437E_9C3C_FEF2EF991A59_.wvu.PrintArea" localSheetId="14" hidden="1">'2.3'!$A$1:$L$16</definedName>
    <definedName name="Z_3439E729_6533_437E_9C3C_FEF2EF991A59_.wvu.PrintArea" localSheetId="15" hidden="1">'2.4'!$A$1:$L$16</definedName>
    <definedName name="Z_3439E729_6533_437E_9C3C_FEF2EF991A59_.wvu.PrintArea" localSheetId="16" hidden="1">'3.1'!$A$1:$E$28</definedName>
    <definedName name="Z_3439E729_6533_437E_9C3C_FEF2EF991A59_.wvu.PrintArea" localSheetId="17" hidden="1">'3.2'!$A$1:$E$27</definedName>
    <definedName name="Z_3439E729_6533_437E_9C3C_FEF2EF991A59_.wvu.PrintArea" localSheetId="18" hidden="1">'3.3'!$A$1:$E$26</definedName>
    <definedName name="Z_3439E729_6533_437E_9C3C_FEF2EF991A59_.wvu.PrintArea" localSheetId="20" hidden="1">'4.2'!$A$1:$K$129</definedName>
    <definedName name="Z_3439E729_6533_437E_9C3C_FEF2EF991A59_.wvu.PrintArea" localSheetId="10" hidden="1">Índice!$A$1:$A$28</definedName>
    <definedName name="Z_CBEA5849_AC05_4D3E_9B92_DA456D61F7DB_.wvu.Cols" localSheetId="41" hidden="1">'DATOS DFG 18'!$B:$Q</definedName>
    <definedName name="Z_CBEA5849_AC05_4D3E_9B92_DA456D61F7DB_.wvu.PrintArea" localSheetId="11" hidden="1">'1.1'!$A$1:$R$33</definedName>
    <definedName name="Z_CBEA5849_AC05_4D3E_9B92_DA456D61F7DB_.wvu.PrintArea" localSheetId="12" hidden="1">'2.1'!$A$1:$L$16</definedName>
    <definedName name="Z_CBEA5849_AC05_4D3E_9B92_DA456D61F7DB_.wvu.PrintArea" localSheetId="13" hidden="1">'2.2'!$A$1:$L$16</definedName>
    <definedName name="Z_CBEA5849_AC05_4D3E_9B92_DA456D61F7DB_.wvu.PrintArea" localSheetId="14" hidden="1">'2.3'!$A$1:$L$16</definedName>
    <definedName name="Z_CBEA5849_AC05_4D3E_9B92_DA456D61F7DB_.wvu.PrintArea" localSheetId="15" hidden="1">'2.4'!$A$1:$L$16</definedName>
    <definedName name="Z_CBEA5849_AC05_4D3E_9B92_DA456D61F7DB_.wvu.PrintArea" localSheetId="16" hidden="1">'3.1'!$A$1:$E$28</definedName>
    <definedName name="Z_CBEA5849_AC05_4D3E_9B92_DA456D61F7DB_.wvu.PrintArea" localSheetId="17" hidden="1">'3.2'!$A$1:$E$27</definedName>
    <definedName name="Z_CBEA5849_AC05_4D3E_9B92_DA456D61F7DB_.wvu.PrintArea" localSheetId="18" hidden="1">'3.3'!$A$1:$E$26</definedName>
    <definedName name="Z_CBEA5849_AC05_4D3E_9B92_DA456D61F7DB_.wvu.PrintArea" localSheetId="20" hidden="1">'4.2'!$A$1:$K$129</definedName>
    <definedName name="Z_CBEA5849_AC05_4D3E_9B92_DA456D61F7DB_.wvu.PrintArea" localSheetId="10" hidden="1">Índice!$A$1:$A$28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6" i="76" l="1"/>
  <c r="C24" i="77" l="1"/>
  <c r="C292" i="77" l="1"/>
  <c r="C283" i="77"/>
  <c r="C282" i="77"/>
  <c r="C281" i="77"/>
  <c r="C280" i="77"/>
  <c r="C279" i="77"/>
  <c r="C278" i="77"/>
  <c r="C277" i="77"/>
  <c r="C276" i="77"/>
  <c r="C275" i="77"/>
  <c r="C274" i="77"/>
  <c r="C273" i="77"/>
  <c r="C272" i="77"/>
  <c r="C271" i="77"/>
  <c r="C270" i="77"/>
  <c r="C269" i="77"/>
  <c r="C268" i="77"/>
  <c r="C267" i="77"/>
  <c r="C266" i="77"/>
  <c r="C265" i="77"/>
  <c r="C264" i="77"/>
  <c r="C263" i="77"/>
  <c r="C262" i="77"/>
  <c r="C261" i="77"/>
  <c r="C260" i="77"/>
  <c r="C259" i="77"/>
  <c r="C258" i="77"/>
  <c r="C257" i="77"/>
  <c r="C256" i="77"/>
  <c r="C255" i="77"/>
  <c r="C254" i="77"/>
  <c r="C253" i="77"/>
  <c r="C252" i="77"/>
  <c r="C251" i="77"/>
  <c r="C250" i="77"/>
  <c r="C249" i="77"/>
  <c r="C248" i="77"/>
  <c r="C247" i="77"/>
  <c r="C246" i="77"/>
  <c r="C245" i="77"/>
  <c r="C244" i="77"/>
  <c r="C243" i="77"/>
  <c r="C242" i="77"/>
  <c r="C241" i="77"/>
  <c r="C240" i="77"/>
  <c r="C239" i="77"/>
  <c r="C238" i="77"/>
  <c r="C237" i="77"/>
  <c r="C236" i="77"/>
  <c r="C235" i="77"/>
  <c r="C234" i="77"/>
  <c r="C233" i="77"/>
  <c r="C232" i="77"/>
  <c r="C231" i="77"/>
  <c r="C230" i="77"/>
  <c r="C229" i="77"/>
  <c r="C228" i="77"/>
  <c r="C227" i="77"/>
  <c r="C226" i="77"/>
  <c r="C225" i="77"/>
  <c r="C224" i="77"/>
  <c r="C223" i="77"/>
  <c r="C222" i="77"/>
  <c r="C221" i="77"/>
  <c r="L30" i="17" l="1"/>
  <c r="L25" i="17"/>
  <c r="L9" i="17"/>
  <c r="O9" i="17"/>
  <c r="K15" i="17"/>
  <c r="K30" i="17"/>
  <c r="K9" i="17"/>
  <c r="K10" i="17"/>
  <c r="K13" i="17"/>
  <c r="K19" i="17"/>
  <c r="K18" i="17"/>
  <c r="K11" i="17"/>
  <c r="K12" i="17"/>
  <c r="N57" i="75" l="1"/>
  <c r="I58" i="81" l="1"/>
  <c r="M1" i="66" l="1"/>
  <c r="J46" i="81" l="1"/>
  <c r="H46" i="81" l="1"/>
  <c r="B52" i="75"/>
  <c r="B51" i="75"/>
  <c r="B50" i="75"/>
  <c r="B43" i="75"/>
  <c r="B42" i="75"/>
  <c r="B41" i="75"/>
  <c r="B39" i="75"/>
  <c r="B38" i="75"/>
  <c r="B37" i="75"/>
  <c r="B36" i="75"/>
  <c r="B35" i="75"/>
  <c r="B34" i="75"/>
  <c r="B33" i="75"/>
  <c r="B32" i="75"/>
  <c r="B31" i="75"/>
  <c r="B30" i="75"/>
  <c r="B29" i="75"/>
  <c r="B28" i="75"/>
  <c r="B27" i="75"/>
  <c r="B25" i="75"/>
  <c r="B24" i="75"/>
  <c r="B23" i="75"/>
  <c r="B22" i="75"/>
  <c r="B21" i="75"/>
  <c r="B20" i="75"/>
  <c r="B19" i="75"/>
  <c r="B12" i="75"/>
  <c r="B11" i="75"/>
  <c r="B55" i="75"/>
  <c r="C9" i="75"/>
  <c r="B47" i="75"/>
  <c r="B62" i="75"/>
  <c r="D97" i="75"/>
  <c r="D98" i="75"/>
  <c r="D96" i="75"/>
  <c r="B49" i="75"/>
  <c r="B8" i="75"/>
  <c r="C98" i="75"/>
  <c r="C97" i="75"/>
  <c r="C96" i="75"/>
  <c r="B9" i="75"/>
  <c r="B53" i="75"/>
  <c r="B96" i="75" s="1"/>
  <c r="B40" i="75"/>
  <c r="B26" i="75"/>
  <c r="B18" i="75"/>
  <c r="B17" i="75"/>
  <c r="B16" i="75"/>
  <c r="B56" i="75"/>
  <c r="B15" i="75"/>
  <c r="B58" i="75"/>
  <c r="B14" i="75"/>
  <c r="B57" i="75"/>
  <c r="B13" i="75"/>
  <c r="B54" i="75"/>
  <c r="B10" i="75"/>
  <c r="B46" i="75"/>
  <c r="B45" i="75"/>
  <c r="B61" i="75"/>
  <c r="B60" i="75"/>
  <c r="B59" i="75"/>
  <c r="B44" i="75"/>
  <c r="B72" i="75"/>
  <c r="B71" i="75"/>
  <c r="B70" i="75"/>
  <c r="B82" i="75"/>
  <c r="B81" i="75"/>
  <c r="B80" i="75"/>
  <c r="B79" i="75"/>
  <c r="B88" i="75"/>
  <c r="B87" i="75"/>
  <c r="B86" i="75"/>
  <c r="B85" i="75"/>
  <c r="B84" i="75"/>
  <c r="B92" i="75"/>
  <c r="B91" i="75"/>
  <c r="B90" i="75"/>
  <c r="K236" i="77"/>
  <c r="J236" i="77"/>
  <c r="Q22" i="63" l="1"/>
  <c r="Q21" i="63"/>
  <c r="B56" i="56" l="1"/>
  <c r="B55" i="56"/>
  <c r="C116" i="55" l="1"/>
  <c r="B63" i="75" l="1"/>
  <c r="B66" i="75" l="1"/>
  <c r="O6" i="48" l="1"/>
  <c r="O8" i="48" s="1"/>
  <c r="D30" i="48" s="1"/>
  <c r="D297" i="77" l="1"/>
  <c r="D298" i="77"/>
  <c r="D299" i="77"/>
  <c r="D300" i="77"/>
  <c r="D305" i="77"/>
  <c r="D306" i="77"/>
  <c r="D307" i="77"/>
  <c r="D308" i="77"/>
  <c r="B294" i="77"/>
  <c r="C294" i="77"/>
  <c r="D294" i="77" s="1"/>
  <c r="B295" i="77"/>
  <c r="C295" i="77"/>
  <c r="D295" i="77" s="1"/>
  <c r="B296" i="77"/>
  <c r="C296" i="77"/>
  <c r="D296" i="77" s="1"/>
  <c r="B297" i="77"/>
  <c r="C297" i="77"/>
  <c r="B298" i="77"/>
  <c r="C298" i="77"/>
  <c r="B299" i="77"/>
  <c r="C299" i="77"/>
  <c r="B300" i="77"/>
  <c r="C300" i="77"/>
  <c r="B301" i="77"/>
  <c r="C301" i="77"/>
  <c r="D301" i="77" s="1"/>
  <c r="B302" i="77"/>
  <c r="C302" i="77"/>
  <c r="D302" i="77" s="1"/>
  <c r="B303" i="77"/>
  <c r="C303" i="77"/>
  <c r="D303" i="77" s="1"/>
  <c r="B304" i="77"/>
  <c r="C304" i="77"/>
  <c r="D304" i="77" s="1"/>
  <c r="B305" i="77"/>
  <c r="C305" i="77"/>
  <c r="B306" i="77"/>
  <c r="C306" i="77"/>
  <c r="B307" i="77"/>
  <c r="C307" i="77"/>
  <c r="B308" i="77"/>
  <c r="C308" i="77"/>
  <c r="B309" i="77"/>
  <c r="C309" i="77"/>
  <c r="D309" i="77" s="1"/>
  <c r="C293" i="77"/>
  <c r="D293" i="77" s="1"/>
  <c r="B293" i="77"/>
  <c r="D287" i="77"/>
  <c r="D288" i="77"/>
  <c r="D289" i="77"/>
  <c r="B285" i="77"/>
  <c r="C285" i="77"/>
  <c r="D285" i="77" s="1"/>
  <c r="B286" i="77"/>
  <c r="C286" i="77"/>
  <c r="D286" i="77" s="1"/>
  <c r="B287" i="77"/>
  <c r="C287" i="77"/>
  <c r="B288" i="77"/>
  <c r="C288" i="77"/>
  <c r="B289" i="77"/>
  <c r="C289" i="77"/>
  <c r="B290" i="77"/>
  <c r="C290" i="77"/>
  <c r="D290" i="77" s="1"/>
  <c r="B291" i="77"/>
  <c r="C291" i="77"/>
  <c r="D291" i="77" s="1"/>
  <c r="B292" i="77"/>
  <c r="D292" i="77"/>
  <c r="C284" i="77"/>
  <c r="D284" i="77" s="1"/>
  <c r="B284" i="77"/>
  <c r="D256" i="77" l="1"/>
  <c r="D257" i="77"/>
  <c r="D258" i="77"/>
  <c r="D259" i="77"/>
  <c r="D260" i="77"/>
  <c r="D261" i="77"/>
  <c r="D262" i="77"/>
  <c r="D263" i="77"/>
  <c r="D264" i="77"/>
  <c r="D265" i="77"/>
  <c r="D266" i="77"/>
  <c r="D267" i="77"/>
  <c r="D268" i="77"/>
  <c r="D269" i="77"/>
  <c r="D270" i="77"/>
  <c r="D271" i="77"/>
  <c r="D272" i="77"/>
  <c r="D273" i="77"/>
  <c r="D274" i="77"/>
  <c r="D275" i="77"/>
  <c r="D276" i="77"/>
  <c r="D277" i="77"/>
  <c r="D278" i="77"/>
  <c r="D279" i="77"/>
  <c r="D280" i="77"/>
  <c r="D281" i="77"/>
  <c r="D282" i="77"/>
  <c r="D283" i="77"/>
  <c r="D212" i="77"/>
  <c r="D255" i="77"/>
  <c r="D254" i="77"/>
  <c r="D253" i="77"/>
  <c r="D252" i="77"/>
  <c r="D251" i="77"/>
  <c r="D250" i="77"/>
  <c r="D249" i="77"/>
  <c r="D248" i="77"/>
  <c r="D247" i="77"/>
  <c r="D246" i="77"/>
  <c r="D245" i="77"/>
  <c r="D244" i="77"/>
  <c r="D243" i="77"/>
  <c r="D242" i="77"/>
  <c r="D241" i="77"/>
  <c r="D240" i="77"/>
  <c r="D239" i="77"/>
  <c r="D238" i="77"/>
  <c r="D237" i="77"/>
  <c r="D236" i="77"/>
  <c r="D235" i="77"/>
  <c r="D234" i="77"/>
  <c r="D233" i="77"/>
  <c r="D232" i="77"/>
  <c r="D231" i="77"/>
  <c r="D230" i="77"/>
  <c r="D229" i="77"/>
  <c r="D228" i="77"/>
  <c r="D227" i="77"/>
  <c r="D226" i="77"/>
  <c r="D225" i="77"/>
  <c r="D224" i="77"/>
  <c r="D223" i="77"/>
  <c r="D222" i="77"/>
  <c r="D221" i="77"/>
  <c r="D220" i="77"/>
  <c r="D219" i="77"/>
  <c r="D218" i="77"/>
  <c r="D217" i="77"/>
  <c r="D216" i="77"/>
  <c r="D215" i="77"/>
  <c r="D214" i="77"/>
  <c r="D213" i="77"/>
  <c r="D211" i="77"/>
  <c r="D210" i="77"/>
  <c r="D209" i="77"/>
  <c r="D208" i="77"/>
  <c r="D207" i="77"/>
  <c r="D206" i="77"/>
  <c r="D205" i="77"/>
  <c r="D204" i="77"/>
  <c r="D203" i="77"/>
  <c r="D202" i="77"/>
  <c r="D201" i="77"/>
  <c r="D200" i="77"/>
  <c r="D199" i="77"/>
  <c r="D198" i="77"/>
  <c r="D197" i="77"/>
  <c r="D196" i="77"/>
  <c r="D195" i="77"/>
  <c r="D194" i="77"/>
  <c r="D193" i="77"/>
  <c r="D192" i="77"/>
  <c r="D191" i="77"/>
  <c r="D190" i="77"/>
  <c r="D189" i="77"/>
  <c r="D188" i="77"/>
  <c r="D187" i="77"/>
  <c r="D186" i="77"/>
  <c r="D185" i="77"/>
  <c r="D184" i="77"/>
  <c r="D183" i="77"/>
  <c r="D182" i="77"/>
  <c r="D181" i="77"/>
  <c r="D180" i="77"/>
  <c r="D179" i="77"/>
  <c r="D178" i="77"/>
  <c r="D177" i="77"/>
  <c r="D176" i="77"/>
  <c r="D175" i="77"/>
  <c r="D174" i="77"/>
  <c r="D173" i="77"/>
  <c r="D172" i="77"/>
  <c r="D171" i="77"/>
  <c r="D170" i="77"/>
  <c r="D169" i="77"/>
  <c r="D168" i="77"/>
  <c r="D167" i="77"/>
  <c r="D166" i="77"/>
  <c r="D165" i="77"/>
  <c r="D164" i="77"/>
  <c r="D163" i="77"/>
  <c r="D162" i="77"/>
  <c r="D161" i="77"/>
  <c r="D160" i="77"/>
  <c r="D159" i="77"/>
  <c r="D158" i="77"/>
  <c r="D157" i="77"/>
  <c r="D156" i="77"/>
  <c r="D155" i="77"/>
  <c r="D133" i="77"/>
  <c r="D136" i="77"/>
  <c r="D137" i="77"/>
  <c r="D138" i="77"/>
  <c r="D139" i="77"/>
  <c r="D127" i="77"/>
  <c r="D128" i="77"/>
  <c r="D129" i="77"/>
  <c r="D130" i="77"/>
  <c r="D131" i="77"/>
  <c r="D132" i="77"/>
  <c r="D134" i="77"/>
  <c r="D135" i="77"/>
  <c r="D140" i="77"/>
  <c r="D141" i="77"/>
  <c r="D142" i="77"/>
  <c r="D143" i="77"/>
  <c r="D144" i="77"/>
  <c r="D145" i="77"/>
  <c r="D146" i="77"/>
  <c r="D147" i="77"/>
  <c r="D148" i="77"/>
  <c r="D149" i="77"/>
  <c r="D150" i="77"/>
  <c r="D151" i="77"/>
  <c r="D152" i="77"/>
  <c r="D153" i="77"/>
  <c r="D154" i="77"/>
  <c r="D122" i="77"/>
  <c r="D123" i="77"/>
  <c r="D124" i="77"/>
  <c r="D125" i="77"/>
  <c r="D126" i="77"/>
  <c r="D121" i="77"/>
  <c r="D120" i="77"/>
  <c r="D119" i="77"/>
  <c r="D118" i="77"/>
  <c r="D117" i="77"/>
  <c r="D116" i="77"/>
  <c r="D115" i="77"/>
  <c r="D114" i="77"/>
  <c r="D113" i="77"/>
  <c r="D112" i="77"/>
  <c r="D111" i="77"/>
  <c r="D110" i="77"/>
  <c r="D109" i="77"/>
  <c r="D108" i="77"/>
  <c r="D107" i="77"/>
  <c r="D106" i="77"/>
  <c r="D105" i="77"/>
  <c r="D104" i="77"/>
  <c r="D103" i="77"/>
  <c r="D102" i="77"/>
  <c r="D101" i="77"/>
  <c r="D100" i="77"/>
  <c r="D99" i="77"/>
  <c r="D98" i="77"/>
  <c r="D97" i="77"/>
  <c r="D96" i="77"/>
  <c r="D95" i="77"/>
  <c r="D94" i="77"/>
  <c r="D93" i="77"/>
  <c r="D92" i="77"/>
  <c r="D91" i="77"/>
  <c r="D90" i="77"/>
  <c r="D89" i="77"/>
  <c r="D88" i="77"/>
  <c r="D87" i="77"/>
  <c r="D86" i="77"/>
  <c r="D85" i="77"/>
  <c r="D84" i="77"/>
  <c r="D83" i="77"/>
  <c r="D82" i="77"/>
  <c r="D81" i="77"/>
  <c r="D80" i="77"/>
  <c r="D79" i="77"/>
  <c r="D78" i="77"/>
  <c r="D77" i="77"/>
  <c r="D76" i="77"/>
  <c r="D75" i="77"/>
  <c r="D74" i="77"/>
  <c r="D73" i="77"/>
  <c r="D72" i="77"/>
  <c r="D71" i="77"/>
  <c r="D70" i="77"/>
  <c r="D69" i="77"/>
  <c r="D68" i="77"/>
  <c r="D67" i="77"/>
  <c r="D66" i="77"/>
  <c r="D65" i="77"/>
  <c r="D64" i="77"/>
  <c r="D63" i="77"/>
  <c r="D62" i="77"/>
  <c r="D61" i="77"/>
  <c r="D60" i="77"/>
  <c r="D59" i="77"/>
  <c r="D58" i="77"/>
  <c r="D27" i="77" l="1"/>
  <c r="D28" i="77"/>
  <c r="D29" i="77"/>
  <c r="D30" i="77"/>
  <c r="D31" i="77"/>
  <c r="D32" i="77"/>
  <c r="D33" i="77"/>
  <c r="D34" i="77"/>
  <c r="D35" i="77"/>
  <c r="D36" i="77"/>
  <c r="D37" i="77"/>
  <c r="D38" i="77"/>
  <c r="D39" i="77"/>
  <c r="D40" i="77"/>
  <c r="D41" i="77"/>
  <c r="D42" i="77"/>
  <c r="D43" i="77"/>
  <c r="D44" i="77"/>
  <c r="D45" i="77"/>
  <c r="D46" i="77"/>
  <c r="D47" i="77"/>
  <c r="D48" i="77"/>
  <c r="D49" i="77"/>
  <c r="D50" i="77"/>
  <c r="D51" i="77"/>
  <c r="D52" i="77"/>
  <c r="D53" i="77"/>
  <c r="D54" i="77"/>
  <c r="D55" i="77"/>
  <c r="D56" i="77"/>
  <c r="D57" i="77"/>
  <c r="D26" i="77"/>
  <c r="Z132" i="76" l="1"/>
  <c r="AB132" i="76" s="1"/>
  <c r="Z12" i="76"/>
  <c r="AB12" i="76" s="1"/>
  <c r="Z9" i="76"/>
  <c r="AB9" i="76" s="1"/>
  <c r="Z8" i="76"/>
  <c r="AB8" i="76" s="1"/>
  <c r="X8" i="64"/>
  <c r="Z19" i="76" l="1"/>
  <c r="AB19" i="76" s="1"/>
  <c r="Z21" i="76"/>
  <c r="AB21" i="76" s="1"/>
  <c r="Z22" i="76"/>
  <c r="AB22" i="76" s="1"/>
  <c r="Z23" i="76"/>
  <c r="AB23" i="76" s="1"/>
  <c r="Z24" i="76"/>
  <c r="AB24" i="76" s="1"/>
  <c r="Z25" i="76"/>
  <c r="AB25" i="76" s="1"/>
  <c r="Z27" i="76"/>
  <c r="AB27" i="76" s="1"/>
  <c r="Z28" i="76"/>
  <c r="AB28" i="76" s="1"/>
  <c r="Z29" i="76"/>
  <c r="AB29" i="76" s="1"/>
  <c r="Z30" i="76"/>
  <c r="AB30" i="76" s="1"/>
  <c r="Z31" i="76"/>
  <c r="AB31" i="76" s="1"/>
  <c r="Z32" i="76"/>
  <c r="AB32" i="76" s="1"/>
  <c r="Z33" i="76"/>
  <c r="AB33" i="76" s="1"/>
  <c r="Z34" i="76"/>
  <c r="AB34" i="76" s="1"/>
  <c r="Z35" i="76"/>
  <c r="AB35" i="76" s="1"/>
  <c r="Z36" i="76"/>
  <c r="AB36" i="76" s="1"/>
  <c r="Z38" i="76"/>
  <c r="AB38" i="76" s="1"/>
  <c r="Z39" i="76"/>
  <c r="AB39" i="76" s="1"/>
  <c r="Z40" i="76"/>
  <c r="AB40" i="76" s="1"/>
  <c r="Z41" i="76"/>
  <c r="AB41" i="76" s="1"/>
  <c r="Z42" i="76"/>
  <c r="AB42" i="76" s="1"/>
  <c r="Z43" i="76"/>
  <c r="AB43" i="76" s="1"/>
  <c r="Z44" i="76"/>
  <c r="AB44" i="76" s="1"/>
  <c r="Z46" i="76"/>
  <c r="AB46" i="76" s="1"/>
  <c r="Z47" i="76"/>
  <c r="AB47" i="76" s="1"/>
  <c r="Z49" i="76"/>
  <c r="AB49" i="76" s="1"/>
  <c r="Z50" i="76"/>
  <c r="AB50" i="76" s="1"/>
  <c r="Z51" i="76"/>
  <c r="AB51" i="76" s="1"/>
  <c r="Z52" i="76"/>
  <c r="AB52" i="76" s="1"/>
  <c r="Z54" i="76"/>
  <c r="AB54" i="76" s="1"/>
  <c r="Z55" i="76"/>
  <c r="AB55" i="76" s="1"/>
  <c r="Z56" i="76"/>
  <c r="AB56" i="76" s="1"/>
  <c r="Z57" i="76"/>
  <c r="AB57" i="76" s="1"/>
  <c r="Z59" i="76"/>
  <c r="AB59" i="76" s="1"/>
  <c r="Z60" i="76"/>
  <c r="AB60" i="76" s="1"/>
  <c r="Z61" i="76"/>
  <c r="AB61" i="76" s="1"/>
  <c r="Z62" i="76"/>
  <c r="AB62" i="76" s="1"/>
  <c r="Z63" i="76"/>
  <c r="AB63" i="76" s="1"/>
  <c r="Z65" i="76"/>
  <c r="AB65" i="76" s="1"/>
  <c r="Z66" i="76"/>
  <c r="AB66" i="76" s="1"/>
  <c r="Z67" i="76"/>
  <c r="AB67" i="76" s="1"/>
  <c r="Z69" i="76"/>
  <c r="AB69" i="76" s="1"/>
  <c r="Z70" i="76"/>
  <c r="AB70" i="76" s="1"/>
  <c r="Z72" i="76"/>
  <c r="AB72" i="76" s="1"/>
  <c r="Z73" i="76"/>
  <c r="AB73" i="76" s="1"/>
  <c r="Z74" i="76"/>
  <c r="AB74" i="76" s="1"/>
  <c r="Z75" i="76"/>
  <c r="AB75" i="76" s="1"/>
  <c r="Z77" i="76"/>
  <c r="AB77" i="76" s="1"/>
  <c r="Z78" i="76"/>
  <c r="AB78" i="76" s="1"/>
  <c r="Z79" i="76"/>
  <c r="AB79" i="76" s="1"/>
  <c r="Z81" i="76"/>
  <c r="AB81" i="76" s="1"/>
  <c r="Z82" i="76"/>
  <c r="AB82" i="76" s="1"/>
  <c r="Z83" i="76"/>
  <c r="AB83" i="76" s="1"/>
  <c r="Z84" i="76"/>
  <c r="AB84" i="76" s="1"/>
  <c r="Z86" i="76"/>
  <c r="AB86" i="76" s="1"/>
  <c r="Z87" i="76"/>
  <c r="AB87" i="76" s="1"/>
  <c r="Z88" i="76"/>
  <c r="AB88" i="76" s="1"/>
  <c r="Z90" i="76"/>
  <c r="AB90" i="76" s="1"/>
  <c r="Z91" i="76"/>
  <c r="AB91" i="76" s="1"/>
  <c r="Z92" i="76"/>
  <c r="AB92" i="76" s="1"/>
  <c r="Z94" i="76"/>
  <c r="AB94" i="76" s="1"/>
  <c r="Z95" i="76"/>
  <c r="AB95" i="76" s="1"/>
  <c r="Z96" i="76"/>
  <c r="AB96" i="76" s="1"/>
  <c r="Z98" i="76"/>
  <c r="AB98" i="76" s="1"/>
  <c r="Z99" i="76"/>
  <c r="AB99" i="76" s="1"/>
  <c r="Z100" i="76"/>
  <c r="AB100" i="76" s="1"/>
  <c r="Z101" i="76"/>
  <c r="AB101" i="76" s="1"/>
  <c r="Z103" i="76"/>
  <c r="AB103" i="76" s="1"/>
  <c r="Z104" i="76"/>
  <c r="AB104" i="76" s="1"/>
  <c r="Z105" i="76"/>
  <c r="AB105" i="76" s="1"/>
  <c r="Z106" i="76"/>
  <c r="AB106" i="76" s="1"/>
  <c r="Z107" i="76"/>
  <c r="AB107" i="76" s="1"/>
  <c r="Z108" i="76"/>
  <c r="AB108" i="76" s="1"/>
  <c r="Z109" i="76"/>
  <c r="AB109" i="76" s="1"/>
  <c r="Z110" i="76"/>
  <c r="AB110" i="76" s="1"/>
  <c r="Z111" i="76"/>
  <c r="AB111" i="76" s="1"/>
  <c r="Z112" i="76"/>
  <c r="AB112" i="76" s="1"/>
  <c r="Z113" i="76"/>
  <c r="AB113" i="76" s="1"/>
  <c r="Z114" i="76"/>
  <c r="AB114" i="76" s="1"/>
  <c r="Z115" i="76"/>
  <c r="AB115" i="76" s="1"/>
  <c r="Z116" i="76"/>
  <c r="AB116" i="76" s="1"/>
  <c r="Z117" i="76"/>
  <c r="AB117" i="76" s="1"/>
  <c r="Z118" i="76"/>
  <c r="AB118" i="76" s="1"/>
  <c r="Z119" i="76"/>
  <c r="Z121" i="76"/>
  <c r="AB121" i="76" s="1"/>
  <c r="Z122" i="76"/>
  <c r="AB122" i="76" s="1"/>
  <c r="Z123" i="76"/>
  <c r="AB123" i="76" s="1"/>
  <c r="Z125" i="76"/>
  <c r="AB125" i="76" s="1"/>
  <c r="Z126" i="76"/>
  <c r="AB126" i="76" s="1"/>
  <c r="Z128" i="76"/>
  <c r="AB128" i="76" s="1"/>
  <c r="Z129" i="76"/>
  <c r="AB129" i="76" s="1"/>
  <c r="Z130" i="76"/>
  <c r="AB130" i="76" s="1"/>
  <c r="Z133" i="76"/>
  <c r="AB133" i="76" s="1"/>
  <c r="Z134" i="76"/>
  <c r="AB134" i="76" s="1"/>
  <c r="Z13" i="76"/>
  <c r="AB13" i="76" s="1"/>
  <c r="Z14" i="76"/>
  <c r="AB14" i="76" s="1"/>
  <c r="Z15" i="76"/>
  <c r="AB15" i="76" s="1"/>
  <c r="Z16" i="76"/>
  <c r="AB16" i="76" s="1"/>
  <c r="Z17" i="76"/>
  <c r="AB17" i="76" s="1"/>
  <c r="Z18" i="76"/>
  <c r="AB18" i="76" s="1"/>
  <c r="X9" i="64"/>
  <c r="Z9" i="64" s="1"/>
  <c r="Z7" i="76"/>
  <c r="AB7" i="76" s="1"/>
  <c r="AB6" i="76"/>
  <c r="Z3" i="76"/>
  <c r="AA132" i="76" s="1"/>
  <c r="AA115" i="76" l="1"/>
  <c r="AA66" i="76"/>
  <c r="AA107" i="76"/>
  <c r="AA56" i="76"/>
  <c r="AA98" i="76"/>
  <c r="AA36" i="76"/>
  <c r="AA77" i="76"/>
  <c r="AA28" i="76"/>
  <c r="AA125" i="76"/>
  <c r="AA87" i="76"/>
  <c r="AA46" i="76"/>
  <c r="AA119" i="76"/>
  <c r="AA134" i="76"/>
  <c r="AA114" i="76"/>
  <c r="AA96" i="76"/>
  <c r="AA75" i="76"/>
  <c r="AA55" i="76"/>
  <c r="AA35" i="76"/>
  <c r="AA18" i="76"/>
  <c r="AA8" i="76"/>
  <c r="AA123" i="76"/>
  <c r="AA106" i="76"/>
  <c r="AA86" i="76"/>
  <c r="AA65" i="76"/>
  <c r="AA44" i="76"/>
  <c r="AA27" i="76"/>
  <c r="AA6" i="76"/>
  <c r="AA14" i="76"/>
  <c r="AA130" i="76"/>
  <c r="AA111" i="76"/>
  <c r="AA103" i="76"/>
  <c r="AA92" i="76"/>
  <c r="AA82" i="76"/>
  <c r="AA72" i="76"/>
  <c r="AA61" i="76"/>
  <c r="AA51" i="76"/>
  <c r="AA41" i="76"/>
  <c r="AA32" i="76"/>
  <c r="AA23" i="76"/>
  <c r="AA15" i="76"/>
  <c r="AA12" i="76"/>
  <c r="AA129" i="76"/>
  <c r="AA118" i="76"/>
  <c r="AA110" i="76"/>
  <c r="AA101" i="76"/>
  <c r="AA91" i="76"/>
  <c r="AA81" i="76"/>
  <c r="AA70" i="76"/>
  <c r="AA60" i="76"/>
  <c r="AA50" i="76"/>
  <c r="AA40" i="76"/>
  <c r="AA31" i="76"/>
  <c r="AA22" i="76"/>
  <c r="AA7" i="76"/>
  <c r="AA17" i="76"/>
  <c r="AA13" i="76"/>
  <c r="AA133" i="76"/>
  <c r="AA128" i="76"/>
  <c r="AA122" i="76"/>
  <c r="AA117" i="76"/>
  <c r="AA113" i="76"/>
  <c r="AA109" i="76"/>
  <c r="AA105" i="76"/>
  <c r="AA100" i="76"/>
  <c r="AA95" i="76"/>
  <c r="AA90" i="76"/>
  <c r="AA84" i="76"/>
  <c r="AA79" i="76"/>
  <c r="AA74" i="76"/>
  <c r="AA69" i="76"/>
  <c r="AA63" i="76"/>
  <c r="AA59" i="76"/>
  <c r="AA54" i="76"/>
  <c r="AA49" i="76"/>
  <c r="AA43" i="76"/>
  <c r="AA39" i="76"/>
  <c r="AA34" i="76"/>
  <c r="AA30" i="76"/>
  <c r="AA25" i="76"/>
  <c r="AA21" i="76"/>
  <c r="AA9" i="76"/>
  <c r="AA16" i="76"/>
  <c r="AA126" i="76"/>
  <c r="AA121" i="76"/>
  <c r="AA116" i="76"/>
  <c r="AA112" i="76"/>
  <c r="AA108" i="76"/>
  <c r="AA104" i="76"/>
  <c r="AA99" i="76"/>
  <c r="AA94" i="76"/>
  <c r="AA88" i="76"/>
  <c r="AA83" i="76"/>
  <c r="AA78" i="76"/>
  <c r="AA73" i="76"/>
  <c r="AA67" i="76"/>
  <c r="AA62" i="76"/>
  <c r="AA57" i="76"/>
  <c r="AA52" i="76"/>
  <c r="AA47" i="76"/>
  <c r="AA42" i="76"/>
  <c r="AA38" i="76"/>
  <c r="AA33" i="76"/>
  <c r="AA29" i="76"/>
  <c r="AA24" i="76"/>
  <c r="AA19" i="76"/>
  <c r="B98" i="75"/>
  <c r="B97" i="75"/>
  <c r="B93" i="75"/>
  <c r="B89" i="75"/>
  <c r="B83" i="75"/>
  <c r="B78" i="75"/>
  <c r="B77" i="75"/>
  <c r="B76" i="75"/>
  <c r="B75" i="75"/>
  <c r="B74" i="75"/>
  <c r="B73" i="75"/>
  <c r="B69" i="75"/>
  <c r="B68" i="75"/>
  <c r="B67" i="75"/>
  <c r="B98" i="65" l="1"/>
  <c r="B97" i="65"/>
  <c r="B96" i="65"/>
  <c r="C3" i="25" l="1"/>
  <c r="B46" i="81" l="1"/>
  <c r="D46" i="81" l="1"/>
  <c r="M46" i="81"/>
  <c r="AT46" i="81" l="1"/>
  <c r="AS46" i="81"/>
  <c r="BA46" i="81" l="1"/>
  <c r="P125" i="50" l="1"/>
  <c r="L125" i="50"/>
  <c r="J125" i="50"/>
  <c r="G125" i="50"/>
  <c r="F125" i="50"/>
  <c r="E125" i="50"/>
  <c r="P124" i="50"/>
  <c r="O124" i="50"/>
  <c r="N124" i="50"/>
  <c r="M124" i="50"/>
  <c r="L124" i="50"/>
  <c r="K124" i="50"/>
  <c r="J124" i="50"/>
  <c r="I124" i="50"/>
  <c r="H124" i="50"/>
  <c r="G124" i="50"/>
  <c r="E124" i="50"/>
  <c r="P123" i="50"/>
  <c r="N123" i="50"/>
  <c r="M123" i="50"/>
  <c r="L123" i="50"/>
  <c r="K123" i="50"/>
  <c r="J123" i="50"/>
  <c r="H123" i="50"/>
  <c r="G123" i="50"/>
  <c r="E123" i="50"/>
  <c r="P122" i="50"/>
  <c r="O122" i="50"/>
  <c r="N122" i="50"/>
  <c r="M122" i="50"/>
  <c r="L122" i="50"/>
  <c r="K122" i="50"/>
  <c r="J122" i="50"/>
  <c r="I122" i="50"/>
  <c r="G122" i="50"/>
  <c r="P121" i="50"/>
  <c r="M121" i="50"/>
  <c r="L121" i="50"/>
  <c r="K121" i="50"/>
  <c r="J121" i="50"/>
  <c r="G121" i="50"/>
  <c r="P120" i="50"/>
  <c r="M120" i="50"/>
  <c r="L120" i="50"/>
  <c r="K120" i="50"/>
  <c r="J120" i="50"/>
  <c r="G120" i="50"/>
  <c r="P119" i="50"/>
  <c r="O119" i="50"/>
  <c r="N119" i="50"/>
  <c r="M119" i="50"/>
  <c r="L119" i="50"/>
  <c r="K119" i="50"/>
  <c r="J119" i="50"/>
  <c r="I119" i="50"/>
  <c r="G119" i="50"/>
  <c r="E119" i="50"/>
  <c r="P118" i="50"/>
  <c r="M118" i="50"/>
  <c r="L118" i="50"/>
  <c r="K118" i="50"/>
  <c r="J118" i="50"/>
  <c r="G118" i="50"/>
  <c r="E118" i="50"/>
  <c r="P117" i="50"/>
  <c r="O117" i="50"/>
  <c r="N117" i="50"/>
  <c r="M117" i="50"/>
  <c r="L117" i="50"/>
  <c r="K117" i="50"/>
  <c r="J117" i="50"/>
  <c r="I117" i="50"/>
  <c r="G117" i="50"/>
  <c r="O116" i="50"/>
  <c r="N116" i="50"/>
  <c r="M116" i="50"/>
  <c r="L116" i="50"/>
  <c r="K116" i="50"/>
  <c r="J116" i="50"/>
  <c r="G116" i="50"/>
  <c r="E116" i="50"/>
  <c r="P115" i="50"/>
  <c r="O115" i="50"/>
  <c r="N115" i="50"/>
  <c r="M115" i="50"/>
  <c r="L115" i="50"/>
  <c r="K115" i="50"/>
  <c r="J115" i="50"/>
  <c r="G115" i="50"/>
  <c r="E115" i="50"/>
  <c r="P114" i="50"/>
  <c r="L114" i="50"/>
  <c r="J114" i="50"/>
  <c r="G114" i="50"/>
  <c r="E114" i="50"/>
  <c r="P113" i="50"/>
  <c r="L113" i="50"/>
  <c r="J113" i="50"/>
  <c r="I113" i="50"/>
  <c r="G113" i="50"/>
  <c r="P112" i="50"/>
  <c r="N112" i="50"/>
  <c r="M112" i="50"/>
  <c r="L112" i="50"/>
  <c r="K112" i="50"/>
  <c r="J112" i="50"/>
  <c r="H112" i="50"/>
  <c r="G112" i="50"/>
  <c r="E112" i="50"/>
  <c r="P111" i="50"/>
  <c r="N111" i="50"/>
  <c r="M111" i="50"/>
  <c r="L111" i="50"/>
  <c r="K111" i="50"/>
  <c r="J111" i="50"/>
  <c r="G111" i="50"/>
  <c r="P110" i="50"/>
  <c r="N110" i="50"/>
  <c r="M110" i="50"/>
  <c r="L110" i="50"/>
  <c r="K110" i="50"/>
  <c r="J110" i="50"/>
  <c r="G110" i="50"/>
  <c r="E110" i="50"/>
  <c r="P109" i="50"/>
  <c r="L109" i="50"/>
  <c r="J109" i="50"/>
  <c r="H109" i="50"/>
  <c r="G109" i="50"/>
  <c r="E109" i="50"/>
  <c r="P108" i="50"/>
  <c r="N108" i="50"/>
  <c r="M108" i="50"/>
  <c r="L108" i="50"/>
  <c r="K108" i="50"/>
  <c r="J108" i="50"/>
  <c r="H108" i="50"/>
  <c r="G108" i="50"/>
  <c r="E108" i="50"/>
  <c r="P107" i="50"/>
  <c r="L107" i="50"/>
  <c r="J107" i="50"/>
  <c r="I107" i="50"/>
  <c r="G107" i="50"/>
  <c r="E107" i="50"/>
  <c r="P106" i="50"/>
  <c r="N106" i="50"/>
  <c r="M106" i="50"/>
  <c r="L106" i="50"/>
  <c r="K106" i="50"/>
  <c r="J106" i="50"/>
  <c r="G106" i="50"/>
  <c r="E106" i="50"/>
  <c r="P105" i="50"/>
  <c r="H105" i="50"/>
  <c r="G105" i="50"/>
  <c r="E105" i="50"/>
  <c r="M104" i="50"/>
  <c r="K104" i="50"/>
  <c r="H104" i="50"/>
  <c r="F104" i="50"/>
  <c r="E104" i="50"/>
  <c r="P97" i="50"/>
  <c r="L97" i="50"/>
  <c r="J97" i="50"/>
  <c r="G97" i="50"/>
  <c r="F97" i="50"/>
  <c r="E97" i="50"/>
  <c r="P96" i="50"/>
  <c r="O96" i="50"/>
  <c r="N96" i="50"/>
  <c r="M96" i="50"/>
  <c r="L96" i="50"/>
  <c r="K96" i="50"/>
  <c r="J96" i="50"/>
  <c r="I96" i="50"/>
  <c r="H96" i="50"/>
  <c r="G96" i="50"/>
  <c r="E96" i="50"/>
  <c r="P95" i="50"/>
  <c r="N95" i="50"/>
  <c r="M95" i="50"/>
  <c r="L95" i="50"/>
  <c r="K95" i="50"/>
  <c r="J95" i="50"/>
  <c r="H95" i="50"/>
  <c r="G95" i="50"/>
  <c r="E95" i="50"/>
  <c r="P94" i="50"/>
  <c r="O94" i="50"/>
  <c r="N94" i="50"/>
  <c r="M94" i="50"/>
  <c r="L94" i="50"/>
  <c r="K94" i="50"/>
  <c r="J94" i="50"/>
  <c r="I94" i="50"/>
  <c r="G94" i="50"/>
  <c r="P93" i="50"/>
  <c r="M93" i="50"/>
  <c r="L93" i="50"/>
  <c r="K93" i="50"/>
  <c r="J93" i="50"/>
  <c r="G93" i="50"/>
  <c r="P92" i="50"/>
  <c r="M92" i="50"/>
  <c r="L92" i="50"/>
  <c r="K92" i="50"/>
  <c r="J92" i="50"/>
  <c r="G92" i="50"/>
  <c r="P91" i="50"/>
  <c r="O91" i="50"/>
  <c r="N91" i="50"/>
  <c r="M91" i="50"/>
  <c r="L91" i="50"/>
  <c r="K91" i="50"/>
  <c r="J91" i="50"/>
  <c r="I91" i="50"/>
  <c r="G91" i="50"/>
  <c r="E91" i="50"/>
  <c r="P90" i="50"/>
  <c r="M90" i="50"/>
  <c r="L90" i="50"/>
  <c r="K90" i="50"/>
  <c r="J90" i="50"/>
  <c r="G90" i="50"/>
  <c r="E90" i="50"/>
  <c r="P89" i="50"/>
  <c r="O89" i="50"/>
  <c r="N89" i="50"/>
  <c r="M89" i="50"/>
  <c r="L89" i="50"/>
  <c r="K89" i="50"/>
  <c r="J89" i="50"/>
  <c r="I89" i="50"/>
  <c r="G89" i="50"/>
  <c r="O88" i="50"/>
  <c r="N88" i="50"/>
  <c r="M88" i="50"/>
  <c r="L88" i="50"/>
  <c r="K88" i="50"/>
  <c r="J88" i="50"/>
  <c r="G88" i="50"/>
  <c r="E88" i="50"/>
  <c r="P87" i="50"/>
  <c r="O87" i="50"/>
  <c r="N87" i="50"/>
  <c r="M87" i="50"/>
  <c r="L87" i="50"/>
  <c r="K87" i="50"/>
  <c r="J87" i="50"/>
  <c r="G87" i="50"/>
  <c r="E87" i="50"/>
  <c r="P86" i="50"/>
  <c r="L86" i="50"/>
  <c r="J86" i="50"/>
  <c r="G86" i="50"/>
  <c r="E86" i="50"/>
  <c r="P85" i="50"/>
  <c r="L85" i="50"/>
  <c r="J85" i="50"/>
  <c r="I85" i="50"/>
  <c r="G85" i="50"/>
  <c r="P84" i="50"/>
  <c r="N84" i="50"/>
  <c r="M84" i="50"/>
  <c r="L84" i="50"/>
  <c r="K84" i="50"/>
  <c r="J84" i="50"/>
  <c r="H84" i="50"/>
  <c r="G84" i="50"/>
  <c r="E84" i="50"/>
  <c r="P83" i="50"/>
  <c r="N83" i="50"/>
  <c r="M83" i="50"/>
  <c r="L83" i="50"/>
  <c r="K83" i="50"/>
  <c r="J83" i="50"/>
  <c r="G83" i="50"/>
  <c r="P82" i="50"/>
  <c r="N82" i="50"/>
  <c r="M82" i="50"/>
  <c r="L82" i="50"/>
  <c r="K82" i="50"/>
  <c r="J82" i="50"/>
  <c r="G82" i="50"/>
  <c r="E82" i="50"/>
  <c r="P81" i="50"/>
  <c r="L81" i="50"/>
  <c r="J81" i="50"/>
  <c r="H81" i="50"/>
  <c r="G81" i="50"/>
  <c r="E81" i="50"/>
  <c r="P80" i="50"/>
  <c r="N80" i="50"/>
  <c r="M80" i="50"/>
  <c r="L80" i="50"/>
  <c r="K80" i="50"/>
  <c r="J80" i="50"/>
  <c r="H80" i="50"/>
  <c r="G80" i="50"/>
  <c r="E80" i="50"/>
  <c r="P79" i="50"/>
  <c r="L79" i="50"/>
  <c r="J79" i="50"/>
  <c r="I79" i="50"/>
  <c r="G79" i="50"/>
  <c r="E79" i="50"/>
  <c r="P78" i="50"/>
  <c r="N78" i="50"/>
  <c r="M78" i="50"/>
  <c r="L78" i="50"/>
  <c r="K78" i="50"/>
  <c r="J78" i="50"/>
  <c r="G78" i="50"/>
  <c r="E78" i="50"/>
  <c r="P77" i="50"/>
  <c r="H77" i="50"/>
  <c r="G77" i="50"/>
  <c r="E77" i="50"/>
  <c r="M76" i="50"/>
  <c r="K76" i="50"/>
  <c r="H76" i="50"/>
  <c r="F76" i="50"/>
  <c r="E76" i="50"/>
  <c r="E66" i="50"/>
  <c r="P76" i="50"/>
  <c r="J29" i="50"/>
  <c r="E28" i="50"/>
  <c r="F28" i="50" s="1"/>
  <c r="G57" i="50" s="1"/>
  <c r="E27" i="50"/>
  <c r="F27" i="50" s="1"/>
  <c r="R25" i="50"/>
  <c r="E23" i="50"/>
  <c r="F23" i="50" s="1"/>
  <c r="R19" i="50" s="1"/>
  <c r="E22" i="50"/>
  <c r="F22" i="50" s="1"/>
  <c r="J6" i="50"/>
  <c r="H4" i="50"/>
  <c r="H30" i="50" s="1"/>
  <c r="G4" i="50"/>
  <c r="G30" i="50" s="1"/>
  <c r="D4" i="50"/>
  <c r="C4" i="50"/>
  <c r="E9" i="50" l="1"/>
  <c r="F9" i="50" s="1"/>
  <c r="R5" i="50" s="1"/>
  <c r="E11" i="50"/>
  <c r="F11" i="50" s="1"/>
  <c r="R7" i="50" s="1"/>
  <c r="E15" i="50"/>
  <c r="F15" i="50" s="1"/>
  <c r="R11" i="50" s="1"/>
  <c r="P13" i="50"/>
  <c r="Y45" i="50"/>
  <c r="O84" i="50" s="1"/>
  <c r="Y47" i="50"/>
  <c r="O86" i="50" s="1"/>
  <c r="W58" i="50"/>
  <c r="N97" i="50" s="1"/>
  <c r="E26" i="50"/>
  <c r="F26" i="50" s="1"/>
  <c r="Y40" i="50"/>
  <c r="O79" i="50" s="1"/>
  <c r="Y54" i="50"/>
  <c r="O93" i="50" s="1"/>
  <c r="I4" i="50"/>
  <c r="I30" i="50" s="1"/>
  <c r="E12" i="50"/>
  <c r="F12" i="50" s="1"/>
  <c r="E19" i="50"/>
  <c r="F19" i="50" s="1"/>
  <c r="R15" i="50" s="1"/>
  <c r="E4" i="50"/>
  <c r="E24" i="50"/>
  <c r="F24" i="50" s="1"/>
  <c r="F92" i="50" s="1"/>
  <c r="P9" i="50"/>
  <c r="W38" i="50"/>
  <c r="N77" i="50" s="1"/>
  <c r="Y42" i="50"/>
  <c r="O81" i="50" s="1"/>
  <c r="E14" i="50"/>
  <c r="F14" i="50" s="1"/>
  <c r="R10" i="50" s="1"/>
  <c r="E20" i="50"/>
  <c r="F20" i="50" s="1"/>
  <c r="Y46" i="50"/>
  <c r="O85" i="50" s="1"/>
  <c r="E25" i="50"/>
  <c r="F25" i="50" s="1"/>
  <c r="J25" i="50" s="1"/>
  <c r="I71" i="50"/>
  <c r="F95" i="50"/>
  <c r="R23" i="50"/>
  <c r="E10" i="50"/>
  <c r="F10" i="50" s="1"/>
  <c r="J10" i="50" s="1"/>
  <c r="E13" i="50"/>
  <c r="F13" i="50" s="1"/>
  <c r="E18" i="50"/>
  <c r="F18" i="50" s="1"/>
  <c r="Y56" i="50"/>
  <c r="O95" i="50" s="1"/>
  <c r="Y38" i="50"/>
  <c r="O77" i="50" s="1"/>
  <c r="P11" i="50"/>
  <c r="W46" i="50"/>
  <c r="N85" i="50" s="1"/>
  <c r="E17" i="50"/>
  <c r="F17" i="50" s="1"/>
  <c r="P5" i="50"/>
  <c r="W53" i="50"/>
  <c r="N92" i="50" s="1"/>
  <c r="W42" i="50"/>
  <c r="N81" i="50" s="1"/>
  <c r="D7" i="50"/>
  <c r="D30" i="50" s="1"/>
  <c r="E16" i="50"/>
  <c r="F16" i="50" s="1"/>
  <c r="J16" i="50" s="1"/>
  <c r="E21" i="50"/>
  <c r="F21" i="50" s="1"/>
  <c r="O24" i="50"/>
  <c r="O25" i="50"/>
  <c r="O23" i="50"/>
  <c r="O22" i="50"/>
  <c r="O19" i="50"/>
  <c r="O11" i="50"/>
  <c r="O21" i="50"/>
  <c r="O13" i="50"/>
  <c r="O5" i="50"/>
  <c r="O16" i="50"/>
  <c r="O14" i="50"/>
  <c r="O15" i="50"/>
  <c r="O7" i="50"/>
  <c r="O17" i="50"/>
  <c r="O9" i="50"/>
  <c r="O18" i="50"/>
  <c r="E8" i="50"/>
  <c r="Y51" i="50"/>
  <c r="W51" i="50"/>
  <c r="C7" i="50"/>
  <c r="C30" i="50" s="1"/>
  <c r="Y39" i="50"/>
  <c r="M28" i="50"/>
  <c r="Y43" i="50"/>
  <c r="O6" i="50"/>
  <c r="O10" i="50"/>
  <c r="O12" i="50"/>
  <c r="Y41" i="50"/>
  <c r="P25" i="50"/>
  <c r="P24" i="50"/>
  <c r="P20" i="50"/>
  <c r="P12" i="50"/>
  <c r="P21" i="50"/>
  <c r="P14" i="50"/>
  <c r="P7" i="50"/>
  <c r="P17" i="50"/>
  <c r="P15" i="50"/>
  <c r="P16" i="50"/>
  <c r="P8" i="50"/>
  <c r="P18" i="50"/>
  <c r="P10" i="50"/>
  <c r="P6" i="50"/>
  <c r="P23" i="50"/>
  <c r="P22" i="50"/>
  <c r="P19" i="50"/>
  <c r="J5" i="50"/>
  <c r="J4" i="50" s="1"/>
  <c r="O8" i="50"/>
  <c r="O20" i="50"/>
  <c r="J22" i="50"/>
  <c r="R18" i="50"/>
  <c r="AC57" i="50"/>
  <c r="F96" i="50"/>
  <c r="R24" i="50"/>
  <c r="J27" i="50"/>
  <c r="W47" i="50"/>
  <c r="Q96" i="50"/>
  <c r="W54" i="50"/>
  <c r="Y53" i="50"/>
  <c r="J28" i="50"/>
  <c r="J23" i="50"/>
  <c r="Y58" i="50"/>
  <c r="N28" i="50"/>
  <c r="R32" i="50"/>
  <c r="J11" i="50" l="1"/>
  <c r="J26" i="50"/>
  <c r="H83" i="50"/>
  <c r="R16" i="50"/>
  <c r="J9" i="50"/>
  <c r="Q11" i="50"/>
  <c r="S11" i="50" s="1"/>
  <c r="C44" i="50" s="1"/>
  <c r="F83" i="50"/>
  <c r="F79" i="50"/>
  <c r="R8" i="50"/>
  <c r="J15" i="50"/>
  <c r="E83" i="50"/>
  <c r="F94" i="50"/>
  <c r="K17" i="50"/>
  <c r="R22" i="50"/>
  <c r="Q13" i="50"/>
  <c r="Q9" i="50"/>
  <c r="J12" i="50"/>
  <c r="R12" i="50"/>
  <c r="G45" i="50"/>
  <c r="F84" i="50" s="1"/>
  <c r="K19" i="50"/>
  <c r="R6" i="50"/>
  <c r="F78" i="50"/>
  <c r="R21" i="50"/>
  <c r="F87" i="50"/>
  <c r="R9" i="50"/>
  <c r="E92" i="50"/>
  <c r="J19" i="50"/>
  <c r="F93" i="50"/>
  <c r="J24" i="50"/>
  <c r="Q8" i="50"/>
  <c r="R20" i="50"/>
  <c r="E93" i="50"/>
  <c r="J18" i="50"/>
  <c r="F89" i="50"/>
  <c r="R14" i="50"/>
  <c r="K13" i="50"/>
  <c r="Q5" i="50"/>
  <c r="S5" i="50" s="1"/>
  <c r="C38" i="50" s="1"/>
  <c r="Z38" i="50" s="1"/>
  <c r="O105" i="50" s="1"/>
  <c r="R13" i="50"/>
  <c r="K29" i="50"/>
  <c r="AA59" i="50"/>
  <c r="P98" i="50" s="1"/>
  <c r="P99" i="50" s="1"/>
  <c r="J14" i="50"/>
  <c r="F82" i="50"/>
  <c r="P28" i="50"/>
  <c r="H82" i="50"/>
  <c r="J20" i="50"/>
  <c r="K9" i="50"/>
  <c r="Q12" i="50"/>
  <c r="K27" i="50"/>
  <c r="F81" i="50"/>
  <c r="H78" i="50"/>
  <c r="Q14" i="50"/>
  <c r="S14" i="50" s="1"/>
  <c r="C47" i="50" s="1"/>
  <c r="X47" i="50" s="1"/>
  <c r="N114" i="50" s="1"/>
  <c r="Q16" i="50"/>
  <c r="S16" i="50" s="1"/>
  <c r="C49" i="50" s="1"/>
  <c r="C88" i="50" s="1"/>
  <c r="K18" i="50"/>
  <c r="J21" i="50"/>
  <c r="K21" i="50"/>
  <c r="J17" i="50"/>
  <c r="K16" i="50"/>
  <c r="K12" i="50"/>
  <c r="R17" i="50"/>
  <c r="Q24" i="50"/>
  <c r="S24" i="50" s="1"/>
  <c r="C57" i="50" s="1"/>
  <c r="H89" i="50"/>
  <c r="K22" i="50"/>
  <c r="J13" i="50"/>
  <c r="F85" i="50"/>
  <c r="K28" i="50"/>
  <c r="Q20" i="50"/>
  <c r="Y44" i="50"/>
  <c r="K15" i="50"/>
  <c r="O97" i="50"/>
  <c r="K25" i="50"/>
  <c r="N86" i="50"/>
  <c r="K23" i="50"/>
  <c r="F86" i="50"/>
  <c r="R28" i="50"/>
  <c r="K10" i="50"/>
  <c r="Q15" i="50"/>
  <c r="S15" i="50" s="1"/>
  <c r="Q22" i="50"/>
  <c r="E94" i="50"/>
  <c r="H79" i="50"/>
  <c r="Q25" i="50"/>
  <c r="S25" i="50" s="1"/>
  <c r="O78" i="50"/>
  <c r="F8" i="50"/>
  <c r="E7" i="50"/>
  <c r="E30" i="50" s="1"/>
  <c r="F90" i="50"/>
  <c r="O80" i="50"/>
  <c r="N90" i="50"/>
  <c r="K20" i="50"/>
  <c r="Q18" i="50"/>
  <c r="S18" i="50" s="1"/>
  <c r="C51" i="50" s="1"/>
  <c r="H51" i="50" s="1"/>
  <c r="F88" i="50"/>
  <c r="K26" i="50"/>
  <c r="O92" i="50"/>
  <c r="M71" i="50"/>
  <c r="K14" i="50"/>
  <c r="N79" i="50"/>
  <c r="O90" i="50"/>
  <c r="Q21" i="50"/>
  <c r="H85" i="50"/>
  <c r="E89" i="50"/>
  <c r="AC52" i="50"/>
  <c r="F91" i="50"/>
  <c r="O28" i="50"/>
  <c r="Q10" i="50"/>
  <c r="O82" i="50"/>
  <c r="I81" i="50"/>
  <c r="Q17" i="50"/>
  <c r="F80" i="50"/>
  <c r="Q23" i="50"/>
  <c r="S23" i="50" s="1"/>
  <c r="N93" i="50"/>
  <c r="H91" i="50"/>
  <c r="K24" i="50"/>
  <c r="F77" i="50"/>
  <c r="Q6" i="50"/>
  <c r="Q7" i="50"/>
  <c r="S7" i="50" s="1"/>
  <c r="Q19" i="50"/>
  <c r="S19" i="50" s="1"/>
  <c r="K11" i="50"/>
  <c r="L44" i="50" l="1"/>
  <c r="H111" i="50" s="1"/>
  <c r="S21" i="50"/>
  <c r="C54" i="50" s="1"/>
  <c r="X54" i="50" s="1"/>
  <c r="N121" i="50" s="1"/>
  <c r="S9" i="50"/>
  <c r="C42" i="50" s="1"/>
  <c r="Z42" i="50" s="1"/>
  <c r="O109" i="50" s="1"/>
  <c r="H44" i="50"/>
  <c r="F111" i="50" s="1"/>
  <c r="S8" i="50"/>
  <c r="C41" i="50" s="1"/>
  <c r="C108" i="50" s="1"/>
  <c r="C83" i="50"/>
  <c r="F44" i="50"/>
  <c r="E111" i="50" s="1"/>
  <c r="T11" i="50"/>
  <c r="D44" i="50" s="1"/>
  <c r="D111" i="50" s="1"/>
  <c r="C111" i="50"/>
  <c r="S13" i="50"/>
  <c r="C46" i="50" s="1"/>
  <c r="H46" i="50" s="1"/>
  <c r="F113" i="50" s="1"/>
  <c r="P88" i="50"/>
  <c r="S22" i="50"/>
  <c r="C55" i="50" s="1"/>
  <c r="H55" i="50" s="1"/>
  <c r="F122" i="50" s="1"/>
  <c r="S20" i="50"/>
  <c r="C53" i="50" s="1"/>
  <c r="F53" i="50" s="1"/>
  <c r="E120" i="50" s="1"/>
  <c r="S6" i="50"/>
  <c r="C39" i="50" s="1"/>
  <c r="Z39" i="50" s="1"/>
  <c r="O106" i="50" s="1"/>
  <c r="C77" i="50"/>
  <c r="T5" i="50"/>
  <c r="D38" i="50" s="1"/>
  <c r="D77" i="50" s="1"/>
  <c r="H38" i="50"/>
  <c r="F105" i="50" s="1"/>
  <c r="S12" i="50"/>
  <c r="C45" i="50" s="1"/>
  <c r="C116" i="50"/>
  <c r="G66" i="50"/>
  <c r="E59" i="50"/>
  <c r="E98" i="50" s="1"/>
  <c r="G59" i="50"/>
  <c r="F98" i="50" s="1"/>
  <c r="F99" i="50" s="1"/>
  <c r="E85" i="50"/>
  <c r="K1" i="50"/>
  <c r="X38" i="50"/>
  <c r="N105" i="50" s="1"/>
  <c r="C105" i="50"/>
  <c r="H49" i="50"/>
  <c r="F116" i="50" s="1"/>
  <c r="AB49" i="50"/>
  <c r="P116" i="50" s="1"/>
  <c r="AC50" i="50"/>
  <c r="T16" i="50"/>
  <c r="D49" i="50" s="1"/>
  <c r="D88" i="50" s="1"/>
  <c r="Z47" i="50"/>
  <c r="O114" i="50" s="1"/>
  <c r="T14" i="50"/>
  <c r="D47" i="50" s="1"/>
  <c r="D114" i="50" s="1"/>
  <c r="Q89" i="50"/>
  <c r="C114" i="50"/>
  <c r="H47" i="50"/>
  <c r="F114" i="50" s="1"/>
  <c r="C86" i="50"/>
  <c r="Q91" i="50"/>
  <c r="S17" i="50"/>
  <c r="F118" i="50"/>
  <c r="F7" i="50"/>
  <c r="F30" i="50" s="1"/>
  <c r="R4" i="50"/>
  <c r="J8" i="50"/>
  <c r="J7" i="50" s="1"/>
  <c r="J30" i="50" s="1"/>
  <c r="J31" i="50" s="1"/>
  <c r="C56" i="50"/>
  <c r="T23" i="50"/>
  <c r="D56" i="50" s="1"/>
  <c r="C40" i="50"/>
  <c r="T7" i="50"/>
  <c r="D40" i="50" s="1"/>
  <c r="T24" i="50"/>
  <c r="D57" i="50" s="1"/>
  <c r="C58" i="50"/>
  <c r="T25" i="50"/>
  <c r="D58" i="50" s="1"/>
  <c r="C96" i="50"/>
  <c r="R96" i="50" s="1"/>
  <c r="C124" i="50"/>
  <c r="H57" i="50"/>
  <c r="T18" i="50"/>
  <c r="D51" i="50" s="1"/>
  <c r="C48" i="50"/>
  <c r="T15" i="50"/>
  <c r="D48" i="50" s="1"/>
  <c r="K2" i="50"/>
  <c r="Q28" i="50"/>
  <c r="S10" i="50"/>
  <c r="AD57" i="50"/>
  <c r="C90" i="50"/>
  <c r="C118" i="50"/>
  <c r="Z51" i="50"/>
  <c r="O118" i="50" s="1"/>
  <c r="C52" i="50"/>
  <c r="AD52" i="50" s="1"/>
  <c r="T19" i="50"/>
  <c r="D52" i="50" s="1"/>
  <c r="X51" i="50"/>
  <c r="N118" i="50" s="1"/>
  <c r="O83" i="50"/>
  <c r="Z44" i="50"/>
  <c r="O111" i="50" s="1"/>
  <c r="H42" i="50" l="1"/>
  <c r="F109" i="50" s="1"/>
  <c r="X42" i="50"/>
  <c r="N109" i="50" s="1"/>
  <c r="Z54" i="50"/>
  <c r="O121" i="50" s="1"/>
  <c r="N42" i="50"/>
  <c r="I109" i="50" s="1"/>
  <c r="C78" i="50"/>
  <c r="C121" i="50"/>
  <c r="C93" i="50"/>
  <c r="F54" i="50"/>
  <c r="C81" i="50"/>
  <c r="H54" i="50"/>
  <c r="F121" i="50" s="1"/>
  <c r="T21" i="50"/>
  <c r="D54" i="50" s="1"/>
  <c r="D121" i="50" s="1"/>
  <c r="C109" i="50"/>
  <c r="T9" i="50"/>
  <c r="D42" i="50" s="1"/>
  <c r="D109" i="50" s="1"/>
  <c r="T13" i="50"/>
  <c r="D46" i="50" s="1"/>
  <c r="D113" i="50" s="1"/>
  <c r="H41" i="50"/>
  <c r="F108" i="50" s="1"/>
  <c r="F55" i="50"/>
  <c r="C66" i="50"/>
  <c r="H66" i="50" s="1"/>
  <c r="Z41" i="50"/>
  <c r="O108" i="50" s="1"/>
  <c r="C80" i="50"/>
  <c r="X53" i="50"/>
  <c r="N120" i="50" s="1"/>
  <c r="T8" i="50"/>
  <c r="D41" i="50" s="1"/>
  <c r="D105" i="50"/>
  <c r="X46" i="50"/>
  <c r="N113" i="50" s="1"/>
  <c r="C106" i="50"/>
  <c r="T12" i="50"/>
  <c r="D45" i="50" s="1"/>
  <c r="D84" i="50" s="1"/>
  <c r="Z46" i="50"/>
  <c r="O113" i="50" s="1"/>
  <c r="F46" i="50"/>
  <c r="E113" i="50" s="1"/>
  <c r="C113" i="50"/>
  <c r="L46" i="50"/>
  <c r="H113" i="50" s="1"/>
  <c r="C85" i="50"/>
  <c r="H39" i="50"/>
  <c r="F106" i="50" s="1"/>
  <c r="C120" i="50"/>
  <c r="D83" i="50"/>
  <c r="T20" i="50"/>
  <c r="D53" i="50" s="1"/>
  <c r="D120" i="50" s="1"/>
  <c r="H53" i="50"/>
  <c r="F120" i="50" s="1"/>
  <c r="C92" i="50"/>
  <c r="C122" i="50"/>
  <c r="C94" i="50"/>
  <c r="Z53" i="50"/>
  <c r="O120" i="50" s="1"/>
  <c r="L39" i="50"/>
  <c r="H106" i="50" s="1"/>
  <c r="T6" i="50"/>
  <c r="D39" i="50" s="1"/>
  <c r="D78" i="50" s="1"/>
  <c r="T22" i="50"/>
  <c r="D55" i="50" s="1"/>
  <c r="D122" i="50" s="1"/>
  <c r="D86" i="50"/>
  <c r="Z45" i="50"/>
  <c r="O112" i="50" s="1"/>
  <c r="H45" i="50"/>
  <c r="F112" i="50" s="1"/>
  <c r="C112" i="50"/>
  <c r="C84" i="50"/>
  <c r="D116" i="50"/>
  <c r="C50" i="50"/>
  <c r="T17" i="50"/>
  <c r="D50" i="50" s="1"/>
  <c r="F124" i="50"/>
  <c r="Q124" i="50" s="1"/>
  <c r="AE57" i="50"/>
  <c r="AF57" i="50" s="1"/>
  <c r="D124" i="50"/>
  <c r="D96" i="50"/>
  <c r="D123" i="50"/>
  <c r="D95" i="50"/>
  <c r="I59" i="50"/>
  <c r="G76" i="50"/>
  <c r="C95" i="50"/>
  <c r="C123" i="50"/>
  <c r="H56" i="50"/>
  <c r="Z56" i="50"/>
  <c r="O123" i="50" s="1"/>
  <c r="R26" i="50"/>
  <c r="C91" i="50"/>
  <c r="R91" i="50" s="1"/>
  <c r="C119" i="50"/>
  <c r="L52" i="50"/>
  <c r="H119" i="50" s="1"/>
  <c r="H52" i="50"/>
  <c r="D115" i="50"/>
  <c r="D87" i="50"/>
  <c r="E99" i="50"/>
  <c r="D107" i="50"/>
  <c r="D79" i="50"/>
  <c r="C87" i="50"/>
  <c r="C115" i="50"/>
  <c r="H48" i="50"/>
  <c r="E121" i="50"/>
  <c r="C79" i="50"/>
  <c r="C107" i="50"/>
  <c r="C130" i="50" s="1"/>
  <c r="Z40" i="50"/>
  <c r="O107" i="50" s="1"/>
  <c r="H40" i="50"/>
  <c r="L40" i="50"/>
  <c r="H107" i="50" s="1"/>
  <c r="X40" i="50"/>
  <c r="N107" i="50" s="1"/>
  <c r="D91" i="50"/>
  <c r="D119" i="50"/>
  <c r="C43" i="50"/>
  <c r="S28" i="50"/>
  <c r="T28" i="50" s="1"/>
  <c r="T10" i="50"/>
  <c r="D43" i="50" s="1"/>
  <c r="E122" i="50"/>
  <c r="D125" i="50"/>
  <c r="D97" i="50"/>
  <c r="C97" i="50"/>
  <c r="C125" i="50"/>
  <c r="X58" i="50"/>
  <c r="N125" i="50" s="1"/>
  <c r="Z58" i="50"/>
  <c r="O125" i="50" s="1"/>
  <c r="D90" i="50"/>
  <c r="D118" i="50"/>
  <c r="D93" i="50"/>
  <c r="D85" i="50" l="1"/>
  <c r="D81" i="50"/>
  <c r="D112" i="50"/>
  <c r="D108" i="50"/>
  <c r="D80" i="50"/>
  <c r="D106" i="50"/>
  <c r="D92" i="50"/>
  <c r="D94" i="50"/>
  <c r="D117" i="50"/>
  <c r="D89" i="50"/>
  <c r="H50" i="50"/>
  <c r="F117" i="50" s="1"/>
  <c r="F50" i="50"/>
  <c r="C89" i="50"/>
  <c r="R89" i="50" s="1"/>
  <c r="C117" i="50"/>
  <c r="AD50" i="50"/>
  <c r="L50" i="50"/>
  <c r="H117" i="50" s="1"/>
  <c r="G98" i="50"/>
  <c r="D82" i="50"/>
  <c r="D110" i="50"/>
  <c r="F115" i="50"/>
  <c r="F123" i="50"/>
  <c r="F119" i="50"/>
  <c r="Q119" i="50" s="1"/>
  <c r="AE52" i="50"/>
  <c r="AF52" i="50" s="1"/>
  <c r="F107" i="50"/>
  <c r="C82" i="50"/>
  <c r="C110" i="50"/>
  <c r="L43" i="50"/>
  <c r="H110" i="50" s="1"/>
  <c r="H43" i="50"/>
  <c r="Z43" i="50"/>
  <c r="O110" i="50" s="1"/>
  <c r="E117" i="50" l="1"/>
  <c r="Q117" i="50" s="1"/>
  <c r="AE50" i="50"/>
  <c r="AF50" i="50" s="1"/>
  <c r="G99" i="50"/>
  <c r="F110" i="50"/>
  <c r="J77" i="50" l="1"/>
  <c r="P38" i="50"/>
  <c r="J105" i="50" s="1"/>
  <c r="L77" i="50"/>
  <c r="T38" i="50"/>
  <c r="L105" i="50" s="1"/>
  <c r="S71" i="50" l="1"/>
  <c r="L76" i="50"/>
  <c r="S59" i="50"/>
  <c r="O71" i="50"/>
  <c r="O59" i="50"/>
  <c r="J76" i="50"/>
  <c r="H94" i="50" l="1"/>
  <c r="Q94" i="50" s="1"/>
  <c r="R94" i="50" s="1"/>
  <c r="L55" i="50"/>
  <c r="H122" i="50" s="1"/>
  <c r="Q122" i="50" s="1"/>
  <c r="AC55" i="50"/>
  <c r="AD55" i="50" s="1"/>
  <c r="H97" i="50"/>
  <c r="L58" i="50"/>
  <c r="H125" i="50" s="1"/>
  <c r="J98" i="50"/>
  <c r="J99" i="50" s="1"/>
  <c r="N43" i="50"/>
  <c r="I110" i="50" s="1"/>
  <c r="Q110" i="50" s="1"/>
  <c r="I82" i="50"/>
  <c r="Q82" i="50" s="1"/>
  <c r="R82" i="50" s="1"/>
  <c r="AC43" i="50"/>
  <c r="AD43" i="50" s="1"/>
  <c r="I84" i="50"/>
  <c r="Q84" i="50" s="1"/>
  <c r="R84" i="50" s="1"/>
  <c r="N45" i="50"/>
  <c r="I112" i="50" s="1"/>
  <c r="Q112" i="50" s="1"/>
  <c r="AC45" i="50"/>
  <c r="AD45" i="50" s="1"/>
  <c r="N41" i="50"/>
  <c r="I108" i="50" s="1"/>
  <c r="Q108" i="50" s="1"/>
  <c r="I80" i="50"/>
  <c r="Q80" i="50" s="1"/>
  <c r="R80" i="50" s="1"/>
  <c r="AC41" i="50"/>
  <c r="AD41" i="50" s="1"/>
  <c r="I77" i="50"/>
  <c r="N38" i="50"/>
  <c r="I105" i="50" s="1"/>
  <c r="N44" i="50"/>
  <c r="I111" i="50" s="1"/>
  <c r="Q111" i="50" s="1"/>
  <c r="I83" i="50"/>
  <c r="Q83" i="50" s="1"/>
  <c r="R83" i="50" s="1"/>
  <c r="AC44" i="50"/>
  <c r="AD44" i="50" s="1"/>
  <c r="N56" i="50"/>
  <c r="I123" i="50" s="1"/>
  <c r="Q123" i="50" s="1"/>
  <c r="I95" i="50"/>
  <c r="Q95" i="50" s="1"/>
  <c r="R95" i="50" s="1"/>
  <c r="AC56" i="50"/>
  <c r="AD56" i="50" s="1"/>
  <c r="N58" i="50"/>
  <c r="I125" i="50" s="1"/>
  <c r="I97" i="50"/>
  <c r="L98" i="50"/>
  <c r="L99" i="50" s="1"/>
  <c r="I78" i="50"/>
  <c r="Q78" i="50" s="1"/>
  <c r="R78" i="50" s="1"/>
  <c r="N39" i="50"/>
  <c r="I106" i="50" s="1"/>
  <c r="Q106" i="50" s="1"/>
  <c r="AC39" i="50"/>
  <c r="AD39" i="50" s="1"/>
  <c r="AE56" i="50" l="1"/>
  <c r="AF56" i="50" s="1"/>
  <c r="AE39" i="50"/>
  <c r="AF39" i="50" s="1"/>
  <c r="AC38" i="50"/>
  <c r="AD38" i="50" s="1"/>
  <c r="AE41" i="50"/>
  <c r="AF41" i="50" s="1"/>
  <c r="AE45" i="50"/>
  <c r="AF45" i="50" s="1"/>
  <c r="AE55" i="50"/>
  <c r="AF55" i="50" s="1"/>
  <c r="AC58" i="50"/>
  <c r="AD58" i="50" s="1"/>
  <c r="M59" i="50"/>
  <c r="I76" i="50"/>
  <c r="N47" i="50"/>
  <c r="I114" i="50" s="1"/>
  <c r="I86" i="50"/>
  <c r="I87" i="50"/>
  <c r="N48" i="50"/>
  <c r="I115" i="50" s="1"/>
  <c r="H92" i="50"/>
  <c r="L53" i="50"/>
  <c r="H120" i="50" s="1"/>
  <c r="AC53" i="50"/>
  <c r="AD53" i="50" s="1"/>
  <c r="V42" i="50"/>
  <c r="M109" i="50" s="1"/>
  <c r="M81" i="50"/>
  <c r="AE44" i="50"/>
  <c r="AF44" i="50" s="1"/>
  <c r="K86" i="50"/>
  <c r="R47" i="50"/>
  <c r="K114" i="50" s="1"/>
  <c r="K85" i="50"/>
  <c r="R46" i="50"/>
  <c r="K113" i="50" s="1"/>
  <c r="AC46" i="50"/>
  <c r="AD46" i="50" s="1"/>
  <c r="H88" i="50"/>
  <c r="L49" i="50"/>
  <c r="H116" i="50" s="1"/>
  <c r="AC49" i="50"/>
  <c r="AD49" i="50" s="1"/>
  <c r="M85" i="50"/>
  <c r="V46" i="50"/>
  <c r="M113" i="50" s="1"/>
  <c r="K79" i="50"/>
  <c r="R40" i="50"/>
  <c r="K107" i="50" s="1"/>
  <c r="AC40" i="50"/>
  <c r="AD40" i="50" s="1"/>
  <c r="I93" i="50"/>
  <c r="N54" i="50"/>
  <c r="I121" i="50" s="1"/>
  <c r="H90" i="50"/>
  <c r="L51" i="50"/>
  <c r="H118" i="50" s="1"/>
  <c r="AC51" i="50"/>
  <c r="AD51" i="50" s="1"/>
  <c r="K81" i="50"/>
  <c r="R42" i="50"/>
  <c r="K109" i="50" s="1"/>
  <c r="AC42" i="50"/>
  <c r="AD42" i="50" s="1"/>
  <c r="N53" i="50"/>
  <c r="I120" i="50" s="1"/>
  <c r="I92" i="50"/>
  <c r="M79" i="50"/>
  <c r="V40" i="50"/>
  <c r="M107" i="50" s="1"/>
  <c r="H93" i="50"/>
  <c r="L54" i="50"/>
  <c r="H121" i="50" s="1"/>
  <c r="AC54" i="50"/>
  <c r="AD54" i="50" s="1"/>
  <c r="H86" i="50"/>
  <c r="L47" i="50"/>
  <c r="H114" i="50" s="1"/>
  <c r="K59" i="50"/>
  <c r="AC47" i="50"/>
  <c r="AD47" i="50" s="1"/>
  <c r="H87" i="50"/>
  <c r="L48" i="50"/>
  <c r="H115" i="50" s="1"/>
  <c r="AC48" i="50"/>
  <c r="AD48" i="50" s="1"/>
  <c r="N49" i="50"/>
  <c r="I116" i="50" s="1"/>
  <c r="I88" i="50"/>
  <c r="K97" i="50"/>
  <c r="R58" i="50"/>
  <c r="K125" i="50" s="1"/>
  <c r="K77" i="50"/>
  <c r="Q59" i="50"/>
  <c r="R38" i="50"/>
  <c r="AE43" i="50"/>
  <c r="AF43" i="50" s="1"/>
  <c r="M86" i="50"/>
  <c r="V47" i="50"/>
  <c r="M114" i="50" s="1"/>
  <c r="V58" i="50"/>
  <c r="M125" i="50" s="1"/>
  <c r="M97" i="50"/>
  <c r="U59" i="50"/>
  <c r="M77" i="50"/>
  <c r="V38" i="50"/>
  <c r="M105" i="50" s="1"/>
  <c r="N51" i="50"/>
  <c r="I118" i="50" s="1"/>
  <c r="I90" i="50"/>
  <c r="AE42" i="50" l="1"/>
  <c r="AF42" i="50" s="1"/>
  <c r="Q77" i="50"/>
  <c r="R77" i="50" s="1"/>
  <c r="Q79" i="50"/>
  <c r="R79" i="50" s="1"/>
  <c r="Q97" i="50"/>
  <c r="R97" i="50" s="1"/>
  <c r="Q118" i="50"/>
  <c r="Q125" i="50"/>
  <c r="Q109" i="50"/>
  <c r="Q87" i="50"/>
  <c r="R87" i="50" s="1"/>
  <c r="AE53" i="50"/>
  <c r="AF53" i="50" s="1"/>
  <c r="AE47" i="50"/>
  <c r="AF47" i="50" s="1"/>
  <c r="Q93" i="50"/>
  <c r="R93" i="50" s="1"/>
  <c r="Q81" i="50"/>
  <c r="R81" i="50" s="1"/>
  <c r="Q114" i="50"/>
  <c r="AE54" i="50"/>
  <c r="AF54" i="50" s="1"/>
  <c r="Q116" i="50"/>
  <c r="Q86" i="50"/>
  <c r="R86" i="50" s="1"/>
  <c r="AE40" i="50"/>
  <c r="AF40" i="50" s="1"/>
  <c r="Q88" i="50"/>
  <c r="R88" i="50" s="1"/>
  <c r="Q121" i="50"/>
  <c r="I98" i="50"/>
  <c r="I99" i="50" s="1"/>
  <c r="AE51" i="50"/>
  <c r="AF51" i="50" s="1"/>
  <c r="H98" i="50"/>
  <c r="Q107" i="50"/>
  <c r="AE46" i="50"/>
  <c r="AF46" i="50" s="1"/>
  <c r="Q113" i="50"/>
  <c r="Q90" i="50"/>
  <c r="R90" i="50" s="1"/>
  <c r="K105" i="50"/>
  <c r="Q105" i="50" s="1"/>
  <c r="AE38" i="50"/>
  <c r="AF38" i="50" s="1"/>
  <c r="AE58" i="50"/>
  <c r="AF58" i="50" s="1"/>
  <c r="Q85" i="50"/>
  <c r="R85" i="50" s="1"/>
  <c r="Q120" i="50"/>
  <c r="Q115" i="50"/>
  <c r="AE49" i="50"/>
  <c r="AF49" i="50" s="1"/>
  <c r="Q92" i="50"/>
  <c r="R92" i="50" s="1"/>
  <c r="AE48" i="50"/>
  <c r="AF48" i="50" s="1"/>
  <c r="M98" i="50"/>
  <c r="M99" i="50" s="1"/>
  <c r="K98" i="50"/>
  <c r="K99" i="50" s="1"/>
  <c r="H99" i="50" l="1"/>
  <c r="K99" i="54" l="1"/>
  <c r="C11" i="61" l="1"/>
  <c r="S46" i="80" l="1"/>
  <c r="U46" i="80" l="1"/>
  <c r="W46" i="80" l="1"/>
  <c r="X46" i="80" l="1"/>
  <c r="D3" i="69" l="1"/>
  <c r="D4" i="69"/>
  <c r="D5" i="69"/>
  <c r="D6" i="69"/>
  <c r="D7" i="69"/>
  <c r="D8" i="69"/>
  <c r="D9" i="69"/>
  <c r="D10" i="69"/>
  <c r="D11" i="69"/>
  <c r="D12" i="69"/>
  <c r="D13" i="69"/>
  <c r="D14" i="69"/>
  <c r="D15" i="69"/>
  <c r="D16" i="69"/>
  <c r="D17" i="69"/>
  <c r="D18" i="69"/>
  <c r="D19" i="69"/>
  <c r="D20" i="69"/>
  <c r="D21" i="69"/>
  <c r="D22" i="69"/>
  <c r="D23" i="69"/>
  <c r="D24" i="69"/>
  <c r="D25" i="69"/>
  <c r="D26" i="69"/>
  <c r="D27" i="69"/>
  <c r="D28" i="69"/>
  <c r="D29" i="69"/>
  <c r="D30" i="69"/>
  <c r="D31" i="69"/>
  <c r="D32" i="69"/>
  <c r="D33" i="69"/>
  <c r="D34" i="69"/>
  <c r="D35" i="69"/>
  <c r="D36" i="69"/>
  <c r="D37" i="69"/>
  <c r="D38" i="69"/>
  <c r="D39" i="69"/>
  <c r="D40" i="69"/>
  <c r="D41" i="69"/>
  <c r="D42" i="69"/>
  <c r="D43" i="69"/>
  <c r="D44" i="69"/>
  <c r="D45" i="69"/>
  <c r="D46" i="69"/>
  <c r="D47" i="69"/>
  <c r="D48" i="69"/>
  <c r="D49" i="69"/>
  <c r="D50" i="69"/>
  <c r="D51" i="69"/>
  <c r="D52" i="69"/>
  <c r="D53" i="69"/>
  <c r="D54" i="69"/>
  <c r="D55" i="69"/>
  <c r="D56" i="69"/>
  <c r="D57" i="69"/>
  <c r="D58" i="69"/>
  <c r="D59" i="69"/>
  <c r="D60" i="69"/>
  <c r="D61" i="69"/>
  <c r="D62" i="69"/>
  <c r="D63" i="69"/>
  <c r="D64" i="69"/>
  <c r="D65" i="69"/>
  <c r="D66" i="69"/>
  <c r="D67" i="69"/>
  <c r="D68" i="69"/>
  <c r="D69" i="69"/>
  <c r="D70" i="69"/>
  <c r="D71" i="69"/>
  <c r="D72" i="69"/>
  <c r="D73" i="69"/>
  <c r="D74" i="69"/>
  <c r="D75" i="69"/>
  <c r="D76" i="69"/>
  <c r="D77" i="69"/>
  <c r="D78" i="69"/>
  <c r="D79" i="69"/>
  <c r="D80" i="69"/>
  <c r="D81" i="69"/>
  <c r="D82" i="69"/>
  <c r="D83" i="69"/>
  <c r="D84" i="69"/>
  <c r="D85" i="69"/>
  <c r="D86" i="69"/>
  <c r="D87" i="69"/>
  <c r="D88" i="69"/>
  <c r="D89" i="69"/>
  <c r="D90" i="69"/>
  <c r="D91" i="69"/>
  <c r="D92" i="69"/>
  <c r="D93" i="69"/>
  <c r="D94" i="69"/>
  <c r="D95" i="69"/>
  <c r="D96" i="69"/>
  <c r="D97" i="69"/>
  <c r="D98" i="69"/>
  <c r="D99" i="69"/>
  <c r="D100" i="69"/>
  <c r="D101" i="69"/>
  <c r="D102" i="69"/>
  <c r="D103" i="69"/>
  <c r="D104" i="69"/>
  <c r="D105" i="69"/>
  <c r="D106" i="69"/>
  <c r="D107" i="69"/>
  <c r="D108" i="69"/>
  <c r="D109" i="69"/>
  <c r="D110" i="69"/>
  <c r="D111" i="69"/>
  <c r="D112" i="69"/>
  <c r="D113" i="69"/>
  <c r="D114" i="69"/>
  <c r="D115" i="69"/>
  <c r="D116" i="69"/>
  <c r="D117" i="69"/>
  <c r="D118" i="69"/>
  <c r="D119" i="69"/>
  <c r="D120" i="69"/>
  <c r="D121" i="69"/>
  <c r="D122" i="69"/>
  <c r="D123" i="69"/>
  <c r="D124" i="69"/>
  <c r="D125" i="69"/>
  <c r="D126" i="69"/>
  <c r="D127" i="69"/>
  <c r="D128" i="69"/>
  <c r="D129" i="69"/>
  <c r="D130" i="69"/>
  <c r="D131" i="69"/>
  <c r="D132" i="69"/>
  <c r="D133" i="69"/>
  <c r="D134" i="69"/>
  <c r="D135" i="69"/>
  <c r="D136" i="69"/>
  <c r="D137" i="69"/>
  <c r="D138" i="69"/>
  <c r="D139" i="69"/>
  <c r="D140" i="69"/>
  <c r="D141" i="69"/>
  <c r="D142" i="69"/>
  <c r="D143" i="69"/>
  <c r="D144" i="69"/>
  <c r="D145" i="69"/>
  <c r="D146" i="69"/>
  <c r="D147" i="69"/>
  <c r="D148" i="69"/>
  <c r="D149" i="69"/>
  <c r="D150" i="69"/>
  <c r="D151" i="69"/>
  <c r="D152" i="69"/>
  <c r="D153" i="69"/>
  <c r="D154" i="69"/>
  <c r="D155" i="69"/>
  <c r="D156" i="69"/>
  <c r="D157" i="69"/>
  <c r="D158" i="69"/>
  <c r="D159" i="69"/>
  <c r="D160" i="69"/>
  <c r="D161" i="69"/>
  <c r="D162" i="69"/>
  <c r="D163" i="69"/>
  <c r="D164" i="69"/>
  <c r="D165" i="69"/>
  <c r="D166" i="69"/>
  <c r="D167" i="69"/>
  <c r="D168" i="69"/>
  <c r="D169" i="69"/>
  <c r="D170" i="69"/>
  <c r="D171" i="69"/>
  <c r="D172" i="69"/>
  <c r="D173" i="69"/>
  <c r="D174" i="69"/>
  <c r="D175" i="69"/>
  <c r="D176" i="69"/>
  <c r="D177" i="69"/>
  <c r="D178" i="69"/>
  <c r="D179" i="69"/>
  <c r="D180" i="69"/>
  <c r="D181" i="69"/>
  <c r="D182" i="69"/>
  <c r="D183" i="69"/>
  <c r="D184" i="69"/>
  <c r="D185" i="69"/>
  <c r="D186" i="69"/>
  <c r="D187" i="69"/>
  <c r="D188" i="69"/>
  <c r="D189" i="69"/>
  <c r="D190" i="69"/>
  <c r="D191" i="69"/>
  <c r="D192" i="69"/>
  <c r="D193" i="69"/>
  <c r="D194" i="69"/>
  <c r="D195" i="69"/>
  <c r="D196" i="69"/>
  <c r="D197" i="69"/>
  <c r="D198" i="69"/>
  <c r="D201" i="69"/>
  <c r="D202" i="69"/>
  <c r="D203" i="69"/>
  <c r="D204" i="69"/>
  <c r="D205" i="69"/>
  <c r="D206" i="69"/>
  <c r="D207" i="69"/>
  <c r="D208" i="69"/>
  <c r="D209" i="69"/>
  <c r="D210" i="69"/>
  <c r="D211" i="69"/>
  <c r="D212" i="69"/>
  <c r="D213" i="69"/>
  <c r="D214" i="69"/>
  <c r="D215" i="69"/>
  <c r="D216" i="69"/>
  <c r="D217" i="69"/>
  <c r="D218" i="69"/>
  <c r="D219" i="69"/>
  <c r="D220" i="69"/>
  <c r="D221" i="69"/>
  <c r="D222" i="69"/>
  <c r="D223" i="69"/>
  <c r="D224" i="69"/>
  <c r="D225" i="69"/>
  <c r="D226" i="69"/>
  <c r="D227" i="69"/>
  <c r="D228" i="69"/>
  <c r="D229" i="69"/>
  <c r="D230" i="69"/>
  <c r="D231" i="69"/>
  <c r="D232" i="69"/>
  <c r="D233" i="69"/>
  <c r="D234" i="69"/>
  <c r="D235" i="69"/>
  <c r="D236" i="69"/>
  <c r="D237" i="69"/>
  <c r="D238" i="69"/>
  <c r="D239" i="69"/>
  <c r="D240" i="69"/>
  <c r="D241" i="69"/>
  <c r="D242" i="69"/>
  <c r="D243" i="69"/>
  <c r="D244" i="69"/>
  <c r="D245" i="69"/>
  <c r="D246" i="69"/>
  <c r="D247" i="69"/>
  <c r="D248" i="69"/>
  <c r="D249" i="69"/>
  <c r="D250" i="69"/>
  <c r="D251" i="69"/>
  <c r="D252" i="69"/>
  <c r="D253" i="69"/>
  <c r="D254" i="69"/>
  <c r="D255" i="69"/>
  <c r="D256" i="69"/>
  <c r="D257" i="69"/>
  <c r="D258" i="69"/>
  <c r="D259" i="69"/>
  <c r="D260" i="69"/>
  <c r="D261" i="69"/>
  <c r="D262" i="69"/>
  <c r="D263" i="69"/>
  <c r="D264" i="69"/>
  <c r="D265" i="69"/>
  <c r="D266" i="69"/>
  <c r="D267" i="69"/>
  <c r="D268" i="69"/>
  <c r="D269" i="69"/>
  <c r="D270" i="69"/>
  <c r="D271" i="69"/>
  <c r="D272" i="69"/>
  <c r="D273" i="69"/>
  <c r="D274" i="69"/>
  <c r="D275" i="69"/>
  <c r="D276" i="69"/>
  <c r="D277" i="69"/>
  <c r="D278" i="69"/>
  <c r="D2" i="69"/>
  <c r="C200" i="69"/>
  <c r="D200" i="69" s="1"/>
  <c r="C199" i="69"/>
  <c r="D199" i="69" s="1"/>
  <c r="K12" i="69" l="1"/>
  <c r="N23" i="69"/>
  <c r="C97" i="55" l="1"/>
  <c r="Z10" i="64" l="1"/>
  <c r="Z11" i="64"/>
  <c r="Z20" i="64"/>
  <c r="Z26" i="64"/>
  <c r="Z37" i="64"/>
  <c r="Z45" i="64"/>
  <c r="Z50" i="64"/>
  <c r="Z53" i="64"/>
  <c r="Z58" i="64"/>
  <c r="Z64" i="64"/>
  <c r="Z68" i="64"/>
  <c r="Z73" i="64"/>
  <c r="Z77" i="64"/>
  <c r="Z82" i="64"/>
  <c r="Z86" i="64"/>
  <c r="Z90" i="64"/>
  <c r="Z94" i="64"/>
  <c r="Z98" i="64"/>
  <c r="Z103" i="64"/>
  <c r="Z121" i="64"/>
  <c r="Z125" i="64"/>
  <c r="P128" i="64"/>
  <c r="Q128" i="64" s="1"/>
  <c r="N128" i="64"/>
  <c r="O128" i="64" s="1"/>
  <c r="L128" i="64"/>
  <c r="M128" i="64" s="1"/>
  <c r="J128" i="64"/>
  <c r="K128" i="64" s="1"/>
  <c r="H128" i="64"/>
  <c r="I128" i="64" s="1"/>
  <c r="F128" i="64"/>
  <c r="G128" i="64" s="1"/>
  <c r="D128" i="64"/>
  <c r="E128" i="64" s="1"/>
  <c r="B128" i="64"/>
  <c r="C128" i="64" s="1"/>
  <c r="R127" i="64"/>
  <c r="Q127" i="64"/>
  <c r="O127" i="64"/>
  <c r="M127" i="64"/>
  <c r="K127" i="64"/>
  <c r="I127" i="64"/>
  <c r="G127" i="64"/>
  <c r="E127" i="64"/>
  <c r="C127" i="64"/>
  <c r="R126" i="64"/>
  <c r="Q126" i="64"/>
  <c r="O126" i="64"/>
  <c r="M126" i="64"/>
  <c r="K126" i="64"/>
  <c r="I126" i="64"/>
  <c r="G126" i="64"/>
  <c r="E126" i="64"/>
  <c r="C126" i="64"/>
  <c r="R124" i="64"/>
  <c r="X124" i="64" s="1"/>
  <c r="Z124" i="64" s="1"/>
  <c r="Q124" i="64"/>
  <c r="O124" i="64"/>
  <c r="M124" i="64"/>
  <c r="K124" i="64"/>
  <c r="I124" i="64"/>
  <c r="G124" i="64"/>
  <c r="E124" i="64"/>
  <c r="C124" i="64"/>
  <c r="X123" i="64"/>
  <c r="Z123" i="64" s="1"/>
  <c r="Q123" i="64"/>
  <c r="O123" i="64"/>
  <c r="M123" i="64"/>
  <c r="K123" i="64"/>
  <c r="I123" i="64"/>
  <c r="G123" i="64"/>
  <c r="E123" i="64"/>
  <c r="C123" i="64"/>
  <c r="R122" i="64"/>
  <c r="Q122" i="64"/>
  <c r="O122" i="64"/>
  <c r="M122" i="64"/>
  <c r="K122" i="64"/>
  <c r="I122" i="64"/>
  <c r="G122" i="64"/>
  <c r="E122" i="64"/>
  <c r="C122" i="64"/>
  <c r="P117" i="64"/>
  <c r="Q117" i="64" s="1"/>
  <c r="N117" i="64"/>
  <c r="O117" i="64" s="1"/>
  <c r="L117" i="64"/>
  <c r="M117" i="64" s="1"/>
  <c r="J117" i="64"/>
  <c r="K117" i="64" s="1"/>
  <c r="H117" i="64"/>
  <c r="I117" i="64" s="1"/>
  <c r="D117" i="64"/>
  <c r="E117" i="64" s="1"/>
  <c r="B117" i="64"/>
  <c r="C117" i="64" s="1"/>
  <c r="R116" i="64"/>
  <c r="Q116" i="64"/>
  <c r="O116" i="64"/>
  <c r="M116" i="64"/>
  <c r="K116" i="64"/>
  <c r="I116" i="64"/>
  <c r="G116" i="64"/>
  <c r="E116" i="64"/>
  <c r="C116" i="64"/>
  <c r="R115" i="64"/>
  <c r="Q115" i="64"/>
  <c r="O115" i="64"/>
  <c r="M115" i="64"/>
  <c r="K115" i="64"/>
  <c r="I115" i="64"/>
  <c r="G115" i="64"/>
  <c r="E115" i="64"/>
  <c r="C115" i="64"/>
  <c r="R114" i="64"/>
  <c r="Q114" i="64"/>
  <c r="O114" i="64"/>
  <c r="M114" i="64"/>
  <c r="K114" i="64"/>
  <c r="I114" i="64"/>
  <c r="G114" i="64"/>
  <c r="E114" i="64"/>
  <c r="C114" i="64"/>
  <c r="R113" i="64"/>
  <c r="Q113" i="64"/>
  <c r="O113" i="64"/>
  <c r="M113" i="64"/>
  <c r="K113" i="64"/>
  <c r="I113" i="64"/>
  <c r="G113" i="64"/>
  <c r="E113" i="64"/>
  <c r="C113" i="64"/>
  <c r="Q112" i="64"/>
  <c r="O112" i="64"/>
  <c r="M112" i="64"/>
  <c r="K112" i="64"/>
  <c r="I112" i="64"/>
  <c r="F112" i="64"/>
  <c r="F117" i="64" s="1"/>
  <c r="G117" i="64" s="1"/>
  <c r="E112" i="64"/>
  <c r="C112" i="64"/>
  <c r="R111" i="64"/>
  <c r="X111" i="64" s="1"/>
  <c r="Z111" i="64" s="1"/>
  <c r="Q111" i="64"/>
  <c r="O111" i="64"/>
  <c r="M111" i="64"/>
  <c r="K111" i="64"/>
  <c r="I111" i="64"/>
  <c r="G111" i="64"/>
  <c r="E111" i="64"/>
  <c r="C111" i="64"/>
  <c r="R110" i="64"/>
  <c r="X110" i="64" s="1"/>
  <c r="Z110" i="64" s="1"/>
  <c r="Q110" i="64"/>
  <c r="O110" i="64"/>
  <c r="M110" i="64"/>
  <c r="K110" i="64"/>
  <c r="I110" i="64"/>
  <c r="G110" i="64"/>
  <c r="E110" i="64"/>
  <c r="C110" i="64"/>
  <c r="R109" i="64"/>
  <c r="X109" i="64" s="1"/>
  <c r="Z109" i="64" s="1"/>
  <c r="Q109" i="64"/>
  <c r="O109" i="64"/>
  <c r="M109" i="64"/>
  <c r="K109" i="64"/>
  <c r="I109" i="64"/>
  <c r="G109" i="64"/>
  <c r="E109" i="64"/>
  <c r="C109" i="64"/>
  <c r="R108" i="64"/>
  <c r="X108" i="64" s="1"/>
  <c r="Z108" i="64" s="1"/>
  <c r="Q108" i="64"/>
  <c r="O108" i="64"/>
  <c r="M108" i="64"/>
  <c r="K108" i="64"/>
  <c r="I108" i="64"/>
  <c r="G108" i="64"/>
  <c r="E108" i="64"/>
  <c r="C108" i="64"/>
  <c r="R107" i="64"/>
  <c r="X107" i="64" s="1"/>
  <c r="Z107" i="64" s="1"/>
  <c r="Q107" i="64"/>
  <c r="O107" i="64"/>
  <c r="M107" i="64"/>
  <c r="K107" i="64"/>
  <c r="I107" i="64"/>
  <c r="G107" i="64"/>
  <c r="E107" i="64"/>
  <c r="C107" i="64"/>
  <c r="R106" i="64"/>
  <c r="X106" i="64" s="1"/>
  <c r="Z106" i="64" s="1"/>
  <c r="Q106" i="64"/>
  <c r="O106" i="64"/>
  <c r="M106" i="64"/>
  <c r="K106" i="64"/>
  <c r="I106" i="64"/>
  <c r="G106" i="64"/>
  <c r="E106" i="64"/>
  <c r="C106" i="64"/>
  <c r="R105" i="64"/>
  <c r="X105" i="64" s="1"/>
  <c r="Z105" i="64" s="1"/>
  <c r="Q105" i="64"/>
  <c r="O105" i="64"/>
  <c r="M105" i="64"/>
  <c r="K105" i="64"/>
  <c r="I105" i="64"/>
  <c r="G105" i="64"/>
  <c r="E105" i="64"/>
  <c r="C105" i="64"/>
  <c r="R104" i="64"/>
  <c r="X104" i="64" s="1"/>
  <c r="Z104" i="64" s="1"/>
  <c r="Q104" i="64"/>
  <c r="O104" i="64"/>
  <c r="M104" i="64"/>
  <c r="K104" i="64"/>
  <c r="I104" i="64"/>
  <c r="G104" i="64"/>
  <c r="E104" i="64"/>
  <c r="C104" i="64"/>
  <c r="P100" i="64"/>
  <c r="Q100" i="64" s="1"/>
  <c r="N100" i="64"/>
  <c r="O100" i="64" s="1"/>
  <c r="L100" i="64"/>
  <c r="M100" i="64" s="1"/>
  <c r="J100" i="64"/>
  <c r="K100" i="64" s="1"/>
  <c r="H100" i="64"/>
  <c r="I100" i="64" s="1"/>
  <c r="F100" i="64"/>
  <c r="G100" i="64" s="1"/>
  <c r="D100" i="64"/>
  <c r="E100" i="64" s="1"/>
  <c r="B100" i="64"/>
  <c r="C100" i="64" s="1"/>
  <c r="R99" i="64"/>
  <c r="X99" i="64" s="1"/>
  <c r="Z99" i="64" s="1"/>
  <c r="Q99" i="64"/>
  <c r="O99" i="64"/>
  <c r="M99" i="64"/>
  <c r="K99" i="64"/>
  <c r="I99" i="64"/>
  <c r="G99" i="64"/>
  <c r="E99" i="64"/>
  <c r="C99" i="64"/>
  <c r="P97" i="64"/>
  <c r="Q97" i="64" s="1"/>
  <c r="N97" i="64"/>
  <c r="O97" i="64" s="1"/>
  <c r="L97" i="64"/>
  <c r="M97" i="64" s="1"/>
  <c r="J97" i="64"/>
  <c r="K97" i="64" s="1"/>
  <c r="H97" i="64"/>
  <c r="I97" i="64" s="1"/>
  <c r="F97" i="64"/>
  <c r="G97" i="64" s="1"/>
  <c r="D97" i="64"/>
  <c r="E97" i="64" s="1"/>
  <c r="B97" i="64"/>
  <c r="R96" i="64"/>
  <c r="X96" i="64" s="1"/>
  <c r="Z96" i="64" s="1"/>
  <c r="Q96" i="64"/>
  <c r="O96" i="64"/>
  <c r="M96" i="64"/>
  <c r="K96" i="64"/>
  <c r="I96" i="64"/>
  <c r="G96" i="64"/>
  <c r="E96" i="64"/>
  <c r="C96" i="64"/>
  <c r="R95" i="64"/>
  <c r="X95" i="64" s="1"/>
  <c r="Z95" i="64" s="1"/>
  <c r="Q95" i="64"/>
  <c r="O95" i="64"/>
  <c r="M95" i="64"/>
  <c r="K95" i="64"/>
  <c r="I95" i="64"/>
  <c r="G95" i="64"/>
  <c r="E95" i="64"/>
  <c r="C95" i="64"/>
  <c r="P93" i="64"/>
  <c r="Q93" i="64" s="1"/>
  <c r="N93" i="64"/>
  <c r="O93" i="64" s="1"/>
  <c r="L93" i="64"/>
  <c r="M93" i="64" s="1"/>
  <c r="J93" i="64"/>
  <c r="K93" i="64" s="1"/>
  <c r="H93" i="64"/>
  <c r="I93" i="64" s="1"/>
  <c r="F93" i="64"/>
  <c r="G93" i="64" s="1"/>
  <c r="D93" i="64"/>
  <c r="E93" i="64" s="1"/>
  <c r="B93" i="64"/>
  <c r="R92" i="64"/>
  <c r="X92" i="64" s="1"/>
  <c r="Z92" i="64" s="1"/>
  <c r="Q92" i="64"/>
  <c r="O92" i="64"/>
  <c r="M92" i="64"/>
  <c r="K92" i="64"/>
  <c r="I92" i="64"/>
  <c r="G92" i="64"/>
  <c r="E92" i="64"/>
  <c r="C92" i="64"/>
  <c r="R91" i="64"/>
  <c r="X91" i="64" s="1"/>
  <c r="Z91" i="64" s="1"/>
  <c r="Q91" i="64"/>
  <c r="O91" i="64"/>
  <c r="M91" i="64"/>
  <c r="K91" i="64"/>
  <c r="I91" i="64"/>
  <c r="G91" i="64"/>
  <c r="E91" i="64"/>
  <c r="C91" i="64"/>
  <c r="P89" i="64"/>
  <c r="Q89" i="64" s="1"/>
  <c r="N89" i="64"/>
  <c r="O89" i="64" s="1"/>
  <c r="L89" i="64"/>
  <c r="M89" i="64" s="1"/>
  <c r="J89" i="64"/>
  <c r="K89" i="64" s="1"/>
  <c r="H89" i="64"/>
  <c r="I89" i="64" s="1"/>
  <c r="F89" i="64"/>
  <c r="G89" i="64" s="1"/>
  <c r="D89" i="64"/>
  <c r="E89" i="64" s="1"/>
  <c r="B89" i="64"/>
  <c r="C89" i="64" s="1"/>
  <c r="R88" i="64"/>
  <c r="X88" i="64" s="1"/>
  <c r="Z88" i="64" s="1"/>
  <c r="Q88" i="64"/>
  <c r="O88" i="64"/>
  <c r="M88" i="64"/>
  <c r="K88" i="64"/>
  <c r="I88" i="64"/>
  <c r="G88" i="64"/>
  <c r="E88" i="64"/>
  <c r="C88" i="64"/>
  <c r="R87" i="64"/>
  <c r="X87" i="64" s="1"/>
  <c r="Z87" i="64" s="1"/>
  <c r="Q87" i="64"/>
  <c r="O87" i="64"/>
  <c r="M87" i="64"/>
  <c r="K87" i="64"/>
  <c r="I87" i="64"/>
  <c r="G87" i="64"/>
  <c r="E87" i="64"/>
  <c r="C87" i="64"/>
  <c r="P85" i="64"/>
  <c r="Q85" i="64" s="1"/>
  <c r="N85" i="64"/>
  <c r="O85" i="64" s="1"/>
  <c r="L85" i="64"/>
  <c r="M85" i="64" s="1"/>
  <c r="J85" i="64"/>
  <c r="K85" i="64" s="1"/>
  <c r="H85" i="64"/>
  <c r="I85" i="64" s="1"/>
  <c r="F85" i="64"/>
  <c r="G85" i="64" s="1"/>
  <c r="D85" i="64"/>
  <c r="E85" i="64" s="1"/>
  <c r="B85" i="64"/>
  <c r="C85" i="64" s="1"/>
  <c r="R84" i="64"/>
  <c r="X84" i="64" s="1"/>
  <c r="Z84" i="64" s="1"/>
  <c r="Q84" i="64"/>
  <c r="O84" i="64"/>
  <c r="M84" i="64"/>
  <c r="K84" i="64"/>
  <c r="I84" i="64"/>
  <c r="G84" i="64"/>
  <c r="E84" i="64"/>
  <c r="C84" i="64"/>
  <c r="R83" i="64"/>
  <c r="X83" i="64" s="1"/>
  <c r="Z83" i="64" s="1"/>
  <c r="Q83" i="64"/>
  <c r="O83" i="64"/>
  <c r="M83" i="64"/>
  <c r="K83" i="64"/>
  <c r="I83" i="64"/>
  <c r="G83" i="64"/>
  <c r="E83" i="64"/>
  <c r="C83" i="64"/>
  <c r="P81" i="64"/>
  <c r="Q81" i="64" s="1"/>
  <c r="N81" i="64"/>
  <c r="O81" i="64" s="1"/>
  <c r="L81" i="64"/>
  <c r="M81" i="64" s="1"/>
  <c r="J81" i="64"/>
  <c r="K81" i="64" s="1"/>
  <c r="H81" i="64"/>
  <c r="I81" i="64" s="1"/>
  <c r="F81" i="64"/>
  <c r="G81" i="64" s="1"/>
  <c r="D81" i="64"/>
  <c r="E81" i="64" s="1"/>
  <c r="B81" i="64"/>
  <c r="R80" i="64"/>
  <c r="X80" i="64" s="1"/>
  <c r="Z80" i="64" s="1"/>
  <c r="Q80" i="64"/>
  <c r="O80" i="64"/>
  <c r="M80" i="64"/>
  <c r="K80" i="64"/>
  <c r="I80" i="64"/>
  <c r="G80" i="64"/>
  <c r="E80" i="64"/>
  <c r="C80" i="64"/>
  <c r="R79" i="64"/>
  <c r="X79" i="64" s="1"/>
  <c r="Z79" i="64" s="1"/>
  <c r="Q79" i="64"/>
  <c r="O79" i="64"/>
  <c r="M79" i="64"/>
  <c r="K79" i="64"/>
  <c r="I79" i="64"/>
  <c r="G79" i="64"/>
  <c r="E79" i="64"/>
  <c r="C79" i="64"/>
  <c r="R78" i="64"/>
  <c r="X78" i="64" s="1"/>
  <c r="Z78" i="64" s="1"/>
  <c r="Q78" i="64"/>
  <c r="O78" i="64"/>
  <c r="M78" i="64"/>
  <c r="K78" i="64"/>
  <c r="I78" i="64"/>
  <c r="G78" i="64"/>
  <c r="E78" i="64"/>
  <c r="C78" i="64"/>
  <c r="P76" i="64"/>
  <c r="Q76" i="64" s="1"/>
  <c r="N76" i="64"/>
  <c r="O76" i="64" s="1"/>
  <c r="L76" i="64"/>
  <c r="M76" i="64" s="1"/>
  <c r="J76" i="64"/>
  <c r="K76" i="64" s="1"/>
  <c r="H76" i="64"/>
  <c r="I76" i="64" s="1"/>
  <c r="F76" i="64"/>
  <c r="G76" i="64" s="1"/>
  <c r="D76" i="64"/>
  <c r="E76" i="64" s="1"/>
  <c r="B76" i="64"/>
  <c r="C76" i="64" s="1"/>
  <c r="R75" i="64"/>
  <c r="X75" i="64" s="1"/>
  <c r="Z75" i="64" s="1"/>
  <c r="Q75" i="64"/>
  <c r="O75" i="64"/>
  <c r="M75" i="64"/>
  <c r="K75" i="64"/>
  <c r="I75" i="64"/>
  <c r="G75" i="64"/>
  <c r="E75" i="64"/>
  <c r="C75" i="64"/>
  <c r="R74" i="64"/>
  <c r="X74" i="64" s="1"/>
  <c r="Z74" i="64" s="1"/>
  <c r="Q74" i="64"/>
  <c r="O74" i="64"/>
  <c r="M74" i="64"/>
  <c r="K74" i="64"/>
  <c r="I74" i="64"/>
  <c r="G74" i="64"/>
  <c r="E74" i="64"/>
  <c r="C74" i="64"/>
  <c r="P72" i="64"/>
  <c r="Q72" i="64" s="1"/>
  <c r="N72" i="64"/>
  <c r="O72" i="64" s="1"/>
  <c r="L72" i="64"/>
  <c r="M72" i="64" s="1"/>
  <c r="J72" i="64"/>
  <c r="K72" i="64" s="1"/>
  <c r="H72" i="64"/>
  <c r="I72" i="64" s="1"/>
  <c r="F72" i="64"/>
  <c r="G72" i="64" s="1"/>
  <c r="D72" i="64"/>
  <c r="E72" i="64" s="1"/>
  <c r="B72" i="64"/>
  <c r="C72" i="64" s="1"/>
  <c r="R71" i="64"/>
  <c r="X71" i="64" s="1"/>
  <c r="Z71" i="64" s="1"/>
  <c r="Q71" i="64"/>
  <c r="O71" i="64"/>
  <c r="M71" i="64"/>
  <c r="K71" i="64"/>
  <c r="I71" i="64"/>
  <c r="G71" i="64"/>
  <c r="E71" i="64"/>
  <c r="C71" i="64"/>
  <c r="R70" i="64"/>
  <c r="X70" i="64" s="1"/>
  <c r="Z70" i="64" s="1"/>
  <c r="Q70" i="64"/>
  <c r="O70" i="64"/>
  <c r="M70" i="64"/>
  <c r="K70" i="64"/>
  <c r="I70" i="64"/>
  <c r="G70" i="64"/>
  <c r="E70" i="64"/>
  <c r="C70" i="64"/>
  <c r="R69" i="64"/>
  <c r="X69" i="64" s="1"/>
  <c r="Z69" i="64" s="1"/>
  <c r="Q69" i="64"/>
  <c r="O69" i="64"/>
  <c r="M69" i="64"/>
  <c r="K69" i="64"/>
  <c r="I69" i="64"/>
  <c r="G69" i="64"/>
  <c r="E69" i="64"/>
  <c r="C69" i="64"/>
  <c r="P67" i="64"/>
  <c r="Q67" i="64" s="1"/>
  <c r="N67" i="64"/>
  <c r="O67" i="64" s="1"/>
  <c r="L67" i="64"/>
  <c r="M67" i="64" s="1"/>
  <c r="J67" i="64"/>
  <c r="K67" i="64" s="1"/>
  <c r="H67" i="64"/>
  <c r="I67" i="64" s="1"/>
  <c r="F67" i="64"/>
  <c r="G67" i="64" s="1"/>
  <c r="D67" i="64"/>
  <c r="E67" i="64" s="1"/>
  <c r="B67" i="64"/>
  <c r="R66" i="64"/>
  <c r="X66" i="64" s="1"/>
  <c r="Z66" i="64" s="1"/>
  <c r="Q66" i="64"/>
  <c r="O66" i="64"/>
  <c r="M66" i="64"/>
  <c r="K66" i="64"/>
  <c r="I66" i="64"/>
  <c r="G66" i="64"/>
  <c r="E66" i="64"/>
  <c r="C66" i="64"/>
  <c r="R65" i="64"/>
  <c r="X65" i="64" s="1"/>
  <c r="Z65" i="64" s="1"/>
  <c r="Q65" i="64"/>
  <c r="O65" i="64"/>
  <c r="M65" i="64"/>
  <c r="K65" i="64"/>
  <c r="I65" i="64"/>
  <c r="G65" i="64"/>
  <c r="E65" i="64"/>
  <c r="C65" i="64"/>
  <c r="P63" i="64"/>
  <c r="Q63" i="64" s="1"/>
  <c r="N63" i="64"/>
  <c r="O63" i="64" s="1"/>
  <c r="L63" i="64"/>
  <c r="M63" i="64" s="1"/>
  <c r="J63" i="64"/>
  <c r="K63" i="64" s="1"/>
  <c r="H63" i="64"/>
  <c r="I63" i="64" s="1"/>
  <c r="F63" i="64"/>
  <c r="G63" i="64" s="1"/>
  <c r="D63" i="64"/>
  <c r="E63" i="64" s="1"/>
  <c r="B63" i="64"/>
  <c r="C63" i="64" s="1"/>
  <c r="R62" i="64"/>
  <c r="X62" i="64" s="1"/>
  <c r="Z62" i="64" s="1"/>
  <c r="Q62" i="64"/>
  <c r="O62" i="64"/>
  <c r="M62" i="64"/>
  <c r="K62" i="64"/>
  <c r="I62" i="64"/>
  <c r="G62" i="64"/>
  <c r="E62" i="64"/>
  <c r="C62" i="64"/>
  <c r="R61" i="64"/>
  <c r="X61" i="64" s="1"/>
  <c r="Z61" i="64" s="1"/>
  <c r="Q61" i="64"/>
  <c r="O61" i="64"/>
  <c r="M61" i="64"/>
  <c r="K61" i="64"/>
  <c r="I61" i="64"/>
  <c r="G61" i="64"/>
  <c r="E61" i="64"/>
  <c r="C61" i="64"/>
  <c r="R60" i="64"/>
  <c r="X60" i="64" s="1"/>
  <c r="Z60" i="64" s="1"/>
  <c r="Q60" i="64"/>
  <c r="O60" i="64"/>
  <c r="M60" i="64"/>
  <c r="K60" i="64"/>
  <c r="I60" i="64"/>
  <c r="G60" i="64"/>
  <c r="E60" i="64"/>
  <c r="C60" i="64"/>
  <c r="R59" i="64"/>
  <c r="X59" i="64" s="1"/>
  <c r="Z59" i="64" s="1"/>
  <c r="Q59" i="64"/>
  <c r="O59" i="64"/>
  <c r="M59" i="64"/>
  <c r="K59" i="64"/>
  <c r="I59" i="64"/>
  <c r="G59" i="64"/>
  <c r="E59" i="64"/>
  <c r="C59" i="64"/>
  <c r="L57" i="64"/>
  <c r="M57" i="64" s="1"/>
  <c r="H57" i="64"/>
  <c r="I57" i="64" s="1"/>
  <c r="F57" i="64"/>
  <c r="G57" i="64" s="1"/>
  <c r="D57" i="64"/>
  <c r="E57" i="64" s="1"/>
  <c r="B57" i="64"/>
  <c r="C57" i="64" s="1"/>
  <c r="P56" i="64"/>
  <c r="Q56" i="64" s="1"/>
  <c r="N56" i="64"/>
  <c r="O56" i="64" s="1"/>
  <c r="M56" i="64"/>
  <c r="K56" i="64"/>
  <c r="I56" i="64"/>
  <c r="G56" i="64"/>
  <c r="E56" i="64"/>
  <c r="C56" i="64"/>
  <c r="R55" i="64"/>
  <c r="X55" i="64" s="1"/>
  <c r="Z55" i="64" s="1"/>
  <c r="Q55" i="64"/>
  <c r="O55" i="64"/>
  <c r="M55" i="64"/>
  <c r="K55" i="64"/>
  <c r="I55" i="64"/>
  <c r="G55" i="64"/>
  <c r="E55" i="64"/>
  <c r="C55" i="64"/>
  <c r="Q54" i="64"/>
  <c r="O54" i="64"/>
  <c r="M54" i="64"/>
  <c r="J54" i="64"/>
  <c r="J57" i="64" s="1"/>
  <c r="K57" i="64" s="1"/>
  <c r="I54" i="64"/>
  <c r="G54" i="64"/>
  <c r="E54" i="64"/>
  <c r="C54" i="64"/>
  <c r="D52" i="64"/>
  <c r="E52" i="64" s="1"/>
  <c r="B52" i="64"/>
  <c r="R51" i="64"/>
  <c r="Q51" i="64"/>
  <c r="Q52" i="64" s="1"/>
  <c r="O51" i="64"/>
  <c r="O52" i="64" s="1"/>
  <c r="M51" i="64"/>
  <c r="M52" i="64" s="1"/>
  <c r="K51" i="64"/>
  <c r="K52" i="64" s="1"/>
  <c r="I51" i="64"/>
  <c r="I52" i="64" s="1"/>
  <c r="G51" i="64"/>
  <c r="G52" i="64" s="1"/>
  <c r="E51" i="64"/>
  <c r="C51" i="64"/>
  <c r="P49" i="64"/>
  <c r="Q49" i="64" s="1"/>
  <c r="N49" i="64"/>
  <c r="O49" i="64" s="1"/>
  <c r="L49" i="64"/>
  <c r="M49" i="64" s="1"/>
  <c r="J49" i="64"/>
  <c r="K49" i="64" s="1"/>
  <c r="H49" i="64"/>
  <c r="I49" i="64" s="1"/>
  <c r="F49" i="64"/>
  <c r="G49" i="64" s="1"/>
  <c r="D49" i="64"/>
  <c r="E49" i="64" s="1"/>
  <c r="B49" i="64"/>
  <c r="C49" i="64" s="1"/>
  <c r="R48" i="64"/>
  <c r="Q48" i="64"/>
  <c r="O48" i="64"/>
  <c r="M48" i="64"/>
  <c r="K48" i="64"/>
  <c r="I48" i="64"/>
  <c r="G48" i="64"/>
  <c r="E48" i="64"/>
  <c r="C48" i="64"/>
  <c r="R47" i="64"/>
  <c r="Q47" i="64"/>
  <c r="O47" i="64"/>
  <c r="M47" i="64"/>
  <c r="K47" i="64"/>
  <c r="I47" i="64"/>
  <c r="G47" i="64"/>
  <c r="E47" i="64"/>
  <c r="C47" i="64"/>
  <c r="R46" i="64"/>
  <c r="Q46" i="64"/>
  <c r="O46" i="64"/>
  <c r="M46" i="64"/>
  <c r="K46" i="64"/>
  <c r="I46" i="64"/>
  <c r="G46" i="64"/>
  <c r="E46" i="64"/>
  <c r="C46" i="64"/>
  <c r="P44" i="64"/>
  <c r="Q44" i="64" s="1"/>
  <c r="N44" i="64"/>
  <c r="O44" i="64" s="1"/>
  <c r="L44" i="64"/>
  <c r="M44" i="64" s="1"/>
  <c r="H44" i="64"/>
  <c r="I44" i="64" s="1"/>
  <c r="F44" i="64"/>
  <c r="G44" i="64" s="1"/>
  <c r="D44" i="64"/>
  <c r="E44" i="64" s="1"/>
  <c r="B44" i="64"/>
  <c r="C44" i="64" s="1"/>
  <c r="R43" i="64"/>
  <c r="Q43" i="64"/>
  <c r="O43" i="64"/>
  <c r="M43" i="64"/>
  <c r="K43" i="64"/>
  <c r="I43" i="64"/>
  <c r="G43" i="64"/>
  <c r="E43" i="64"/>
  <c r="C43" i="64"/>
  <c r="R42" i="64"/>
  <c r="Q42" i="64"/>
  <c r="O42" i="64"/>
  <c r="M42" i="64"/>
  <c r="K42" i="64"/>
  <c r="I42" i="64"/>
  <c r="G42" i="64"/>
  <c r="E42" i="64"/>
  <c r="C42" i="64"/>
  <c r="R41" i="64"/>
  <c r="Q41" i="64"/>
  <c r="O41" i="64"/>
  <c r="M41" i="64"/>
  <c r="K41" i="64"/>
  <c r="I41" i="64"/>
  <c r="G41" i="64"/>
  <c r="E41" i="64"/>
  <c r="C41" i="64"/>
  <c r="Q40" i="64"/>
  <c r="O40" i="64"/>
  <c r="M40" i="64"/>
  <c r="J40" i="64"/>
  <c r="J44" i="64" s="1"/>
  <c r="K44" i="64" s="1"/>
  <c r="I40" i="64"/>
  <c r="G40" i="64"/>
  <c r="E40" i="64"/>
  <c r="C40" i="64"/>
  <c r="R39" i="64"/>
  <c r="X39" i="64" s="1"/>
  <c r="Z39" i="64" s="1"/>
  <c r="Q39" i="64"/>
  <c r="O39" i="64"/>
  <c r="M39" i="64"/>
  <c r="K39" i="64"/>
  <c r="I39" i="64"/>
  <c r="G39" i="64"/>
  <c r="E39" i="64"/>
  <c r="C39" i="64"/>
  <c r="R38" i="64"/>
  <c r="X38" i="64" s="1"/>
  <c r="Z38" i="64" s="1"/>
  <c r="Q38" i="64"/>
  <c r="O38" i="64"/>
  <c r="M38" i="64"/>
  <c r="K38" i="64"/>
  <c r="I38" i="64"/>
  <c r="G38" i="64"/>
  <c r="E38" i="64"/>
  <c r="C38" i="64"/>
  <c r="P36" i="64"/>
  <c r="Q36" i="64" s="1"/>
  <c r="N36" i="64"/>
  <c r="O36" i="64" s="1"/>
  <c r="L36" i="64"/>
  <c r="M36" i="64" s="1"/>
  <c r="J36" i="64"/>
  <c r="K36" i="64" s="1"/>
  <c r="H36" i="64"/>
  <c r="I36" i="64" s="1"/>
  <c r="F36" i="64"/>
  <c r="G36" i="64" s="1"/>
  <c r="D36" i="64"/>
  <c r="E36" i="64" s="1"/>
  <c r="B36" i="64"/>
  <c r="C36" i="64" s="1"/>
  <c r="R35" i="64"/>
  <c r="X35" i="64" s="1"/>
  <c r="Z35" i="64" s="1"/>
  <c r="Q35" i="64"/>
  <c r="O35" i="64"/>
  <c r="M35" i="64"/>
  <c r="K35" i="64"/>
  <c r="I35" i="64"/>
  <c r="G35" i="64"/>
  <c r="E35" i="64"/>
  <c r="C35" i="64"/>
  <c r="R34" i="64"/>
  <c r="X34" i="64" s="1"/>
  <c r="Z34" i="64" s="1"/>
  <c r="Q34" i="64"/>
  <c r="O34" i="64"/>
  <c r="M34" i="64"/>
  <c r="K34" i="64"/>
  <c r="I34" i="64"/>
  <c r="G34" i="64"/>
  <c r="E34" i="64"/>
  <c r="C34" i="64"/>
  <c r="R33" i="64"/>
  <c r="X33" i="64" s="1"/>
  <c r="Z33" i="64" s="1"/>
  <c r="Q33" i="64"/>
  <c r="O33" i="64"/>
  <c r="M33" i="64"/>
  <c r="K33" i="64"/>
  <c r="I33" i="64"/>
  <c r="G33" i="64"/>
  <c r="E33" i="64"/>
  <c r="C33" i="64"/>
  <c r="R32" i="64"/>
  <c r="X32" i="64" s="1"/>
  <c r="Z32" i="64" s="1"/>
  <c r="Q32" i="64"/>
  <c r="O32" i="64"/>
  <c r="M32" i="64"/>
  <c r="K32" i="64"/>
  <c r="I32" i="64"/>
  <c r="G32" i="64"/>
  <c r="E32" i="64"/>
  <c r="C32" i="64"/>
  <c r="R31" i="64"/>
  <c r="X31" i="64" s="1"/>
  <c r="Z31" i="64" s="1"/>
  <c r="Q31" i="64"/>
  <c r="O31" i="64"/>
  <c r="M31" i="64"/>
  <c r="K31" i="64"/>
  <c r="I31" i="64"/>
  <c r="G31" i="64"/>
  <c r="E31" i="64"/>
  <c r="C31" i="64"/>
  <c r="R30" i="64"/>
  <c r="X30" i="64" s="1"/>
  <c r="Z30" i="64" s="1"/>
  <c r="Q30" i="64"/>
  <c r="O30" i="64"/>
  <c r="M30" i="64"/>
  <c r="K30" i="64"/>
  <c r="I30" i="64"/>
  <c r="G30" i="64"/>
  <c r="E30" i="64"/>
  <c r="C30" i="64"/>
  <c r="R29" i="64"/>
  <c r="X29" i="64" s="1"/>
  <c r="Z29" i="64" s="1"/>
  <c r="Q29" i="64"/>
  <c r="O29" i="64"/>
  <c r="M29" i="64"/>
  <c r="K29" i="64"/>
  <c r="I29" i="64"/>
  <c r="G29" i="64"/>
  <c r="E29" i="64"/>
  <c r="C29" i="64"/>
  <c r="R28" i="64"/>
  <c r="X28" i="64" s="1"/>
  <c r="Z28" i="64" s="1"/>
  <c r="Q28" i="64"/>
  <c r="O28" i="64"/>
  <c r="M28" i="64"/>
  <c r="K28" i="64"/>
  <c r="I28" i="64"/>
  <c r="G28" i="64"/>
  <c r="E28" i="64"/>
  <c r="C28" i="64"/>
  <c r="R27" i="64"/>
  <c r="X27" i="64" s="1"/>
  <c r="Z27" i="64" s="1"/>
  <c r="Q27" i="64"/>
  <c r="O27" i="64"/>
  <c r="M27" i="64"/>
  <c r="K27" i="64"/>
  <c r="I27" i="64"/>
  <c r="G27" i="64"/>
  <c r="E27" i="64"/>
  <c r="C27" i="64"/>
  <c r="P23" i="64"/>
  <c r="Q23" i="64" s="1"/>
  <c r="L23" i="64"/>
  <c r="M23" i="64" s="1"/>
  <c r="J23" i="64"/>
  <c r="K23" i="64" s="1"/>
  <c r="H23" i="64"/>
  <c r="I23" i="64" s="1"/>
  <c r="F23" i="64"/>
  <c r="G23" i="64" s="1"/>
  <c r="D23" i="64"/>
  <c r="E23" i="64" s="1"/>
  <c r="B23" i="64"/>
  <c r="C23" i="64" s="1"/>
  <c r="R22" i="64"/>
  <c r="X22" i="64" s="1"/>
  <c r="Z22" i="64" s="1"/>
  <c r="Q22" i="64"/>
  <c r="O22" i="64"/>
  <c r="M22" i="64"/>
  <c r="K22" i="64"/>
  <c r="I22" i="64"/>
  <c r="G22" i="64"/>
  <c r="E22" i="64"/>
  <c r="C22" i="64"/>
  <c r="Q21" i="64"/>
  <c r="N21" i="64"/>
  <c r="N23" i="64" s="1"/>
  <c r="O23" i="64" s="1"/>
  <c r="M21" i="64"/>
  <c r="K21" i="64"/>
  <c r="I21" i="64"/>
  <c r="G21" i="64"/>
  <c r="E21" i="64"/>
  <c r="C21" i="64"/>
  <c r="P19" i="64"/>
  <c r="P24" i="64" s="1"/>
  <c r="N19" i="64"/>
  <c r="N24" i="64" s="1"/>
  <c r="L19" i="64"/>
  <c r="J19" i="64"/>
  <c r="H19" i="64"/>
  <c r="F19" i="64"/>
  <c r="D19" i="64"/>
  <c r="B19" i="64"/>
  <c r="R18" i="64"/>
  <c r="Q18" i="64"/>
  <c r="O18" i="64"/>
  <c r="M18" i="64"/>
  <c r="K18" i="64"/>
  <c r="I18" i="64"/>
  <c r="G18" i="64"/>
  <c r="E18" i="64"/>
  <c r="C18" i="64"/>
  <c r="R17" i="64"/>
  <c r="Q17" i="64"/>
  <c r="O17" i="64"/>
  <c r="M17" i="64"/>
  <c r="K17" i="64"/>
  <c r="I17" i="64"/>
  <c r="G17" i="64"/>
  <c r="E17" i="64"/>
  <c r="C17" i="64"/>
  <c r="R16" i="64"/>
  <c r="X16" i="64" s="1"/>
  <c r="Z16" i="64" s="1"/>
  <c r="Q16" i="64"/>
  <c r="O16" i="64"/>
  <c r="M16" i="64"/>
  <c r="K16" i="64"/>
  <c r="I16" i="64"/>
  <c r="G16" i="64"/>
  <c r="E16" i="64"/>
  <c r="C16" i="64"/>
  <c r="R15" i="64"/>
  <c r="Q15" i="64"/>
  <c r="O15" i="64"/>
  <c r="M15" i="64"/>
  <c r="K15" i="64"/>
  <c r="I15" i="64"/>
  <c r="G15" i="64"/>
  <c r="E15" i="64"/>
  <c r="C15" i="64"/>
  <c r="R14" i="64"/>
  <c r="Q14" i="64"/>
  <c r="O14" i="64"/>
  <c r="M14" i="64"/>
  <c r="K14" i="64"/>
  <c r="I14" i="64"/>
  <c r="G14" i="64"/>
  <c r="E14" i="64"/>
  <c r="C14" i="64"/>
  <c r="R13" i="64"/>
  <c r="X13" i="64" s="1"/>
  <c r="Z13" i="64" s="1"/>
  <c r="Q13" i="64"/>
  <c r="O13" i="64"/>
  <c r="M13" i="64"/>
  <c r="K13" i="64"/>
  <c r="I13" i="64"/>
  <c r="G13" i="64"/>
  <c r="E13" i="64"/>
  <c r="C13" i="64"/>
  <c r="R12" i="64"/>
  <c r="X12" i="64" s="1"/>
  <c r="Z12" i="64" s="1"/>
  <c r="Q12" i="64"/>
  <c r="O12" i="64"/>
  <c r="M12" i="64"/>
  <c r="K12" i="64"/>
  <c r="I12" i="64"/>
  <c r="G12" i="64"/>
  <c r="E12" i="64"/>
  <c r="C12" i="64"/>
  <c r="Z8" i="64"/>
  <c r="R7" i="64"/>
  <c r="X7" i="64" s="1"/>
  <c r="Z7" i="64" s="1"/>
  <c r="Q7" i="64"/>
  <c r="O7" i="64"/>
  <c r="M7" i="64"/>
  <c r="K7" i="64"/>
  <c r="I7" i="64"/>
  <c r="G7" i="64"/>
  <c r="E7" i="64"/>
  <c r="C7" i="64"/>
  <c r="R6" i="64"/>
  <c r="X6" i="64" s="1"/>
  <c r="Z6" i="64" s="1"/>
  <c r="Q6" i="64"/>
  <c r="O6" i="64"/>
  <c r="M6" i="64"/>
  <c r="K6" i="64"/>
  <c r="I6" i="64"/>
  <c r="G6" i="64"/>
  <c r="E6" i="64"/>
  <c r="C6" i="64"/>
  <c r="R3" i="64"/>
  <c r="S123" i="64" s="1"/>
  <c r="B24" i="64" l="1"/>
  <c r="B25" i="64" s="1"/>
  <c r="X17" i="64"/>
  <c r="Z17" i="64" s="1"/>
  <c r="F24" i="64"/>
  <c r="F25" i="64" s="1"/>
  <c r="G25" i="64" s="1"/>
  <c r="D24" i="64"/>
  <c r="D101" i="64" s="1"/>
  <c r="H24" i="64"/>
  <c r="H101" i="64" s="1"/>
  <c r="K54" i="64"/>
  <c r="L24" i="64"/>
  <c r="M24" i="64" s="1"/>
  <c r="E19" i="64"/>
  <c r="R89" i="64"/>
  <c r="X89" i="64" s="1"/>
  <c r="Z89" i="64" s="1"/>
  <c r="K19" i="64"/>
  <c r="M19" i="64"/>
  <c r="R97" i="64"/>
  <c r="X97" i="64" s="1"/>
  <c r="Z97" i="64" s="1"/>
  <c r="G19" i="64"/>
  <c r="I19" i="64"/>
  <c r="R54" i="64"/>
  <c r="X54" i="64" s="1"/>
  <c r="Z54" i="64" s="1"/>
  <c r="R63" i="64"/>
  <c r="S63" i="64" s="1"/>
  <c r="R85" i="64"/>
  <c r="X85" i="64" s="1"/>
  <c r="Z85" i="64" s="1"/>
  <c r="R112" i="64"/>
  <c r="X112" i="64" s="1"/>
  <c r="Z112" i="64" s="1"/>
  <c r="S14" i="64"/>
  <c r="S18" i="64"/>
  <c r="R72" i="64"/>
  <c r="X72" i="64" s="1"/>
  <c r="Z72" i="64" s="1"/>
  <c r="G112" i="64"/>
  <c r="X18" i="64"/>
  <c r="Z18" i="64" s="1"/>
  <c r="O19" i="64"/>
  <c r="S15" i="64"/>
  <c r="Q19" i="64"/>
  <c r="X15" i="64"/>
  <c r="Z15" i="64" s="1"/>
  <c r="R93" i="64"/>
  <c r="X93" i="64" s="1"/>
  <c r="Z93" i="64" s="1"/>
  <c r="S7" i="64"/>
  <c r="X14" i="64"/>
  <c r="Z14" i="64" s="1"/>
  <c r="C19" i="64"/>
  <c r="S12" i="64"/>
  <c r="S16" i="64"/>
  <c r="C93" i="64"/>
  <c r="R81" i="64"/>
  <c r="X81" i="64" s="1"/>
  <c r="Z81" i="64" s="1"/>
  <c r="S6" i="64"/>
  <c r="S13" i="64"/>
  <c r="S17" i="64"/>
  <c r="R76" i="64"/>
  <c r="X76" i="64" s="1"/>
  <c r="Z76" i="64" s="1"/>
  <c r="C81" i="64"/>
  <c r="C97" i="64"/>
  <c r="R100" i="64"/>
  <c r="X100" i="64" s="1"/>
  <c r="Z100" i="64" s="1"/>
  <c r="O24" i="64"/>
  <c r="N25" i="64"/>
  <c r="O25" i="64" s="1"/>
  <c r="Q24" i="64"/>
  <c r="P25" i="64"/>
  <c r="Q25" i="64" s="1"/>
  <c r="S22" i="64"/>
  <c r="J24" i="64"/>
  <c r="S65" i="64"/>
  <c r="S84" i="64"/>
  <c r="S107" i="64"/>
  <c r="X3" i="64"/>
  <c r="Y8" i="64" s="1"/>
  <c r="S29" i="64"/>
  <c r="S33" i="64"/>
  <c r="S38" i="64"/>
  <c r="R40" i="64"/>
  <c r="R44" i="64"/>
  <c r="R49" i="64"/>
  <c r="R52" i="64"/>
  <c r="X52" i="64" s="1"/>
  <c r="C52" i="64"/>
  <c r="S55" i="64"/>
  <c r="P57" i="64"/>
  <c r="Q57" i="64" s="1"/>
  <c r="S59" i="64"/>
  <c r="S95" i="64"/>
  <c r="R117" i="64"/>
  <c r="X122" i="64"/>
  <c r="Z122" i="64" s="1"/>
  <c r="S122" i="64"/>
  <c r="S124" i="64"/>
  <c r="S70" i="64"/>
  <c r="S91" i="64"/>
  <c r="S111" i="64"/>
  <c r="X114" i="64"/>
  <c r="Z114" i="64" s="1"/>
  <c r="S114" i="64"/>
  <c r="X126" i="64"/>
  <c r="Z126" i="64" s="1"/>
  <c r="S126" i="64"/>
  <c r="R128" i="64"/>
  <c r="S128" i="64" s="1"/>
  <c r="S110" i="64"/>
  <c r="S108" i="64"/>
  <c r="S106" i="64"/>
  <c r="S104" i="64"/>
  <c r="S96" i="64"/>
  <c r="S87" i="64"/>
  <c r="S80" i="64"/>
  <c r="S78" i="64"/>
  <c r="S71" i="64"/>
  <c r="S69" i="64"/>
  <c r="S66" i="64"/>
  <c r="S62" i="64"/>
  <c r="S99" i="64"/>
  <c r="S92" i="64"/>
  <c r="S83" i="64"/>
  <c r="S74" i="64"/>
  <c r="S60" i="64"/>
  <c r="R67" i="64"/>
  <c r="C67" i="64"/>
  <c r="S88" i="64"/>
  <c r="O21" i="64"/>
  <c r="S27" i="64"/>
  <c r="S31" i="64"/>
  <c r="S35" i="64"/>
  <c r="K40" i="64"/>
  <c r="X42" i="64"/>
  <c r="Z42" i="64" s="1"/>
  <c r="S42" i="64"/>
  <c r="X47" i="64"/>
  <c r="Z47" i="64" s="1"/>
  <c r="S47" i="64"/>
  <c r="S105" i="64"/>
  <c r="X113" i="64"/>
  <c r="Z113" i="64" s="1"/>
  <c r="S113" i="64"/>
  <c r="R19" i="64"/>
  <c r="R23" i="64"/>
  <c r="R36" i="64"/>
  <c r="R21" i="64"/>
  <c r="X21" i="64" s="1"/>
  <c r="S28" i="64"/>
  <c r="S30" i="64"/>
  <c r="S32" i="64"/>
  <c r="S34" i="64"/>
  <c r="S39" i="64"/>
  <c r="X41" i="64"/>
  <c r="S41" i="64"/>
  <c r="X43" i="64"/>
  <c r="Z43" i="64" s="1"/>
  <c r="S43" i="64"/>
  <c r="X46" i="64"/>
  <c r="S46" i="64"/>
  <c r="X48" i="64"/>
  <c r="Z48" i="64" s="1"/>
  <c r="S48" i="64"/>
  <c r="X51" i="64"/>
  <c r="S51" i="64"/>
  <c r="S52" i="64" s="1"/>
  <c r="S61" i="64"/>
  <c r="S75" i="64"/>
  <c r="S79" i="64"/>
  <c r="S109" i="64"/>
  <c r="R56" i="64"/>
  <c r="N57" i="64"/>
  <c r="O57" i="64" s="1"/>
  <c r="X115" i="64"/>
  <c r="S115" i="64"/>
  <c r="X127" i="64"/>
  <c r="Z127" i="64" s="1"/>
  <c r="S127" i="64"/>
  <c r="X116" i="64"/>
  <c r="Z116" i="64" s="1"/>
  <c r="S116" i="64"/>
  <c r="L25" i="64" l="1"/>
  <c r="M25" i="64" s="1"/>
  <c r="B101" i="64"/>
  <c r="B118" i="64" s="1"/>
  <c r="C118" i="64" s="1"/>
  <c r="C24" i="64"/>
  <c r="G24" i="64"/>
  <c r="L101" i="64"/>
  <c r="L102" i="64" s="1"/>
  <c r="Y104" i="64"/>
  <c r="Y32" i="64"/>
  <c r="X63" i="64"/>
  <c r="Z63" i="64" s="1"/>
  <c r="Y87" i="64"/>
  <c r="Y66" i="64"/>
  <c r="Y69" i="64"/>
  <c r="Y92" i="64"/>
  <c r="E24" i="64"/>
  <c r="X19" i="64"/>
  <c r="Z19" i="64" s="1"/>
  <c r="Y75" i="64"/>
  <c r="Y85" i="64"/>
  <c r="Y38" i="64"/>
  <c r="F101" i="64"/>
  <c r="F102" i="64" s="1"/>
  <c r="Y54" i="64"/>
  <c r="S93" i="64"/>
  <c r="Y76" i="64"/>
  <c r="H25" i="64"/>
  <c r="I25" i="64" s="1"/>
  <c r="S54" i="64"/>
  <c r="D25" i="64"/>
  <c r="E25" i="64" s="1"/>
  <c r="S76" i="64"/>
  <c r="S97" i="64"/>
  <c r="R24" i="64"/>
  <c r="S24" i="64" s="1"/>
  <c r="S89" i="64"/>
  <c r="S19" i="64"/>
  <c r="S72" i="64"/>
  <c r="I24" i="64"/>
  <c r="S85" i="64"/>
  <c r="S112" i="64"/>
  <c r="S81" i="64"/>
  <c r="S100" i="64"/>
  <c r="Y46" i="64"/>
  <c r="Z46" i="64"/>
  <c r="Y52" i="64"/>
  <c r="Z52" i="64"/>
  <c r="Y115" i="64"/>
  <c r="Z115" i="64"/>
  <c r="Y51" i="64"/>
  <c r="Z51" i="64"/>
  <c r="Y41" i="64"/>
  <c r="Z41" i="64"/>
  <c r="D118" i="64"/>
  <c r="E101" i="64"/>
  <c r="D102" i="64"/>
  <c r="C25" i="64"/>
  <c r="Y125" i="64"/>
  <c r="Y123" i="64"/>
  <c r="Y64" i="64"/>
  <c r="Y62" i="64"/>
  <c r="Y13" i="64"/>
  <c r="Y7" i="64"/>
  <c r="Y124" i="64"/>
  <c r="Y112" i="64"/>
  <c r="Y93" i="64"/>
  <c r="Y110" i="64"/>
  <c r="Y96" i="64"/>
  <c r="Y80" i="64"/>
  <c r="R57" i="64"/>
  <c r="Y107" i="64"/>
  <c r="Y88" i="64"/>
  <c r="Y30" i="64"/>
  <c r="Y113" i="64"/>
  <c r="Y74" i="64"/>
  <c r="Y47" i="64"/>
  <c r="Y35" i="64"/>
  <c r="Y114" i="64"/>
  <c r="Y83" i="64"/>
  <c r="Y39" i="64"/>
  <c r="Y111" i="64"/>
  <c r="Y81" i="64"/>
  <c r="X49" i="64"/>
  <c r="S49" i="64"/>
  <c r="Y55" i="64"/>
  <c r="J101" i="64"/>
  <c r="J25" i="64"/>
  <c r="K25" i="64" s="1"/>
  <c r="K24" i="64"/>
  <c r="P101" i="64"/>
  <c r="Y61" i="64"/>
  <c r="Y12" i="64"/>
  <c r="Y9" i="64"/>
  <c r="X117" i="64"/>
  <c r="S117" i="64"/>
  <c r="Y18" i="64"/>
  <c r="Y91" i="64"/>
  <c r="Y127" i="64"/>
  <c r="Y108" i="64"/>
  <c r="Y78" i="64"/>
  <c r="Y48" i="64"/>
  <c r="Y43" i="64"/>
  <c r="S21" i="64"/>
  <c r="X23" i="64"/>
  <c r="S23" i="64"/>
  <c r="Y70" i="64"/>
  <c r="Y105" i="64"/>
  <c r="X67" i="64"/>
  <c r="S67" i="64"/>
  <c r="Y31" i="64"/>
  <c r="Y79" i="64"/>
  <c r="Y34" i="64"/>
  <c r="Y65" i="64"/>
  <c r="X44" i="64"/>
  <c r="S44" i="64"/>
  <c r="Y99" i="64"/>
  <c r="Y33" i="64"/>
  <c r="Y59" i="64"/>
  <c r="N101" i="64"/>
  <c r="Y17" i="64"/>
  <c r="Y6" i="64"/>
  <c r="H118" i="64"/>
  <c r="I118" i="64" s="1"/>
  <c r="I101" i="64"/>
  <c r="H102" i="64"/>
  <c r="Y116" i="64"/>
  <c r="Y100" i="64"/>
  <c r="Y84" i="64"/>
  <c r="Y106" i="64"/>
  <c r="Y89" i="64"/>
  <c r="Y71" i="64"/>
  <c r="S56" i="64"/>
  <c r="X56" i="64"/>
  <c r="Y97" i="64"/>
  <c r="X36" i="64"/>
  <c r="S36" i="64"/>
  <c r="Y42" i="64"/>
  <c r="Y27" i="64"/>
  <c r="Y126" i="64"/>
  <c r="X128" i="64"/>
  <c r="Y109" i="64"/>
  <c r="Y28" i="64"/>
  <c r="Y122" i="64"/>
  <c r="X40" i="64"/>
  <c r="S40" i="64"/>
  <c r="Y22" i="64"/>
  <c r="Y95" i="64"/>
  <c r="Y72" i="64"/>
  <c r="Y29" i="64"/>
  <c r="Y15" i="64"/>
  <c r="Y60" i="64"/>
  <c r="Y16" i="64"/>
  <c r="Y14" i="64"/>
  <c r="G101" i="64" l="1"/>
  <c r="Y63" i="64"/>
  <c r="B120" i="64"/>
  <c r="C120" i="64" s="1"/>
  <c r="B102" i="64"/>
  <c r="C101" i="64"/>
  <c r="M101" i="64"/>
  <c r="Y19" i="64"/>
  <c r="L118" i="64"/>
  <c r="M118" i="64" s="1"/>
  <c r="F118" i="64"/>
  <c r="G118" i="64" s="1"/>
  <c r="X24" i="64"/>
  <c r="Y24" i="64" s="1"/>
  <c r="Y40" i="64"/>
  <c r="Z40" i="64"/>
  <c r="Y117" i="64"/>
  <c r="Z117" i="64"/>
  <c r="Y44" i="64"/>
  <c r="Z44" i="64"/>
  <c r="Y67" i="64"/>
  <c r="Z67" i="64"/>
  <c r="Y36" i="64"/>
  <c r="Z36" i="64"/>
  <c r="Y49" i="64"/>
  <c r="Z49" i="64"/>
  <c r="Y128" i="64"/>
  <c r="Z128" i="64"/>
  <c r="Y56" i="64"/>
  <c r="Z56" i="64"/>
  <c r="Y23" i="64"/>
  <c r="Z23" i="64"/>
  <c r="Y21" i="64"/>
  <c r="Z21" i="64"/>
  <c r="H119" i="64"/>
  <c r="I119" i="64" s="1"/>
  <c r="I102" i="64"/>
  <c r="D119" i="64"/>
  <c r="E119" i="64" s="1"/>
  <c r="E102" i="64"/>
  <c r="N102" i="64"/>
  <c r="O101" i="64"/>
  <c r="N118" i="64"/>
  <c r="O118" i="64" s="1"/>
  <c r="J102" i="64"/>
  <c r="J118" i="64"/>
  <c r="K118" i="64" s="1"/>
  <c r="K101" i="64"/>
  <c r="R25" i="64"/>
  <c r="E118" i="64"/>
  <c r="H120" i="64"/>
  <c r="I120" i="64" s="1"/>
  <c r="F119" i="64"/>
  <c r="G119" i="64" s="1"/>
  <c r="G102" i="64"/>
  <c r="P118" i="64"/>
  <c r="Q118" i="64" s="1"/>
  <c r="Q101" i="64"/>
  <c r="P102" i="64"/>
  <c r="L119" i="64"/>
  <c r="M119" i="64" s="1"/>
  <c r="M102" i="64"/>
  <c r="R101" i="64"/>
  <c r="S57" i="64"/>
  <c r="X57" i="64"/>
  <c r="D120" i="64"/>
  <c r="E120" i="64" s="1"/>
  <c r="C9" i="60"/>
  <c r="C31" i="51"/>
  <c r="L24" i="51"/>
  <c r="K24" i="51"/>
  <c r="L22" i="51"/>
  <c r="K20" i="51"/>
  <c r="L19" i="51"/>
  <c r="K19" i="51"/>
  <c r="L17" i="51"/>
  <c r="K17" i="51"/>
  <c r="L16" i="51"/>
  <c r="K16" i="51"/>
  <c r="L15" i="51"/>
  <c r="K15" i="51"/>
  <c r="L11" i="51"/>
  <c r="C31" i="49"/>
  <c r="M24" i="49"/>
  <c r="L24" i="49"/>
  <c r="M22" i="49"/>
  <c r="L22" i="49"/>
  <c r="L20" i="49"/>
  <c r="M19" i="49"/>
  <c r="L19" i="49"/>
  <c r="M17" i="49"/>
  <c r="L17" i="49"/>
  <c r="M16" i="49"/>
  <c r="L16" i="49"/>
  <c r="M15" i="49"/>
  <c r="L15" i="49"/>
  <c r="AK13" i="49"/>
  <c r="AK14" i="49" s="1"/>
  <c r="AJ13" i="49"/>
  <c r="AJ14" i="49" s="1"/>
  <c r="AI12" i="49"/>
  <c r="AH12" i="49"/>
  <c r="AH13" i="49" s="1"/>
  <c r="AG12" i="49"/>
  <c r="AG14" i="49" s="1"/>
  <c r="AF12" i="49"/>
  <c r="M11" i="49"/>
  <c r="I7" i="48"/>
  <c r="H7" i="48"/>
  <c r="G7" i="48"/>
  <c r="G8" i="48" s="1"/>
  <c r="F7" i="48"/>
  <c r="F8" i="48" s="1"/>
  <c r="E21" i="48" s="1"/>
  <c r="F21" i="48" s="1"/>
  <c r="E7" i="48"/>
  <c r="E8" i="48" s="1"/>
  <c r="D7" i="48"/>
  <c r="Y7" i="48" s="1"/>
  <c r="W6" i="48"/>
  <c r="D38" i="48" s="1"/>
  <c r="S6" i="48"/>
  <c r="S8" i="48" s="1"/>
  <c r="R6" i="48"/>
  <c r="Y6" i="48" s="1"/>
  <c r="Q6" i="48"/>
  <c r="Q8" i="48" s="1"/>
  <c r="P6" i="48"/>
  <c r="D31" i="48" s="1"/>
  <c r="M6" i="48"/>
  <c r="M8" i="48" s="1"/>
  <c r="D28" i="48" s="1"/>
  <c r="F28" i="48" s="1"/>
  <c r="AG52" i="25"/>
  <c r="AD52" i="25"/>
  <c r="AA52" i="25"/>
  <c r="X52" i="25"/>
  <c r="AG50" i="25"/>
  <c r="AD50" i="25"/>
  <c r="AA50" i="25"/>
  <c r="X50" i="25"/>
  <c r="AG49" i="25"/>
  <c r="AD49" i="25"/>
  <c r="AA49" i="25"/>
  <c r="X49" i="25"/>
  <c r="AD48" i="25"/>
  <c r="X48" i="25"/>
  <c r="AG47" i="25"/>
  <c r="AD47" i="25"/>
  <c r="AA47" i="25"/>
  <c r="X47" i="25"/>
  <c r="AD46" i="25"/>
  <c r="X46" i="25"/>
  <c r="AG45" i="25"/>
  <c r="AD45" i="25"/>
  <c r="AA45" i="25"/>
  <c r="X45" i="25"/>
  <c r="AG44" i="25"/>
  <c r="AD44" i="25"/>
  <c r="AA44" i="25"/>
  <c r="X44" i="25"/>
  <c r="AG43" i="25"/>
  <c r="AD43" i="25"/>
  <c r="AA43" i="25"/>
  <c r="X43" i="25"/>
  <c r="AG42" i="25"/>
  <c r="AD42" i="25"/>
  <c r="AA42" i="25"/>
  <c r="X42" i="25"/>
  <c r="AD41" i="25"/>
  <c r="X41" i="25"/>
  <c r="AG40" i="25"/>
  <c r="AD40" i="25"/>
  <c r="AA40" i="25"/>
  <c r="X40" i="25"/>
  <c r="AD39" i="25"/>
  <c r="X39" i="25"/>
  <c r="AJ38" i="25"/>
  <c r="AG38" i="25"/>
  <c r="AD38" i="25"/>
  <c r="AA38" i="25"/>
  <c r="X38" i="25"/>
  <c r="AG37" i="25"/>
  <c r="AA37" i="25"/>
  <c r="AG36" i="25"/>
  <c r="AA36" i="25"/>
  <c r="AG35" i="25"/>
  <c r="AD35" i="25"/>
  <c r="AA35" i="25"/>
  <c r="X35" i="25"/>
  <c r="AG34" i="25"/>
  <c r="AD34" i="25"/>
  <c r="AA34" i="25"/>
  <c r="X34" i="25"/>
  <c r="AJ33" i="25"/>
  <c r="AG33" i="25"/>
  <c r="AD33" i="25"/>
  <c r="AA33" i="25"/>
  <c r="X33" i="25"/>
  <c r="AD32" i="25"/>
  <c r="X32" i="25"/>
  <c r="X25" i="25"/>
  <c r="X24" i="25"/>
  <c r="X23" i="25"/>
  <c r="X22" i="25"/>
  <c r="X21" i="25"/>
  <c r="X20" i="25"/>
  <c r="F20" i="25"/>
  <c r="X19" i="25"/>
  <c r="X18" i="25"/>
  <c r="X17" i="25"/>
  <c r="X16" i="25"/>
  <c r="X15" i="25"/>
  <c r="X14" i="25"/>
  <c r="X13" i="25"/>
  <c r="X12" i="25"/>
  <c r="X11" i="25"/>
  <c r="X10" i="25"/>
  <c r="X8" i="25"/>
  <c r="X7" i="25"/>
  <c r="X6" i="25"/>
  <c r="X5" i="25"/>
  <c r="X9" i="25"/>
  <c r="D26" i="51"/>
  <c r="D26" i="49"/>
  <c r="Q30" i="63"/>
  <c r="Q24" i="63"/>
  <c r="Q28" i="63" s="1"/>
  <c r="J83" i="61"/>
  <c r="I83" i="61"/>
  <c r="J79" i="61"/>
  <c r="B63" i="61"/>
  <c r="B59" i="61"/>
  <c r="C47" i="61"/>
  <c r="C46" i="61"/>
  <c r="G45" i="61" s="1"/>
  <c r="C45" i="61"/>
  <c r="G44" i="61" s="1"/>
  <c r="C44" i="61"/>
  <c r="E43" i="61" s="1"/>
  <c r="C39" i="61"/>
  <c r="E39" i="61" s="1"/>
  <c r="C29" i="61"/>
  <c r="E29" i="61" s="1"/>
  <c r="L28" i="61"/>
  <c r="L27" i="61"/>
  <c r="L26" i="61"/>
  <c r="L24" i="61"/>
  <c r="L23" i="61"/>
  <c r="L22" i="61"/>
  <c r="L20" i="61"/>
  <c r="C20" i="61"/>
  <c r="E20" i="61" s="1"/>
  <c r="D20" i="61" s="1"/>
  <c r="L21" i="61" s="1"/>
  <c r="L19" i="61"/>
  <c r="L18" i="61"/>
  <c r="L16" i="61"/>
  <c r="L15" i="61"/>
  <c r="L14" i="61"/>
  <c r="H17" i="60"/>
  <c r="G17" i="60"/>
  <c r="H13" i="60"/>
  <c r="G13" i="60"/>
  <c r="M10" i="60"/>
  <c r="K10" i="60"/>
  <c r="I10" i="60"/>
  <c r="M9" i="60"/>
  <c r="M11" i="60" s="1"/>
  <c r="K9" i="60"/>
  <c r="I9" i="60"/>
  <c r="N93" i="59"/>
  <c r="M93" i="59"/>
  <c r="H93" i="59"/>
  <c r="G93" i="59"/>
  <c r="N92" i="59"/>
  <c r="M92" i="59"/>
  <c r="H92" i="59"/>
  <c r="G92" i="59"/>
  <c r="N91" i="59"/>
  <c r="M91" i="59"/>
  <c r="H91" i="59"/>
  <c r="G91" i="59"/>
  <c r="N90" i="59"/>
  <c r="M90" i="59"/>
  <c r="H90" i="59"/>
  <c r="G90" i="59"/>
  <c r="N89" i="59"/>
  <c r="M89" i="59"/>
  <c r="H89" i="59"/>
  <c r="G89" i="59"/>
  <c r="N88" i="59"/>
  <c r="M88" i="59"/>
  <c r="H88" i="59"/>
  <c r="G88" i="59"/>
  <c r="N87" i="59"/>
  <c r="M87" i="59"/>
  <c r="H87" i="59"/>
  <c r="G87" i="59"/>
  <c r="N86" i="59"/>
  <c r="M86" i="59"/>
  <c r="H86" i="59"/>
  <c r="G86" i="59"/>
  <c r="N85" i="59"/>
  <c r="M85" i="59"/>
  <c r="H85" i="59"/>
  <c r="G85" i="59"/>
  <c r="N84" i="59"/>
  <c r="M84" i="59"/>
  <c r="H84" i="59"/>
  <c r="G84" i="59"/>
  <c r="N83" i="59"/>
  <c r="M83" i="59"/>
  <c r="H83" i="59"/>
  <c r="G83" i="59"/>
  <c r="N82" i="59"/>
  <c r="M82" i="59"/>
  <c r="H82" i="59"/>
  <c r="G82" i="59"/>
  <c r="N81" i="59"/>
  <c r="M81" i="59"/>
  <c r="H81" i="59"/>
  <c r="G81" i="59"/>
  <c r="N80" i="59"/>
  <c r="M80" i="59"/>
  <c r="H80" i="59"/>
  <c r="G80" i="59"/>
  <c r="H75" i="59"/>
  <c r="G75" i="59"/>
  <c r="H74" i="59"/>
  <c r="G74" i="59"/>
  <c r="N73" i="59"/>
  <c r="M73" i="59"/>
  <c r="H73" i="59"/>
  <c r="G73" i="59"/>
  <c r="N72" i="59"/>
  <c r="M72" i="59"/>
  <c r="H72" i="59"/>
  <c r="G72" i="59"/>
  <c r="N71" i="59"/>
  <c r="M71" i="59"/>
  <c r="H71" i="59"/>
  <c r="G71" i="59"/>
  <c r="N70" i="59"/>
  <c r="M70" i="59"/>
  <c r="H70" i="59"/>
  <c r="G70" i="59"/>
  <c r="N69" i="59"/>
  <c r="M69" i="59"/>
  <c r="H69" i="59"/>
  <c r="G69" i="59"/>
  <c r="N68" i="59"/>
  <c r="M68" i="59"/>
  <c r="H68" i="59"/>
  <c r="G68" i="59"/>
  <c r="N67" i="59"/>
  <c r="M67" i="59"/>
  <c r="H67" i="59"/>
  <c r="G67" i="59"/>
  <c r="N66" i="59"/>
  <c r="M66" i="59"/>
  <c r="H66" i="59"/>
  <c r="G66" i="59"/>
  <c r="N65" i="59"/>
  <c r="M65" i="59"/>
  <c r="H65" i="59"/>
  <c r="G65" i="59"/>
  <c r="N64" i="59"/>
  <c r="M64" i="59"/>
  <c r="H64" i="59"/>
  <c r="G64" i="59"/>
  <c r="N63" i="59"/>
  <c r="M63" i="59"/>
  <c r="H63" i="59"/>
  <c r="G63" i="59"/>
  <c r="N62" i="59"/>
  <c r="M62" i="59"/>
  <c r="H62" i="59"/>
  <c r="G62" i="59"/>
  <c r="N61" i="59"/>
  <c r="M61" i="59"/>
  <c r="N60" i="59"/>
  <c r="M60" i="59"/>
  <c r="H57" i="59"/>
  <c r="G57" i="59"/>
  <c r="H56" i="59"/>
  <c r="G56" i="59"/>
  <c r="H55" i="59"/>
  <c r="G55" i="59"/>
  <c r="H54" i="59"/>
  <c r="G54" i="59"/>
  <c r="H53" i="59"/>
  <c r="G53" i="59"/>
  <c r="H52" i="59"/>
  <c r="G52" i="59"/>
  <c r="H51" i="59"/>
  <c r="G51" i="59"/>
  <c r="H50" i="59"/>
  <c r="G50" i="59"/>
  <c r="H49" i="59"/>
  <c r="G49" i="59"/>
  <c r="H48" i="59"/>
  <c r="G48" i="59"/>
  <c r="N47" i="59"/>
  <c r="M47" i="59"/>
  <c r="H47" i="59"/>
  <c r="G47" i="59"/>
  <c r="N46" i="59"/>
  <c r="M46" i="59"/>
  <c r="H46" i="59"/>
  <c r="G46" i="59"/>
  <c r="N45" i="59"/>
  <c r="M45" i="59"/>
  <c r="H45" i="59"/>
  <c r="G45" i="59"/>
  <c r="N44" i="59"/>
  <c r="M44" i="59"/>
  <c r="H44" i="59"/>
  <c r="G44" i="59"/>
  <c r="N43" i="59"/>
  <c r="M43" i="59"/>
  <c r="N42" i="59"/>
  <c r="M42" i="59"/>
  <c r="N41" i="59"/>
  <c r="M41" i="59"/>
  <c r="N40" i="59"/>
  <c r="M40" i="59"/>
  <c r="N39" i="59"/>
  <c r="M39" i="59"/>
  <c r="H39" i="59"/>
  <c r="G39" i="59"/>
  <c r="N38" i="59"/>
  <c r="M38" i="59"/>
  <c r="H38" i="59"/>
  <c r="G38" i="59"/>
  <c r="N37" i="59"/>
  <c r="M37" i="59"/>
  <c r="H37" i="59"/>
  <c r="G37" i="59"/>
  <c r="N36" i="59"/>
  <c r="M36" i="59"/>
  <c r="H36" i="59"/>
  <c r="G36" i="59"/>
  <c r="N35" i="59"/>
  <c r="M35" i="59"/>
  <c r="H35" i="59"/>
  <c r="G35" i="59"/>
  <c r="N34" i="59"/>
  <c r="M34" i="59"/>
  <c r="H34" i="59"/>
  <c r="G34" i="59"/>
  <c r="H33" i="59"/>
  <c r="G33" i="59"/>
  <c r="H32" i="59"/>
  <c r="G32" i="59"/>
  <c r="H31" i="59"/>
  <c r="G31" i="59"/>
  <c r="T30" i="59"/>
  <c r="O30" i="59"/>
  <c r="P30" i="59" s="1"/>
  <c r="H30" i="59"/>
  <c r="G30" i="59"/>
  <c r="H29" i="59"/>
  <c r="G29" i="59"/>
  <c r="O28" i="59"/>
  <c r="L28" i="59"/>
  <c r="H28" i="59"/>
  <c r="G28" i="59"/>
  <c r="T27" i="59"/>
  <c r="M27" i="59"/>
  <c r="N27" i="59" s="1"/>
  <c r="H27" i="59"/>
  <c r="G27" i="59"/>
  <c r="U26" i="59"/>
  <c r="P25" i="59" s="1"/>
  <c r="M26" i="59"/>
  <c r="H26" i="59"/>
  <c r="G26" i="59"/>
  <c r="U25" i="59"/>
  <c r="M25" i="59"/>
  <c r="U24" i="59"/>
  <c r="P26" i="59" s="1"/>
  <c r="M24" i="59"/>
  <c r="U23" i="59"/>
  <c r="P17" i="59" s="1"/>
  <c r="M23" i="59"/>
  <c r="U22" i="59"/>
  <c r="M22" i="59"/>
  <c r="U21" i="59"/>
  <c r="P27" i="59" s="1"/>
  <c r="M21" i="59"/>
  <c r="U20" i="59"/>
  <c r="M20" i="59"/>
  <c r="U19" i="59"/>
  <c r="M19" i="59"/>
  <c r="U18" i="59"/>
  <c r="M18" i="59"/>
  <c r="F18" i="59"/>
  <c r="G18" i="59" s="1"/>
  <c r="U17" i="59"/>
  <c r="M17" i="59"/>
  <c r="G17" i="59"/>
  <c r="M16" i="59"/>
  <c r="G16" i="59"/>
  <c r="M15" i="59"/>
  <c r="G15" i="59"/>
  <c r="M14" i="59"/>
  <c r="G14" i="59"/>
  <c r="M13" i="59"/>
  <c r="G13" i="59"/>
  <c r="M12" i="59"/>
  <c r="G12" i="59"/>
  <c r="M11" i="59"/>
  <c r="G11" i="59"/>
  <c r="M10" i="59"/>
  <c r="G10" i="59"/>
  <c r="M9" i="59"/>
  <c r="G9" i="59"/>
  <c r="M8" i="59"/>
  <c r="G8" i="59"/>
  <c r="M7" i="59"/>
  <c r="G7" i="59"/>
  <c r="M6" i="59"/>
  <c r="G6" i="59"/>
  <c r="M5" i="59"/>
  <c r="G5" i="59"/>
  <c r="M2" i="59"/>
  <c r="K2" i="59"/>
  <c r="L1" i="59"/>
  <c r="D175" i="58"/>
  <c r="S167" i="57" s="1"/>
  <c r="D173" i="58"/>
  <c r="S165" i="57" s="1"/>
  <c r="D172" i="58"/>
  <c r="S164" i="57" s="1"/>
  <c r="D156" i="58"/>
  <c r="S148" i="57" s="1"/>
  <c r="D154" i="58"/>
  <c r="S146" i="57" s="1"/>
  <c r="D147" i="58"/>
  <c r="S139" i="57" s="1"/>
  <c r="C146" i="58"/>
  <c r="D146" i="58" s="1"/>
  <c r="S138" i="57" s="1"/>
  <c r="C145" i="58"/>
  <c r="D145" i="58" s="1"/>
  <c r="B144" i="58"/>
  <c r="D140" i="58"/>
  <c r="S132" i="57" s="1"/>
  <c r="R132" i="57" s="1"/>
  <c r="D138" i="58"/>
  <c r="S130" i="57" s="1"/>
  <c r="C137" i="58"/>
  <c r="D137" i="58" s="1"/>
  <c r="S129" i="57" s="1"/>
  <c r="D136" i="58"/>
  <c r="S128" i="57" s="1"/>
  <c r="R128" i="57" s="1"/>
  <c r="D135" i="58"/>
  <c r="S127" i="57" s="1"/>
  <c r="D134" i="58"/>
  <c r="D132" i="58"/>
  <c r="C130" i="58"/>
  <c r="D129" i="58"/>
  <c r="S122" i="57" s="1"/>
  <c r="D128" i="58"/>
  <c r="S121" i="57" s="1"/>
  <c r="D127" i="58"/>
  <c r="S120" i="57" s="1"/>
  <c r="D126" i="58"/>
  <c r="D120" i="58"/>
  <c r="D122" i="58" s="1"/>
  <c r="S115" i="57" s="1"/>
  <c r="D117" i="58"/>
  <c r="S110" i="57" s="1"/>
  <c r="D116" i="58"/>
  <c r="S109" i="57" s="1"/>
  <c r="C113" i="58"/>
  <c r="D113" i="58" s="1"/>
  <c r="S106" i="57" s="1"/>
  <c r="C112" i="58"/>
  <c r="D112" i="58" s="1"/>
  <c r="C109" i="58"/>
  <c r="D109" i="58" s="1"/>
  <c r="S102" i="57" s="1"/>
  <c r="C108" i="58"/>
  <c r="D108" i="58" s="1"/>
  <c r="S101" i="57" s="1"/>
  <c r="C107" i="58"/>
  <c r="D107" i="58" s="1"/>
  <c r="S100" i="57" s="1"/>
  <c r="D106" i="58"/>
  <c r="S99" i="57" s="1"/>
  <c r="C102" i="58"/>
  <c r="D102" i="58" s="1"/>
  <c r="S95" i="57" s="1"/>
  <c r="C101" i="58"/>
  <c r="D101" i="58" s="1"/>
  <c r="C99" i="58"/>
  <c r="D99" i="58" s="1"/>
  <c r="S92" i="57" s="1"/>
  <c r="C98" i="58"/>
  <c r="D98" i="58" s="1"/>
  <c r="D95" i="58"/>
  <c r="D94" i="58"/>
  <c r="C91" i="58"/>
  <c r="D91" i="58" s="1"/>
  <c r="S84" i="57" s="1"/>
  <c r="C90" i="58"/>
  <c r="D90" i="58" s="1"/>
  <c r="S83" i="57" s="1"/>
  <c r="R83" i="57" s="1"/>
  <c r="C89" i="58"/>
  <c r="D89" i="58" s="1"/>
  <c r="S82" i="57" s="1"/>
  <c r="D88" i="58"/>
  <c r="S81" i="57" s="1"/>
  <c r="D84" i="58"/>
  <c r="S77" i="57" s="1"/>
  <c r="R77" i="57" s="1"/>
  <c r="D83" i="58"/>
  <c r="D79" i="58"/>
  <c r="S72" i="57" s="1"/>
  <c r="R72" i="57" s="1"/>
  <c r="D78" i="58"/>
  <c r="S71" i="57" s="1"/>
  <c r="D77" i="58"/>
  <c r="S70" i="57" s="1"/>
  <c r="R70" i="57" s="1"/>
  <c r="D74" i="58"/>
  <c r="S67" i="57" s="1"/>
  <c r="D73" i="58"/>
  <c r="S66" i="57" s="1"/>
  <c r="R66" i="57" s="1"/>
  <c r="D69" i="58"/>
  <c r="S62" i="57" s="1"/>
  <c r="D68" i="58"/>
  <c r="S61" i="57" s="1"/>
  <c r="D66" i="58"/>
  <c r="D60" i="58"/>
  <c r="S53" i="57" s="1"/>
  <c r="R53" i="57" s="1"/>
  <c r="D58" i="58"/>
  <c r="S52" i="57" s="1"/>
  <c r="D54" i="58"/>
  <c r="S49" i="57" s="1"/>
  <c r="D52" i="58"/>
  <c r="S47" i="57" s="1"/>
  <c r="D51" i="58"/>
  <c r="S46" i="57" s="1"/>
  <c r="D50" i="58"/>
  <c r="D46" i="58"/>
  <c r="S42" i="57" s="1"/>
  <c r="D45" i="58"/>
  <c r="S41" i="57" s="1"/>
  <c r="D44" i="58"/>
  <c r="S40" i="57" s="1"/>
  <c r="R40" i="57" s="1"/>
  <c r="D43" i="58"/>
  <c r="S39" i="57" s="1"/>
  <c r="R39" i="57" s="1"/>
  <c r="D42" i="58"/>
  <c r="S38" i="57" s="1"/>
  <c r="D38" i="58"/>
  <c r="S35" i="57" s="1"/>
  <c r="R35" i="57" s="1"/>
  <c r="D37" i="58"/>
  <c r="S34" i="57" s="1"/>
  <c r="R34" i="57" s="1"/>
  <c r="D36" i="58"/>
  <c r="S33" i="57" s="1"/>
  <c r="D35" i="58"/>
  <c r="S32" i="57" s="1"/>
  <c r="D34" i="58"/>
  <c r="S31" i="57" s="1"/>
  <c r="R31" i="57" s="1"/>
  <c r="D33" i="58"/>
  <c r="S30" i="57" s="1"/>
  <c r="D32" i="58"/>
  <c r="S29" i="57" s="1"/>
  <c r="D31" i="58"/>
  <c r="S28" i="57" s="1"/>
  <c r="C25" i="58"/>
  <c r="D25" i="58" s="1"/>
  <c r="S22" i="57" s="1"/>
  <c r="C24" i="58"/>
  <c r="D24" i="58" s="1"/>
  <c r="C22" i="58"/>
  <c r="D22" i="58" s="1"/>
  <c r="S19" i="57" s="1"/>
  <c r="C21" i="58"/>
  <c r="D21" i="58" s="1"/>
  <c r="S18" i="57" s="1"/>
  <c r="R18" i="57" s="1"/>
  <c r="D17" i="58"/>
  <c r="S15" i="57" s="1"/>
  <c r="D16" i="58"/>
  <c r="S14" i="57" s="1"/>
  <c r="D15" i="58"/>
  <c r="S13" i="57" s="1"/>
  <c r="D14" i="58"/>
  <c r="S12" i="57" s="1"/>
  <c r="R12" i="57" s="1"/>
  <c r="D13" i="58"/>
  <c r="D12" i="58"/>
  <c r="S10" i="57" s="1"/>
  <c r="D9" i="58"/>
  <c r="S8" i="57" s="1"/>
  <c r="D8" i="58"/>
  <c r="S7" i="57" s="1"/>
  <c r="D7" i="58"/>
  <c r="S6" i="57" s="1"/>
  <c r="D6" i="58"/>
  <c r="S5" i="57" s="1"/>
  <c r="R5" i="57" s="1"/>
  <c r="V6" i="48" s="1"/>
  <c r="E3" i="58"/>
  <c r="D3" i="58"/>
  <c r="S3" i="57" s="1"/>
  <c r="S156" i="57"/>
  <c r="S155" i="57"/>
  <c r="S154" i="57"/>
  <c r="S153" i="57"/>
  <c r="S152" i="57"/>
  <c r="S151" i="57"/>
  <c r="S150" i="57"/>
  <c r="S149" i="57"/>
  <c r="S147" i="57"/>
  <c r="S136" i="57"/>
  <c r="S134" i="57"/>
  <c r="R134" i="57" s="1"/>
  <c r="S133" i="57"/>
  <c r="R133" i="57" s="1"/>
  <c r="S131" i="57"/>
  <c r="S125" i="57"/>
  <c r="R125" i="57" s="1"/>
  <c r="S124" i="57"/>
  <c r="R124" i="57" s="1"/>
  <c r="S114" i="57"/>
  <c r="S89" i="57"/>
  <c r="S88" i="57"/>
  <c r="S87" i="57"/>
  <c r="S78" i="57"/>
  <c r="S73" i="57"/>
  <c r="S69" i="57"/>
  <c r="S63" i="57"/>
  <c r="R63" i="57" s="1"/>
  <c r="S60" i="57"/>
  <c r="S56" i="57"/>
  <c r="S55" i="57"/>
  <c r="S36" i="57"/>
  <c r="S16" i="57"/>
  <c r="S11" i="57"/>
  <c r="S9" i="57"/>
  <c r="B126" i="56"/>
  <c r="B125" i="56"/>
  <c r="B123" i="56"/>
  <c r="B122" i="56"/>
  <c r="B121" i="56"/>
  <c r="B118" i="56"/>
  <c r="B117" i="56"/>
  <c r="B116" i="56"/>
  <c r="B115" i="56"/>
  <c r="B114" i="56"/>
  <c r="B113" i="56"/>
  <c r="B112" i="56"/>
  <c r="B111" i="56"/>
  <c r="B110" i="56"/>
  <c r="B109" i="56"/>
  <c r="B108" i="56"/>
  <c r="B107" i="56"/>
  <c r="B106" i="56"/>
  <c r="B105" i="56"/>
  <c r="C104" i="56"/>
  <c r="B104" i="56"/>
  <c r="B103" i="56"/>
  <c r="B101" i="56"/>
  <c r="B100" i="56"/>
  <c r="B99" i="56"/>
  <c r="B98" i="56"/>
  <c r="B96" i="56"/>
  <c r="B95" i="56"/>
  <c r="B94" i="56"/>
  <c r="B92" i="56"/>
  <c r="B91" i="56"/>
  <c r="B90" i="56"/>
  <c r="B88" i="56"/>
  <c r="B87" i="56"/>
  <c r="B86" i="56"/>
  <c r="B84" i="56"/>
  <c r="B83" i="56"/>
  <c r="B82" i="56"/>
  <c r="B80" i="56"/>
  <c r="B79" i="56"/>
  <c r="B78" i="56"/>
  <c r="B77" i="56"/>
  <c r="B75" i="56"/>
  <c r="B74" i="56"/>
  <c r="B73" i="56"/>
  <c r="B71" i="56"/>
  <c r="B70" i="56"/>
  <c r="B69" i="56"/>
  <c r="B68" i="56"/>
  <c r="B66" i="56"/>
  <c r="B65" i="56"/>
  <c r="B64" i="56"/>
  <c r="B62" i="56"/>
  <c r="B61" i="56"/>
  <c r="B60" i="56"/>
  <c r="B59" i="56"/>
  <c r="B58" i="56"/>
  <c r="B54" i="56"/>
  <c r="B53" i="56"/>
  <c r="B51" i="56"/>
  <c r="B50" i="56"/>
  <c r="B49" i="56"/>
  <c r="B48" i="56"/>
  <c r="B47" i="56"/>
  <c r="B46" i="56"/>
  <c r="B44" i="56"/>
  <c r="B43" i="56"/>
  <c r="B42" i="56"/>
  <c r="B41" i="56"/>
  <c r="B40" i="56"/>
  <c r="B39" i="56"/>
  <c r="B38" i="56"/>
  <c r="B36" i="56"/>
  <c r="B35" i="56"/>
  <c r="B34" i="56"/>
  <c r="B33" i="56"/>
  <c r="B32" i="56"/>
  <c r="B31" i="56"/>
  <c r="B30" i="56"/>
  <c r="B29" i="56"/>
  <c r="B28" i="56"/>
  <c r="B27" i="56"/>
  <c r="B25" i="56"/>
  <c r="B24" i="56"/>
  <c r="B23" i="56"/>
  <c r="B22" i="56"/>
  <c r="B21" i="56"/>
  <c r="B19" i="56"/>
  <c r="B18" i="56"/>
  <c r="B17" i="56"/>
  <c r="B16" i="56"/>
  <c r="B15" i="56"/>
  <c r="B14" i="56"/>
  <c r="B13" i="56"/>
  <c r="B12" i="56"/>
  <c r="B9" i="56"/>
  <c r="B8" i="56"/>
  <c r="B7" i="56"/>
  <c r="B6" i="56"/>
  <c r="B3" i="56"/>
  <c r="C117" i="55"/>
  <c r="C115" i="55"/>
  <c r="C108" i="55"/>
  <c r="C107" i="55"/>
  <c r="C93" i="55"/>
  <c r="C106" i="55" s="1"/>
  <c r="C47" i="55"/>
  <c r="C63" i="55" s="1"/>
  <c r="G120" i="54"/>
  <c r="N101" i="54"/>
  <c r="M101" i="54"/>
  <c r="P101" i="54" s="1"/>
  <c r="L101" i="54"/>
  <c r="K101" i="54"/>
  <c r="C101" i="54"/>
  <c r="B101" i="54"/>
  <c r="P100" i="54"/>
  <c r="O100" i="54"/>
  <c r="D100" i="54"/>
  <c r="N99" i="54"/>
  <c r="M99" i="54"/>
  <c r="L99" i="54"/>
  <c r="C99" i="54"/>
  <c r="B99" i="54"/>
  <c r="N98" i="54"/>
  <c r="M98" i="54"/>
  <c r="L98" i="54"/>
  <c r="K98" i="54"/>
  <c r="C98" i="54"/>
  <c r="B98" i="54"/>
  <c r="N97" i="54"/>
  <c r="M97" i="54"/>
  <c r="L97" i="54"/>
  <c r="K97" i="54"/>
  <c r="C97" i="54"/>
  <c r="B97" i="54"/>
  <c r="B103" i="54" s="1"/>
  <c r="O80" i="54"/>
  <c r="N80" i="54"/>
  <c r="W79" i="54"/>
  <c r="V79" i="54"/>
  <c r="U79" i="54"/>
  <c r="T79" i="54"/>
  <c r="M78" i="54"/>
  <c r="M77" i="54"/>
  <c r="W76" i="54"/>
  <c r="V76" i="54"/>
  <c r="U76" i="54"/>
  <c r="T76" i="54"/>
  <c r="M75" i="54"/>
  <c r="M76" i="54" s="1"/>
  <c r="W74" i="54"/>
  <c r="V74" i="54"/>
  <c r="U74" i="54"/>
  <c r="T74" i="54"/>
  <c r="M73" i="54"/>
  <c r="M72" i="54"/>
  <c r="W71" i="54"/>
  <c r="V71" i="54"/>
  <c r="U71" i="54"/>
  <c r="T71" i="54"/>
  <c r="M70" i="54"/>
  <c r="D70" i="54"/>
  <c r="C70" i="54"/>
  <c r="B70" i="54"/>
  <c r="M69" i="54"/>
  <c r="W68" i="54"/>
  <c r="V68" i="54"/>
  <c r="U68" i="54"/>
  <c r="T68" i="54"/>
  <c r="M67" i="54"/>
  <c r="M66" i="54"/>
  <c r="W65" i="54"/>
  <c r="V65" i="54"/>
  <c r="U65" i="54"/>
  <c r="T65" i="54"/>
  <c r="M64" i="54"/>
  <c r="M63" i="54"/>
  <c r="M62" i="54"/>
  <c r="W61" i="54"/>
  <c r="V61" i="54"/>
  <c r="U61" i="54"/>
  <c r="T61" i="54"/>
  <c r="M60" i="54"/>
  <c r="M59" i="54"/>
  <c r="M58" i="54"/>
  <c r="B53" i="54"/>
  <c r="D39" i="54"/>
  <c r="C38" i="54"/>
  <c r="B38" i="54"/>
  <c r="B39" i="54" s="1"/>
  <c r="E37" i="54"/>
  <c r="H34" i="54"/>
  <c r="G34" i="54"/>
  <c r="F34" i="54"/>
  <c r="D34" i="54"/>
  <c r="C34" i="54"/>
  <c r="B34" i="54"/>
  <c r="I33" i="54"/>
  <c r="H51" i="54" s="1"/>
  <c r="E33" i="54"/>
  <c r="I32" i="54"/>
  <c r="E32" i="54"/>
  <c r="I31" i="54"/>
  <c r="H49" i="54" s="1"/>
  <c r="E31" i="54"/>
  <c r="B49" i="54" s="1"/>
  <c r="I30" i="54"/>
  <c r="E30" i="54"/>
  <c r="B48" i="54" s="1"/>
  <c r="I29" i="54"/>
  <c r="H47" i="54" s="1"/>
  <c r="E29" i="54"/>
  <c r="C47" i="54" s="1"/>
  <c r="I23" i="54"/>
  <c r="H23" i="54"/>
  <c r="G23" i="54"/>
  <c r="F23" i="54"/>
  <c r="E23" i="54"/>
  <c r="D23" i="54"/>
  <c r="C23" i="54"/>
  <c r="B23" i="54"/>
  <c r="O194" i="52"/>
  <c r="R193" i="52"/>
  <c r="R192" i="52"/>
  <c r="S192" i="52" s="1"/>
  <c r="R191" i="52"/>
  <c r="S191" i="52" s="1"/>
  <c r="R190" i="52"/>
  <c r="S190" i="52" s="1"/>
  <c r="R189" i="52"/>
  <c r="S189" i="52" s="1"/>
  <c r="R188" i="52"/>
  <c r="S188" i="52" s="1"/>
  <c r="R187" i="52"/>
  <c r="S187" i="52" s="1"/>
  <c r="R186" i="52"/>
  <c r="S186" i="52" s="1"/>
  <c r="R185" i="52"/>
  <c r="S185" i="52" s="1"/>
  <c r="R184" i="52"/>
  <c r="S184" i="52" s="1"/>
  <c r="R183" i="52"/>
  <c r="S183" i="52" s="1"/>
  <c r="R182" i="52"/>
  <c r="S182" i="52" s="1"/>
  <c r="R181" i="52"/>
  <c r="S181" i="52" s="1"/>
  <c r="R180" i="52"/>
  <c r="S180" i="52" s="1"/>
  <c r="R179" i="52"/>
  <c r="S179" i="52" s="1"/>
  <c r="R178" i="52"/>
  <c r="S178" i="52" s="1"/>
  <c r="R177" i="52"/>
  <c r="S177" i="52" s="1"/>
  <c r="R176" i="52"/>
  <c r="S176" i="52" s="1"/>
  <c r="R175" i="52"/>
  <c r="S175" i="52" s="1"/>
  <c r="R174" i="52"/>
  <c r="S174" i="52" s="1"/>
  <c r="R173" i="52"/>
  <c r="S173" i="52" s="1"/>
  <c r="R172" i="52"/>
  <c r="S172" i="52" s="1"/>
  <c r="R171" i="52"/>
  <c r="S171" i="52" s="1"/>
  <c r="R170" i="52"/>
  <c r="S170" i="52" s="1"/>
  <c r="R169" i="52"/>
  <c r="S169" i="52" s="1"/>
  <c r="AC140" i="52"/>
  <c r="AB140" i="52"/>
  <c r="H140" i="52"/>
  <c r="F140" i="52"/>
  <c r="AC139" i="52"/>
  <c r="AB139" i="52"/>
  <c r="H139" i="52"/>
  <c r="F139" i="52"/>
  <c r="J96" i="52"/>
  <c r="I96" i="52"/>
  <c r="H96" i="52"/>
  <c r="G96" i="52"/>
  <c r="F96" i="52"/>
  <c r="E96" i="52"/>
  <c r="D96" i="52"/>
  <c r="C96" i="52"/>
  <c r="I49" i="52"/>
  <c r="L47" i="52"/>
  <c r="K47" i="52"/>
  <c r="J47" i="52"/>
  <c r="K24" i="52"/>
  <c r="K123" i="51"/>
  <c r="I123" i="51"/>
  <c r="H123" i="51"/>
  <c r="G123" i="51"/>
  <c r="F123" i="51"/>
  <c r="E123" i="51"/>
  <c r="C122" i="51"/>
  <c r="K121" i="51"/>
  <c r="H121" i="51"/>
  <c r="G121" i="51"/>
  <c r="F121" i="51"/>
  <c r="E121" i="51"/>
  <c r="K120" i="51"/>
  <c r="I120" i="51"/>
  <c r="G120" i="51"/>
  <c r="K119" i="51"/>
  <c r="G119" i="51"/>
  <c r="K118" i="51"/>
  <c r="G118" i="51"/>
  <c r="K117" i="51"/>
  <c r="J117" i="51"/>
  <c r="I117" i="51"/>
  <c r="G117" i="51"/>
  <c r="E117" i="51"/>
  <c r="K116" i="51"/>
  <c r="G116" i="51"/>
  <c r="E116" i="51"/>
  <c r="K115" i="51"/>
  <c r="J115" i="51"/>
  <c r="I115" i="51"/>
  <c r="G115" i="51"/>
  <c r="J114" i="51"/>
  <c r="I114" i="51"/>
  <c r="G114" i="51"/>
  <c r="E114" i="51"/>
  <c r="K113" i="51"/>
  <c r="J113" i="51"/>
  <c r="G113" i="51"/>
  <c r="E113" i="51"/>
  <c r="K112" i="51"/>
  <c r="G112" i="51"/>
  <c r="E112" i="51"/>
  <c r="K111" i="51"/>
  <c r="G111" i="51"/>
  <c r="K110" i="51"/>
  <c r="I110" i="51"/>
  <c r="H110" i="51"/>
  <c r="G110" i="51"/>
  <c r="E110" i="51"/>
  <c r="K109" i="51"/>
  <c r="G109" i="51"/>
  <c r="K108" i="51"/>
  <c r="G108" i="51"/>
  <c r="E108" i="51"/>
  <c r="K107" i="51"/>
  <c r="H107" i="51"/>
  <c r="G107" i="51"/>
  <c r="E107" i="51"/>
  <c r="K106" i="51"/>
  <c r="H106" i="51"/>
  <c r="G106" i="51"/>
  <c r="E106" i="51"/>
  <c r="K105" i="51"/>
  <c r="H105" i="51"/>
  <c r="G105" i="51"/>
  <c r="E105" i="51"/>
  <c r="K104" i="51"/>
  <c r="G104" i="51"/>
  <c r="E104" i="51"/>
  <c r="K103" i="51"/>
  <c r="H103" i="51"/>
  <c r="G103" i="51"/>
  <c r="E103" i="51"/>
  <c r="K102" i="51"/>
  <c r="H102" i="51"/>
  <c r="F102" i="51"/>
  <c r="E102" i="51"/>
  <c r="K95" i="51"/>
  <c r="I95" i="51"/>
  <c r="H95" i="51"/>
  <c r="G95" i="51"/>
  <c r="F95" i="51"/>
  <c r="E95" i="51"/>
  <c r="L94" i="51"/>
  <c r="M94" i="51" s="1"/>
  <c r="K93" i="51"/>
  <c r="H93" i="51"/>
  <c r="G93" i="51"/>
  <c r="F93" i="51"/>
  <c r="E93" i="51"/>
  <c r="K92" i="51"/>
  <c r="I92" i="51"/>
  <c r="G92" i="51"/>
  <c r="K91" i="51"/>
  <c r="G91" i="51"/>
  <c r="K90" i="51"/>
  <c r="G90" i="51"/>
  <c r="K89" i="51"/>
  <c r="J89" i="51"/>
  <c r="I89" i="51"/>
  <c r="G89" i="51"/>
  <c r="E89" i="51"/>
  <c r="K88" i="51"/>
  <c r="G88" i="51"/>
  <c r="E88" i="51"/>
  <c r="K87" i="51"/>
  <c r="J87" i="51"/>
  <c r="I87" i="51"/>
  <c r="G87" i="51"/>
  <c r="J86" i="51"/>
  <c r="I86" i="51"/>
  <c r="G86" i="51"/>
  <c r="E86" i="51"/>
  <c r="K85" i="51"/>
  <c r="J85" i="51"/>
  <c r="G85" i="51"/>
  <c r="E85" i="51"/>
  <c r="K84" i="51"/>
  <c r="G84" i="51"/>
  <c r="E84" i="51"/>
  <c r="K83" i="51"/>
  <c r="G83" i="51"/>
  <c r="K82" i="51"/>
  <c r="I82" i="51"/>
  <c r="H82" i="51"/>
  <c r="G82" i="51"/>
  <c r="E82" i="51"/>
  <c r="K81" i="51"/>
  <c r="G81" i="51"/>
  <c r="K80" i="51"/>
  <c r="G80" i="51"/>
  <c r="E80" i="51"/>
  <c r="K79" i="51"/>
  <c r="H79" i="51"/>
  <c r="G79" i="51"/>
  <c r="E79" i="51"/>
  <c r="K78" i="51"/>
  <c r="H78" i="51"/>
  <c r="G78" i="51"/>
  <c r="E78" i="51"/>
  <c r="K77" i="51"/>
  <c r="H77" i="51"/>
  <c r="G77" i="51"/>
  <c r="E77" i="51"/>
  <c r="K76" i="51"/>
  <c r="G76" i="51"/>
  <c r="E76" i="51"/>
  <c r="K75" i="51"/>
  <c r="H75" i="51"/>
  <c r="G75" i="51"/>
  <c r="E75" i="51"/>
  <c r="K74" i="51"/>
  <c r="H74" i="51"/>
  <c r="F74" i="51"/>
  <c r="E74" i="51"/>
  <c r="E63" i="51"/>
  <c r="U57" i="51"/>
  <c r="V57" i="51" s="1"/>
  <c r="S57" i="51"/>
  <c r="T57" i="51" s="1"/>
  <c r="K32" i="51"/>
  <c r="H29" i="51"/>
  <c r="P25" i="51"/>
  <c r="J25" i="52"/>
  <c r="R24" i="52"/>
  <c r="Q24" i="52"/>
  <c r="O24" i="52"/>
  <c r="N24" i="52"/>
  <c r="L24" i="52"/>
  <c r="M24" i="52"/>
  <c r="J24" i="52"/>
  <c r="P24" i="52"/>
  <c r="I24" i="52"/>
  <c r="H24" i="52"/>
  <c r="F24" i="52"/>
  <c r="O23" i="52"/>
  <c r="N23" i="52"/>
  <c r="M23" i="52"/>
  <c r="J23" i="52"/>
  <c r="O22" i="52"/>
  <c r="N22" i="52"/>
  <c r="M22" i="52"/>
  <c r="J22" i="52"/>
  <c r="N21" i="52"/>
  <c r="M21" i="52"/>
  <c r="J21" i="52"/>
  <c r="N20" i="52"/>
  <c r="M20" i="52"/>
  <c r="J20" i="52"/>
  <c r="O19" i="52"/>
  <c r="N19" i="52"/>
  <c r="M19" i="52"/>
  <c r="J19" i="52"/>
  <c r="N18" i="52"/>
  <c r="M18" i="52"/>
  <c r="J18" i="52"/>
  <c r="O17" i="52"/>
  <c r="N17" i="52"/>
  <c r="M17" i="52"/>
  <c r="J17" i="52"/>
  <c r="O16" i="52"/>
  <c r="N16" i="52"/>
  <c r="M16" i="52"/>
  <c r="J16" i="52"/>
  <c r="O15" i="52"/>
  <c r="N15" i="52"/>
  <c r="M15" i="52"/>
  <c r="J15" i="52"/>
  <c r="J14" i="52"/>
  <c r="J13" i="52"/>
  <c r="O12" i="52"/>
  <c r="N12" i="52"/>
  <c r="M12" i="52"/>
  <c r="J12" i="52"/>
  <c r="O11" i="52"/>
  <c r="N11" i="52"/>
  <c r="M11" i="52"/>
  <c r="J11" i="52"/>
  <c r="O10" i="52"/>
  <c r="N10" i="52"/>
  <c r="M10" i="52"/>
  <c r="J10" i="52"/>
  <c r="J9" i="52"/>
  <c r="O8" i="52"/>
  <c r="N8" i="52"/>
  <c r="M8" i="52"/>
  <c r="J8" i="52"/>
  <c r="J7" i="52"/>
  <c r="O6" i="52"/>
  <c r="N6" i="52"/>
  <c r="M6" i="52"/>
  <c r="J6" i="52"/>
  <c r="N4" i="52"/>
  <c r="M4" i="52"/>
  <c r="M121" i="49"/>
  <c r="J121" i="49"/>
  <c r="I121" i="49"/>
  <c r="H121" i="49"/>
  <c r="G121" i="49"/>
  <c r="F121" i="49"/>
  <c r="E121" i="49"/>
  <c r="M119" i="49"/>
  <c r="J119" i="49"/>
  <c r="I119" i="49"/>
  <c r="G119" i="49"/>
  <c r="E119" i="49"/>
  <c r="M118" i="49"/>
  <c r="L118" i="49"/>
  <c r="J118" i="49"/>
  <c r="I118" i="49"/>
  <c r="G118" i="49"/>
  <c r="M117" i="49"/>
  <c r="J117" i="49"/>
  <c r="I117" i="49"/>
  <c r="G117" i="49"/>
  <c r="M116" i="49"/>
  <c r="J116" i="49"/>
  <c r="I116" i="49"/>
  <c r="G116" i="49"/>
  <c r="M115" i="49"/>
  <c r="L115" i="49"/>
  <c r="K115" i="49"/>
  <c r="J115" i="49"/>
  <c r="I115" i="49"/>
  <c r="G115" i="49"/>
  <c r="E115" i="49"/>
  <c r="M114" i="49"/>
  <c r="J114" i="49"/>
  <c r="I114" i="49"/>
  <c r="G114" i="49"/>
  <c r="E114" i="49"/>
  <c r="M113" i="49"/>
  <c r="L113" i="49"/>
  <c r="K113" i="49"/>
  <c r="J113" i="49"/>
  <c r="I113" i="49"/>
  <c r="G113" i="49"/>
  <c r="L112" i="49"/>
  <c r="K112" i="49"/>
  <c r="J112" i="49"/>
  <c r="I112" i="49"/>
  <c r="G112" i="49"/>
  <c r="E112" i="49"/>
  <c r="M111" i="49"/>
  <c r="L111" i="49"/>
  <c r="J111" i="49"/>
  <c r="I111" i="49"/>
  <c r="G111" i="49"/>
  <c r="E111" i="49"/>
  <c r="M110" i="49"/>
  <c r="J110" i="49"/>
  <c r="I110" i="49"/>
  <c r="G110" i="49"/>
  <c r="E110" i="49"/>
  <c r="M109" i="49"/>
  <c r="J109" i="49"/>
  <c r="I109" i="49"/>
  <c r="G109" i="49"/>
  <c r="M108" i="49"/>
  <c r="J108" i="49"/>
  <c r="I108" i="49"/>
  <c r="H108" i="49"/>
  <c r="G108" i="49"/>
  <c r="E108" i="49"/>
  <c r="M107" i="49"/>
  <c r="J107" i="49"/>
  <c r="I107" i="49"/>
  <c r="G107" i="49"/>
  <c r="M106" i="49"/>
  <c r="J106" i="49"/>
  <c r="I106" i="49"/>
  <c r="G106" i="49"/>
  <c r="E106" i="49"/>
  <c r="M105" i="49"/>
  <c r="J105" i="49"/>
  <c r="I105" i="49"/>
  <c r="H105" i="49"/>
  <c r="G105" i="49"/>
  <c r="E105" i="49"/>
  <c r="M104" i="49"/>
  <c r="J104" i="49"/>
  <c r="I104" i="49"/>
  <c r="H104" i="49"/>
  <c r="G104" i="49"/>
  <c r="E104" i="49"/>
  <c r="M103" i="49"/>
  <c r="J103" i="49"/>
  <c r="I103" i="49"/>
  <c r="G103" i="49"/>
  <c r="E103" i="49"/>
  <c r="M102" i="49"/>
  <c r="J102" i="49"/>
  <c r="I102" i="49"/>
  <c r="H102" i="49"/>
  <c r="G102" i="49"/>
  <c r="E102" i="49"/>
  <c r="M101" i="49"/>
  <c r="J101" i="49"/>
  <c r="I101" i="49"/>
  <c r="H101" i="49"/>
  <c r="G101" i="49"/>
  <c r="E101" i="49"/>
  <c r="F100" i="49"/>
  <c r="E100" i="49"/>
  <c r="M93" i="49"/>
  <c r="J93" i="49"/>
  <c r="L25" i="52" s="1"/>
  <c r="I93" i="49"/>
  <c r="K25" i="52" s="1"/>
  <c r="H93" i="49"/>
  <c r="G93" i="49"/>
  <c r="F93" i="49"/>
  <c r="E93" i="49"/>
  <c r="N92" i="49"/>
  <c r="M91" i="49"/>
  <c r="J91" i="49"/>
  <c r="I91" i="49"/>
  <c r="K23" i="52" s="1"/>
  <c r="G91" i="49"/>
  <c r="E91" i="49"/>
  <c r="M90" i="49"/>
  <c r="L90" i="49"/>
  <c r="J90" i="49"/>
  <c r="I90" i="49"/>
  <c r="K22" i="52" s="1"/>
  <c r="G90" i="49"/>
  <c r="M89" i="49"/>
  <c r="J89" i="49"/>
  <c r="I89" i="49"/>
  <c r="K21" i="52" s="1"/>
  <c r="G89" i="49"/>
  <c r="H21" i="52" s="1"/>
  <c r="M88" i="49"/>
  <c r="J88" i="49"/>
  <c r="I88" i="49"/>
  <c r="K20" i="52" s="1"/>
  <c r="G88" i="49"/>
  <c r="M87" i="49"/>
  <c r="L87" i="49"/>
  <c r="K87" i="49"/>
  <c r="J87" i="49"/>
  <c r="L19" i="52" s="1"/>
  <c r="I87" i="49"/>
  <c r="K19" i="52" s="1"/>
  <c r="G87" i="49"/>
  <c r="E87" i="49"/>
  <c r="M86" i="49"/>
  <c r="J86" i="49"/>
  <c r="I86" i="49"/>
  <c r="K18" i="52" s="1"/>
  <c r="G86" i="49"/>
  <c r="E86" i="49"/>
  <c r="M85" i="49"/>
  <c r="L85" i="49"/>
  <c r="K85" i="49"/>
  <c r="J85" i="49"/>
  <c r="I85" i="49"/>
  <c r="K17" i="52" s="1"/>
  <c r="G85" i="49"/>
  <c r="L84" i="49"/>
  <c r="K84" i="49"/>
  <c r="J84" i="49"/>
  <c r="L16" i="52" s="1"/>
  <c r="I84" i="49"/>
  <c r="K16" i="52" s="1"/>
  <c r="G84" i="49"/>
  <c r="E84" i="49"/>
  <c r="M83" i="49"/>
  <c r="L83" i="49"/>
  <c r="J83" i="49"/>
  <c r="I83" i="49"/>
  <c r="K15" i="52" s="1"/>
  <c r="G83" i="49"/>
  <c r="E83" i="49"/>
  <c r="M82" i="49"/>
  <c r="J82" i="49"/>
  <c r="I82" i="49"/>
  <c r="K14" i="52" s="1"/>
  <c r="G82" i="49"/>
  <c r="E82" i="49"/>
  <c r="M81" i="49"/>
  <c r="J81" i="49"/>
  <c r="I81" i="49"/>
  <c r="K13" i="52" s="1"/>
  <c r="G81" i="49"/>
  <c r="M80" i="49"/>
  <c r="J80" i="49"/>
  <c r="I80" i="49"/>
  <c r="K12" i="52" s="1"/>
  <c r="H80" i="49"/>
  <c r="G80" i="49"/>
  <c r="E80" i="49"/>
  <c r="M79" i="49"/>
  <c r="J79" i="49"/>
  <c r="I79" i="49"/>
  <c r="K11" i="52" s="1"/>
  <c r="G79" i="49"/>
  <c r="M78" i="49"/>
  <c r="J78" i="49"/>
  <c r="I78" i="49"/>
  <c r="K10" i="52" s="1"/>
  <c r="G78" i="49"/>
  <c r="E78" i="49"/>
  <c r="M77" i="49"/>
  <c r="J77" i="49"/>
  <c r="I77" i="49"/>
  <c r="K9" i="52" s="1"/>
  <c r="H77" i="49"/>
  <c r="G77" i="49"/>
  <c r="E77" i="49"/>
  <c r="M76" i="49"/>
  <c r="J76" i="49"/>
  <c r="I76" i="49"/>
  <c r="K8" i="52" s="1"/>
  <c r="H76" i="49"/>
  <c r="G76" i="49"/>
  <c r="E76" i="49"/>
  <c r="M75" i="49"/>
  <c r="J75" i="49"/>
  <c r="I75" i="49"/>
  <c r="K7" i="52" s="1"/>
  <c r="G75" i="49"/>
  <c r="E75" i="49"/>
  <c r="M74" i="49"/>
  <c r="J74" i="49"/>
  <c r="I74" i="49"/>
  <c r="K6" i="52" s="1"/>
  <c r="H74" i="49"/>
  <c r="G74" i="49"/>
  <c r="E74" i="49"/>
  <c r="M73" i="49"/>
  <c r="J73" i="49"/>
  <c r="I73" i="49"/>
  <c r="K5" i="52" s="1"/>
  <c r="H73" i="49"/>
  <c r="G73" i="49"/>
  <c r="E73" i="49"/>
  <c r="F72" i="49"/>
  <c r="E72" i="49"/>
  <c r="E63" i="49"/>
  <c r="Z57" i="49"/>
  <c r="W57" i="49"/>
  <c r="L32" i="49"/>
  <c r="I29" i="49"/>
  <c r="V25" i="49"/>
  <c r="Q25" i="49"/>
  <c r="D25" i="52" s="1"/>
  <c r="D36" i="48"/>
  <c r="F36" i="48" s="1"/>
  <c r="D24" i="48"/>
  <c r="D23" i="48"/>
  <c r="D22" i="48"/>
  <c r="D21" i="48"/>
  <c r="D20" i="48"/>
  <c r="D19" i="48"/>
  <c r="D18" i="48"/>
  <c r="T8" i="48"/>
  <c r="J8" i="48"/>
  <c r="C8" i="48"/>
  <c r="X7" i="48"/>
  <c r="E24" i="48"/>
  <c r="H8" i="48"/>
  <c r="A103" i="25"/>
  <c r="A102" i="25"/>
  <c r="A100" i="25"/>
  <c r="A97" i="25"/>
  <c r="A96" i="25"/>
  <c r="A93" i="25"/>
  <c r="A92" i="25"/>
  <c r="A89" i="25"/>
  <c r="A85" i="25"/>
  <c r="A83" i="25"/>
  <c r="A82" i="25"/>
  <c r="E66" i="17"/>
  <c r="D66" i="17"/>
  <c r="E64" i="17"/>
  <c r="D64" i="17"/>
  <c r="E62" i="17"/>
  <c r="D62" i="17"/>
  <c r="E60" i="17"/>
  <c r="L28" i="17" s="1"/>
  <c r="O28" i="17" s="1"/>
  <c r="D60" i="17"/>
  <c r="K28" i="17" s="1"/>
  <c r="N28" i="17" s="1"/>
  <c r="E57" i="17"/>
  <c r="L26" i="17" s="1"/>
  <c r="O26" i="17" s="1"/>
  <c r="D57" i="17"/>
  <c r="K26" i="17" s="1"/>
  <c r="N26" i="17" s="1"/>
  <c r="E54" i="17"/>
  <c r="D54" i="17"/>
  <c r="E49" i="17"/>
  <c r="L17" i="17" s="1"/>
  <c r="O17" i="17" s="1"/>
  <c r="D49" i="17"/>
  <c r="K17" i="17" s="1"/>
  <c r="N17" i="17" s="1"/>
  <c r="E44" i="17"/>
  <c r="L13" i="17" s="1"/>
  <c r="O13" i="17" s="1"/>
  <c r="D44" i="17"/>
  <c r="N13" i="17" s="1"/>
  <c r="E40" i="17"/>
  <c r="L18" i="17" s="1"/>
  <c r="O18" i="17" s="1"/>
  <c r="D40" i="17"/>
  <c r="N18" i="17" s="1"/>
  <c r="E38" i="17"/>
  <c r="L11" i="17" s="1"/>
  <c r="O11" i="17" s="1"/>
  <c r="D38" i="17"/>
  <c r="N11" i="17" s="1"/>
  <c r="E34" i="17"/>
  <c r="L14" i="17" s="1"/>
  <c r="O14" i="17" s="1"/>
  <c r="D34" i="17"/>
  <c r="O29" i="17"/>
  <c r="N29" i="17"/>
  <c r="E29" i="17"/>
  <c r="D29" i="17"/>
  <c r="O27" i="17"/>
  <c r="N27" i="17"/>
  <c r="O25" i="17"/>
  <c r="K25" i="17"/>
  <c r="N25" i="17" s="1"/>
  <c r="O24" i="17"/>
  <c r="N24" i="17"/>
  <c r="L23" i="17"/>
  <c r="O23" i="17" s="1"/>
  <c r="K23" i="17"/>
  <c r="N23" i="17" s="1"/>
  <c r="O22" i="17"/>
  <c r="N22" i="17"/>
  <c r="O21" i="17"/>
  <c r="N21" i="17"/>
  <c r="O20" i="17"/>
  <c r="N20" i="17"/>
  <c r="E20" i="17"/>
  <c r="L10" i="17" s="1"/>
  <c r="D20" i="17"/>
  <c r="N10" i="17" s="1"/>
  <c r="O16" i="17"/>
  <c r="N16" i="17"/>
  <c r="E16" i="17"/>
  <c r="L19" i="17" s="1"/>
  <c r="O19" i="17" s="1"/>
  <c r="D16" i="17"/>
  <c r="N19" i="17" s="1"/>
  <c r="L15" i="17"/>
  <c r="O15" i="17" s="1"/>
  <c r="N15" i="17"/>
  <c r="E13" i="17"/>
  <c r="N4" i="50" s="1"/>
  <c r="D13" i="17"/>
  <c r="K23" i="51"/>
  <c r="K22" i="51"/>
  <c r="K21" i="51"/>
  <c r="K25" i="51"/>
  <c r="K6" i="51"/>
  <c r="K18" i="51"/>
  <c r="K5" i="51"/>
  <c r="K13" i="51"/>
  <c r="K12" i="51"/>
  <c r="K14" i="51"/>
  <c r="K11" i="51"/>
  <c r="K10" i="51"/>
  <c r="K9" i="51"/>
  <c r="K4" i="51"/>
  <c r="K8" i="51"/>
  <c r="L5" i="49"/>
  <c r="L23" i="49"/>
  <c r="L21" i="49"/>
  <c r="L4" i="49"/>
  <c r="L18" i="49"/>
  <c r="L14" i="49"/>
  <c r="L7" i="49"/>
  <c r="L13" i="49"/>
  <c r="L12" i="49"/>
  <c r="L11" i="49"/>
  <c r="L10" i="49"/>
  <c r="L9" i="49"/>
  <c r="L8" i="49"/>
  <c r="L6" i="49"/>
  <c r="L25" i="49"/>
  <c r="L6" i="48"/>
  <c r="D20" i="49"/>
  <c r="D17" i="49"/>
  <c r="C17" i="49"/>
  <c r="C12" i="49"/>
  <c r="B119" i="56" l="1"/>
  <c r="D97" i="54"/>
  <c r="H11" i="59"/>
  <c r="P4" i="50"/>
  <c r="P26" i="50" s="1"/>
  <c r="N26" i="50"/>
  <c r="R109" i="57"/>
  <c r="X65" i="54"/>
  <c r="C112" i="55"/>
  <c r="C98" i="55"/>
  <c r="S113" i="57"/>
  <c r="R113" i="57" s="1"/>
  <c r="D75" i="58"/>
  <c r="S68" i="57" s="1"/>
  <c r="G18" i="60"/>
  <c r="T28" i="57"/>
  <c r="T49" i="57"/>
  <c r="L120" i="64"/>
  <c r="M120" i="64" s="1"/>
  <c r="C102" i="64"/>
  <c r="B119" i="64"/>
  <c r="C119" i="64" s="1"/>
  <c r="Z24" i="64"/>
  <c r="F120" i="64"/>
  <c r="G120" i="64" s="1"/>
  <c r="B61" i="61"/>
  <c r="D13" i="51"/>
  <c r="P120" i="64"/>
  <c r="Q120" i="64" s="1"/>
  <c r="N120" i="64"/>
  <c r="O120" i="64" s="1"/>
  <c r="J120" i="64"/>
  <c r="K120" i="64" s="1"/>
  <c r="Y57" i="64"/>
  <c r="Z57" i="64"/>
  <c r="R118" i="64"/>
  <c r="R120" i="64" s="1"/>
  <c r="S120" i="64" s="1"/>
  <c r="P119" i="64"/>
  <c r="Q119" i="64" s="1"/>
  <c r="Q102" i="64"/>
  <c r="X101" i="64"/>
  <c r="Z101" i="64" s="1"/>
  <c r="S101" i="64"/>
  <c r="X25" i="64"/>
  <c r="S25" i="64"/>
  <c r="K102" i="64"/>
  <c r="J119" i="64"/>
  <c r="K119" i="64" s="1"/>
  <c r="O102" i="64"/>
  <c r="N119" i="64"/>
  <c r="O119" i="64" s="1"/>
  <c r="R102" i="64"/>
  <c r="Z7" i="48"/>
  <c r="AA7" i="48"/>
  <c r="R75" i="25"/>
  <c r="L75" i="25"/>
  <c r="U77" i="25"/>
  <c r="R51" i="25"/>
  <c r="X3" i="25"/>
  <c r="T164" i="57"/>
  <c r="T7" i="57"/>
  <c r="T61" i="57"/>
  <c r="T5" i="57"/>
  <c r="T150" i="57"/>
  <c r="K96" i="52"/>
  <c r="X61" i="54"/>
  <c r="T99" i="57"/>
  <c r="T33" i="57"/>
  <c r="T10" i="57"/>
  <c r="T46" i="57"/>
  <c r="C48" i="54"/>
  <c r="M74" i="54"/>
  <c r="T154" i="57"/>
  <c r="R18" i="52"/>
  <c r="R152" i="52" s="1"/>
  <c r="Q31" i="49"/>
  <c r="P24" i="59"/>
  <c r="L11" i="52"/>
  <c r="T78" i="57"/>
  <c r="T52" i="57"/>
  <c r="D96" i="58"/>
  <c r="T101" i="57"/>
  <c r="T120" i="57"/>
  <c r="T148" i="57"/>
  <c r="K11" i="60"/>
  <c r="G39" i="61"/>
  <c r="R8" i="52"/>
  <c r="R145" i="52" s="1"/>
  <c r="H10" i="52"/>
  <c r="F12" i="52"/>
  <c r="X68" i="54"/>
  <c r="D86" i="58"/>
  <c r="S79" i="57" s="1"/>
  <c r="T79" i="57" s="1"/>
  <c r="T165" i="57"/>
  <c r="R38" i="57"/>
  <c r="T38" i="57"/>
  <c r="R14" i="52"/>
  <c r="F19" i="52"/>
  <c r="F153" i="52" s="1"/>
  <c r="R23" i="52"/>
  <c r="R157" i="52" s="1"/>
  <c r="R25" i="52"/>
  <c r="S76" i="57"/>
  <c r="T76" i="57" s="1"/>
  <c r="T151" i="57"/>
  <c r="T110" i="57"/>
  <c r="AB7" i="48"/>
  <c r="R5" i="52"/>
  <c r="R141" i="52" s="1"/>
  <c r="H7" i="52"/>
  <c r="J143" i="52" s="1"/>
  <c r="L8" i="52"/>
  <c r="F10" i="52"/>
  <c r="R11" i="52"/>
  <c r="R147" i="52" s="1"/>
  <c r="F15" i="52"/>
  <c r="H19" i="52"/>
  <c r="J153" i="52" s="1"/>
  <c r="L20" i="52"/>
  <c r="T63" i="57"/>
  <c r="T152" i="57"/>
  <c r="T139" i="57"/>
  <c r="N7" i="59"/>
  <c r="P7" i="59" s="1"/>
  <c r="C14" i="49"/>
  <c r="F6" i="52"/>
  <c r="L13" i="52"/>
  <c r="H15" i="52"/>
  <c r="R17" i="52"/>
  <c r="R20" i="52"/>
  <c r="R43" i="52" s="1"/>
  <c r="F25" i="52"/>
  <c r="F45" i="52" s="1"/>
  <c r="M79" i="54"/>
  <c r="P99" i="54"/>
  <c r="T11" i="57"/>
  <c r="T77" i="57"/>
  <c r="AR38" i="25"/>
  <c r="F9" i="52"/>
  <c r="H12" i="52"/>
  <c r="C113" i="55"/>
  <c r="F5" i="52"/>
  <c r="R7" i="52"/>
  <c r="H9" i="52"/>
  <c r="J144" i="52" s="1"/>
  <c r="I12" i="52"/>
  <c r="AA148" i="52" s="1"/>
  <c r="L15" i="52"/>
  <c r="Q16" i="52"/>
  <c r="F23" i="52"/>
  <c r="H25" i="52"/>
  <c r="H45" i="52" s="1"/>
  <c r="P98" i="54"/>
  <c r="T16" i="57"/>
  <c r="T55" i="57"/>
  <c r="T114" i="57"/>
  <c r="T130" i="57"/>
  <c r="T14" i="57"/>
  <c r="T30" i="57"/>
  <c r="D174" i="58"/>
  <c r="S166" i="57" s="1"/>
  <c r="H6" i="59"/>
  <c r="I11" i="60"/>
  <c r="H18" i="60"/>
  <c r="AR33" i="25"/>
  <c r="P8" i="48"/>
  <c r="F31" i="48" s="1"/>
  <c r="H5" i="52"/>
  <c r="C49" i="54"/>
  <c r="T56" i="57"/>
  <c r="T88" i="57"/>
  <c r="T122" i="57"/>
  <c r="T131" i="57"/>
  <c r="T149" i="57"/>
  <c r="T155" i="57"/>
  <c r="T6" i="57"/>
  <c r="N21" i="59"/>
  <c r="R28" i="57"/>
  <c r="T60" i="57"/>
  <c r="T89" i="57"/>
  <c r="T156" i="57"/>
  <c r="T18" i="57"/>
  <c r="T167" i="57"/>
  <c r="AR34" i="25"/>
  <c r="I85" i="61"/>
  <c r="T115" i="57"/>
  <c r="R115" i="57"/>
  <c r="D16" i="51"/>
  <c r="D16" i="49"/>
  <c r="C22" i="51"/>
  <c r="D21" i="51"/>
  <c r="E22" i="48"/>
  <c r="F22" i="48" s="1"/>
  <c r="H6" i="52"/>
  <c r="L7" i="52"/>
  <c r="R13" i="52"/>
  <c r="F18" i="52"/>
  <c r="F152" i="52" s="1"/>
  <c r="R22" i="52"/>
  <c r="G25" i="52"/>
  <c r="U80" i="54"/>
  <c r="R14" i="57"/>
  <c r="R61" i="57"/>
  <c r="T134" i="57"/>
  <c r="H14" i="59"/>
  <c r="D12" i="49"/>
  <c r="D19" i="49"/>
  <c r="L6" i="51"/>
  <c r="M6" i="49"/>
  <c r="T80" i="54"/>
  <c r="W80" i="54"/>
  <c r="V80" i="54"/>
  <c r="N14" i="59"/>
  <c r="P14" i="59" s="1"/>
  <c r="N13" i="59"/>
  <c r="P13" i="59" s="1"/>
  <c r="D24" i="51"/>
  <c r="M4" i="49"/>
  <c r="L4" i="51"/>
  <c r="M18" i="49"/>
  <c r="L18" i="51"/>
  <c r="L13" i="51"/>
  <c r="M13" i="49"/>
  <c r="M21" i="49"/>
  <c r="L21" i="51"/>
  <c r="E23" i="48"/>
  <c r="F23" i="48" s="1"/>
  <c r="L10" i="52"/>
  <c r="F14" i="52"/>
  <c r="H18" i="52"/>
  <c r="P19" i="52"/>
  <c r="AE153" i="52" s="1"/>
  <c r="C105" i="55"/>
  <c r="N15" i="59"/>
  <c r="P15" i="59" s="1"/>
  <c r="C19" i="51"/>
  <c r="C21" i="49"/>
  <c r="N6" i="48"/>
  <c r="C19" i="49"/>
  <c r="D21" i="49"/>
  <c r="D24" i="49"/>
  <c r="C28" i="51"/>
  <c r="D20" i="51"/>
  <c r="F47" i="54"/>
  <c r="D130" i="58"/>
  <c r="S123" i="57" s="1"/>
  <c r="T123" i="57" s="1"/>
  <c r="S126" i="57"/>
  <c r="H8" i="59"/>
  <c r="C26" i="49"/>
  <c r="H12" i="59"/>
  <c r="AR39" i="25"/>
  <c r="B50" i="54"/>
  <c r="C50" i="54"/>
  <c r="N12" i="59"/>
  <c r="P12" i="59" s="1"/>
  <c r="O51" i="25"/>
  <c r="C23" i="49"/>
  <c r="C14" i="51"/>
  <c r="C23" i="51"/>
  <c r="J82" i="61"/>
  <c r="B62" i="61"/>
  <c r="I82" i="61"/>
  <c r="L49" i="61"/>
  <c r="H50" i="54"/>
  <c r="F50" i="54"/>
  <c r="I50" i="54" s="1"/>
  <c r="K103" i="54"/>
  <c r="K102" i="54" s="1"/>
  <c r="B127" i="56"/>
  <c r="D5" i="49"/>
  <c r="AR37" i="25"/>
  <c r="B60" i="61"/>
  <c r="J80" i="61"/>
  <c r="I80" i="61"/>
  <c r="L47" i="61"/>
  <c r="C13" i="49"/>
  <c r="D13" i="49"/>
  <c r="D19" i="51"/>
  <c r="C5" i="49"/>
  <c r="C22" i="49"/>
  <c r="C28" i="49"/>
  <c r="D14" i="49"/>
  <c r="J81" i="61"/>
  <c r="L48" i="61"/>
  <c r="I81" i="61"/>
  <c r="B47" i="54"/>
  <c r="J29" i="54"/>
  <c r="L103" i="54"/>
  <c r="L102" i="54" s="1"/>
  <c r="R29" i="57"/>
  <c r="T29" i="57"/>
  <c r="N26" i="59"/>
  <c r="Q23" i="63"/>
  <c r="Q26" i="63" s="1"/>
  <c r="Q29" i="63" s="1"/>
  <c r="AR32" i="25"/>
  <c r="AR40" i="25"/>
  <c r="D17" i="51"/>
  <c r="Q17" i="52"/>
  <c r="L22" i="52"/>
  <c r="N156" i="52" s="1"/>
  <c r="M61" i="54"/>
  <c r="M65" i="54"/>
  <c r="M68" i="54"/>
  <c r="X76" i="54"/>
  <c r="D53" i="58"/>
  <c r="S48" i="57" s="1"/>
  <c r="S45" i="57"/>
  <c r="T62" i="57"/>
  <c r="R62" i="57"/>
  <c r="T81" i="57"/>
  <c r="R81" i="57"/>
  <c r="N24" i="59"/>
  <c r="AR35" i="25"/>
  <c r="F8" i="52"/>
  <c r="F145" i="52" s="1"/>
  <c r="I9" i="52"/>
  <c r="AA144" i="52" s="1"/>
  <c r="R10" i="52"/>
  <c r="H14" i="52"/>
  <c r="Q15" i="52"/>
  <c r="H17" i="52"/>
  <c r="Q19" i="52"/>
  <c r="L21" i="52"/>
  <c r="H23" i="52"/>
  <c r="J157" i="52" s="1"/>
  <c r="D19" i="58"/>
  <c r="S17" i="57" s="1"/>
  <c r="N11" i="59"/>
  <c r="P11" i="59" s="1"/>
  <c r="M10" i="49"/>
  <c r="L10" i="51"/>
  <c r="L8" i="51"/>
  <c r="M8" i="49"/>
  <c r="L23" i="51"/>
  <c r="M23" i="49"/>
  <c r="I5" i="52"/>
  <c r="AA141" i="52" s="1"/>
  <c r="L6" i="52"/>
  <c r="N142" i="52" s="1"/>
  <c r="H8" i="52"/>
  <c r="J145" i="52" s="1"/>
  <c r="H11" i="52"/>
  <c r="L12" i="52"/>
  <c r="N148" i="52" s="1"/>
  <c r="R15" i="52"/>
  <c r="L18" i="52"/>
  <c r="R19" i="52"/>
  <c r="R21" i="52"/>
  <c r="R155" i="52" s="1"/>
  <c r="E38" i="54"/>
  <c r="X74" i="54"/>
  <c r="T34" i="57"/>
  <c r="T36" i="57"/>
  <c r="T153" i="57"/>
  <c r="T35" i="57"/>
  <c r="D176" i="58"/>
  <c r="S168" i="57" s="1"/>
  <c r="T168" i="57" s="1"/>
  <c r="N22" i="59"/>
  <c r="P19" i="59"/>
  <c r="C40" i="61"/>
  <c r="H78" i="25"/>
  <c r="K77" i="25"/>
  <c r="H75" i="25"/>
  <c r="Q78" i="25"/>
  <c r="Z76" i="25"/>
  <c r="N76" i="25"/>
  <c r="T77" i="25"/>
  <c r="H77" i="25"/>
  <c r="Z78" i="25"/>
  <c r="N78" i="25"/>
  <c r="Q77" i="25"/>
  <c r="Z75" i="25"/>
  <c r="N75" i="25"/>
  <c r="K78" i="25"/>
  <c r="T74" i="25"/>
  <c r="Z72" i="25"/>
  <c r="N72" i="25"/>
  <c r="Z64" i="25"/>
  <c r="N64" i="25"/>
  <c r="K62" i="25"/>
  <c r="T60" i="25"/>
  <c r="H60" i="25"/>
  <c r="Q58" i="25"/>
  <c r="AO51" i="25"/>
  <c r="AC51" i="25"/>
  <c r="AF49" i="25"/>
  <c r="H49" i="25"/>
  <c r="AI47" i="25"/>
  <c r="W47" i="25"/>
  <c r="AL45" i="25"/>
  <c r="Z45" i="25"/>
  <c r="N45" i="25"/>
  <c r="AO43" i="25"/>
  <c r="AC43" i="25"/>
  <c r="T73" i="25"/>
  <c r="H73" i="25"/>
  <c r="Z69" i="25"/>
  <c r="N69" i="25"/>
  <c r="H65" i="25"/>
  <c r="Q63" i="25"/>
  <c r="Z61" i="25"/>
  <c r="N61" i="25"/>
  <c r="AF52" i="25"/>
  <c r="H52" i="25"/>
  <c r="AI50" i="25"/>
  <c r="W50" i="25"/>
  <c r="AL48" i="25"/>
  <c r="Z48" i="25"/>
  <c r="N48" i="25"/>
  <c r="AO46" i="25"/>
  <c r="AC46" i="25"/>
  <c r="Q46" i="25"/>
  <c r="AF44" i="25"/>
  <c r="T44" i="25"/>
  <c r="Z77" i="25"/>
  <c r="T70" i="25"/>
  <c r="Z66" i="25"/>
  <c r="N66" i="25"/>
  <c r="H62" i="25"/>
  <c r="Q60" i="25"/>
  <c r="Z58" i="25"/>
  <c r="N58" i="25"/>
  <c r="N51" i="25"/>
  <c r="AO49" i="25"/>
  <c r="AC49" i="25"/>
  <c r="AF47" i="25"/>
  <c r="T47" i="25"/>
  <c r="H47" i="25"/>
  <c r="AI45" i="25"/>
  <c r="W45" i="25"/>
  <c r="AL43" i="25"/>
  <c r="Z43" i="25"/>
  <c r="N43" i="25"/>
  <c r="N77" i="25"/>
  <c r="N74" i="25"/>
  <c r="Q73" i="25"/>
  <c r="E73" i="25"/>
  <c r="N71" i="25"/>
  <c r="W69" i="25"/>
  <c r="Z63" i="25"/>
  <c r="N63" i="25"/>
  <c r="H59" i="25"/>
  <c r="AO52" i="25"/>
  <c r="AC52" i="25"/>
  <c r="Q52" i="25"/>
  <c r="AF50" i="25"/>
  <c r="AI48" i="25"/>
  <c r="W48" i="25"/>
  <c r="N46" i="25"/>
  <c r="AO44" i="25"/>
  <c r="AC44" i="25"/>
  <c r="H72" i="25"/>
  <c r="Z68" i="25"/>
  <c r="N68" i="25"/>
  <c r="H64" i="25"/>
  <c r="Q62" i="25"/>
  <c r="Z60" i="25"/>
  <c r="N60" i="25"/>
  <c r="W51" i="25"/>
  <c r="K51" i="25"/>
  <c r="Z49" i="25"/>
  <c r="N49" i="25"/>
  <c r="AO47" i="25"/>
  <c r="AC47" i="25"/>
  <c r="Q47" i="25"/>
  <c r="Z74" i="25"/>
  <c r="Z73" i="25"/>
  <c r="N73" i="25"/>
  <c r="B73" i="25"/>
  <c r="W71" i="25"/>
  <c r="T69" i="25"/>
  <c r="Z65" i="25"/>
  <c r="N65" i="25"/>
  <c r="Z52" i="25"/>
  <c r="N52" i="25"/>
  <c r="AO50" i="25"/>
  <c r="AC50" i="25"/>
  <c r="AF48" i="25"/>
  <c r="T48" i="25"/>
  <c r="H48" i="25"/>
  <c r="W46" i="25"/>
  <c r="AL44" i="25"/>
  <c r="Z44" i="25"/>
  <c r="N44" i="25"/>
  <c r="W74" i="25"/>
  <c r="H74" i="25"/>
  <c r="Q72" i="25"/>
  <c r="Z70" i="25"/>
  <c r="N70" i="25"/>
  <c r="H66" i="25"/>
  <c r="Q64" i="25"/>
  <c r="Z62" i="25"/>
  <c r="H58" i="25"/>
  <c r="H51" i="25"/>
  <c r="W49" i="25"/>
  <c r="AL47" i="25"/>
  <c r="Z47" i="25"/>
  <c r="N47" i="25"/>
  <c r="AC45" i="25"/>
  <c r="AF43" i="25"/>
  <c r="T43" i="25"/>
  <c r="N50" i="25"/>
  <c r="AO48" i="25"/>
  <c r="AF45" i="25"/>
  <c r="AF42" i="25"/>
  <c r="N41" i="25"/>
  <c r="AO39" i="25"/>
  <c r="AC39" i="25"/>
  <c r="H37" i="25"/>
  <c r="W35" i="25"/>
  <c r="Z33" i="25"/>
  <c r="N33" i="25"/>
  <c r="T25" i="25"/>
  <c r="H25" i="25"/>
  <c r="AF22" i="25"/>
  <c r="N21" i="25"/>
  <c r="W20" i="25"/>
  <c r="Y20" i="25" s="1"/>
  <c r="Q19" i="25"/>
  <c r="Z18" i="25"/>
  <c r="T17" i="25"/>
  <c r="AC16" i="25"/>
  <c r="AF14" i="25"/>
  <c r="N13" i="25"/>
  <c r="T71" i="25"/>
  <c r="AI44" i="25"/>
  <c r="W43" i="25"/>
  <c r="AF40" i="25"/>
  <c r="H40" i="25"/>
  <c r="AI38" i="25"/>
  <c r="W38" i="25"/>
  <c r="Z36" i="25"/>
  <c r="AO34" i="25"/>
  <c r="AC34" i="25"/>
  <c r="Q34" i="25"/>
  <c r="T32" i="25"/>
  <c r="H32" i="25"/>
  <c r="AF25" i="25"/>
  <c r="N24" i="25"/>
  <c r="W23" i="25"/>
  <c r="Z21" i="25"/>
  <c r="T20" i="25"/>
  <c r="V20" i="25" s="1"/>
  <c r="H20" i="25"/>
  <c r="AF17" i="25"/>
  <c r="N16" i="25"/>
  <c r="H71" i="25"/>
  <c r="Z67" i="25"/>
  <c r="AC48" i="25"/>
  <c r="AC42" i="25"/>
  <c r="W41" i="25"/>
  <c r="N39" i="25"/>
  <c r="AO37" i="25"/>
  <c r="Q37" i="25"/>
  <c r="AF35" i="25"/>
  <c r="AI33" i="25"/>
  <c r="W33" i="25"/>
  <c r="T23" i="25"/>
  <c r="AF20" i="25"/>
  <c r="N19" i="25"/>
  <c r="W18" i="25"/>
  <c r="Z16" i="25"/>
  <c r="T15" i="25"/>
  <c r="N67" i="25"/>
  <c r="AO42" i="25"/>
  <c r="N42" i="25"/>
  <c r="AO40" i="25"/>
  <c r="AC40" i="25"/>
  <c r="AF38" i="25"/>
  <c r="H38" i="25"/>
  <c r="K36" i="25"/>
  <c r="Z34" i="25"/>
  <c r="N34" i="25"/>
  <c r="AO32" i="25"/>
  <c r="AC32" i="25"/>
  <c r="K24" i="25"/>
  <c r="AF23" i="25"/>
  <c r="N22" i="25"/>
  <c r="W21" i="25"/>
  <c r="Q20" i="25"/>
  <c r="E20" i="25"/>
  <c r="G20" i="25" s="1"/>
  <c r="T18" i="25"/>
  <c r="H18" i="25"/>
  <c r="AC17" i="25"/>
  <c r="AF15" i="25"/>
  <c r="N14" i="25"/>
  <c r="W73" i="25"/>
  <c r="W52" i="25"/>
  <c r="H46" i="25"/>
  <c r="AI43" i="25"/>
  <c r="Z42" i="25"/>
  <c r="T41" i="25"/>
  <c r="W39" i="25"/>
  <c r="N37" i="25"/>
  <c r="AO35" i="25"/>
  <c r="AC35" i="25"/>
  <c r="AF33" i="25"/>
  <c r="H33" i="25"/>
  <c r="N25" i="25"/>
  <c r="W24" i="25"/>
  <c r="T21" i="25"/>
  <c r="H21" i="25"/>
  <c r="AC20" i="25"/>
  <c r="N17" i="25"/>
  <c r="W16" i="25"/>
  <c r="K73" i="25"/>
  <c r="H63" i="25"/>
  <c r="Z59" i="25"/>
  <c r="Z40" i="25"/>
  <c r="N40" i="25"/>
  <c r="AO38" i="25"/>
  <c r="AC38" i="25"/>
  <c r="Q38" i="25"/>
  <c r="AF36" i="25"/>
  <c r="H36" i="25"/>
  <c r="AI34" i="25"/>
  <c r="W34" i="25"/>
  <c r="N32" i="25"/>
  <c r="T24" i="25"/>
  <c r="H24" i="25"/>
  <c r="AF21" i="25"/>
  <c r="N20" i="25"/>
  <c r="W19" i="25"/>
  <c r="T16" i="25"/>
  <c r="N59" i="25"/>
  <c r="Z50" i="25"/>
  <c r="H45" i="25"/>
  <c r="W44" i="25"/>
  <c r="W42" i="25"/>
  <c r="AO41" i="25"/>
  <c r="AC41" i="25"/>
  <c r="H39" i="25"/>
  <c r="Z35" i="25"/>
  <c r="N35" i="25"/>
  <c r="AO33" i="25"/>
  <c r="AC33" i="25"/>
  <c r="AF24" i="25"/>
  <c r="N23" i="25"/>
  <c r="W22" i="25"/>
  <c r="Z20" i="25"/>
  <c r="T19" i="25"/>
  <c r="H19" i="25"/>
  <c r="AC18" i="25"/>
  <c r="AF16" i="25"/>
  <c r="N15" i="25"/>
  <c r="W14" i="25"/>
  <c r="T11" i="25"/>
  <c r="H11" i="25"/>
  <c r="AI40" i="25"/>
  <c r="W32" i="25"/>
  <c r="AC21" i="25"/>
  <c r="W17" i="25"/>
  <c r="T14" i="25"/>
  <c r="AF13" i="25"/>
  <c r="AF12" i="25"/>
  <c r="W11" i="25"/>
  <c r="H9" i="25"/>
  <c r="AF6" i="25"/>
  <c r="N5" i="25"/>
  <c r="Z38" i="25"/>
  <c r="AO36" i="25"/>
  <c r="W15" i="25"/>
  <c r="N8" i="25"/>
  <c r="W7" i="25"/>
  <c r="Q6" i="25"/>
  <c r="N12" i="25"/>
  <c r="AF11" i="25"/>
  <c r="Q11" i="25"/>
  <c r="W10" i="25"/>
  <c r="T7" i="25"/>
  <c r="H7" i="25"/>
  <c r="N38" i="25"/>
  <c r="W25" i="25"/>
  <c r="H13" i="25"/>
  <c r="T10" i="25"/>
  <c r="H10" i="25"/>
  <c r="AF7" i="25"/>
  <c r="N6" i="25"/>
  <c r="W5" i="25"/>
  <c r="H34" i="25"/>
  <c r="W13" i="25"/>
  <c r="N11" i="25"/>
  <c r="W8" i="25"/>
  <c r="Q7" i="25"/>
  <c r="T5" i="25"/>
  <c r="H5" i="25"/>
  <c r="AI52" i="25"/>
  <c r="W40" i="25"/>
  <c r="Q36" i="25"/>
  <c r="K20" i="25"/>
  <c r="N18" i="25"/>
  <c r="T13" i="25"/>
  <c r="W12" i="25"/>
  <c r="H12" i="25"/>
  <c r="AF10" i="25"/>
  <c r="Q10" i="25"/>
  <c r="T8" i="25"/>
  <c r="AF5" i="25"/>
  <c r="T22" i="25"/>
  <c r="T12" i="25"/>
  <c r="K9" i="25"/>
  <c r="AF8" i="25"/>
  <c r="N7" i="25"/>
  <c r="W6" i="25"/>
  <c r="AF34" i="25"/>
  <c r="Q24" i="25"/>
  <c r="H22" i="25"/>
  <c r="AF19" i="25"/>
  <c r="N10" i="25"/>
  <c r="T6" i="25"/>
  <c r="H6" i="25"/>
  <c r="R6" i="52"/>
  <c r="R142" i="52" s="1"/>
  <c r="I8" i="52"/>
  <c r="AA145" i="52" s="1"/>
  <c r="L9" i="52"/>
  <c r="N144" i="52" s="1"/>
  <c r="R12" i="52"/>
  <c r="R148" i="52" s="1"/>
  <c r="L14" i="52"/>
  <c r="N150" i="52" s="1"/>
  <c r="F16" i="52"/>
  <c r="F151" i="52" s="1"/>
  <c r="L17" i="52"/>
  <c r="L43" i="52" s="1"/>
  <c r="H20" i="52"/>
  <c r="H22" i="52"/>
  <c r="J156" i="52" s="1"/>
  <c r="L23" i="52"/>
  <c r="N157" i="52" s="1"/>
  <c r="F51" i="54"/>
  <c r="I51" i="54" s="1"/>
  <c r="X71" i="54"/>
  <c r="R10" i="57"/>
  <c r="T70" i="57"/>
  <c r="D40" i="58"/>
  <c r="D48" i="58"/>
  <c r="S43" i="57" s="1"/>
  <c r="R43" i="57" s="1"/>
  <c r="D81" i="58"/>
  <c r="S74" i="57" s="1"/>
  <c r="T74" i="57" s="1"/>
  <c r="D118" i="58"/>
  <c r="S111" i="57" s="1"/>
  <c r="H17" i="59"/>
  <c r="Q27" i="63"/>
  <c r="M14" i="49"/>
  <c r="L14" i="51"/>
  <c r="L20" i="51"/>
  <c r="M20" i="49"/>
  <c r="M9" i="49"/>
  <c r="L9" i="51"/>
  <c r="M12" i="49"/>
  <c r="L12" i="51"/>
  <c r="R9" i="52"/>
  <c r="R144" i="52" s="1"/>
  <c r="H13" i="52"/>
  <c r="J149" i="52" s="1"/>
  <c r="H16" i="52"/>
  <c r="J151" i="52" s="1"/>
  <c r="P17" i="52"/>
  <c r="M71" i="54"/>
  <c r="X79" i="54"/>
  <c r="D61" i="58"/>
  <c r="S54" i="57" s="1"/>
  <c r="R54" i="57" s="1"/>
  <c r="D110" i="58"/>
  <c r="S103" i="57" s="1"/>
  <c r="T103" i="57" s="1"/>
  <c r="N10" i="59"/>
  <c r="P10" i="59" s="1"/>
  <c r="P20" i="59"/>
  <c r="Y8" i="48"/>
  <c r="AC7" i="48"/>
  <c r="I8" i="48"/>
  <c r="F24" i="48" s="1"/>
  <c r="R8" i="48"/>
  <c r="AH14" i="49"/>
  <c r="D75" i="52"/>
  <c r="G4" i="52"/>
  <c r="F7" i="52"/>
  <c r="F34" i="52" s="1"/>
  <c r="F40" i="52"/>
  <c r="AA6" i="48"/>
  <c r="AA8" i="48" s="1"/>
  <c r="AD7" i="48"/>
  <c r="E45" i="48" s="1"/>
  <c r="V142" i="52"/>
  <c r="V147" i="52"/>
  <c r="D8" i="48"/>
  <c r="J141" i="52"/>
  <c r="V143" i="52"/>
  <c r="AD6" i="48"/>
  <c r="W8" i="48"/>
  <c r="F38" i="48" s="1"/>
  <c r="V141" i="52"/>
  <c r="F142" i="52"/>
  <c r="X6" i="48"/>
  <c r="X8" i="48" s="1"/>
  <c r="R143" i="52"/>
  <c r="F4" i="52"/>
  <c r="V150" i="52"/>
  <c r="F141" i="52"/>
  <c r="V144" i="52"/>
  <c r="J147" i="52"/>
  <c r="R149" i="52"/>
  <c r="V156" i="52"/>
  <c r="V153" i="52"/>
  <c r="J155" i="52"/>
  <c r="F157" i="52"/>
  <c r="R45" i="52"/>
  <c r="AD148" i="52"/>
  <c r="V145" i="52"/>
  <c r="H40" i="52"/>
  <c r="N147" i="52"/>
  <c r="F148" i="52"/>
  <c r="V151" i="52"/>
  <c r="J152" i="52"/>
  <c r="N153" i="52"/>
  <c r="AD156" i="52"/>
  <c r="N145" i="52"/>
  <c r="F144" i="52"/>
  <c r="V149" i="52"/>
  <c r="N151" i="52"/>
  <c r="V155" i="52"/>
  <c r="M37" i="52"/>
  <c r="K40" i="52"/>
  <c r="J148" i="52"/>
  <c r="N149" i="52"/>
  <c r="F150" i="52"/>
  <c r="R150" i="52"/>
  <c r="V152" i="52"/>
  <c r="AF153" i="52"/>
  <c r="N155" i="52"/>
  <c r="R156" i="52"/>
  <c r="AF151" i="52"/>
  <c r="N152" i="52"/>
  <c r="R153" i="52"/>
  <c r="V157" i="52"/>
  <c r="K45" i="52"/>
  <c r="AB142" i="52"/>
  <c r="N143" i="52"/>
  <c r="V148" i="52"/>
  <c r="J150" i="52"/>
  <c r="K43" i="52"/>
  <c r="L45" i="52"/>
  <c r="N37" i="52"/>
  <c r="AD151" i="52"/>
  <c r="AC142" i="52"/>
  <c r="AC145" i="52"/>
  <c r="N40" i="52"/>
  <c r="AD142" i="52"/>
  <c r="T143" i="52"/>
  <c r="AD145" i="52"/>
  <c r="O40" i="52"/>
  <c r="AD157" i="52"/>
  <c r="T144" i="52"/>
  <c r="AD147" i="52"/>
  <c r="AD153" i="52"/>
  <c r="T142" i="52"/>
  <c r="T145" i="52"/>
  <c r="J40" i="52"/>
  <c r="T147" i="52"/>
  <c r="T148" i="52"/>
  <c r="T149" i="52"/>
  <c r="T150" i="52"/>
  <c r="T151" i="52"/>
  <c r="T152" i="52"/>
  <c r="T153" i="52"/>
  <c r="J43" i="52"/>
  <c r="T155" i="52"/>
  <c r="T156" i="52"/>
  <c r="T157" i="52"/>
  <c r="J45" i="52"/>
  <c r="AB145" i="52"/>
  <c r="M40" i="52"/>
  <c r="AB147" i="52"/>
  <c r="AB148" i="52"/>
  <c r="AB151" i="52"/>
  <c r="AB152" i="52"/>
  <c r="AB153" i="52"/>
  <c r="M43" i="52"/>
  <c r="AB155" i="52"/>
  <c r="AB156" i="52"/>
  <c r="AB157" i="52"/>
  <c r="AC147" i="52"/>
  <c r="AC148" i="52"/>
  <c r="AC151" i="52"/>
  <c r="AC152" i="52"/>
  <c r="AC153" i="52"/>
  <c r="N43" i="52"/>
  <c r="AC155" i="52"/>
  <c r="AC156" i="52"/>
  <c r="AC157" i="52"/>
  <c r="V139" i="52"/>
  <c r="N139" i="52"/>
  <c r="B51" i="54"/>
  <c r="J33" i="54"/>
  <c r="D51" i="54"/>
  <c r="C51" i="54"/>
  <c r="AA140" i="52"/>
  <c r="T68" i="57"/>
  <c r="R68" i="57"/>
  <c r="T92" i="57"/>
  <c r="R92" i="57"/>
  <c r="S105" i="57"/>
  <c r="D114" i="58"/>
  <c r="S107" i="57" s="1"/>
  <c r="L96" i="52"/>
  <c r="T139" i="52"/>
  <c r="T22" i="57"/>
  <c r="R22" i="57"/>
  <c r="H48" i="54"/>
  <c r="G48" i="54"/>
  <c r="F48" i="54"/>
  <c r="I34" i="54"/>
  <c r="F52" i="54" s="1"/>
  <c r="R103" i="57"/>
  <c r="P16" i="59"/>
  <c r="U30" i="59"/>
  <c r="D98" i="54"/>
  <c r="R67" i="57"/>
  <c r="T67" i="57"/>
  <c r="D101" i="54"/>
  <c r="J30" i="54"/>
  <c r="C39" i="54"/>
  <c r="D47" i="54"/>
  <c r="E47" i="54" s="1"/>
  <c r="D48" i="54"/>
  <c r="D49" i="54"/>
  <c r="E49" i="54" s="1"/>
  <c r="D50" i="54"/>
  <c r="D99" i="54"/>
  <c r="T13" i="57"/>
  <c r="R13" i="57"/>
  <c r="T82" i="57"/>
  <c r="R82" i="57"/>
  <c r="D103" i="58"/>
  <c r="S96" i="57" s="1"/>
  <c r="S94" i="57"/>
  <c r="T106" i="57"/>
  <c r="R106" i="57"/>
  <c r="N17" i="59"/>
  <c r="P23" i="59"/>
  <c r="R41" i="57"/>
  <c r="T41" i="57"/>
  <c r="R121" i="57"/>
  <c r="T121" i="57"/>
  <c r="T95" i="57"/>
  <c r="R95" i="57"/>
  <c r="F49" i="54"/>
  <c r="C103" i="54"/>
  <c r="C102" i="54" s="1"/>
  <c r="T54" i="57"/>
  <c r="T71" i="57"/>
  <c r="R71" i="57"/>
  <c r="T84" i="57"/>
  <c r="R84" i="57"/>
  <c r="U27" i="59"/>
  <c r="W19" i="59" s="1"/>
  <c r="J31" i="54"/>
  <c r="G47" i="54"/>
  <c r="I47" i="54" s="1"/>
  <c r="G49" i="54"/>
  <c r="G50" i="54"/>
  <c r="G51" i="54"/>
  <c r="M103" i="54"/>
  <c r="O99" i="54"/>
  <c r="R45" i="57"/>
  <c r="T45" i="57"/>
  <c r="T83" i="57"/>
  <c r="R100" i="57"/>
  <c r="T100" i="57"/>
  <c r="H18" i="59"/>
  <c r="H9" i="59"/>
  <c r="H15" i="59"/>
  <c r="H7" i="59"/>
  <c r="H5" i="59"/>
  <c r="N103" i="54"/>
  <c r="N102" i="54" s="1"/>
  <c r="O98" i="54"/>
  <c r="R32" i="57"/>
  <c r="T32" i="57"/>
  <c r="R73" i="57"/>
  <c r="T73" i="57"/>
  <c r="R87" i="57"/>
  <c r="T87" i="57"/>
  <c r="R129" i="57"/>
  <c r="T129" i="57"/>
  <c r="T19" i="57"/>
  <c r="R19" i="57"/>
  <c r="S59" i="57"/>
  <c r="D71" i="58"/>
  <c r="S64" i="57" s="1"/>
  <c r="S137" i="57"/>
  <c r="D148" i="58"/>
  <c r="S140" i="57" s="1"/>
  <c r="N5" i="59"/>
  <c r="P5" i="59" s="1"/>
  <c r="N9" i="59"/>
  <c r="P9" i="59" s="1"/>
  <c r="H13" i="59"/>
  <c r="M30" i="59"/>
  <c r="N30" i="59" s="1"/>
  <c r="P22" i="59"/>
  <c r="P18" i="59"/>
  <c r="P21" i="59"/>
  <c r="N18" i="59"/>
  <c r="E34" i="54"/>
  <c r="C52" i="54" s="1"/>
  <c r="O97" i="54"/>
  <c r="R166" i="57"/>
  <c r="T166" i="57"/>
  <c r="D23" i="58"/>
  <c r="T138" i="57"/>
  <c r="R138" i="57"/>
  <c r="N6" i="59"/>
  <c r="P6" i="59" s="1"/>
  <c r="H10" i="59"/>
  <c r="H16" i="59"/>
  <c r="N25" i="59"/>
  <c r="F39" i="61"/>
  <c r="D39" i="61"/>
  <c r="L29" i="61" s="1"/>
  <c r="J32" i="54"/>
  <c r="P97" i="54"/>
  <c r="R9" i="57"/>
  <c r="T9" i="57"/>
  <c r="R48" i="57"/>
  <c r="T48" i="57"/>
  <c r="D26" i="58"/>
  <c r="S23" i="57" s="1"/>
  <c r="S21" i="57"/>
  <c r="D92" i="58"/>
  <c r="S85" i="57" s="1"/>
  <c r="D100" i="58"/>
  <c r="S91" i="57"/>
  <c r="T102" i="57"/>
  <c r="R102" i="57"/>
  <c r="D143" i="58"/>
  <c r="S119" i="57"/>
  <c r="T127" i="57"/>
  <c r="R127" i="57"/>
  <c r="R30" i="57"/>
  <c r="E11" i="61"/>
  <c r="J38" i="61"/>
  <c r="T12" i="57"/>
  <c r="T15" i="57"/>
  <c r="R33" i="57"/>
  <c r="R46" i="57"/>
  <c r="R49" i="57"/>
  <c r="T53" i="57"/>
  <c r="T57" i="57"/>
  <c r="R88" i="57"/>
  <c r="R122" i="57"/>
  <c r="T124" i="57"/>
  <c r="R130" i="57"/>
  <c r="T132" i="57"/>
  <c r="R164" i="57"/>
  <c r="N23" i="59"/>
  <c r="R36" i="57"/>
  <c r="T39" i="57"/>
  <c r="T42" i="57"/>
  <c r="N20" i="59"/>
  <c r="J36" i="61"/>
  <c r="R120" i="57"/>
  <c r="R139" i="57"/>
  <c r="N8" i="59"/>
  <c r="P8" i="59" s="1"/>
  <c r="N16" i="59"/>
  <c r="R11" i="57"/>
  <c r="R52" i="57"/>
  <c r="R76" i="57"/>
  <c r="R89" i="57"/>
  <c r="T109" i="57"/>
  <c r="T113" i="57"/>
  <c r="R123" i="57"/>
  <c r="T125" i="57"/>
  <c r="R131" i="57"/>
  <c r="T133" i="57"/>
  <c r="T136" i="57"/>
  <c r="D29" i="61"/>
  <c r="L25" i="61" s="1"/>
  <c r="O101" i="54"/>
  <c r="T8" i="57"/>
  <c r="T31" i="57"/>
  <c r="T40" i="57"/>
  <c r="T47" i="57"/>
  <c r="T66" i="57"/>
  <c r="T72" i="57"/>
  <c r="T128" i="57"/>
  <c r="N19" i="59"/>
  <c r="F29" i="61"/>
  <c r="D58" i="17"/>
  <c r="I51" i="25"/>
  <c r="N12" i="17"/>
  <c r="E35" i="17"/>
  <c r="E58" i="17"/>
  <c r="G61" i="17"/>
  <c r="D35" i="17"/>
  <c r="O10" i="17"/>
  <c r="L12" i="17"/>
  <c r="O12" i="17" s="1"/>
  <c r="K14" i="17"/>
  <c r="N14" i="17" s="1"/>
  <c r="N30" i="17"/>
  <c r="O30" i="17"/>
  <c r="N9" i="17"/>
  <c r="M4" i="50" s="1"/>
  <c r="G46" i="81" l="1"/>
  <c r="I46" i="81"/>
  <c r="F46" i="81"/>
  <c r="R168" i="57"/>
  <c r="R74" i="57"/>
  <c r="L40" i="52"/>
  <c r="T43" i="57"/>
  <c r="M26" i="50"/>
  <c r="O4" i="50"/>
  <c r="E48" i="54"/>
  <c r="P31" i="50"/>
  <c r="P30" i="50"/>
  <c r="C27" i="49"/>
  <c r="J78" i="61"/>
  <c r="C10" i="51"/>
  <c r="C26" i="51"/>
  <c r="Y25" i="64"/>
  <c r="Z25" i="64"/>
  <c r="R119" i="64"/>
  <c r="X119" i="64" s="1"/>
  <c r="Y101" i="64"/>
  <c r="X102" i="64"/>
  <c r="S102" i="64"/>
  <c r="X118" i="64"/>
  <c r="S118" i="64"/>
  <c r="L22" i="25"/>
  <c r="I22" i="25"/>
  <c r="AR42" i="25"/>
  <c r="AR46" i="25"/>
  <c r="AR48" i="25"/>
  <c r="AR43" i="25"/>
  <c r="AR49" i="25"/>
  <c r="AR52" i="25"/>
  <c r="AR44" i="25"/>
  <c r="AR41" i="25"/>
  <c r="AR45" i="25"/>
  <c r="AR47" i="25"/>
  <c r="AR50" i="25"/>
  <c r="L77" i="25"/>
  <c r="E44" i="48"/>
  <c r="X4" i="25"/>
  <c r="W24" i="59"/>
  <c r="R40" i="52"/>
  <c r="R79" i="57"/>
  <c r="Q25" i="63"/>
  <c r="H43" i="52"/>
  <c r="L145" i="52"/>
  <c r="M80" i="54"/>
  <c r="I37" i="61"/>
  <c r="E43" i="48"/>
  <c r="H34" i="52"/>
  <c r="I84" i="61"/>
  <c r="AA77" i="25"/>
  <c r="E50" i="54"/>
  <c r="I75" i="25"/>
  <c r="AA75" i="25"/>
  <c r="I77" i="25"/>
  <c r="L7" i="51"/>
  <c r="M7" i="49"/>
  <c r="W21" i="59"/>
  <c r="D10" i="51"/>
  <c r="W20" i="59"/>
  <c r="D18" i="51"/>
  <c r="T126" i="57"/>
  <c r="R126" i="57"/>
  <c r="X80" i="54"/>
  <c r="J142" i="52"/>
  <c r="K7" i="51"/>
  <c r="W17" i="59"/>
  <c r="T111" i="57"/>
  <c r="R111" i="57"/>
  <c r="L24" i="25"/>
  <c r="M5" i="49"/>
  <c r="L5" i="51"/>
  <c r="O77" i="25"/>
  <c r="W18" i="59"/>
  <c r="W26" i="59"/>
  <c r="AP51" i="25"/>
  <c r="M25" i="49"/>
  <c r="L25" i="51"/>
  <c r="D8" i="49"/>
  <c r="L51" i="25"/>
  <c r="J34" i="54"/>
  <c r="D9" i="49"/>
  <c r="I76" i="61"/>
  <c r="O75" i="25"/>
  <c r="C6" i="49"/>
  <c r="C18" i="49"/>
  <c r="D10" i="49"/>
  <c r="T85" i="57"/>
  <c r="R85" i="57"/>
  <c r="T64" i="57"/>
  <c r="R64" i="57"/>
  <c r="O103" i="54"/>
  <c r="M102" i="54"/>
  <c r="T94" i="57"/>
  <c r="R94" i="57"/>
  <c r="D103" i="54"/>
  <c r="B102" i="54"/>
  <c r="D102" i="54" s="1"/>
  <c r="I120" i="54" s="1"/>
  <c r="N146" i="52"/>
  <c r="J158" i="52"/>
  <c r="F158" i="52"/>
  <c r="G37" i="52"/>
  <c r="T21" i="57"/>
  <c r="R21" i="57"/>
  <c r="T59" i="57"/>
  <c r="R59" i="57"/>
  <c r="R96" i="57"/>
  <c r="T96" i="57"/>
  <c r="H52" i="54"/>
  <c r="I48" i="54"/>
  <c r="P153" i="52"/>
  <c r="T158" i="52"/>
  <c r="AD146" i="52"/>
  <c r="R146" i="52"/>
  <c r="T119" i="57"/>
  <c r="R119" i="57"/>
  <c r="R23" i="57"/>
  <c r="T23" i="57"/>
  <c r="T154" i="52"/>
  <c r="F37" i="52"/>
  <c r="D149" i="58"/>
  <c r="S135" i="57"/>
  <c r="S20" i="57"/>
  <c r="D27" i="58"/>
  <c r="P28" i="59"/>
  <c r="G52" i="54"/>
  <c r="V154" i="52"/>
  <c r="T17" i="57"/>
  <c r="R17" i="57"/>
  <c r="R140" i="57"/>
  <c r="T140" i="57"/>
  <c r="T146" i="52"/>
  <c r="N158" i="52"/>
  <c r="F146" i="52"/>
  <c r="C104" i="55"/>
  <c r="C111" i="55"/>
  <c r="C114" i="55"/>
  <c r="R137" i="57"/>
  <c r="T137" i="57"/>
  <c r="D52" i="54"/>
  <c r="B52" i="54"/>
  <c r="E51" i="54"/>
  <c r="AB146" i="52"/>
  <c r="V158" i="52"/>
  <c r="L148" i="52"/>
  <c r="J154" i="52"/>
  <c r="R158" i="52"/>
  <c r="J37" i="61"/>
  <c r="J39" i="61" s="1"/>
  <c r="D40" i="61"/>
  <c r="D11" i="61"/>
  <c r="L17" i="61" s="1"/>
  <c r="L30" i="61" s="1"/>
  <c r="T91" i="57"/>
  <c r="R91" i="57"/>
  <c r="W25" i="59"/>
  <c r="W23" i="59"/>
  <c r="W22" i="59"/>
  <c r="E39" i="54"/>
  <c r="C40" i="54" s="1"/>
  <c r="T107" i="57"/>
  <c r="R107" i="57"/>
  <c r="V146" i="52"/>
  <c r="R154" i="52"/>
  <c r="F143" i="52"/>
  <c r="S93" i="57"/>
  <c r="D104" i="58"/>
  <c r="S97" i="57" s="1"/>
  <c r="I49" i="54"/>
  <c r="T105" i="57"/>
  <c r="R105" i="57"/>
  <c r="AC154" i="52"/>
  <c r="AB154" i="52"/>
  <c r="AC146" i="52"/>
  <c r="J146" i="52"/>
  <c r="N154" i="52"/>
  <c r="D45" i="48"/>
  <c r="AD8" i="48"/>
  <c r="F45" i="48" s="1"/>
  <c r="D67" i="17"/>
  <c r="E67" i="17"/>
  <c r="K31" i="17"/>
  <c r="L31" i="17"/>
  <c r="R22" i="25"/>
  <c r="O102" i="54" l="1"/>
  <c r="O104" i="54" s="1"/>
  <c r="P102" i="54"/>
  <c r="M104" i="54"/>
  <c r="L104" i="54"/>
  <c r="Y37" i="50"/>
  <c r="Y68" i="50"/>
  <c r="Y70" i="50"/>
  <c r="P32" i="50"/>
  <c r="O26" i="50"/>
  <c r="Q4" i="50"/>
  <c r="G31" i="50"/>
  <c r="K8" i="50"/>
  <c r="K104" i="54"/>
  <c r="W37" i="50"/>
  <c r="W70" i="50"/>
  <c r="W68" i="50"/>
  <c r="N104" i="54"/>
  <c r="S119" i="64"/>
  <c r="D11" i="49"/>
  <c r="K49" i="61"/>
  <c r="B58" i="61"/>
  <c r="C9" i="51"/>
  <c r="D9" i="51"/>
  <c r="Y118" i="64"/>
  <c r="Z118" i="64"/>
  <c r="Y119" i="64"/>
  <c r="Z119" i="64"/>
  <c r="Y102" i="64"/>
  <c r="Z102" i="64"/>
  <c r="X120" i="64"/>
  <c r="AD16" i="25"/>
  <c r="AA22" i="25"/>
  <c r="AA24" i="25"/>
  <c r="I52" i="54"/>
  <c r="C5" i="51"/>
  <c r="E52" i="54"/>
  <c r="AG24" i="25"/>
  <c r="I24" i="25"/>
  <c r="D5" i="51"/>
  <c r="J88" i="61"/>
  <c r="M48" i="61"/>
  <c r="B68" i="61"/>
  <c r="J85" i="61"/>
  <c r="B65" i="61"/>
  <c r="J87" i="61"/>
  <c r="B67" i="61"/>
  <c r="M47" i="61"/>
  <c r="C11" i="51"/>
  <c r="J84" i="61"/>
  <c r="B64" i="61"/>
  <c r="J89" i="61"/>
  <c r="B69" i="61"/>
  <c r="J86" i="61"/>
  <c r="D11" i="51"/>
  <c r="B66" i="61"/>
  <c r="M49" i="61"/>
  <c r="D18" i="49"/>
  <c r="AR36" i="25"/>
  <c r="AG22" i="25"/>
  <c r="O22" i="25"/>
  <c r="J76" i="61"/>
  <c r="C11" i="49"/>
  <c r="B56" i="61"/>
  <c r="K47" i="61"/>
  <c r="O24" i="25"/>
  <c r="K48" i="61"/>
  <c r="B57" i="61"/>
  <c r="J77" i="61"/>
  <c r="C10" i="49"/>
  <c r="R24" i="25"/>
  <c r="C12" i="51"/>
  <c r="D12" i="51"/>
  <c r="T97" i="57"/>
  <c r="R97" i="57"/>
  <c r="C109" i="55"/>
  <c r="C110" i="55"/>
  <c r="S24" i="57"/>
  <c r="D28" i="58"/>
  <c r="D123" i="58"/>
  <c r="D150" i="58" s="1"/>
  <c r="R93" i="57"/>
  <c r="T93" i="57"/>
  <c r="R20" i="57"/>
  <c r="T20" i="57"/>
  <c r="T135" i="57"/>
  <c r="R135" i="57"/>
  <c r="S141" i="57"/>
  <c r="B40" i="54"/>
  <c r="D40" i="54"/>
  <c r="P90" i="54"/>
  <c r="P88" i="54"/>
  <c r="P92" i="54"/>
  <c r="I101" i="54"/>
  <c r="J100" i="54"/>
  <c r="P89" i="54"/>
  <c r="I100" i="54"/>
  <c r="L88" i="54"/>
  <c r="P91" i="54"/>
  <c r="L89" i="54"/>
  <c r="I97" i="54"/>
  <c r="J98" i="54"/>
  <c r="P93" i="54"/>
  <c r="J99" i="54"/>
  <c r="J97" i="54"/>
  <c r="J101" i="54"/>
  <c r="I99" i="54"/>
  <c r="P84" i="54"/>
  <c r="I98" i="54"/>
  <c r="P83" i="54"/>
  <c r="P85" i="54"/>
  <c r="L83" i="54"/>
  <c r="L86" i="54" s="1"/>
  <c r="K46" i="81" l="1"/>
  <c r="Y71" i="50"/>
  <c r="N76" i="50"/>
  <c r="W59" i="50"/>
  <c r="AC37" i="50"/>
  <c r="O76" i="50"/>
  <c r="Y59" i="50"/>
  <c r="Q26" i="50"/>
  <c r="S4" i="50"/>
  <c r="O31" i="50"/>
  <c r="Q31" i="50" s="1"/>
  <c r="S31" i="50" s="1"/>
  <c r="O30" i="50"/>
  <c r="W71" i="50"/>
  <c r="Y120" i="64"/>
  <c r="Z120" i="64"/>
  <c r="AR51" i="25"/>
  <c r="C9" i="49"/>
  <c r="P86" i="54"/>
  <c r="I103" i="54"/>
  <c r="I102" i="54" s="1"/>
  <c r="S116" i="57"/>
  <c r="D152" i="58"/>
  <c r="S25" i="57"/>
  <c r="D29" i="58"/>
  <c r="T24" i="57"/>
  <c r="R24" i="57"/>
  <c r="J103" i="54"/>
  <c r="J102" i="54" s="1"/>
  <c r="O93" i="54"/>
  <c r="O90" i="54"/>
  <c r="O88" i="54"/>
  <c r="G99" i="54"/>
  <c r="O92" i="54"/>
  <c r="O89" i="54"/>
  <c r="H100" i="54"/>
  <c r="K88" i="54"/>
  <c r="G100" i="54"/>
  <c r="O91" i="54"/>
  <c r="O83" i="54"/>
  <c r="K89" i="54"/>
  <c r="H101" i="54"/>
  <c r="K83" i="54"/>
  <c r="K86" i="54" s="1"/>
  <c r="G101" i="54"/>
  <c r="H99" i="54"/>
  <c r="O84" i="54"/>
  <c r="G98" i="54"/>
  <c r="G97" i="54"/>
  <c r="H97" i="54"/>
  <c r="O85" i="54"/>
  <c r="H98" i="54"/>
  <c r="T141" i="57"/>
  <c r="R141" i="57"/>
  <c r="E100" i="54"/>
  <c r="J89" i="54"/>
  <c r="N93" i="54"/>
  <c r="N90" i="54"/>
  <c r="F98" i="54"/>
  <c r="E97" i="54"/>
  <c r="N88" i="54"/>
  <c r="N92" i="54"/>
  <c r="E101" i="54"/>
  <c r="E99" i="54"/>
  <c r="N89" i="54"/>
  <c r="J88" i="54"/>
  <c r="F100" i="54"/>
  <c r="N91" i="54"/>
  <c r="J83" i="54"/>
  <c r="J86" i="54" s="1"/>
  <c r="F97" i="54"/>
  <c r="F99" i="54"/>
  <c r="F101" i="54"/>
  <c r="N83" i="54"/>
  <c r="N84" i="54"/>
  <c r="E98" i="54"/>
  <c r="N85" i="54"/>
  <c r="S142" i="57"/>
  <c r="D165" i="58"/>
  <c r="S157" i="57" s="1"/>
  <c r="AD64" i="25"/>
  <c r="AD62" i="25"/>
  <c r="AD78" i="25"/>
  <c r="AD70" i="25"/>
  <c r="AD58" i="25"/>
  <c r="AD75" i="25"/>
  <c r="AD66" i="25"/>
  <c r="AD65" i="25"/>
  <c r="AD61" i="25"/>
  <c r="AD60" i="25"/>
  <c r="AD67" i="25"/>
  <c r="AD72" i="25"/>
  <c r="AD63" i="25"/>
  <c r="AD77" i="25"/>
  <c r="AD59" i="25"/>
  <c r="Q76" i="50" l="1"/>
  <c r="AU46" i="81"/>
  <c r="E46" i="81"/>
  <c r="L46" i="81"/>
  <c r="C46" i="81"/>
  <c r="O98" i="50"/>
  <c r="O99" i="50" s="1"/>
  <c r="N98" i="50"/>
  <c r="AC59" i="50"/>
  <c r="O32" i="50"/>
  <c r="Q30" i="50"/>
  <c r="T31" i="50"/>
  <c r="D70" i="50" s="1"/>
  <c r="C70" i="50"/>
  <c r="T4" i="50"/>
  <c r="D37" i="50" s="1"/>
  <c r="C37" i="50"/>
  <c r="AD37" i="50" s="1"/>
  <c r="S26" i="50"/>
  <c r="T26" i="50" s="1"/>
  <c r="D59" i="50" s="1"/>
  <c r="AD76" i="25"/>
  <c r="AD71" i="25"/>
  <c r="AD73" i="25"/>
  <c r="AD68" i="25"/>
  <c r="AD74" i="25"/>
  <c r="R85" i="54"/>
  <c r="AD69" i="25"/>
  <c r="H103" i="54"/>
  <c r="H102" i="54" s="1"/>
  <c r="T25" i="57"/>
  <c r="R25" i="57"/>
  <c r="G103" i="54"/>
  <c r="G102" i="54" s="1"/>
  <c r="O86" i="54"/>
  <c r="N86" i="54"/>
  <c r="R84" i="54" s="1"/>
  <c r="D167" i="58"/>
  <c r="S144" i="57"/>
  <c r="T157" i="57"/>
  <c r="R157" i="57"/>
  <c r="F103" i="54"/>
  <c r="F102" i="54" s="1"/>
  <c r="T116" i="57"/>
  <c r="R116" i="57"/>
  <c r="T142" i="57"/>
  <c r="R142" i="57"/>
  <c r="E103" i="54"/>
  <c r="E102" i="54" s="1"/>
  <c r="I105" i="54"/>
  <c r="D124" i="58"/>
  <c r="S26" i="57"/>
  <c r="AD56" i="25"/>
  <c r="J70" i="50" l="1"/>
  <c r="N70" i="50"/>
  <c r="P70" i="50"/>
  <c r="T70" i="50"/>
  <c r="AA70" i="50"/>
  <c r="X70" i="50"/>
  <c r="Z70" i="50"/>
  <c r="D98" i="50"/>
  <c r="D126" i="50"/>
  <c r="D135" i="50" s="1"/>
  <c r="N99" i="50"/>
  <c r="Q98" i="50"/>
  <c r="J37" i="50"/>
  <c r="C104" i="50"/>
  <c r="C76" i="50"/>
  <c r="R76" i="50" s="1"/>
  <c r="AB37" i="50"/>
  <c r="P104" i="50" s="1"/>
  <c r="C59" i="50"/>
  <c r="P37" i="50"/>
  <c r="J104" i="50" s="1"/>
  <c r="T37" i="50"/>
  <c r="L104" i="50" s="1"/>
  <c r="N37" i="50"/>
  <c r="I104" i="50" s="1"/>
  <c r="Z37" i="50"/>
  <c r="O104" i="50" s="1"/>
  <c r="X37" i="50"/>
  <c r="N104" i="50" s="1"/>
  <c r="D76" i="50"/>
  <c r="D104" i="50"/>
  <c r="S30" i="50"/>
  <c r="Q32" i="50"/>
  <c r="R83" i="54"/>
  <c r="G105" i="54"/>
  <c r="G114" i="54" s="1"/>
  <c r="E105" i="54"/>
  <c r="T26" i="57"/>
  <c r="R26" i="57"/>
  <c r="S117" i="57"/>
  <c r="D153" i="58"/>
  <c r="D151" i="58"/>
  <c r="I112" i="54"/>
  <c r="I113" i="54"/>
  <c r="I114" i="54"/>
  <c r="I111" i="54"/>
  <c r="J113" i="54"/>
  <c r="J111" i="54"/>
  <c r="J112" i="54"/>
  <c r="J114" i="54"/>
  <c r="J115" i="54"/>
  <c r="I115" i="54"/>
  <c r="T144" i="57"/>
  <c r="R144" i="57"/>
  <c r="S159" i="57"/>
  <c r="D169" i="58"/>
  <c r="S161" i="57" s="1"/>
  <c r="AD57" i="25"/>
  <c r="S32" i="50" l="1"/>
  <c r="T32" i="50" s="1"/>
  <c r="T30" i="50"/>
  <c r="D68" i="50" s="1"/>
  <c r="C68" i="50"/>
  <c r="J59" i="50"/>
  <c r="G126" i="50" s="1"/>
  <c r="G135" i="50" s="1"/>
  <c r="C60" i="50"/>
  <c r="C126" i="50"/>
  <c r="C135" i="50" s="1"/>
  <c r="C98" i="50"/>
  <c r="C99" i="50" s="1"/>
  <c r="N127" i="50" s="1"/>
  <c r="AB59" i="50"/>
  <c r="P126" i="50" s="1"/>
  <c r="J135" i="50" s="1"/>
  <c r="F59" i="50"/>
  <c r="H59" i="50"/>
  <c r="F126" i="50" s="1"/>
  <c r="F135" i="50" s="1"/>
  <c r="P59" i="50"/>
  <c r="J126" i="50" s="1"/>
  <c r="T59" i="50"/>
  <c r="L126" i="50" s="1"/>
  <c r="L59" i="50"/>
  <c r="H126" i="50" s="1"/>
  <c r="R59" i="50"/>
  <c r="K126" i="50" s="1"/>
  <c r="N59" i="50"/>
  <c r="I126" i="50" s="1"/>
  <c r="V59" i="50"/>
  <c r="M126" i="50" s="1"/>
  <c r="Z59" i="50"/>
  <c r="O126" i="50" s="1"/>
  <c r="X59" i="50"/>
  <c r="N126" i="50" s="1"/>
  <c r="AD59" i="50"/>
  <c r="AC70" i="50"/>
  <c r="AB70" i="50"/>
  <c r="G104" i="50"/>
  <c r="Q104" i="50" s="1"/>
  <c r="AE37" i="50"/>
  <c r="AF37" i="50" s="1"/>
  <c r="H113" i="54"/>
  <c r="H111" i="54"/>
  <c r="G111" i="54"/>
  <c r="H114" i="54"/>
  <c r="G115" i="54"/>
  <c r="G112" i="54"/>
  <c r="H112" i="54"/>
  <c r="H115" i="54"/>
  <c r="D15" i="51" s="1"/>
  <c r="G113" i="54"/>
  <c r="F115" i="54"/>
  <c r="F113" i="54"/>
  <c r="F111" i="54"/>
  <c r="E112" i="54"/>
  <c r="E113" i="54"/>
  <c r="E115" i="54"/>
  <c r="E111" i="54"/>
  <c r="F114" i="54"/>
  <c r="E114" i="54"/>
  <c r="F112" i="54"/>
  <c r="R117" i="57"/>
  <c r="T117" i="57"/>
  <c r="I117" i="54"/>
  <c r="I116" i="54" s="1"/>
  <c r="S145" i="57"/>
  <c r="D168" i="58"/>
  <c r="S160" i="57" s="1"/>
  <c r="J117" i="54"/>
  <c r="J116" i="54" s="1"/>
  <c r="T159" i="57"/>
  <c r="R159" i="57"/>
  <c r="D166" i="58"/>
  <c r="S158" i="57" s="1"/>
  <c r="S143" i="57"/>
  <c r="H135" i="50" l="1"/>
  <c r="I135" i="50"/>
  <c r="AZ46" i="81"/>
  <c r="J60" i="50"/>
  <c r="H60" i="50"/>
  <c r="F60" i="50"/>
  <c r="T60" i="50"/>
  <c r="P60" i="50"/>
  <c r="V60" i="50"/>
  <c r="N60" i="50"/>
  <c r="R60" i="50"/>
  <c r="L60" i="50"/>
  <c r="Z60" i="50"/>
  <c r="X60" i="50"/>
  <c r="R98" i="50"/>
  <c r="C71" i="50"/>
  <c r="AA68" i="50"/>
  <c r="J68" i="50"/>
  <c r="N68" i="50"/>
  <c r="X68" i="50"/>
  <c r="Z68" i="50"/>
  <c r="E126" i="50"/>
  <c r="AE59" i="50"/>
  <c r="AF59" i="50" s="1"/>
  <c r="E127" i="50"/>
  <c r="D99" i="50"/>
  <c r="D127" i="50" s="1"/>
  <c r="C127" i="50"/>
  <c r="G127" i="50"/>
  <c r="F127" i="50"/>
  <c r="P127" i="50"/>
  <c r="J127" i="50"/>
  <c r="L127" i="50"/>
  <c r="I127" i="50"/>
  <c r="M127" i="50"/>
  <c r="K127" i="50"/>
  <c r="H127" i="50"/>
  <c r="O127" i="50"/>
  <c r="I119" i="54"/>
  <c r="K113" i="54"/>
  <c r="K112" i="54"/>
  <c r="K115" i="54"/>
  <c r="C15" i="49"/>
  <c r="G117" i="54"/>
  <c r="G116" i="54" s="1"/>
  <c r="L112" i="54"/>
  <c r="L113" i="54"/>
  <c r="C15" i="51"/>
  <c r="K114" i="54"/>
  <c r="L115" i="54"/>
  <c r="D15" i="49"/>
  <c r="L114" i="54"/>
  <c r="H117" i="54"/>
  <c r="H116" i="54" s="1"/>
  <c r="R145" i="57"/>
  <c r="T145" i="57"/>
  <c r="T143" i="57"/>
  <c r="R143" i="57"/>
  <c r="F117" i="54"/>
  <c r="F116" i="54" s="1"/>
  <c r="L111" i="54"/>
  <c r="T158" i="57"/>
  <c r="R158" i="57"/>
  <c r="R160" i="57"/>
  <c r="T160" i="57"/>
  <c r="E117" i="54"/>
  <c r="E116" i="54" s="1"/>
  <c r="K111" i="54"/>
  <c r="AC68" i="50" l="1"/>
  <c r="AC71" i="50" s="1"/>
  <c r="AB68" i="50"/>
  <c r="AA71" i="50"/>
  <c r="AC60" i="50"/>
  <c r="E119" i="54"/>
  <c r="E135" i="50"/>
  <c r="K135" i="50" s="1"/>
  <c r="Q126" i="50"/>
  <c r="L117" i="54"/>
  <c r="L116" i="54" s="1"/>
  <c r="K117" i="54"/>
  <c r="K116" i="54" s="1"/>
  <c r="G119" i="54"/>
  <c r="AD2" i="79" l="1"/>
  <c r="AW46" i="81"/>
  <c r="AY46" i="81"/>
  <c r="AS1" i="82"/>
  <c r="AX46" i="81" l="1"/>
  <c r="AT1" i="82"/>
  <c r="Y46" i="80" l="1"/>
  <c r="V46" i="80" l="1"/>
  <c r="T46" i="80"/>
  <c r="AE77" i="25" l="1"/>
  <c r="AE58" i="25" l="1"/>
  <c r="AE67" i="25" l="1"/>
  <c r="AE74" i="25"/>
  <c r="AE78" i="25"/>
  <c r="AE69" i="25"/>
  <c r="AE61" i="25"/>
  <c r="AE68" i="25"/>
  <c r="AE71" i="25"/>
  <c r="AE76" i="25"/>
  <c r="AE66" i="25"/>
  <c r="AE70" i="25"/>
  <c r="AE60" i="25"/>
  <c r="AE73" i="25"/>
  <c r="AE75" i="25"/>
  <c r="AE64" i="25" l="1"/>
  <c r="AE59" i="25"/>
  <c r="AE72" i="25"/>
  <c r="AE65" i="25"/>
  <c r="AE63" i="25"/>
  <c r="AE62" i="25"/>
  <c r="AB77" i="25" l="1"/>
  <c r="V77" i="25"/>
  <c r="J77" i="25"/>
  <c r="AB75" i="25"/>
  <c r="J75" i="25"/>
  <c r="AH47" i="25"/>
  <c r="AE47" i="25"/>
  <c r="AB47" i="25"/>
  <c r="Y47" i="25"/>
  <c r="AH52" i="25"/>
  <c r="AE52" i="25"/>
  <c r="AB52" i="25"/>
  <c r="Y52" i="25"/>
  <c r="AH44" i="25"/>
  <c r="AE44" i="25"/>
  <c r="AB44" i="25"/>
  <c r="Y44" i="25"/>
  <c r="AH35" i="25"/>
  <c r="AE35" i="25"/>
  <c r="AB35" i="25"/>
  <c r="Y35" i="25"/>
  <c r="AH42" i="25"/>
  <c r="AE42" i="25"/>
  <c r="AB42" i="25"/>
  <c r="Y42" i="25"/>
  <c r="AE48" i="25"/>
  <c r="Y48" i="25"/>
  <c r="AH49" i="25"/>
  <c r="AE49" i="25"/>
  <c r="AB49" i="25"/>
  <c r="Y49" i="25"/>
  <c r="AH43" i="25"/>
  <c r="AE43" i="25"/>
  <c r="AB43" i="25"/>
  <c r="Y43" i="25"/>
  <c r="AH45" i="25"/>
  <c r="AE45" i="25"/>
  <c r="AB45" i="25"/>
  <c r="Y45" i="25"/>
  <c r="AE39" i="25"/>
  <c r="Y39" i="25"/>
  <c r="AE41" i="25"/>
  <c r="Y41" i="25"/>
  <c r="AH34" i="25"/>
  <c r="AE34" i="25"/>
  <c r="AB34" i="25"/>
  <c r="Y34" i="25"/>
  <c r="AH50" i="25"/>
  <c r="AE50" i="25"/>
  <c r="AB50" i="25"/>
  <c r="Y50" i="25"/>
  <c r="AH40" i="25"/>
  <c r="AE40" i="25"/>
  <c r="AB40" i="25"/>
  <c r="Y40" i="25"/>
  <c r="AE46" i="25"/>
  <c r="Y46" i="25"/>
  <c r="AK38" i="25"/>
  <c r="AH38" i="25"/>
  <c r="AE38" i="25"/>
  <c r="AB38" i="25"/>
  <c r="Y38" i="25"/>
  <c r="AE32" i="25"/>
  <c r="Y32" i="25"/>
  <c r="AK33" i="25"/>
  <c r="AH33" i="25"/>
  <c r="AE33" i="25"/>
  <c r="AB33" i="25"/>
  <c r="Y33" i="25"/>
  <c r="AH36" i="25"/>
  <c r="AB36" i="25"/>
  <c r="Y24" i="25"/>
  <c r="V24" i="25"/>
  <c r="M24" i="25"/>
  <c r="Y25" i="25"/>
  <c r="V25" i="25"/>
  <c r="Y17" i="25"/>
  <c r="V17" i="25"/>
  <c r="Y8" i="25"/>
  <c r="V8" i="25"/>
  <c r="Y15" i="25"/>
  <c r="V15" i="25"/>
  <c r="Y21" i="25"/>
  <c r="V21" i="25"/>
  <c r="Y22" i="25"/>
  <c r="V22" i="25"/>
  <c r="Y16" i="25"/>
  <c r="V16" i="25"/>
  <c r="Y18" i="25"/>
  <c r="V18" i="25"/>
  <c r="Y12" i="25"/>
  <c r="V12" i="25"/>
  <c r="Y14" i="25"/>
  <c r="V14" i="25"/>
  <c r="Y7" i="25"/>
  <c r="V7" i="25"/>
  <c r="Y23" i="25"/>
  <c r="V23" i="25"/>
  <c r="Y13" i="25"/>
  <c r="V13" i="25"/>
  <c r="Y19" i="25"/>
  <c r="V19" i="25"/>
  <c r="Y11" i="25"/>
  <c r="V11" i="25"/>
  <c r="Y5" i="25"/>
  <c r="V5" i="25"/>
  <c r="Y6" i="25"/>
  <c r="V6" i="25"/>
  <c r="Y10" i="25"/>
  <c r="V10" i="25"/>
  <c r="E23" i="51"/>
  <c r="F23" i="51" s="1"/>
  <c r="E22" i="51"/>
  <c r="F22" i="51" s="1"/>
  <c r="E28" i="49"/>
  <c r="F28" i="49" s="1"/>
  <c r="E23" i="49"/>
  <c r="F23" i="49" s="1"/>
  <c r="E22" i="49"/>
  <c r="F22" i="49" s="1"/>
  <c r="E21" i="49"/>
  <c r="F21" i="49" s="1"/>
  <c r="E14" i="49"/>
  <c r="F14" i="49" s="1"/>
  <c r="M51" i="25"/>
  <c r="K43" i="49" l="1"/>
  <c r="G43" i="49"/>
  <c r="K50" i="49"/>
  <c r="G50" i="49"/>
  <c r="E50" i="49"/>
  <c r="K52" i="49"/>
  <c r="G52" i="49"/>
  <c r="G51" i="51"/>
  <c r="M51" i="51"/>
  <c r="K51" i="51"/>
  <c r="K52" i="51"/>
  <c r="G52" i="51"/>
  <c r="K51" i="49"/>
  <c r="G51" i="49"/>
  <c r="I14" i="49"/>
  <c r="Q10" i="49"/>
  <c r="Q17" i="49"/>
  <c r="I21" i="49"/>
  <c r="Q19" i="49"/>
  <c r="I23" i="49"/>
  <c r="K50" i="25"/>
  <c r="E17" i="49"/>
  <c r="F17" i="49" s="1"/>
  <c r="E19" i="49"/>
  <c r="F19" i="49" s="1"/>
  <c r="K49" i="25"/>
  <c r="H22" i="51"/>
  <c r="P18" i="51"/>
  <c r="I28" i="49"/>
  <c r="Q24" i="49"/>
  <c r="H23" i="51"/>
  <c r="P19" i="51"/>
  <c r="H35" i="25"/>
  <c r="L28" i="51"/>
  <c r="M28" i="49"/>
  <c r="E28" i="51"/>
  <c r="F28" i="51" s="1"/>
  <c r="I22" i="49"/>
  <c r="Q18" i="49"/>
  <c r="E19" i="51"/>
  <c r="F19" i="51" s="1"/>
  <c r="AH24" i="25"/>
  <c r="C20" i="49"/>
  <c r="E20" i="49" s="1"/>
  <c r="F20" i="49" s="1"/>
  <c r="K37" i="61"/>
  <c r="P51" i="25"/>
  <c r="AQ51" i="25"/>
  <c r="AE16" i="25"/>
  <c r="M77" i="25"/>
  <c r="P77" i="25"/>
  <c r="P75" i="25"/>
  <c r="S24" i="25"/>
  <c r="D4" i="49"/>
  <c r="E12" i="49"/>
  <c r="F12" i="49" s="1"/>
  <c r="E6" i="49"/>
  <c r="H6" i="49" s="1"/>
  <c r="I6" i="49" s="1"/>
  <c r="E13" i="49"/>
  <c r="F13" i="49" s="1"/>
  <c r="AH22" i="25"/>
  <c r="P22" i="25"/>
  <c r="P24" i="25"/>
  <c r="J51" i="25"/>
  <c r="U60" i="25" l="1"/>
  <c r="V60" i="25" s="1"/>
  <c r="K46" i="49"/>
  <c r="G46" i="49"/>
  <c r="E46" i="49"/>
  <c r="K48" i="49"/>
  <c r="G48" i="49"/>
  <c r="C18" i="51"/>
  <c r="K48" i="51"/>
  <c r="G48" i="51"/>
  <c r="M48" i="51"/>
  <c r="C21" i="51"/>
  <c r="E21" i="51" s="1"/>
  <c r="F21" i="51" s="1"/>
  <c r="H28" i="49"/>
  <c r="H23" i="49"/>
  <c r="H20" i="49"/>
  <c r="H16" i="49"/>
  <c r="H8" i="49"/>
  <c r="H24" i="49"/>
  <c r="H21" i="49"/>
  <c r="H17" i="49"/>
  <c r="H9" i="49"/>
  <c r="H27" i="49"/>
  <c r="H10" i="49"/>
  <c r="H25" i="49"/>
  <c r="H18" i="49"/>
  <c r="H14" i="49"/>
  <c r="H22" i="49"/>
  <c r="H13" i="49"/>
  <c r="H11" i="49"/>
  <c r="H29" i="49"/>
  <c r="H26" i="49"/>
  <c r="H19" i="49"/>
  <c r="H15" i="49"/>
  <c r="H12" i="49"/>
  <c r="E5" i="49"/>
  <c r="E4" i="49" s="1"/>
  <c r="C4" i="49"/>
  <c r="H89" i="51"/>
  <c r="Q74" i="25" s="1"/>
  <c r="I13" i="49"/>
  <c r="Q9" i="49"/>
  <c r="F89" i="51"/>
  <c r="K74" i="25" s="1"/>
  <c r="S52" i="51"/>
  <c r="Q8" i="49"/>
  <c r="I12" i="49"/>
  <c r="O15" i="49"/>
  <c r="O10" i="49"/>
  <c r="O6" i="49"/>
  <c r="O18" i="49"/>
  <c r="O23" i="49"/>
  <c r="O21" i="49"/>
  <c r="O16" i="49"/>
  <c r="O14" i="49"/>
  <c r="O11" i="49"/>
  <c r="O19" i="49"/>
  <c r="O8" i="49"/>
  <c r="O4" i="49"/>
  <c r="O24" i="49"/>
  <c r="O13" i="49"/>
  <c r="O22" i="49"/>
  <c r="O17" i="49"/>
  <c r="O12" i="49"/>
  <c r="O9" i="49"/>
  <c r="O20" i="49"/>
  <c r="K46" i="25"/>
  <c r="H86" i="49"/>
  <c r="Q22" i="25" s="1"/>
  <c r="S22" i="25" s="1"/>
  <c r="E26" i="49"/>
  <c r="F26" i="49" s="1"/>
  <c r="L28" i="49"/>
  <c r="K35" i="25"/>
  <c r="I19" i="49"/>
  <c r="Q15" i="49"/>
  <c r="H87" i="49"/>
  <c r="Q21" i="25" s="1"/>
  <c r="H78" i="49"/>
  <c r="Q13" i="25" s="1"/>
  <c r="L8" i="48"/>
  <c r="Z6" i="48"/>
  <c r="Z8" i="48" s="1"/>
  <c r="H88" i="51"/>
  <c r="Q75" i="25" s="1"/>
  <c r="S75" i="25" s="1"/>
  <c r="L26" i="51"/>
  <c r="I17" i="49"/>
  <c r="Q13" i="49"/>
  <c r="D19" i="52"/>
  <c r="K28" i="51"/>
  <c r="Q48" i="25"/>
  <c r="T46" i="25"/>
  <c r="L50" i="61"/>
  <c r="I88" i="51"/>
  <c r="T75" i="25" s="1"/>
  <c r="Q50" i="25"/>
  <c r="F78" i="49"/>
  <c r="K13" i="25" s="1"/>
  <c r="O25" i="49"/>
  <c r="P15" i="51"/>
  <c r="H19" i="51"/>
  <c r="P24" i="51"/>
  <c r="D24" i="52" s="1"/>
  <c r="H28" i="51"/>
  <c r="Q16" i="49"/>
  <c r="I20" i="49"/>
  <c r="D18" i="52"/>
  <c r="H50" i="25"/>
  <c r="O7" i="49"/>
  <c r="M26" i="49"/>
  <c r="F86" i="49"/>
  <c r="K22" i="25" s="1"/>
  <c r="M22" i="25" s="1"/>
  <c r="E11" i="49"/>
  <c r="F11" i="49" s="1"/>
  <c r="K47" i="25"/>
  <c r="K34" i="25"/>
  <c r="N8" i="48"/>
  <c r="AB6" i="48"/>
  <c r="AB8" i="48" s="1"/>
  <c r="AF5" i="49"/>
  <c r="I34" i="25"/>
  <c r="J34" i="25" s="1"/>
  <c r="L34" i="25"/>
  <c r="R34" i="25"/>
  <c r="S34" i="25" s="1"/>
  <c r="H5" i="49"/>
  <c r="L33" i="25"/>
  <c r="I33" i="25"/>
  <c r="J33" i="25" s="1"/>
  <c r="U74" i="25"/>
  <c r="V74" i="25" s="1"/>
  <c r="AR30" i="25"/>
  <c r="R43" i="25"/>
  <c r="L43" i="25"/>
  <c r="I43" i="25"/>
  <c r="C16" i="25"/>
  <c r="R39" i="25"/>
  <c r="U39" i="25"/>
  <c r="L39" i="25"/>
  <c r="I39" i="25"/>
  <c r="J39" i="25" s="1"/>
  <c r="I47" i="25"/>
  <c r="J47" i="25" s="1"/>
  <c r="R47" i="25"/>
  <c r="L47" i="25"/>
  <c r="I37" i="25"/>
  <c r="J37" i="25" s="1"/>
  <c r="U37" i="25"/>
  <c r="R37" i="25"/>
  <c r="S37" i="25" s="1"/>
  <c r="L45" i="25"/>
  <c r="I45" i="25"/>
  <c r="J45" i="25" s="1"/>
  <c r="R45" i="25"/>
  <c r="U46" i="25"/>
  <c r="I48" i="25"/>
  <c r="J48" i="25" s="1"/>
  <c r="U48" i="25"/>
  <c r="V48" i="25" s="1"/>
  <c r="R48" i="25"/>
  <c r="L48" i="25"/>
  <c r="U32" i="25"/>
  <c r="R40" i="25"/>
  <c r="L40" i="25"/>
  <c r="I40" i="25"/>
  <c r="J40" i="25" s="1"/>
  <c r="L68" i="25"/>
  <c r="L50" i="25"/>
  <c r="R50" i="25"/>
  <c r="I50" i="25"/>
  <c r="I41" i="25"/>
  <c r="R41" i="25"/>
  <c r="L41" i="25"/>
  <c r="U41" i="25"/>
  <c r="V41" i="25" s="1"/>
  <c r="C24" i="49"/>
  <c r="L42" i="25"/>
  <c r="I42" i="25"/>
  <c r="R42" i="25"/>
  <c r="E18" i="49"/>
  <c r="F18" i="49" s="1"/>
  <c r="E27" i="49"/>
  <c r="F27" i="49" s="1"/>
  <c r="J22" i="25"/>
  <c r="J24" i="25"/>
  <c r="O28" i="49" l="1"/>
  <c r="S48" i="25"/>
  <c r="J50" i="25"/>
  <c r="I36" i="61"/>
  <c r="K36" i="61" s="1"/>
  <c r="L66" i="25"/>
  <c r="R66" i="25"/>
  <c r="U36" i="25"/>
  <c r="I36" i="25"/>
  <c r="R36" i="25"/>
  <c r="O36" i="25"/>
  <c r="V46" i="25"/>
  <c r="Q30" i="49"/>
  <c r="Q32" i="49" s="1"/>
  <c r="E18" i="51"/>
  <c r="F18" i="51" s="1"/>
  <c r="P14" i="51" s="1"/>
  <c r="K50" i="51"/>
  <c r="G50" i="51"/>
  <c r="E50" i="51"/>
  <c r="AA68" i="25"/>
  <c r="AB68" i="25" s="1"/>
  <c r="O74" i="25"/>
  <c r="P74" i="25" s="1"/>
  <c r="I73" i="25"/>
  <c r="J73" i="25" s="1"/>
  <c r="AP40" i="25"/>
  <c r="AQ40" i="25" s="1"/>
  <c r="O39" i="25"/>
  <c r="P39" i="25" s="1"/>
  <c r="F43" i="25"/>
  <c r="C43" i="25"/>
  <c r="AP34" i="25"/>
  <c r="AQ34" i="25" s="1"/>
  <c r="O60" i="25"/>
  <c r="P60" i="25" s="1"/>
  <c r="C20" i="51"/>
  <c r="E20" i="51" s="1"/>
  <c r="F20" i="51" s="1"/>
  <c r="O41" i="25"/>
  <c r="P41" i="25" s="1"/>
  <c r="I68" i="25"/>
  <c r="O40" i="25"/>
  <c r="P40" i="25" s="1"/>
  <c r="O48" i="25"/>
  <c r="P48" i="25" s="1"/>
  <c r="AP33" i="25"/>
  <c r="AQ33" i="25" s="1"/>
  <c r="I60" i="25"/>
  <c r="J60" i="25" s="1"/>
  <c r="O42" i="25"/>
  <c r="P42" i="25" s="1"/>
  <c r="R73" i="25"/>
  <c r="S73" i="25" s="1"/>
  <c r="AP39" i="25"/>
  <c r="AQ39" i="25" s="1"/>
  <c r="I74" i="25"/>
  <c r="J74" i="25" s="1"/>
  <c r="G12" i="49"/>
  <c r="G28" i="49"/>
  <c r="G23" i="49"/>
  <c r="G20" i="49"/>
  <c r="G16" i="49"/>
  <c r="G8" i="49"/>
  <c r="G24" i="49"/>
  <c r="G21" i="49"/>
  <c r="G17" i="49"/>
  <c r="G9" i="49"/>
  <c r="G27" i="49"/>
  <c r="G10" i="49"/>
  <c r="G25" i="49"/>
  <c r="G18" i="49"/>
  <c r="G14" i="49"/>
  <c r="G22" i="49"/>
  <c r="G13" i="49"/>
  <c r="G11" i="49"/>
  <c r="G19" i="49"/>
  <c r="G15" i="49"/>
  <c r="G29" i="49"/>
  <c r="G26" i="49"/>
  <c r="O37" i="25"/>
  <c r="P37" i="25" s="1"/>
  <c r="L73" i="25"/>
  <c r="M73" i="25" s="1"/>
  <c r="AP50" i="25"/>
  <c r="AQ50" i="25" s="1"/>
  <c r="P31" i="51"/>
  <c r="O34" i="25"/>
  <c r="P34" i="25" s="1"/>
  <c r="D29" i="48"/>
  <c r="F29" i="48" s="1"/>
  <c r="AP42" i="25"/>
  <c r="AQ42" i="25" s="1"/>
  <c r="O33" i="25"/>
  <c r="P33" i="25" s="1"/>
  <c r="S37" i="49"/>
  <c r="S47" i="25"/>
  <c r="AA73" i="25"/>
  <c r="AB73" i="25" s="1"/>
  <c r="O68" i="25"/>
  <c r="P68" i="25" s="1"/>
  <c r="AP37" i="25"/>
  <c r="AQ37" i="25" s="1"/>
  <c r="AP47" i="25"/>
  <c r="AQ47" i="25" s="1"/>
  <c r="AP43" i="25"/>
  <c r="AQ43" i="25" s="1"/>
  <c r="AA60" i="25"/>
  <c r="AB60" i="25" s="1"/>
  <c r="K56" i="49"/>
  <c r="G56" i="49"/>
  <c r="O73" i="25"/>
  <c r="P73" i="25" s="1"/>
  <c r="R68" i="25"/>
  <c r="AP45" i="25"/>
  <c r="O43" i="25"/>
  <c r="P43" i="25" s="1"/>
  <c r="L74" i="25"/>
  <c r="R33" i="25"/>
  <c r="O50" i="25"/>
  <c r="P50" i="25" s="1"/>
  <c r="G47" i="49"/>
  <c r="K47" i="49"/>
  <c r="AP41" i="25"/>
  <c r="AQ41" i="25" s="1"/>
  <c r="AP48" i="25"/>
  <c r="AQ48" i="25" s="1"/>
  <c r="O45" i="25"/>
  <c r="P45" i="25" s="1"/>
  <c r="O47" i="25"/>
  <c r="P47" i="25" s="1"/>
  <c r="AA74" i="25"/>
  <c r="AB74" i="25" s="1"/>
  <c r="I27" i="49"/>
  <c r="Q23" i="49"/>
  <c r="AL32" i="25"/>
  <c r="AL46" i="25"/>
  <c r="K38" i="25"/>
  <c r="E85" i="49"/>
  <c r="H16" i="25" s="1"/>
  <c r="W50" i="49"/>
  <c r="K39" i="25"/>
  <c r="M39" i="25" s="1"/>
  <c r="E10" i="51"/>
  <c r="F10" i="51" s="1"/>
  <c r="Q40" i="25"/>
  <c r="S40" i="25" s="1"/>
  <c r="AL38" i="25"/>
  <c r="AL39" i="25"/>
  <c r="AL51" i="25"/>
  <c r="F81" i="49"/>
  <c r="K14" i="25" s="1"/>
  <c r="H44" i="25"/>
  <c r="D74" i="52"/>
  <c r="D87" i="52" s="1"/>
  <c r="D45" i="52"/>
  <c r="K45" i="25"/>
  <c r="M45" i="25" s="1"/>
  <c r="H21" i="51"/>
  <c r="P17" i="51"/>
  <c r="I11" i="49"/>
  <c r="Q7" i="49"/>
  <c r="AL42" i="25"/>
  <c r="AL50" i="25"/>
  <c r="Q41" i="25"/>
  <c r="S41" i="25" s="1"/>
  <c r="K44" i="25"/>
  <c r="I19" i="52"/>
  <c r="K37" i="25"/>
  <c r="L89" i="51"/>
  <c r="K26" i="51"/>
  <c r="AL49" i="25"/>
  <c r="H41" i="25"/>
  <c r="D15" i="52"/>
  <c r="Q28" i="49"/>
  <c r="O5" i="49"/>
  <c r="O26" i="49" s="1"/>
  <c r="Q14" i="49"/>
  <c r="I18" i="49"/>
  <c r="I7" i="25"/>
  <c r="J7" i="25" s="1"/>
  <c r="S56" i="49"/>
  <c r="S45" i="49"/>
  <c r="S43" i="49"/>
  <c r="S40" i="49"/>
  <c r="S53" i="49"/>
  <c r="S42" i="49"/>
  <c r="S51" i="49"/>
  <c r="S46" i="49"/>
  <c r="S41" i="49"/>
  <c r="S38" i="49"/>
  <c r="S58" i="49"/>
  <c r="S44" i="49"/>
  <c r="S39" i="49"/>
  <c r="S54" i="49"/>
  <c r="S47" i="49"/>
  <c r="H85" i="49"/>
  <c r="Q16" i="25" s="1"/>
  <c r="K50" i="61"/>
  <c r="D68" i="52"/>
  <c r="D152" i="52" s="1"/>
  <c r="H85" i="51"/>
  <c r="AL41" i="25"/>
  <c r="H81" i="49"/>
  <c r="Q14" i="25" s="1"/>
  <c r="H83" i="49"/>
  <c r="AO45" i="25"/>
  <c r="F85" i="49"/>
  <c r="K16" i="25" s="1"/>
  <c r="K43" i="25"/>
  <c r="AL35" i="25"/>
  <c r="K41" i="25"/>
  <c r="M41" i="25" s="1"/>
  <c r="F87" i="49"/>
  <c r="K21" i="25" s="1"/>
  <c r="W52" i="49"/>
  <c r="K52" i="25"/>
  <c r="V8" i="48"/>
  <c r="AL40" i="25"/>
  <c r="F83" i="49"/>
  <c r="G24" i="52"/>
  <c r="K40" i="25"/>
  <c r="M40" i="25" s="1"/>
  <c r="I85" i="51"/>
  <c r="AL52" i="25"/>
  <c r="AL34" i="25"/>
  <c r="D69" i="52"/>
  <c r="D153" i="52" s="1"/>
  <c r="L26" i="49"/>
  <c r="I26" i="49"/>
  <c r="Q22" i="49"/>
  <c r="K33" i="25"/>
  <c r="N20" i="49"/>
  <c r="P20" i="49" s="1"/>
  <c r="N15" i="49"/>
  <c r="P15" i="49" s="1"/>
  <c r="N10" i="49"/>
  <c r="N7" i="49"/>
  <c r="P7" i="49" s="1"/>
  <c r="N6" i="49"/>
  <c r="P6" i="49" s="1"/>
  <c r="N25" i="49"/>
  <c r="P25" i="49" s="1"/>
  <c r="N18" i="49"/>
  <c r="P18" i="49" s="1"/>
  <c r="N23" i="49"/>
  <c r="P23" i="49" s="1"/>
  <c r="N21" i="49"/>
  <c r="P21" i="49" s="1"/>
  <c r="N16" i="49"/>
  <c r="P16" i="49" s="1"/>
  <c r="N14" i="49"/>
  <c r="P14" i="49" s="1"/>
  <c r="N11" i="49"/>
  <c r="P11" i="49" s="1"/>
  <c r="N19" i="49"/>
  <c r="P19" i="49" s="1"/>
  <c r="N8" i="49"/>
  <c r="P8" i="49" s="1"/>
  <c r="N4" i="49"/>
  <c r="N24" i="49"/>
  <c r="P24" i="49" s="1"/>
  <c r="N13" i="49"/>
  <c r="P13" i="49" s="1"/>
  <c r="N22" i="49"/>
  <c r="P22" i="49" s="1"/>
  <c r="N17" i="49"/>
  <c r="P17" i="49" s="1"/>
  <c r="N12" i="49"/>
  <c r="P12" i="49" s="1"/>
  <c r="N9" i="49"/>
  <c r="P9" i="49" s="1"/>
  <c r="N5" i="49"/>
  <c r="F85" i="51"/>
  <c r="S48" i="51"/>
  <c r="AL33" i="25"/>
  <c r="E81" i="49"/>
  <c r="H14" i="25" s="1"/>
  <c r="F88" i="51"/>
  <c r="K75" i="25" s="1"/>
  <c r="M75" i="25" s="1"/>
  <c r="Q33" i="25"/>
  <c r="M50" i="25"/>
  <c r="M47" i="25"/>
  <c r="V32" i="25"/>
  <c r="S50" i="25"/>
  <c r="H4" i="49"/>
  <c r="H30" i="49" s="1"/>
  <c r="I32" i="25"/>
  <c r="J32" i="25" s="1"/>
  <c r="L37" i="25"/>
  <c r="AA12" i="25"/>
  <c r="P30" i="51"/>
  <c r="AI5" i="49"/>
  <c r="I49" i="25"/>
  <c r="J49" i="25" s="1"/>
  <c r="L15" i="25"/>
  <c r="AP46" i="25"/>
  <c r="AQ46" i="25" s="1"/>
  <c r="AP38" i="25"/>
  <c r="AQ38" i="25" s="1"/>
  <c r="R38" i="25"/>
  <c r="S38" i="25" s="1"/>
  <c r="AA5" i="25"/>
  <c r="I10" i="25"/>
  <c r="J10" i="25" s="1"/>
  <c r="AA11" i="25"/>
  <c r="D8" i="51"/>
  <c r="I38" i="25"/>
  <c r="J38" i="25" s="1"/>
  <c r="L71" i="25"/>
  <c r="AA71" i="25"/>
  <c r="I19" i="25"/>
  <c r="J19" i="25" s="1"/>
  <c r="C36" i="25"/>
  <c r="L49" i="25"/>
  <c r="M49" i="25" s="1"/>
  <c r="L52" i="25"/>
  <c r="I52" i="25"/>
  <c r="R52" i="25"/>
  <c r="L64" i="25"/>
  <c r="AP32" i="25"/>
  <c r="AQ32" i="25" s="1"/>
  <c r="L38" i="25"/>
  <c r="E55" i="49"/>
  <c r="L19" i="25"/>
  <c r="E12" i="51"/>
  <c r="F12" i="51" s="1"/>
  <c r="I16" i="25"/>
  <c r="AR31" i="25"/>
  <c r="I20" i="25"/>
  <c r="J20" i="25" s="1"/>
  <c r="U65" i="25"/>
  <c r="I13" i="25"/>
  <c r="J13" i="25" s="1"/>
  <c r="I11" i="25"/>
  <c r="J11" i="25" s="1"/>
  <c r="L70" i="25"/>
  <c r="L18" i="25"/>
  <c r="C6" i="51"/>
  <c r="I21" i="25"/>
  <c r="J21" i="25" s="1"/>
  <c r="E26" i="51"/>
  <c r="F26" i="51" s="1"/>
  <c r="L69" i="25"/>
  <c r="R69" i="25"/>
  <c r="I17" i="25"/>
  <c r="D14" i="51"/>
  <c r="I18" i="25"/>
  <c r="J18" i="25" s="1"/>
  <c r="I46" i="25"/>
  <c r="J46" i="25" s="1"/>
  <c r="L12" i="25"/>
  <c r="I12" i="25"/>
  <c r="J12" i="25" s="1"/>
  <c r="C17" i="51"/>
  <c r="AA59" i="25"/>
  <c r="L59" i="25"/>
  <c r="L21" i="25"/>
  <c r="I5" i="25"/>
  <c r="J5" i="25" s="1"/>
  <c r="AA7" i="25"/>
  <c r="L46" i="25"/>
  <c r="M46" i="25" s="1"/>
  <c r="I14" i="25"/>
  <c r="L14" i="25"/>
  <c r="L7" i="25"/>
  <c r="AA13" i="25"/>
  <c r="L17" i="25"/>
  <c r="I15" i="25"/>
  <c r="U67" i="25"/>
  <c r="L67" i="25"/>
  <c r="I6" i="25"/>
  <c r="J6" i="25" s="1"/>
  <c r="F16" i="25"/>
  <c r="L13" i="25"/>
  <c r="L11" i="25"/>
  <c r="U72" i="25"/>
  <c r="I72" i="25"/>
  <c r="J72" i="25" s="1"/>
  <c r="L72" i="25"/>
  <c r="E24" i="49"/>
  <c r="F24" i="49" s="1"/>
  <c r="M34" i="25"/>
  <c r="D43" i="48" l="1"/>
  <c r="F43" i="48" s="1"/>
  <c r="K47" i="51"/>
  <c r="H84" i="51" s="1"/>
  <c r="Q65" i="25" s="1"/>
  <c r="M14" i="25"/>
  <c r="H18" i="51"/>
  <c r="M47" i="51"/>
  <c r="I84" i="51" s="1"/>
  <c r="T65" i="25" s="1"/>
  <c r="G47" i="51"/>
  <c r="F84" i="51" s="1"/>
  <c r="K65" i="25" s="1"/>
  <c r="L85" i="51"/>
  <c r="AP49" i="25"/>
  <c r="AQ49" i="25" s="1"/>
  <c r="P5" i="49"/>
  <c r="AA17" i="25"/>
  <c r="AA20" i="25"/>
  <c r="AB20" i="25" s="1"/>
  <c r="AA14" i="25"/>
  <c r="AA16" i="25"/>
  <c r="AB16" i="25" s="1"/>
  <c r="AA21" i="25"/>
  <c r="AB21" i="25" s="1"/>
  <c r="AA19" i="25"/>
  <c r="AA18" i="25"/>
  <c r="AB18" i="25" s="1"/>
  <c r="AA15" i="25"/>
  <c r="O62" i="25"/>
  <c r="U62" i="25"/>
  <c r="M21" i="25"/>
  <c r="C27" i="51"/>
  <c r="E14" i="51"/>
  <c r="F14" i="51" s="1"/>
  <c r="K43" i="51" s="1"/>
  <c r="C8" i="49"/>
  <c r="E8" i="49" s="1"/>
  <c r="F8" i="49" s="1"/>
  <c r="I66" i="51"/>
  <c r="M66" i="51"/>
  <c r="AA67" i="25"/>
  <c r="AB67" i="25" s="1"/>
  <c r="O32" i="25"/>
  <c r="P32" i="25" s="1"/>
  <c r="AA66" i="25"/>
  <c r="AA69" i="25"/>
  <c r="O52" i="25"/>
  <c r="P52" i="25" s="1"/>
  <c r="AA70" i="25"/>
  <c r="R18" i="49"/>
  <c r="C51" i="49" s="1"/>
  <c r="G39" i="51"/>
  <c r="M39" i="51"/>
  <c r="K39" i="51"/>
  <c r="R49" i="25"/>
  <c r="O66" i="25"/>
  <c r="P66" i="25" s="1"/>
  <c r="AA65" i="25"/>
  <c r="AB65" i="25" s="1"/>
  <c r="M41" i="51"/>
  <c r="G41" i="51"/>
  <c r="O46" i="25"/>
  <c r="P46" i="25" s="1"/>
  <c r="L60" i="25"/>
  <c r="O5" i="25"/>
  <c r="P5" i="25" s="1"/>
  <c r="K48" i="25"/>
  <c r="M48" i="25" s="1"/>
  <c r="R8" i="49"/>
  <c r="C41" i="49" s="1"/>
  <c r="T41" i="49" s="1"/>
  <c r="L104" i="49" s="1"/>
  <c r="R25" i="49"/>
  <c r="C58" i="49" s="1"/>
  <c r="O67" i="25"/>
  <c r="P67" i="25" s="1"/>
  <c r="O49" i="25"/>
  <c r="P49" i="25" s="1"/>
  <c r="O14" i="25"/>
  <c r="P14" i="25" s="1"/>
  <c r="I64" i="25"/>
  <c r="J64" i="25" s="1"/>
  <c r="J41" i="25"/>
  <c r="R9" i="49"/>
  <c r="C42" i="49" s="1"/>
  <c r="C77" i="49" s="1"/>
  <c r="B19" i="25" s="1"/>
  <c r="R19" i="49"/>
  <c r="C52" i="49" s="1"/>
  <c r="Y52" i="49" s="1"/>
  <c r="K53" i="49"/>
  <c r="G53" i="49"/>
  <c r="E53" i="49"/>
  <c r="I59" i="25"/>
  <c r="J59" i="25" s="1"/>
  <c r="K55" i="51"/>
  <c r="G55" i="51"/>
  <c r="E55" i="51"/>
  <c r="M43" i="25"/>
  <c r="R7" i="49"/>
  <c r="C40" i="49" s="1"/>
  <c r="C103" i="49" s="1"/>
  <c r="C127" i="49" s="1"/>
  <c r="B41" i="25"/>
  <c r="M68" i="51"/>
  <c r="I68" i="51"/>
  <c r="L20" i="25"/>
  <c r="M20" i="25" s="1"/>
  <c r="O13" i="25"/>
  <c r="P13" i="25" s="1"/>
  <c r="I66" i="25"/>
  <c r="J66" i="25" s="1"/>
  <c r="I69" i="25"/>
  <c r="O16" i="25"/>
  <c r="P16" i="25" s="1"/>
  <c r="O19" i="25"/>
  <c r="P19" i="25" s="1"/>
  <c r="F52" i="25"/>
  <c r="C52" i="25"/>
  <c r="O71" i="25"/>
  <c r="R17" i="49"/>
  <c r="S17" i="49" s="1"/>
  <c r="D50" i="49" s="1"/>
  <c r="D85" i="49" s="1"/>
  <c r="R14" i="49"/>
  <c r="C47" i="49" s="1"/>
  <c r="L47" i="49" s="1"/>
  <c r="H110" i="49" s="1"/>
  <c r="L36" i="25"/>
  <c r="M36" i="25" s="1"/>
  <c r="O11" i="25"/>
  <c r="P11" i="25" s="1"/>
  <c r="L16" i="25"/>
  <c r="O69" i="25"/>
  <c r="P69" i="25" s="1"/>
  <c r="O38" i="25"/>
  <c r="P38" i="25" s="1"/>
  <c r="O15" i="25"/>
  <c r="P15" i="25" s="1"/>
  <c r="AP52" i="25"/>
  <c r="AQ52" i="25" s="1"/>
  <c r="AG5" i="49"/>
  <c r="G5" i="49"/>
  <c r="H20" i="51"/>
  <c r="R16" i="49"/>
  <c r="C49" i="49" s="1"/>
  <c r="C112" i="49" s="1"/>
  <c r="R15" i="49"/>
  <c r="C48" i="49" s="1"/>
  <c r="L48" i="49" s="1"/>
  <c r="H111" i="49" s="1"/>
  <c r="F30" i="48"/>
  <c r="D37" i="48"/>
  <c r="F37" i="48" s="1"/>
  <c r="AP36" i="25"/>
  <c r="AQ36" i="25" s="1"/>
  <c r="O17" i="25"/>
  <c r="P17" i="25" s="1"/>
  <c r="O7" i="25"/>
  <c r="P7" i="25" s="1"/>
  <c r="O18" i="25"/>
  <c r="P18" i="25" s="1"/>
  <c r="O59" i="25"/>
  <c r="P59" i="25" s="1"/>
  <c r="E17" i="51"/>
  <c r="F17" i="51" s="1"/>
  <c r="H17" i="51" s="1"/>
  <c r="O6" i="25"/>
  <c r="P6" i="25" s="1"/>
  <c r="C13" i="51"/>
  <c r="E13" i="51" s="1"/>
  <c r="F13" i="51" s="1"/>
  <c r="O10" i="25"/>
  <c r="P10" i="25" s="1"/>
  <c r="E6" i="51"/>
  <c r="G6" i="51" s="1"/>
  <c r="H6" i="51" s="1"/>
  <c r="R46" i="25"/>
  <c r="S46" i="25" s="1"/>
  <c r="P16" i="51"/>
  <c r="D16" i="52" s="1"/>
  <c r="R13" i="49"/>
  <c r="C46" i="49" s="1"/>
  <c r="F46" i="49" s="1"/>
  <c r="E109" i="49" s="1"/>
  <c r="O12" i="25"/>
  <c r="P12" i="25" s="1"/>
  <c r="I67" i="25"/>
  <c r="O20" i="25"/>
  <c r="P20" i="25" s="1"/>
  <c r="R59" i="25"/>
  <c r="O21" i="25"/>
  <c r="P21" i="25" s="1"/>
  <c r="I71" i="25"/>
  <c r="J71" i="25" s="1"/>
  <c r="O63" i="25"/>
  <c r="R24" i="49"/>
  <c r="C57" i="49" s="1"/>
  <c r="C120" i="49" s="1"/>
  <c r="R23" i="49"/>
  <c r="C56" i="49" s="1"/>
  <c r="T56" i="49" s="1"/>
  <c r="L119" i="49" s="1"/>
  <c r="E90" i="49"/>
  <c r="H17" i="25" s="1"/>
  <c r="J17" i="25" s="1"/>
  <c r="H131" i="52"/>
  <c r="O31" i="49"/>
  <c r="O30" i="49"/>
  <c r="I24" i="49"/>
  <c r="Q20" i="49"/>
  <c r="R20" i="49" s="1"/>
  <c r="C53" i="49" s="1"/>
  <c r="T53" i="49" s="1"/>
  <c r="L116" i="49" s="1"/>
  <c r="H26" i="51"/>
  <c r="P22" i="51"/>
  <c r="D22" i="52" s="1"/>
  <c r="G18" i="52"/>
  <c r="L76" i="49"/>
  <c r="AC11" i="25" s="1"/>
  <c r="L78" i="49"/>
  <c r="AC13" i="25" s="1"/>
  <c r="G15" i="52"/>
  <c r="L82" i="49"/>
  <c r="AC12" i="25" s="1"/>
  <c r="L81" i="49"/>
  <c r="AC14" i="25" s="1"/>
  <c r="L80" i="49"/>
  <c r="AC7" i="25" s="1"/>
  <c r="S7" i="49"/>
  <c r="D40" i="49" s="1"/>
  <c r="D75" i="49" s="1"/>
  <c r="D158" i="52"/>
  <c r="E10" i="49"/>
  <c r="F10" i="49" s="1"/>
  <c r="E9" i="51"/>
  <c r="F9" i="51" s="1"/>
  <c r="L89" i="49"/>
  <c r="AC8" i="25" s="1"/>
  <c r="L86" i="49"/>
  <c r="AC22" i="25" s="1"/>
  <c r="AA153" i="52"/>
  <c r="L153" i="52" s="1"/>
  <c r="N48" i="61"/>
  <c r="P8" i="51"/>
  <c r="H12" i="51"/>
  <c r="H43" i="25"/>
  <c r="J43" i="25" s="1"/>
  <c r="R22" i="49"/>
  <c r="C55" i="49" s="1"/>
  <c r="F55" i="49" s="1"/>
  <c r="E118" i="49" s="1"/>
  <c r="N28" i="49"/>
  <c r="P10" i="49"/>
  <c r="AC6" i="48"/>
  <c r="AC8" i="48" s="1"/>
  <c r="L74" i="49"/>
  <c r="AC6" i="25" s="1"/>
  <c r="L77" i="49"/>
  <c r="AC19" i="25" s="1"/>
  <c r="L91" i="49"/>
  <c r="AC25" i="25" s="1"/>
  <c r="N85" i="49"/>
  <c r="AL36" i="25"/>
  <c r="G19" i="52"/>
  <c r="N87" i="49"/>
  <c r="L79" i="49"/>
  <c r="AC23" i="25" s="1"/>
  <c r="L88" i="49"/>
  <c r="AC15" i="25" s="1"/>
  <c r="F87" i="51"/>
  <c r="K69" i="25" s="1"/>
  <c r="H10" i="51"/>
  <c r="P6" i="51"/>
  <c r="F91" i="49"/>
  <c r="K25" i="25" s="1"/>
  <c r="S24" i="52"/>
  <c r="G45" i="52"/>
  <c r="F82" i="49"/>
  <c r="K12" i="25" s="1"/>
  <c r="M12" i="25" s="1"/>
  <c r="D65" i="52"/>
  <c r="AL37" i="25"/>
  <c r="H87" i="51"/>
  <c r="Q69" i="25" s="1"/>
  <c r="S69" i="25" s="1"/>
  <c r="H91" i="49"/>
  <c r="P4" i="49"/>
  <c r="N26" i="49"/>
  <c r="L93" i="49"/>
  <c r="AC24" i="25" s="1"/>
  <c r="H82" i="49"/>
  <c r="Q12" i="25" s="1"/>
  <c r="D17" i="52"/>
  <c r="N49" i="61"/>
  <c r="D4" i="51"/>
  <c r="L73" i="49"/>
  <c r="AC10" i="25" s="1"/>
  <c r="L75" i="49"/>
  <c r="AC5" i="25" s="1"/>
  <c r="D14" i="52"/>
  <c r="E87" i="51"/>
  <c r="S50" i="51"/>
  <c r="M74" i="25"/>
  <c r="K55" i="49"/>
  <c r="I65" i="25"/>
  <c r="J65" i="25" s="1"/>
  <c r="L65" i="25"/>
  <c r="L63" i="25"/>
  <c r="AJ6" i="49"/>
  <c r="AK6" i="49"/>
  <c r="G55" i="49"/>
  <c r="AQ45" i="25"/>
  <c r="AG5" i="25"/>
  <c r="AH5" i="25" s="1"/>
  <c r="I9" i="25"/>
  <c r="J9" i="25" s="1"/>
  <c r="C42" i="25"/>
  <c r="Q65" i="49"/>
  <c r="C49" i="25"/>
  <c r="R21" i="25"/>
  <c r="S21" i="25" s="1"/>
  <c r="R12" i="25"/>
  <c r="C39" i="25"/>
  <c r="R13" i="25"/>
  <c r="S13" i="25" s="1"/>
  <c r="I25" i="25"/>
  <c r="J25" i="25" s="1"/>
  <c r="AA9" i="25"/>
  <c r="C51" i="25"/>
  <c r="C33" i="25"/>
  <c r="R18" i="25"/>
  <c r="L9" i="25"/>
  <c r="M9" i="25" s="1"/>
  <c r="AG6" i="25"/>
  <c r="AH6" i="25" s="1"/>
  <c r="R14" i="25"/>
  <c r="S14" i="25" s="1"/>
  <c r="C45" i="25"/>
  <c r="L76" i="25"/>
  <c r="R76" i="25"/>
  <c r="L25" i="25"/>
  <c r="F36" i="25"/>
  <c r="L78" i="25"/>
  <c r="M78" i="25" s="1"/>
  <c r="O9" i="25"/>
  <c r="C50" i="25"/>
  <c r="C24" i="51"/>
  <c r="AG18" i="25"/>
  <c r="R17" i="25"/>
  <c r="P63" i="25"/>
  <c r="J52" i="25"/>
  <c r="M37" i="25"/>
  <c r="S52" i="25"/>
  <c r="M38" i="25"/>
  <c r="S33" i="25"/>
  <c r="M33" i="25"/>
  <c r="S36" i="25"/>
  <c r="J36" i="25"/>
  <c r="J16" i="25"/>
  <c r="J14" i="25"/>
  <c r="M13" i="25"/>
  <c r="M43" i="51" l="1"/>
  <c r="H56" i="49"/>
  <c r="F119" i="49" s="1"/>
  <c r="P10" i="51"/>
  <c r="P28" i="51" s="1"/>
  <c r="H14" i="51"/>
  <c r="S18" i="49"/>
  <c r="D51" i="49" s="1"/>
  <c r="D86" i="49" s="1"/>
  <c r="D114" i="49" s="1"/>
  <c r="S15" i="49"/>
  <c r="D48" i="49" s="1"/>
  <c r="D83" i="49" s="1"/>
  <c r="D111" i="49" s="1"/>
  <c r="C83" i="49"/>
  <c r="T47" i="49"/>
  <c r="L110" i="49" s="1"/>
  <c r="C110" i="49"/>
  <c r="T42" i="49"/>
  <c r="L105" i="49" s="1"/>
  <c r="C105" i="49"/>
  <c r="C50" i="49"/>
  <c r="C113" i="49" s="1"/>
  <c r="S16" i="49"/>
  <c r="D49" i="49" s="1"/>
  <c r="D84" i="49" s="1"/>
  <c r="D112" i="49" s="1"/>
  <c r="P47" i="52"/>
  <c r="AE139" i="52" s="1"/>
  <c r="C104" i="49"/>
  <c r="T46" i="49"/>
  <c r="L109" i="49" s="1"/>
  <c r="C75" i="49"/>
  <c r="B5" i="25" s="1"/>
  <c r="T40" i="49"/>
  <c r="L103" i="49" s="1"/>
  <c r="S23" i="49"/>
  <c r="D56" i="49" s="1"/>
  <c r="D91" i="49" s="1"/>
  <c r="D119" i="49" s="1"/>
  <c r="S13" i="49"/>
  <c r="D46" i="49" s="1"/>
  <c r="D81" i="49" s="1"/>
  <c r="D109" i="49" s="1"/>
  <c r="C109" i="49"/>
  <c r="H46" i="49"/>
  <c r="F109" i="49" s="1"/>
  <c r="C81" i="49"/>
  <c r="B14" i="25" s="1"/>
  <c r="L46" i="49"/>
  <c r="H109" i="49" s="1"/>
  <c r="C76" i="49"/>
  <c r="B11" i="25" s="1"/>
  <c r="M25" i="25"/>
  <c r="E35" i="25"/>
  <c r="D44" i="48"/>
  <c r="F44" i="48" s="1"/>
  <c r="G43" i="51"/>
  <c r="F80" i="51" s="1"/>
  <c r="K66" i="25" s="1"/>
  <c r="M66" i="25" s="1"/>
  <c r="E43" i="25"/>
  <c r="G43" i="25" s="1"/>
  <c r="S25" i="49"/>
  <c r="D58" i="49" s="1"/>
  <c r="D93" i="49" s="1"/>
  <c r="D121" i="49" s="1"/>
  <c r="AA25" i="25"/>
  <c r="AA62" i="25"/>
  <c r="AB62" i="25" s="1"/>
  <c r="E48" i="25"/>
  <c r="AH5" i="49"/>
  <c r="AH6" i="49" s="1"/>
  <c r="I65" i="49"/>
  <c r="H47" i="52" s="1"/>
  <c r="J139" i="52" s="1"/>
  <c r="S22" i="49"/>
  <c r="D55" i="49" s="1"/>
  <c r="D90" i="49" s="1"/>
  <c r="D118" i="49" s="1"/>
  <c r="S12" i="25"/>
  <c r="E41" i="25"/>
  <c r="S9" i="49"/>
  <c r="D42" i="49" s="1"/>
  <c r="D77" i="49" s="1"/>
  <c r="D105" i="49" s="1"/>
  <c r="H48" i="49"/>
  <c r="F111" i="49" s="1"/>
  <c r="C119" i="49"/>
  <c r="C111" i="49"/>
  <c r="S8" i="49"/>
  <c r="D41" i="49" s="1"/>
  <c r="D76" i="49" s="1"/>
  <c r="D104" i="49" s="1"/>
  <c r="E38" i="25"/>
  <c r="P13" i="51"/>
  <c r="D13" i="52" s="1"/>
  <c r="AA57" i="49"/>
  <c r="E51" i="25"/>
  <c r="S14" i="49"/>
  <c r="D47" i="49" s="1"/>
  <c r="D82" i="49" s="1"/>
  <c r="E12" i="25" s="1"/>
  <c r="H47" i="49"/>
  <c r="F110" i="49" s="1"/>
  <c r="L62" i="25"/>
  <c r="M62" i="25" s="1"/>
  <c r="M69" i="25"/>
  <c r="C82" i="49"/>
  <c r="B12" i="25" s="1"/>
  <c r="I62" i="25"/>
  <c r="J62" i="25" s="1"/>
  <c r="Y57" i="49"/>
  <c r="C92" i="49"/>
  <c r="B20" i="25" s="1"/>
  <c r="P71" i="25"/>
  <c r="M42" i="51"/>
  <c r="I79" i="51" s="1"/>
  <c r="T72" i="25" s="1"/>
  <c r="V72" i="25" s="1"/>
  <c r="G42" i="51"/>
  <c r="F79" i="51" s="1"/>
  <c r="K72" i="25" s="1"/>
  <c r="M72" i="25" s="1"/>
  <c r="H13" i="51"/>
  <c r="P9" i="51"/>
  <c r="D9" i="52" s="1"/>
  <c r="AG10" i="25"/>
  <c r="AH10" i="25" s="1"/>
  <c r="I38" i="61"/>
  <c r="AA64" i="25"/>
  <c r="AB64" i="25" s="1"/>
  <c r="AG15" i="25"/>
  <c r="AH15" i="25" s="1"/>
  <c r="I23" i="52"/>
  <c r="AA157" i="52" s="1"/>
  <c r="L157" i="52" s="1"/>
  <c r="Q25" i="25"/>
  <c r="D113" i="49"/>
  <c r="E16" i="25"/>
  <c r="D103" i="49"/>
  <c r="E5" i="25"/>
  <c r="E46" i="51"/>
  <c r="E83" i="51" s="1"/>
  <c r="H67" i="25" s="1"/>
  <c r="M46" i="51"/>
  <c r="I83" i="51" s="1"/>
  <c r="T67" i="25" s="1"/>
  <c r="V67" i="25" s="1"/>
  <c r="K46" i="51"/>
  <c r="H83" i="51" s="1"/>
  <c r="G46" i="51"/>
  <c r="F83" i="51" s="1"/>
  <c r="M16" i="25"/>
  <c r="R78" i="25"/>
  <c r="S78" i="25" s="1"/>
  <c r="R16" i="25"/>
  <c r="S16" i="25" s="1"/>
  <c r="O9" i="52"/>
  <c r="AD144" i="52" s="1"/>
  <c r="AI46" i="25"/>
  <c r="G17" i="52"/>
  <c r="O18" i="52"/>
  <c r="AD152" i="52" s="1"/>
  <c r="AI49" i="25"/>
  <c r="O14" i="52"/>
  <c r="AD150" i="52" s="1"/>
  <c r="AI39" i="25"/>
  <c r="R11" i="25"/>
  <c r="S11" i="25" s="1"/>
  <c r="AA76" i="25"/>
  <c r="AB76" i="25" s="1"/>
  <c r="O72" i="25"/>
  <c r="P72" i="25" s="1"/>
  <c r="R19" i="25"/>
  <c r="S19" i="25" s="1"/>
  <c r="O64" i="25"/>
  <c r="P64" i="25" s="1"/>
  <c r="R7" i="25"/>
  <c r="S7" i="25" s="1"/>
  <c r="O70" i="25"/>
  <c r="P70" i="25" s="1"/>
  <c r="S19" i="49"/>
  <c r="D52" i="49" s="1"/>
  <c r="D87" i="49" s="1"/>
  <c r="AG19" i="25"/>
  <c r="AH19" i="25" s="1"/>
  <c r="C41" i="25"/>
  <c r="O76" i="25"/>
  <c r="P76" i="25" s="1"/>
  <c r="O58" i="25"/>
  <c r="P58" i="25" s="1"/>
  <c r="AG21" i="25"/>
  <c r="AH21" i="25" s="1"/>
  <c r="R10" i="25"/>
  <c r="S10" i="25" s="1"/>
  <c r="R64" i="25"/>
  <c r="S64" i="25" s="1"/>
  <c r="R6" i="25"/>
  <c r="S6" i="25" s="1"/>
  <c r="AO30" i="25"/>
  <c r="AO31" i="25"/>
  <c r="C84" i="49"/>
  <c r="B18" i="25" s="1"/>
  <c r="O5" i="52"/>
  <c r="AD141" i="52" s="1"/>
  <c r="AI37" i="25"/>
  <c r="O25" i="25"/>
  <c r="P25" i="25" s="1"/>
  <c r="AG17" i="25"/>
  <c r="AH17" i="25" s="1"/>
  <c r="C40" i="25"/>
  <c r="R20" i="25"/>
  <c r="S20" i="25" s="1"/>
  <c r="AA72" i="25"/>
  <c r="AB72" i="25" s="1"/>
  <c r="AG16" i="25"/>
  <c r="AH16" i="25" s="1"/>
  <c r="K65" i="49"/>
  <c r="K37" i="49"/>
  <c r="H72" i="49" s="1"/>
  <c r="Q9" i="25" s="1"/>
  <c r="AA63" i="25"/>
  <c r="AB63" i="25" s="1"/>
  <c r="I58" i="25"/>
  <c r="J58" i="25" s="1"/>
  <c r="AA78" i="25"/>
  <c r="AB78" i="25" s="1"/>
  <c r="C34" i="25"/>
  <c r="C47" i="25"/>
  <c r="AG12" i="25"/>
  <c r="AH12" i="25" s="1"/>
  <c r="I63" i="25"/>
  <c r="J63" i="25" s="1"/>
  <c r="O13" i="52"/>
  <c r="AD149" i="52" s="1"/>
  <c r="AI41" i="25"/>
  <c r="O20" i="52"/>
  <c r="O43" i="52" s="1"/>
  <c r="AI42" i="25"/>
  <c r="I78" i="25"/>
  <c r="J78" i="25" s="1"/>
  <c r="I76" i="25"/>
  <c r="R15" i="25"/>
  <c r="U5" i="49"/>
  <c r="AG14" i="25"/>
  <c r="AH14" i="25" s="1"/>
  <c r="AG20" i="25"/>
  <c r="AH20" i="25" s="1"/>
  <c r="C48" i="25"/>
  <c r="I70" i="25"/>
  <c r="O21" i="52"/>
  <c r="AD155" i="52" s="1"/>
  <c r="AI35" i="25"/>
  <c r="AG7" i="25"/>
  <c r="AH7" i="25" s="1"/>
  <c r="E24" i="51"/>
  <c r="F24" i="51" s="1"/>
  <c r="H24" i="51" s="1"/>
  <c r="AG11" i="25"/>
  <c r="AH11" i="25" s="1"/>
  <c r="AG13" i="25"/>
  <c r="AH13" i="25" s="1"/>
  <c r="L87" i="51"/>
  <c r="H69" i="25"/>
  <c r="J69" i="25" s="1"/>
  <c r="L56" i="49"/>
  <c r="H119" i="49" s="1"/>
  <c r="C91" i="49"/>
  <c r="B25" i="25" s="1"/>
  <c r="M38" i="51"/>
  <c r="G38" i="51"/>
  <c r="O25" i="52"/>
  <c r="O45" i="52" s="1"/>
  <c r="AI51" i="25"/>
  <c r="B42" i="25"/>
  <c r="H158" i="52"/>
  <c r="H153" i="52"/>
  <c r="S19" i="52"/>
  <c r="J25" i="49"/>
  <c r="T21" i="49"/>
  <c r="X21" i="49" s="1"/>
  <c r="D67" i="52"/>
  <c r="G23" i="52"/>
  <c r="T13" i="49"/>
  <c r="X13" i="49" s="1"/>
  <c r="Q46" i="49" s="1"/>
  <c r="J17" i="49"/>
  <c r="T12" i="49"/>
  <c r="X12" i="49" s="1"/>
  <c r="J16" i="49"/>
  <c r="E49" i="25"/>
  <c r="H42" i="25"/>
  <c r="F92" i="51"/>
  <c r="K70" i="25" s="1"/>
  <c r="M70" i="25" s="1"/>
  <c r="H88" i="49"/>
  <c r="Q15" i="25" s="1"/>
  <c r="L53" i="49"/>
  <c r="H116" i="49" s="1"/>
  <c r="I69" i="51"/>
  <c r="H132" i="52"/>
  <c r="H133" i="52" s="1"/>
  <c r="C114" i="49"/>
  <c r="C86" i="49"/>
  <c r="B22" i="25" s="1"/>
  <c r="H51" i="49"/>
  <c r="L51" i="49"/>
  <c r="H114" i="49" s="1"/>
  <c r="E9" i="49"/>
  <c r="B51" i="25"/>
  <c r="J22" i="49"/>
  <c r="T18" i="49"/>
  <c r="X18" i="49" s="1"/>
  <c r="Q51" i="49" s="1"/>
  <c r="T22" i="49"/>
  <c r="X22" i="49" s="1"/>
  <c r="Q55" i="49" s="1"/>
  <c r="J26" i="49"/>
  <c r="E46" i="25"/>
  <c r="B49" i="25"/>
  <c r="K42" i="25"/>
  <c r="M42" i="25" s="1"/>
  <c r="I8" i="49"/>
  <c r="Q4" i="49"/>
  <c r="R4" i="49" s="1"/>
  <c r="H92" i="51"/>
  <c r="Q70" i="25" s="1"/>
  <c r="D47" i="52"/>
  <c r="B43" i="25"/>
  <c r="D43" i="25" s="1"/>
  <c r="N19" i="51"/>
  <c r="N15" i="51"/>
  <c r="N11" i="51"/>
  <c r="N23" i="51"/>
  <c r="N20" i="51"/>
  <c r="N16" i="51"/>
  <c r="N24" i="51"/>
  <c r="N18" i="51"/>
  <c r="N14" i="51"/>
  <c r="N12" i="51"/>
  <c r="N6" i="51"/>
  <c r="N22" i="51"/>
  <c r="N10" i="51"/>
  <c r="N4" i="51"/>
  <c r="N25" i="51"/>
  <c r="N17" i="51"/>
  <c r="N7" i="51"/>
  <c r="N13" i="51"/>
  <c r="N5" i="51"/>
  <c r="N21" i="51"/>
  <c r="N8" i="51"/>
  <c r="N9" i="51"/>
  <c r="N31" i="49"/>
  <c r="P31" i="49" s="1"/>
  <c r="N30" i="49"/>
  <c r="P30" i="49" s="1"/>
  <c r="C116" i="49"/>
  <c r="C88" i="49"/>
  <c r="B15" i="25" s="1"/>
  <c r="T6" i="49"/>
  <c r="J10" i="49"/>
  <c r="J13" i="49"/>
  <c r="T9" i="49"/>
  <c r="T23" i="49"/>
  <c r="X23" i="49" s="1"/>
  <c r="Q56" i="49" s="1"/>
  <c r="J27" i="49"/>
  <c r="B46" i="25"/>
  <c r="C118" i="49"/>
  <c r="C90" i="49"/>
  <c r="B17" i="25" s="1"/>
  <c r="T51" i="49"/>
  <c r="L114" i="49" s="1"/>
  <c r="I10" i="49"/>
  <c r="Q6" i="49"/>
  <c r="C115" i="49"/>
  <c r="C87" i="49"/>
  <c r="B21" i="25" s="1"/>
  <c r="L52" i="49"/>
  <c r="H115" i="49" s="1"/>
  <c r="H52" i="49"/>
  <c r="M69" i="51"/>
  <c r="T10" i="49"/>
  <c r="X10" i="49" s="1"/>
  <c r="Q43" i="49" s="1"/>
  <c r="J14" i="49"/>
  <c r="F88" i="49"/>
  <c r="K15" i="25" s="1"/>
  <c r="H53" i="49"/>
  <c r="F116" i="49" s="1"/>
  <c r="E27" i="51"/>
  <c r="F27" i="51" s="1"/>
  <c r="C121" i="49"/>
  <c r="C93" i="49"/>
  <c r="B24" i="25" s="1"/>
  <c r="P26" i="49"/>
  <c r="G14" i="52"/>
  <c r="D72" i="52"/>
  <c r="D156" i="52" s="1"/>
  <c r="AF13" i="49"/>
  <c r="AI13" i="49" s="1"/>
  <c r="AI14" i="49" s="1"/>
  <c r="J15" i="49"/>
  <c r="T11" i="49"/>
  <c r="J24" i="49"/>
  <c r="T20" i="49"/>
  <c r="X20" i="49" s="1"/>
  <c r="T24" i="49"/>
  <c r="X24" i="49" s="1"/>
  <c r="J28" i="49"/>
  <c r="F17" i="52"/>
  <c r="B34" i="25"/>
  <c r="P32" i="51"/>
  <c r="M50" i="61"/>
  <c r="N50" i="61" s="1"/>
  <c r="N47" i="61"/>
  <c r="J12" i="49"/>
  <c r="T8" i="49"/>
  <c r="O32" i="49"/>
  <c r="B35" i="25"/>
  <c r="D66" i="52"/>
  <c r="D151" i="52" s="1"/>
  <c r="H33" i="52"/>
  <c r="F33" i="52"/>
  <c r="E11" i="51"/>
  <c r="F11" i="51" s="1"/>
  <c r="Q32" i="25"/>
  <c r="L72" i="49"/>
  <c r="AC9" i="25" s="1"/>
  <c r="S59" i="49"/>
  <c r="J20" i="49"/>
  <c r="T16" i="49"/>
  <c r="X16" i="49" s="1"/>
  <c r="J8" i="49"/>
  <c r="AF6" i="49"/>
  <c r="T4" i="49"/>
  <c r="T17" i="49"/>
  <c r="X17" i="49" s="1"/>
  <c r="J21" i="49"/>
  <c r="F78" i="51"/>
  <c r="K64" i="25" s="1"/>
  <c r="M64" i="25" s="1"/>
  <c r="P5" i="51"/>
  <c r="H9" i="51"/>
  <c r="S20" i="49"/>
  <c r="D53" i="49" s="1"/>
  <c r="D88" i="49" s="1"/>
  <c r="F76" i="51"/>
  <c r="K59" i="25" s="1"/>
  <c r="M59" i="25" s="1"/>
  <c r="I78" i="51"/>
  <c r="T64" i="25" s="1"/>
  <c r="E92" i="51"/>
  <c r="H70" i="25" s="1"/>
  <c r="I5" i="49"/>
  <c r="I4" i="49" s="1"/>
  <c r="G4" i="49"/>
  <c r="G30" i="49" s="1"/>
  <c r="T58" i="49"/>
  <c r="L121" i="49" s="1"/>
  <c r="K32" i="25"/>
  <c r="H76" i="51"/>
  <c r="J29" i="49"/>
  <c r="T25" i="49"/>
  <c r="X25" i="49" s="1"/>
  <c r="J19" i="49"/>
  <c r="T15" i="49"/>
  <c r="X15" i="49" s="1"/>
  <c r="Q48" i="49" s="1"/>
  <c r="J23" i="49"/>
  <c r="T19" i="49"/>
  <c r="X19" i="49" s="1"/>
  <c r="E47" i="25"/>
  <c r="C4" i="51"/>
  <c r="E5" i="51"/>
  <c r="E88" i="49"/>
  <c r="H15" i="25" s="1"/>
  <c r="F53" i="49"/>
  <c r="E116" i="49" s="1"/>
  <c r="H80" i="51"/>
  <c r="B38" i="25"/>
  <c r="D64" i="52"/>
  <c r="D150" i="52" s="1"/>
  <c r="B50" i="25"/>
  <c r="I76" i="51"/>
  <c r="T59" i="25" s="1"/>
  <c r="T5" i="49"/>
  <c r="J9" i="49"/>
  <c r="T7" i="49"/>
  <c r="J11" i="49"/>
  <c r="J18" i="49"/>
  <c r="T14" i="49"/>
  <c r="X14" i="49" s="1"/>
  <c r="Q47" i="49" s="1"/>
  <c r="P28" i="49"/>
  <c r="R10" i="49"/>
  <c r="D8" i="52"/>
  <c r="H152" i="52"/>
  <c r="I80" i="51"/>
  <c r="T66" i="25" s="1"/>
  <c r="M52" i="25"/>
  <c r="L32" i="25"/>
  <c r="K40" i="49"/>
  <c r="U63" i="25"/>
  <c r="AB66" i="25"/>
  <c r="C37" i="25"/>
  <c r="AD11" i="25"/>
  <c r="F47" i="25"/>
  <c r="AD8" i="25"/>
  <c r="AE8" i="25" s="1"/>
  <c r="AD12" i="25"/>
  <c r="AE12" i="25" s="1"/>
  <c r="R25" i="25"/>
  <c r="F50" i="25"/>
  <c r="F45" i="25"/>
  <c r="L61" i="25"/>
  <c r="I61" i="25"/>
  <c r="AD7" i="25"/>
  <c r="AE7" i="25" s="1"/>
  <c r="C8" i="51"/>
  <c r="AD13" i="25"/>
  <c r="AE13" i="25" s="1"/>
  <c r="F42" i="25"/>
  <c r="G49" i="51"/>
  <c r="F40" i="25"/>
  <c r="AD6" i="25"/>
  <c r="AE6" i="25" s="1"/>
  <c r="C6" i="25"/>
  <c r="F33" i="25"/>
  <c r="R9" i="25"/>
  <c r="F49" i="25"/>
  <c r="F48" i="25"/>
  <c r="F51" i="25"/>
  <c r="AD5" i="25"/>
  <c r="AE5" i="25" s="1"/>
  <c r="C5" i="25"/>
  <c r="F34" i="25"/>
  <c r="C38" i="25"/>
  <c r="AG9" i="25"/>
  <c r="F41" i="25"/>
  <c r="C32" i="25"/>
  <c r="AD10" i="25"/>
  <c r="C10" i="25"/>
  <c r="G49" i="49"/>
  <c r="F39" i="25"/>
  <c r="AD9" i="25"/>
  <c r="C9" i="25"/>
  <c r="AB70" i="25"/>
  <c r="AB69" i="25"/>
  <c r="V65" i="25"/>
  <c r="M65" i="25"/>
  <c r="AB59" i="25"/>
  <c r="D10" i="52" l="1"/>
  <c r="S9" i="25"/>
  <c r="E22" i="25"/>
  <c r="E25" i="25"/>
  <c r="Y50" i="49"/>
  <c r="H50" i="49"/>
  <c r="F113" i="49" s="1"/>
  <c r="L50" i="49"/>
  <c r="H113" i="49" s="1"/>
  <c r="C85" i="49"/>
  <c r="B16" i="25" s="1"/>
  <c r="E14" i="25"/>
  <c r="F50" i="49"/>
  <c r="E113" i="49" s="1"/>
  <c r="E18" i="25"/>
  <c r="E17" i="25"/>
  <c r="E24" i="25"/>
  <c r="E50" i="25"/>
  <c r="G50" i="25" s="1"/>
  <c r="E34" i="25"/>
  <c r="I4" i="52"/>
  <c r="I37" i="52" s="1"/>
  <c r="I37" i="49"/>
  <c r="O92" i="49"/>
  <c r="D110" i="49"/>
  <c r="E11" i="25"/>
  <c r="AE9" i="25"/>
  <c r="S25" i="25"/>
  <c r="O78" i="25"/>
  <c r="P78" i="25" s="1"/>
  <c r="AD21" i="25"/>
  <c r="AE21" i="25" s="1"/>
  <c r="AD14" i="25"/>
  <c r="AE14" i="25" s="1"/>
  <c r="AD18" i="25"/>
  <c r="AE18" i="25" s="1"/>
  <c r="AD15" i="25"/>
  <c r="AE15" i="25" s="1"/>
  <c r="AD23" i="25"/>
  <c r="AE23" i="25" s="1"/>
  <c r="AD17" i="25"/>
  <c r="AE17" i="25" s="1"/>
  <c r="AD20" i="25"/>
  <c r="AE20" i="25" s="1"/>
  <c r="AD19" i="25"/>
  <c r="AE19" i="25" s="1"/>
  <c r="C22" i="25"/>
  <c r="AD22" i="25"/>
  <c r="AE22" i="25" s="1"/>
  <c r="J70" i="25"/>
  <c r="C61" i="25"/>
  <c r="C20" i="25"/>
  <c r="AE10" i="25"/>
  <c r="D38" i="25"/>
  <c r="E19" i="25"/>
  <c r="G40" i="49"/>
  <c r="D50" i="25"/>
  <c r="P20" i="51"/>
  <c r="D20" i="52" s="1"/>
  <c r="D43" i="52" s="1"/>
  <c r="C19" i="25"/>
  <c r="C46" i="25"/>
  <c r="D46" i="25" s="1"/>
  <c r="AE11" i="25"/>
  <c r="C12" i="25"/>
  <c r="AI12" i="25" s="1"/>
  <c r="C11" i="25"/>
  <c r="AI11" i="25" s="1"/>
  <c r="U6" i="49"/>
  <c r="G39" i="49"/>
  <c r="O87" i="49"/>
  <c r="I13" i="52"/>
  <c r="AA149" i="52" s="1"/>
  <c r="Q67" i="25"/>
  <c r="N28" i="51"/>
  <c r="B37" i="25"/>
  <c r="D37" i="25" s="1"/>
  <c r="E33" i="25"/>
  <c r="G33" i="25" s="1"/>
  <c r="C25" i="25"/>
  <c r="D115" i="49"/>
  <c r="E21" i="25"/>
  <c r="B33" i="25"/>
  <c r="D33" i="25" s="1"/>
  <c r="C7" i="25"/>
  <c r="AI7" i="25" s="1"/>
  <c r="C15" i="25"/>
  <c r="I6" i="52"/>
  <c r="AA142" i="52" s="1"/>
  <c r="L142" i="52" s="1"/>
  <c r="Q59" i="25"/>
  <c r="S59" i="25" s="1"/>
  <c r="B48" i="25"/>
  <c r="D48" i="25" s="1"/>
  <c r="M53" i="51"/>
  <c r="I90" i="51" s="1"/>
  <c r="T68" i="25" s="1"/>
  <c r="K53" i="51"/>
  <c r="H90" i="51" s="1"/>
  <c r="Q68" i="25" s="1"/>
  <c r="G53" i="51"/>
  <c r="F90" i="51" s="1"/>
  <c r="K68" i="25" s="1"/>
  <c r="E53" i="51"/>
  <c r="E90" i="51" s="1"/>
  <c r="H68" i="25" s="1"/>
  <c r="J68" i="25" s="1"/>
  <c r="E52" i="25"/>
  <c r="G52" i="25" s="1"/>
  <c r="AD25" i="25"/>
  <c r="AE25" i="25" s="1"/>
  <c r="C14" i="25"/>
  <c r="G42" i="49"/>
  <c r="U9" i="49"/>
  <c r="O4" i="52"/>
  <c r="O37" i="52" s="1"/>
  <c r="AI36" i="25"/>
  <c r="AL30" i="25"/>
  <c r="AL31" i="25"/>
  <c r="M40" i="51"/>
  <c r="G40" i="51"/>
  <c r="B52" i="25"/>
  <c r="D52" i="25" s="1"/>
  <c r="AI16" i="25"/>
  <c r="C21" i="25"/>
  <c r="AG25" i="25"/>
  <c r="AH25" i="25" s="1"/>
  <c r="B47" i="25"/>
  <c r="D47" i="25" s="1"/>
  <c r="G13" i="52"/>
  <c r="H149" i="52" s="1"/>
  <c r="K67" i="25"/>
  <c r="M67" i="25" s="1"/>
  <c r="E44" i="25"/>
  <c r="K68" i="49"/>
  <c r="I47" i="52"/>
  <c r="AA58" i="25"/>
  <c r="AB58" i="25" s="1"/>
  <c r="C13" i="25"/>
  <c r="AI13" i="25" s="1"/>
  <c r="J67" i="25"/>
  <c r="D116" i="49"/>
  <c r="E15" i="25"/>
  <c r="O7" i="52"/>
  <c r="AD143" i="52" s="1"/>
  <c r="AI32" i="25"/>
  <c r="B44" i="25"/>
  <c r="I17" i="52"/>
  <c r="S17" i="52" s="1"/>
  <c r="Q43" i="25"/>
  <c r="S43" i="25" s="1"/>
  <c r="E45" i="25"/>
  <c r="G45" i="25" s="1"/>
  <c r="E39" i="25"/>
  <c r="G39" i="25" s="1"/>
  <c r="E32" i="25"/>
  <c r="C17" i="25"/>
  <c r="C18" i="25"/>
  <c r="O65" i="25"/>
  <c r="P65" i="25" s="1"/>
  <c r="U8" i="49"/>
  <c r="G41" i="49"/>
  <c r="I10" i="52"/>
  <c r="Q66" i="25"/>
  <c r="S66" i="25" s="1"/>
  <c r="B45" i="25"/>
  <c r="D45" i="25" s="1"/>
  <c r="B39" i="25"/>
  <c r="D39" i="25" s="1"/>
  <c r="E37" i="25"/>
  <c r="B32" i="25"/>
  <c r="D32" i="25" s="1"/>
  <c r="K38" i="61"/>
  <c r="I39" i="61"/>
  <c r="I75" i="51"/>
  <c r="T63" i="25" s="1"/>
  <c r="V63" i="25" s="1"/>
  <c r="F114" i="49"/>
  <c r="G5" i="51"/>
  <c r="E4" i="51"/>
  <c r="D59" i="52"/>
  <c r="D144" i="52" s="1"/>
  <c r="F115" i="49"/>
  <c r="N115" i="49" s="1"/>
  <c r="Z52" i="49"/>
  <c r="AA52" i="49" s="1"/>
  <c r="Q45" i="49"/>
  <c r="X153" i="52"/>
  <c r="F75" i="51"/>
  <c r="K63" i="25" s="1"/>
  <c r="M63" i="25" s="1"/>
  <c r="F13" i="52"/>
  <c r="M25" i="51"/>
  <c r="O25" i="51" s="1"/>
  <c r="M22" i="51"/>
  <c r="O22" i="51" s="1"/>
  <c r="G27" i="51"/>
  <c r="G24" i="51"/>
  <c r="G21" i="51"/>
  <c r="M19" i="51"/>
  <c r="O19" i="51" s="1"/>
  <c r="G17" i="51"/>
  <c r="G29" i="51"/>
  <c r="M23" i="51"/>
  <c r="O23" i="51" s="1"/>
  <c r="M20" i="51"/>
  <c r="O20" i="51" s="1"/>
  <c r="G18" i="51"/>
  <c r="G28" i="51"/>
  <c r="G25" i="51"/>
  <c r="M24" i="51"/>
  <c r="O24" i="51" s="1"/>
  <c r="M21" i="51"/>
  <c r="O21" i="51" s="1"/>
  <c r="G26" i="51"/>
  <c r="G15" i="51"/>
  <c r="G13" i="51"/>
  <c r="M9" i="51"/>
  <c r="O9" i="51" s="1"/>
  <c r="M14" i="51"/>
  <c r="O14" i="51" s="1"/>
  <c r="M12" i="51"/>
  <c r="O12" i="51" s="1"/>
  <c r="G11" i="51"/>
  <c r="M6" i="51"/>
  <c r="O6" i="51" s="1"/>
  <c r="G19" i="51"/>
  <c r="M16" i="51"/>
  <c r="O16" i="51" s="1"/>
  <c r="M10" i="51"/>
  <c r="G8" i="51"/>
  <c r="M4" i="51"/>
  <c r="G22" i="51"/>
  <c r="G20" i="51"/>
  <c r="M17" i="51"/>
  <c r="O17" i="51" s="1"/>
  <c r="M15" i="51"/>
  <c r="O15" i="51" s="1"/>
  <c r="G14" i="51"/>
  <c r="G9" i="51"/>
  <c r="M7" i="51"/>
  <c r="O7" i="51" s="1"/>
  <c r="G16" i="51"/>
  <c r="M13" i="51"/>
  <c r="O13" i="51" s="1"/>
  <c r="G12" i="51"/>
  <c r="M11" i="51"/>
  <c r="O11" i="51" s="1"/>
  <c r="M5" i="51"/>
  <c r="O5" i="51" s="1"/>
  <c r="M18" i="51"/>
  <c r="O18" i="51" s="1"/>
  <c r="G10" i="51"/>
  <c r="M8" i="51"/>
  <c r="O8" i="51" s="1"/>
  <c r="G23" i="51"/>
  <c r="AI31" i="25"/>
  <c r="F90" i="49"/>
  <c r="K17" i="25" s="1"/>
  <c r="M17" i="25" s="1"/>
  <c r="H55" i="49"/>
  <c r="F118" i="49" s="1"/>
  <c r="H90" i="49"/>
  <c r="Q17" i="25" s="1"/>
  <c r="S17" i="25" s="1"/>
  <c r="L55" i="49"/>
  <c r="H118" i="49" s="1"/>
  <c r="H150" i="52"/>
  <c r="N32" i="49"/>
  <c r="H157" i="52"/>
  <c r="AD158" i="52"/>
  <c r="H31" i="25"/>
  <c r="Q58" i="49"/>
  <c r="L94" i="49"/>
  <c r="AC4" i="25" s="1"/>
  <c r="H11" i="51"/>
  <c r="P7" i="51"/>
  <c r="G10" i="52"/>
  <c r="D63" i="52"/>
  <c r="D149" i="52" s="1"/>
  <c r="X11" i="49"/>
  <c r="AG7" i="49"/>
  <c r="E15" i="51"/>
  <c r="F15" i="51" s="1"/>
  <c r="E42" i="25"/>
  <c r="D58" i="52"/>
  <c r="D145" i="52" s="1"/>
  <c r="H27" i="51"/>
  <c r="P23" i="51"/>
  <c r="M56" i="51"/>
  <c r="D40" i="52"/>
  <c r="D60" i="52"/>
  <c r="D83" i="52" s="1"/>
  <c r="D6" i="52"/>
  <c r="R6" i="49"/>
  <c r="C39" i="49" s="1"/>
  <c r="S4" i="49"/>
  <c r="D37" i="49" s="1"/>
  <c r="D72" i="49" s="1"/>
  <c r="R28" i="49"/>
  <c r="S28" i="49" s="1"/>
  <c r="C43" i="49"/>
  <c r="S10" i="49"/>
  <c r="D43" i="49" s="1"/>
  <c r="D78" i="49" s="1"/>
  <c r="F84" i="49"/>
  <c r="K18" i="25" s="1"/>
  <c r="H49" i="49"/>
  <c r="F112" i="49" s="1"/>
  <c r="E8" i="51"/>
  <c r="AD154" i="52"/>
  <c r="P32" i="49"/>
  <c r="T31" i="49" s="1"/>
  <c r="S67" i="49" s="1"/>
  <c r="R30" i="49"/>
  <c r="C24" i="52"/>
  <c r="Q53" i="49"/>
  <c r="F22" i="52"/>
  <c r="R31" i="49"/>
  <c r="AF7" i="49"/>
  <c r="T26" i="49"/>
  <c r="C37" i="49"/>
  <c r="N36" i="25"/>
  <c r="P36" i="25" s="1"/>
  <c r="N26" i="51"/>
  <c r="D89" i="52"/>
  <c r="D139" i="52"/>
  <c r="F9" i="49"/>
  <c r="G38" i="49" s="1"/>
  <c r="D49" i="52"/>
  <c r="D50" i="52" s="1"/>
  <c r="AI9" i="25"/>
  <c r="R32" i="25"/>
  <c r="S32" i="25" s="1"/>
  <c r="F17" i="25"/>
  <c r="F37" i="25"/>
  <c r="K49" i="49"/>
  <c r="U49" i="49"/>
  <c r="F9" i="25"/>
  <c r="C77" i="25"/>
  <c r="F10" i="25"/>
  <c r="F38" i="25"/>
  <c r="G38" i="25" s="1"/>
  <c r="K49" i="51"/>
  <c r="Q49" i="51"/>
  <c r="F32" i="25"/>
  <c r="F5" i="25"/>
  <c r="F22" i="25"/>
  <c r="F25" i="25"/>
  <c r="F6" i="25"/>
  <c r="F15" i="25"/>
  <c r="F11" i="25"/>
  <c r="F18" i="25"/>
  <c r="F21" i="25"/>
  <c r="F46" i="25"/>
  <c r="F13" i="25"/>
  <c r="F19" i="25"/>
  <c r="C16" i="51"/>
  <c r="I56" i="25"/>
  <c r="F7" i="25"/>
  <c r="F14" i="25"/>
  <c r="F12" i="25"/>
  <c r="D41" i="25"/>
  <c r="G49" i="25"/>
  <c r="G47" i="25"/>
  <c r="G51" i="25"/>
  <c r="D49" i="25"/>
  <c r="D51" i="25"/>
  <c r="G34" i="25"/>
  <c r="D34" i="25"/>
  <c r="J42" i="25"/>
  <c r="G48" i="25"/>
  <c r="G41" i="25"/>
  <c r="M32" i="25"/>
  <c r="G16" i="25"/>
  <c r="G25" i="25" l="1"/>
  <c r="O85" i="49"/>
  <c r="N113" i="49"/>
  <c r="Z50" i="49"/>
  <c r="AA50" i="49" s="1"/>
  <c r="G14" i="25"/>
  <c r="G17" i="25"/>
  <c r="U7" i="49"/>
  <c r="W49" i="49"/>
  <c r="Y49" i="49" s="1"/>
  <c r="I32" i="52"/>
  <c r="D70" i="52"/>
  <c r="D85" i="52" s="1"/>
  <c r="D154" i="52" s="1"/>
  <c r="G21" i="25"/>
  <c r="C70" i="25"/>
  <c r="AI18" i="25"/>
  <c r="C63" i="25"/>
  <c r="AI17" i="25"/>
  <c r="C65" i="25"/>
  <c r="F76" i="25"/>
  <c r="AI19" i="25"/>
  <c r="AI20" i="25"/>
  <c r="AI15" i="25"/>
  <c r="AI21" i="25"/>
  <c r="F61" i="25"/>
  <c r="AI22" i="25"/>
  <c r="AI14" i="25"/>
  <c r="C62" i="25"/>
  <c r="AI25" i="25"/>
  <c r="D20" i="25"/>
  <c r="C24" i="25"/>
  <c r="D24" i="25" s="1"/>
  <c r="G32" i="52"/>
  <c r="M68" i="25"/>
  <c r="S68" i="25"/>
  <c r="R61" i="25"/>
  <c r="C72" i="25"/>
  <c r="T30" i="49"/>
  <c r="S65" i="49" s="1"/>
  <c r="Q15" i="51"/>
  <c r="C48" i="51" s="1"/>
  <c r="G20" i="52"/>
  <c r="G43" i="52" s="1"/>
  <c r="F44" i="25"/>
  <c r="G44" i="25" s="1"/>
  <c r="C44" i="25"/>
  <c r="D44" i="25" s="1"/>
  <c r="D100" i="49"/>
  <c r="E9" i="25"/>
  <c r="G9" i="25" s="1"/>
  <c r="Q17" i="51"/>
  <c r="C50" i="51" s="1"/>
  <c r="E16" i="51"/>
  <c r="F16" i="51" s="1"/>
  <c r="P12" i="51" s="1"/>
  <c r="Q12" i="51" s="1"/>
  <c r="C45" i="51" s="1"/>
  <c r="M44" i="51"/>
  <c r="K44" i="51"/>
  <c r="G44" i="51"/>
  <c r="E44" i="51"/>
  <c r="Q24" i="51"/>
  <c r="Q19" i="51"/>
  <c r="C52" i="51" s="1"/>
  <c r="D25" i="51"/>
  <c r="D7" i="51" s="1"/>
  <c r="D30" i="51" s="1"/>
  <c r="K30" i="25"/>
  <c r="K31" i="25"/>
  <c r="S6" i="49"/>
  <c r="D39" i="49" s="1"/>
  <c r="D74" i="49" s="1"/>
  <c r="G32" i="25"/>
  <c r="AD3" i="25"/>
  <c r="AD24" i="25"/>
  <c r="AE24" i="25" s="1"/>
  <c r="O61" i="25"/>
  <c r="P61" i="25" s="1"/>
  <c r="C25" i="51"/>
  <c r="C7" i="51" s="1"/>
  <c r="C30" i="51" s="1"/>
  <c r="C60" i="25"/>
  <c r="C58" i="25"/>
  <c r="AA139" i="52"/>
  <c r="I50" i="52"/>
  <c r="D106" i="49"/>
  <c r="E13" i="25"/>
  <c r="G13" i="25" s="1"/>
  <c r="C64" i="25"/>
  <c r="G37" i="25"/>
  <c r="F35" i="25"/>
  <c r="C35" i="25"/>
  <c r="D35" i="25" s="1"/>
  <c r="Q16" i="51"/>
  <c r="C49" i="51" s="1"/>
  <c r="H49" i="51" s="1"/>
  <c r="F114" i="51" s="1"/>
  <c r="E36" i="25"/>
  <c r="G36" i="25" s="1"/>
  <c r="S49" i="51"/>
  <c r="K88" i="49"/>
  <c r="Z15" i="25" s="1"/>
  <c r="AB15" i="25" s="1"/>
  <c r="R53" i="49"/>
  <c r="K116" i="49" s="1"/>
  <c r="N116" i="49" s="1"/>
  <c r="W53" i="49"/>
  <c r="Y53" i="49" s="1"/>
  <c r="P11" i="51"/>
  <c r="Q11" i="51" s="1"/>
  <c r="C44" i="51" s="1"/>
  <c r="H15" i="51"/>
  <c r="D7" i="52"/>
  <c r="Q18" i="51"/>
  <c r="O51" i="51"/>
  <c r="O56" i="51"/>
  <c r="S56" i="51" s="1"/>
  <c r="Q23" i="51"/>
  <c r="C56" i="51" s="1"/>
  <c r="N56" i="51" s="1"/>
  <c r="I121" i="51" s="1"/>
  <c r="O58" i="51"/>
  <c r="Q25" i="51"/>
  <c r="F149" i="52"/>
  <c r="F32" i="52"/>
  <c r="F86" i="51"/>
  <c r="I9" i="49"/>
  <c r="Q5" i="49"/>
  <c r="C74" i="52"/>
  <c r="L74" i="52"/>
  <c r="F74" i="52"/>
  <c r="P74" i="52"/>
  <c r="O74" i="52"/>
  <c r="N74" i="52"/>
  <c r="H74" i="52"/>
  <c r="J74" i="52"/>
  <c r="Q74" i="52"/>
  <c r="I74" i="52"/>
  <c r="R74" i="52"/>
  <c r="M74" i="52"/>
  <c r="K74" i="52"/>
  <c r="E24" i="52"/>
  <c r="E74" i="52" s="1"/>
  <c r="G74" i="52"/>
  <c r="T24" i="52"/>
  <c r="D146" i="52"/>
  <c r="H84" i="49"/>
  <c r="Q18" i="25" s="1"/>
  <c r="S18" i="25" s="1"/>
  <c r="L49" i="49"/>
  <c r="H30" i="25"/>
  <c r="O38" i="51"/>
  <c r="Q5" i="51"/>
  <c r="F20" i="52"/>
  <c r="K83" i="49"/>
  <c r="R48" i="49"/>
  <c r="K111" i="49" s="1"/>
  <c r="N111" i="49" s="1"/>
  <c r="W48" i="49"/>
  <c r="Y48" i="49" s="1"/>
  <c r="G22" i="52"/>
  <c r="C65" i="49"/>
  <c r="R32" i="49"/>
  <c r="S32" i="49" s="1"/>
  <c r="S30" i="49"/>
  <c r="D65" i="49" s="1"/>
  <c r="K91" i="49"/>
  <c r="Z25" i="25" s="1"/>
  <c r="AB25" i="25" s="1"/>
  <c r="R56" i="49"/>
  <c r="K119" i="49" s="1"/>
  <c r="N119" i="49" s="1"/>
  <c r="W56" i="49"/>
  <c r="Y56" i="49" s="1"/>
  <c r="K81" i="49"/>
  <c r="Z14" i="25" s="1"/>
  <c r="AB14" i="25" s="1"/>
  <c r="R46" i="49"/>
  <c r="K109" i="49" s="1"/>
  <c r="N109" i="49" s="1"/>
  <c r="W46" i="49"/>
  <c r="Y46" i="49" s="1"/>
  <c r="F77" i="51"/>
  <c r="K58" i="25" s="1"/>
  <c r="O44" i="51"/>
  <c r="O39" i="51"/>
  <c r="Q6" i="51"/>
  <c r="O54" i="51"/>
  <c r="Q22" i="51"/>
  <c r="O55" i="51"/>
  <c r="X9" i="49"/>
  <c r="Q42" i="49" s="1"/>
  <c r="C78" i="49"/>
  <c r="B13" i="25" s="1"/>
  <c r="C106" i="49"/>
  <c r="L43" i="49"/>
  <c r="H106" i="49" s="1"/>
  <c r="H43" i="49"/>
  <c r="T43" i="49"/>
  <c r="L106" i="49" s="1"/>
  <c r="I93" i="51"/>
  <c r="T78" i="25" s="1"/>
  <c r="I77" i="51"/>
  <c r="T58" i="25" s="1"/>
  <c r="K90" i="49"/>
  <c r="N90" i="49" s="1"/>
  <c r="O90" i="49" s="1"/>
  <c r="R55" i="49"/>
  <c r="O26" i="52"/>
  <c r="AI30" i="25"/>
  <c r="E40" i="25"/>
  <c r="G40" i="25" s="1"/>
  <c r="K80" i="49"/>
  <c r="Z7" i="25" s="1"/>
  <c r="AB7" i="25" s="1"/>
  <c r="H5" i="51"/>
  <c r="H4" i="51" s="1"/>
  <c r="G4" i="51"/>
  <c r="G30" i="51" s="1"/>
  <c r="D91" i="52"/>
  <c r="D140" i="52"/>
  <c r="C67" i="49"/>
  <c r="T67" i="49" s="1"/>
  <c r="S31" i="49"/>
  <c r="D67" i="49" s="1"/>
  <c r="O53" i="51"/>
  <c r="Q20" i="51"/>
  <c r="H75" i="49"/>
  <c r="Q5" i="25" s="1"/>
  <c r="L40" i="49"/>
  <c r="H103" i="49" s="1"/>
  <c r="X8" i="49"/>
  <c r="Q41" i="49" s="1"/>
  <c r="C102" i="49"/>
  <c r="C74" i="49"/>
  <c r="B6" i="25" s="1"/>
  <c r="T39" i="49"/>
  <c r="L102" i="49" s="1"/>
  <c r="D23" i="52"/>
  <c r="K78" i="49"/>
  <c r="Z13" i="25" s="1"/>
  <c r="AB13" i="25" s="1"/>
  <c r="R43" i="49"/>
  <c r="K106" i="49" s="1"/>
  <c r="W43" i="49"/>
  <c r="Y43" i="49" s="1"/>
  <c r="L95" i="49"/>
  <c r="AC3" i="25" s="1"/>
  <c r="K93" i="49"/>
  <c r="Z24" i="25" s="1"/>
  <c r="AB24" i="25" s="1"/>
  <c r="R58" i="49"/>
  <c r="K121" i="49" s="1"/>
  <c r="N121" i="49" s="1"/>
  <c r="W58" i="49"/>
  <c r="Y58" i="49" s="1"/>
  <c r="W55" i="49"/>
  <c r="Y55" i="49" s="1"/>
  <c r="Q13" i="51"/>
  <c r="O46" i="51"/>
  <c r="O45" i="51"/>
  <c r="B40" i="25"/>
  <c r="D40" i="25" s="1"/>
  <c r="G63" i="51"/>
  <c r="C100" i="49"/>
  <c r="C72" i="49"/>
  <c r="B9" i="25" s="1"/>
  <c r="L37" i="49"/>
  <c r="H100" i="49" s="1"/>
  <c r="T37" i="49"/>
  <c r="L100" i="49" s="1"/>
  <c r="F156" i="52"/>
  <c r="M84" i="49"/>
  <c r="AF18" i="25" s="1"/>
  <c r="AH18" i="25" s="1"/>
  <c r="V49" i="49"/>
  <c r="M112" i="49" s="1"/>
  <c r="K82" i="49"/>
  <c r="Z12" i="25" s="1"/>
  <c r="AB12" i="25" s="1"/>
  <c r="R47" i="49"/>
  <c r="K110" i="49" s="1"/>
  <c r="N110" i="49" s="1"/>
  <c r="W47" i="49"/>
  <c r="Y47" i="49" s="1"/>
  <c r="M26" i="51"/>
  <c r="O4" i="51"/>
  <c r="O47" i="51"/>
  <c r="Q14" i="51"/>
  <c r="K86" i="49"/>
  <c r="Z22" i="25" s="1"/>
  <c r="AB22" i="25" s="1"/>
  <c r="R51" i="49"/>
  <c r="K114" i="49" s="1"/>
  <c r="N114" i="49" s="1"/>
  <c r="W51" i="49"/>
  <c r="Y51" i="49" s="1"/>
  <c r="M28" i="51"/>
  <c r="O10" i="51"/>
  <c r="X6" i="49"/>
  <c r="Q39" i="49" s="1"/>
  <c r="N31" i="51"/>
  <c r="N30" i="51"/>
  <c r="F8" i="51"/>
  <c r="D56" i="52"/>
  <c r="D142" i="52" s="1"/>
  <c r="AK7" i="49"/>
  <c r="W4" i="49"/>
  <c r="G40" i="52"/>
  <c r="O41" i="51"/>
  <c r="Q8" i="51"/>
  <c r="O40" i="51"/>
  <c r="S40" i="51" s="1"/>
  <c r="Q7" i="51"/>
  <c r="C40" i="51" s="1"/>
  <c r="N40" i="51" s="1"/>
  <c r="I105" i="51" s="1"/>
  <c r="Q9" i="51"/>
  <c r="O42" i="51"/>
  <c r="AJ7" i="49"/>
  <c r="V4" i="49"/>
  <c r="G22" i="25"/>
  <c r="G46" i="25"/>
  <c r="G18" i="25"/>
  <c r="G11" i="25"/>
  <c r="G19" i="25"/>
  <c r="R35" i="25"/>
  <c r="F60" i="25"/>
  <c r="O56" i="25"/>
  <c r="O57" i="25"/>
  <c r="F64" i="25"/>
  <c r="L57" i="25"/>
  <c r="L56" i="25"/>
  <c r="I35" i="25"/>
  <c r="AJ36" i="25"/>
  <c r="AK36" i="25" s="1"/>
  <c r="AJ34" i="25"/>
  <c r="AK34" i="25" s="1"/>
  <c r="AJ39" i="25"/>
  <c r="AK39" i="25" s="1"/>
  <c r="AJ40" i="25"/>
  <c r="AK40" i="25" s="1"/>
  <c r="AJ35" i="25"/>
  <c r="AK35" i="25" s="1"/>
  <c r="AJ32" i="25"/>
  <c r="AK32" i="25" s="1"/>
  <c r="AJ37" i="25"/>
  <c r="AK37" i="25" s="1"/>
  <c r="F24" i="25"/>
  <c r="G24" i="25" s="1"/>
  <c r="F58" i="25"/>
  <c r="AP35" i="25"/>
  <c r="L10" i="25"/>
  <c r="I44" i="25"/>
  <c r="J44" i="25" s="1"/>
  <c r="F72" i="25"/>
  <c r="R71" i="25"/>
  <c r="F77" i="25"/>
  <c r="M15" i="25"/>
  <c r="G42" i="25"/>
  <c r="D21" i="25"/>
  <c r="D17" i="25"/>
  <c r="G5" i="25"/>
  <c r="D11" i="25"/>
  <c r="D22" i="25"/>
  <c r="D14" i="25"/>
  <c r="D18" i="25"/>
  <c r="M18" i="25"/>
  <c r="G12" i="25"/>
  <c r="D25" i="25"/>
  <c r="D19" i="25"/>
  <c r="D16" i="25"/>
  <c r="R15" i="51" l="1"/>
  <c r="D48" i="51" s="1"/>
  <c r="D85" i="51" s="1"/>
  <c r="R19" i="51"/>
  <c r="D52" i="51" s="1"/>
  <c r="D117" i="51" s="1"/>
  <c r="J32" i="52"/>
  <c r="K32" i="52" s="1"/>
  <c r="F73" i="25"/>
  <c r="G73" i="25" s="1"/>
  <c r="R17" i="51"/>
  <c r="D50" i="51" s="1"/>
  <c r="D115" i="51" s="1"/>
  <c r="F70" i="25"/>
  <c r="E25" i="51"/>
  <c r="F25" i="51" s="1"/>
  <c r="M54" i="51" s="1"/>
  <c r="C66" i="25"/>
  <c r="F66" i="25"/>
  <c r="C73" i="25"/>
  <c r="D73" i="25" s="1"/>
  <c r="F65" i="25"/>
  <c r="R23" i="51"/>
  <c r="D56" i="51" s="1"/>
  <c r="D121" i="51" s="1"/>
  <c r="F63" i="25"/>
  <c r="F71" i="25"/>
  <c r="C68" i="25"/>
  <c r="F78" i="25"/>
  <c r="F68" i="25"/>
  <c r="C78" i="25"/>
  <c r="C71" i="25"/>
  <c r="C59" i="25"/>
  <c r="F59" i="25"/>
  <c r="AP44" i="25"/>
  <c r="AQ44" i="25" s="1"/>
  <c r="F69" i="25"/>
  <c r="C69" i="25"/>
  <c r="C76" i="25"/>
  <c r="C75" i="25"/>
  <c r="F74" i="25"/>
  <c r="F75" i="25"/>
  <c r="C74" i="25"/>
  <c r="F62" i="25"/>
  <c r="F67" i="25"/>
  <c r="AJ41" i="25"/>
  <c r="AK41" i="25" s="1"/>
  <c r="AJ45" i="25"/>
  <c r="AK45" i="25" s="1"/>
  <c r="AJ50" i="25"/>
  <c r="AK50" i="25" s="1"/>
  <c r="AJ46" i="25"/>
  <c r="AK46" i="25" s="1"/>
  <c r="AJ47" i="25"/>
  <c r="AK47" i="25" s="1"/>
  <c r="AJ48" i="25"/>
  <c r="AK48" i="25" s="1"/>
  <c r="AJ44" i="25"/>
  <c r="AK44" i="25" s="1"/>
  <c r="AJ43" i="25"/>
  <c r="AK43" i="25" s="1"/>
  <c r="C67" i="25"/>
  <c r="AJ51" i="25"/>
  <c r="AK51" i="25" s="1"/>
  <c r="AJ52" i="25"/>
  <c r="AK52" i="25" s="1"/>
  <c r="AJ42" i="25"/>
  <c r="AK42" i="25" s="1"/>
  <c r="AJ49" i="25"/>
  <c r="AK49" i="25" s="1"/>
  <c r="T56" i="51"/>
  <c r="Z48" i="49"/>
  <c r="AA48" i="49" s="1"/>
  <c r="T65" i="49"/>
  <c r="S68" i="49"/>
  <c r="AE3" i="25"/>
  <c r="Z53" i="49"/>
  <c r="AA53" i="49" s="1"/>
  <c r="AI24" i="25"/>
  <c r="F30" i="25"/>
  <c r="C30" i="25"/>
  <c r="O44" i="25"/>
  <c r="P44" i="25" s="1"/>
  <c r="AQ35" i="25"/>
  <c r="AA61" i="25"/>
  <c r="AB61" i="25" s="1"/>
  <c r="X37" i="25"/>
  <c r="T40" i="51"/>
  <c r="N84" i="49"/>
  <c r="O84" i="49" s="1"/>
  <c r="AG39" i="25"/>
  <c r="AA39" i="25"/>
  <c r="H16" i="51"/>
  <c r="L44" i="25"/>
  <c r="M44" i="25" s="1"/>
  <c r="J35" i="25"/>
  <c r="AD36" i="25"/>
  <c r="G45" i="51"/>
  <c r="H45" i="51" s="1"/>
  <c r="F110" i="51" s="1"/>
  <c r="F8" i="25"/>
  <c r="C8" i="25"/>
  <c r="I57" i="25"/>
  <c r="AD4" i="25"/>
  <c r="AE4" i="25" s="1"/>
  <c r="D102" i="49"/>
  <c r="E6" i="25"/>
  <c r="G6" i="25" s="1"/>
  <c r="O35" i="25"/>
  <c r="P35" i="25" s="1"/>
  <c r="G35" i="25"/>
  <c r="N30" i="25"/>
  <c r="N31" i="25"/>
  <c r="T49" i="51"/>
  <c r="L58" i="25"/>
  <c r="M58" i="25" s="1"/>
  <c r="G16" i="52"/>
  <c r="H151" i="52" s="1"/>
  <c r="K71" i="25"/>
  <c r="M71" i="25" s="1"/>
  <c r="R44" i="25"/>
  <c r="P22" i="52"/>
  <c r="AE156" i="52" s="1"/>
  <c r="Z17" i="25"/>
  <c r="AB17" i="25" s="1"/>
  <c r="R16" i="51"/>
  <c r="D49" i="51" s="1"/>
  <c r="D114" i="51" s="1"/>
  <c r="L35" i="25"/>
  <c r="M35" i="25" s="1"/>
  <c r="M37" i="51"/>
  <c r="I37" i="51"/>
  <c r="E31" i="25"/>
  <c r="D231" i="52"/>
  <c r="M67" i="49"/>
  <c r="V26" i="49"/>
  <c r="M37" i="49"/>
  <c r="C117" i="51"/>
  <c r="C89" i="51"/>
  <c r="B74" i="25" s="1"/>
  <c r="H52" i="51"/>
  <c r="L52" i="51"/>
  <c r="H117" i="51" s="1"/>
  <c r="T52" i="51"/>
  <c r="P44" i="51"/>
  <c r="J109" i="51" s="1"/>
  <c r="J81" i="51"/>
  <c r="P13" i="52"/>
  <c r="N81" i="49"/>
  <c r="O81" i="49" s="1"/>
  <c r="D113" i="51"/>
  <c r="J95" i="51"/>
  <c r="W77" i="25" s="1"/>
  <c r="S58" i="51"/>
  <c r="N44" i="51"/>
  <c r="I109" i="51" s="1"/>
  <c r="I81" i="51"/>
  <c r="T76" i="25" s="1"/>
  <c r="X5" i="49"/>
  <c r="Q38" i="49" s="1"/>
  <c r="H8" i="51"/>
  <c r="P4" i="51"/>
  <c r="Q4" i="51" s="1"/>
  <c r="Z47" i="49"/>
  <c r="AA47" i="49" s="1"/>
  <c r="N78" i="49"/>
  <c r="O78" i="49" s="1"/>
  <c r="AH7" i="49"/>
  <c r="I67" i="49"/>
  <c r="H154" i="52"/>
  <c r="J91" i="51"/>
  <c r="H156" i="52"/>
  <c r="C85" i="51"/>
  <c r="C113" i="51"/>
  <c r="N48" i="51"/>
  <c r="I113" i="51" s="1"/>
  <c r="H48" i="51"/>
  <c r="L48" i="51"/>
  <c r="H113" i="51" s="1"/>
  <c r="T48" i="51"/>
  <c r="R12" i="51"/>
  <c r="D45" i="51" s="1"/>
  <c r="C93" i="51"/>
  <c r="C121" i="51"/>
  <c r="D57" i="52"/>
  <c r="D143" i="52" s="1"/>
  <c r="E81" i="51"/>
  <c r="H76" i="25" s="1"/>
  <c r="F44" i="51"/>
  <c r="E109" i="51" s="1"/>
  <c r="S44" i="51"/>
  <c r="T44" i="51" s="1"/>
  <c r="J79" i="51"/>
  <c r="W72" i="25" s="1"/>
  <c r="S42" i="51"/>
  <c r="C82" i="51"/>
  <c r="B60" i="25" s="1"/>
  <c r="C110" i="51"/>
  <c r="Z58" i="49"/>
  <c r="AA58" i="49" s="1"/>
  <c r="D73" i="52"/>
  <c r="D157" i="52" s="1"/>
  <c r="O29" i="52"/>
  <c r="C38" i="51"/>
  <c r="P38" i="51" s="1"/>
  <c r="J103" i="51" s="1"/>
  <c r="R5" i="51"/>
  <c r="D38" i="51" s="1"/>
  <c r="H112" i="49"/>
  <c r="N112" i="49" s="1"/>
  <c r="Z49" i="49"/>
  <c r="AA49" i="49" s="1"/>
  <c r="D5" i="52"/>
  <c r="R5" i="49"/>
  <c r="J93" i="51"/>
  <c r="P56" i="51"/>
  <c r="J121" i="51" s="1"/>
  <c r="L121" i="51" s="1"/>
  <c r="R7" i="51"/>
  <c r="D40" i="51" s="1"/>
  <c r="C42" i="51"/>
  <c r="P42" i="51" s="1"/>
  <c r="J107" i="51" s="1"/>
  <c r="R9" i="51"/>
  <c r="D42" i="51" s="1"/>
  <c r="H146" i="52"/>
  <c r="N86" i="49"/>
  <c r="O86" i="49" s="1"/>
  <c r="J82" i="51"/>
  <c r="P45" i="51"/>
  <c r="J110" i="51" s="1"/>
  <c r="J92" i="51"/>
  <c r="W70" i="25" s="1"/>
  <c r="S55" i="51"/>
  <c r="C39" i="51"/>
  <c r="P39" i="51" s="1"/>
  <c r="J104" i="51" s="1"/>
  <c r="R6" i="51"/>
  <c r="D39" i="51" s="1"/>
  <c r="J75" i="51"/>
  <c r="W63" i="25" s="1"/>
  <c r="S38" i="51"/>
  <c r="H86" i="51"/>
  <c r="Q71" i="25" s="1"/>
  <c r="S71" i="25" s="1"/>
  <c r="L49" i="51"/>
  <c r="Z51" i="49"/>
  <c r="AA51" i="49" s="1"/>
  <c r="C105" i="51"/>
  <c r="D64" i="51"/>
  <c r="C77" i="51"/>
  <c r="C47" i="51"/>
  <c r="P47" i="51" s="1"/>
  <c r="J112" i="51" s="1"/>
  <c r="R14" i="51"/>
  <c r="D47" i="51" s="1"/>
  <c r="N82" i="49"/>
  <c r="O82" i="49" s="1"/>
  <c r="J83" i="51"/>
  <c r="W67" i="25" s="1"/>
  <c r="S46" i="51"/>
  <c r="N93" i="49"/>
  <c r="O93" i="49" s="1"/>
  <c r="K118" i="49"/>
  <c r="N118" i="49" s="1"/>
  <c r="Z55" i="49"/>
  <c r="AA55" i="49" s="1"/>
  <c r="C55" i="51"/>
  <c r="P55" i="51" s="1"/>
  <c r="J120" i="51" s="1"/>
  <c r="R22" i="51"/>
  <c r="D55" i="51" s="1"/>
  <c r="J76" i="51"/>
  <c r="W59" i="25" s="1"/>
  <c r="S39" i="51"/>
  <c r="H40" i="51"/>
  <c r="Z56" i="49"/>
  <c r="AA56" i="49" s="1"/>
  <c r="C68" i="49"/>
  <c r="U65" i="49"/>
  <c r="R65" i="49"/>
  <c r="L65" i="49"/>
  <c r="J65" i="49"/>
  <c r="C114" i="51"/>
  <c r="C86" i="51"/>
  <c r="P40" i="51"/>
  <c r="J105" i="51" s="1"/>
  <c r="J77" i="51"/>
  <c r="O67" i="49"/>
  <c r="W26" i="49"/>
  <c r="O37" i="49"/>
  <c r="N32" i="51"/>
  <c r="F131" i="52"/>
  <c r="K86" i="51"/>
  <c r="Z71" i="25" s="1"/>
  <c r="AB71" i="25" s="1"/>
  <c r="R49" i="51"/>
  <c r="K114" i="51" s="1"/>
  <c r="Q59" i="51"/>
  <c r="F74" i="49"/>
  <c r="K6" i="25" s="1"/>
  <c r="H39" i="49"/>
  <c r="F102" i="49" s="1"/>
  <c r="W39" i="49"/>
  <c r="Y39" i="49" s="1"/>
  <c r="J84" i="51"/>
  <c r="W65" i="25" s="1"/>
  <c r="S47" i="51"/>
  <c r="C46" i="51"/>
  <c r="P46" i="51" s="1"/>
  <c r="J111" i="51" s="1"/>
  <c r="R13" i="51"/>
  <c r="D46" i="51" s="1"/>
  <c r="I7" i="52"/>
  <c r="F106" i="49"/>
  <c r="N106" i="49" s="1"/>
  <c r="Z43" i="49"/>
  <c r="AA43" i="49" s="1"/>
  <c r="Z46" i="49"/>
  <c r="AA46" i="49" s="1"/>
  <c r="J88" i="51"/>
  <c r="W75" i="25" s="1"/>
  <c r="S51" i="51"/>
  <c r="R11" i="51"/>
  <c r="D44" i="51" s="1"/>
  <c r="N88" i="49"/>
  <c r="O88" i="49" s="1"/>
  <c r="E15" i="49"/>
  <c r="C41" i="51"/>
  <c r="P41" i="51" s="1"/>
  <c r="J106" i="51" s="1"/>
  <c r="R8" i="51"/>
  <c r="D41" i="51" s="1"/>
  <c r="F132" i="52"/>
  <c r="O26" i="51"/>
  <c r="O37" i="51"/>
  <c r="C53" i="51"/>
  <c r="P53" i="51" s="1"/>
  <c r="J118" i="51" s="1"/>
  <c r="R20" i="51"/>
  <c r="D53" i="51" s="1"/>
  <c r="C115" i="51"/>
  <c r="C87" i="51"/>
  <c r="B69" i="25" s="1"/>
  <c r="L50" i="51"/>
  <c r="H115" i="51" s="1"/>
  <c r="F50" i="51"/>
  <c r="H50" i="51"/>
  <c r="F115" i="51" s="1"/>
  <c r="T50" i="51"/>
  <c r="N83" i="49"/>
  <c r="O83" i="49" s="1"/>
  <c r="S74" i="52"/>
  <c r="C51" i="51"/>
  <c r="R18" i="51"/>
  <c r="D51" i="51" s="1"/>
  <c r="H44" i="51"/>
  <c r="F109" i="51" s="1"/>
  <c r="F81" i="51"/>
  <c r="K76" i="25" s="1"/>
  <c r="X7" i="49"/>
  <c r="Q40" i="49" s="1"/>
  <c r="J78" i="51"/>
  <c r="W64" i="25" s="1"/>
  <c r="S41" i="51"/>
  <c r="O43" i="51"/>
  <c r="O28" i="51"/>
  <c r="Q10" i="51"/>
  <c r="M31" i="51"/>
  <c r="E132" i="52" s="1"/>
  <c r="M30" i="51"/>
  <c r="B36" i="25"/>
  <c r="D36" i="25" s="1"/>
  <c r="F76" i="49"/>
  <c r="K11" i="25" s="1"/>
  <c r="M11" i="25" s="1"/>
  <c r="W41" i="49"/>
  <c r="Y41" i="49" s="1"/>
  <c r="H41" i="49"/>
  <c r="F104" i="49" s="1"/>
  <c r="J90" i="51"/>
  <c r="W68" i="25" s="1"/>
  <c r="S53" i="51"/>
  <c r="F77" i="49"/>
  <c r="K19" i="25" s="1"/>
  <c r="M19" i="25" s="1"/>
  <c r="H42" i="49"/>
  <c r="F105" i="49" s="1"/>
  <c r="W42" i="49"/>
  <c r="Y42" i="49" s="1"/>
  <c r="C109" i="51"/>
  <c r="C81" i="51"/>
  <c r="B76" i="25" s="1"/>
  <c r="N91" i="49"/>
  <c r="O91" i="49" s="1"/>
  <c r="F43" i="52"/>
  <c r="C58" i="51"/>
  <c r="P58" i="51" s="1"/>
  <c r="R25" i="51"/>
  <c r="D58" i="51" s="1"/>
  <c r="L44" i="51"/>
  <c r="H109" i="51" s="1"/>
  <c r="H81" i="51"/>
  <c r="Q76" i="25" s="1"/>
  <c r="G63" i="49"/>
  <c r="F73" i="49"/>
  <c r="K10" i="25" s="1"/>
  <c r="U58" i="25"/>
  <c r="V58" i="25" s="1"/>
  <c r="L5" i="25"/>
  <c r="L6" i="25"/>
  <c r="O31" i="25"/>
  <c r="I8" i="25"/>
  <c r="L31" i="25"/>
  <c r="M31" i="25" s="1"/>
  <c r="C16" i="49"/>
  <c r="E16" i="49" s="1"/>
  <c r="F16" i="49" s="1"/>
  <c r="U35" i="25"/>
  <c r="AA10" i="25"/>
  <c r="AJ30" i="25"/>
  <c r="AK30" i="25" s="1"/>
  <c r="I31" i="25"/>
  <c r="I30" i="25"/>
  <c r="AA8" i="25"/>
  <c r="AP30" i="25"/>
  <c r="AM33" i="25"/>
  <c r="AN33" i="25" s="1"/>
  <c r="AM40" i="25"/>
  <c r="AN40" i="25" s="1"/>
  <c r="AM35" i="25"/>
  <c r="AN35" i="25" s="1"/>
  <c r="AM36" i="25"/>
  <c r="AN36" i="25" s="1"/>
  <c r="AM39" i="25"/>
  <c r="AN39" i="25" s="1"/>
  <c r="AM34" i="25"/>
  <c r="AN34" i="25" s="1"/>
  <c r="AM32" i="25"/>
  <c r="AN32" i="25" s="1"/>
  <c r="AM38" i="25"/>
  <c r="AN38" i="25" s="1"/>
  <c r="AM37" i="25"/>
  <c r="AN37" i="25" s="1"/>
  <c r="S15" i="25"/>
  <c r="J15" i="25"/>
  <c r="G15" i="25"/>
  <c r="D42" i="25"/>
  <c r="AE56" i="25"/>
  <c r="D9" i="25"/>
  <c r="D12" i="25"/>
  <c r="D5" i="25"/>
  <c r="D13" i="25"/>
  <c r="D89" i="51" l="1"/>
  <c r="E74" i="25" s="1"/>
  <c r="G74" i="25" s="1"/>
  <c r="D87" i="51"/>
  <c r="E69" i="25" s="1"/>
  <c r="G69" i="25" s="1"/>
  <c r="F7" i="51"/>
  <c r="F30" i="51" s="1"/>
  <c r="G54" i="51"/>
  <c r="F91" i="51" s="1"/>
  <c r="K61" i="25" s="1"/>
  <c r="M61" i="25" s="1"/>
  <c r="H25" i="51"/>
  <c r="H7" i="51" s="1"/>
  <c r="H30" i="51" s="1"/>
  <c r="H31" i="51" s="1"/>
  <c r="P21" i="51"/>
  <c r="Q21" i="51" s="1"/>
  <c r="C54" i="51" s="1"/>
  <c r="D93" i="51"/>
  <c r="E78" i="25" s="1"/>
  <c r="G78" i="25" s="1"/>
  <c r="E54" i="51"/>
  <c r="E59" i="51" s="1"/>
  <c r="E96" i="51" s="1"/>
  <c r="H57" i="25" s="1"/>
  <c r="J57" i="25" s="1"/>
  <c r="K54" i="51"/>
  <c r="K59" i="51" s="1"/>
  <c r="H96" i="51" s="1"/>
  <c r="E7" i="51"/>
  <c r="E30" i="51" s="1"/>
  <c r="R16" i="52"/>
  <c r="R33" i="52" s="1"/>
  <c r="T39" i="51"/>
  <c r="T53" i="51"/>
  <c r="F82" i="51"/>
  <c r="K60" i="25" s="1"/>
  <c r="M60" i="25" s="1"/>
  <c r="T47" i="51"/>
  <c r="F56" i="25"/>
  <c r="F57" i="25"/>
  <c r="C57" i="25"/>
  <c r="C56" i="25"/>
  <c r="AA41" i="25"/>
  <c r="AM44" i="25"/>
  <c r="AN44" i="25" s="1"/>
  <c r="AM41" i="25"/>
  <c r="AN41" i="25" s="1"/>
  <c r="AM50" i="25"/>
  <c r="AN50" i="25" s="1"/>
  <c r="AM49" i="25"/>
  <c r="AN49" i="25" s="1"/>
  <c r="AA48" i="25"/>
  <c r="AM45" i="25"/>
  <c r="AN45" i="25" s="1"/>
  <c r="AM43" i="25"/>
  <c r="AN43" i="25" s="1"/>
  <c r="AG48" i="25"/>
  <c r="AH48" i="25" s="1"/>
  <c r="AM48" i="25"/>
  <c r="AN48" i="25" s="1"/>
  <c r="AA46" i="25"/>
  <c r="AG41" i="25"/>
  <c r="AM46" i="25"/>
  <c r="AN46" i="25" s="1"/>
  <c r="AM47" i="25"/>
  <c r="AN47" i="25" s="1"/>
  <c r="AM42" i="25"/>
  <c r="AN42" i="25" s="1"/>
  <c r="AG46" i="25"/>
  <c r="AM52" i="25"/>
  <c r="AN52" i="25" s="1"/>
  <c r="D86" i="51"/>
  <c r="E71" i="25" s="1"/>
  <c r="G71" i="25" s="1"/>
  <c r="U33" i="25"/>
  <c r="AS33" i="25" s="1"/>
  <c r="AQ30" i="25"/>
  <c r="U38" i="25"/>
  <c r="AS38" i="25" s="1"/>
  <c r="T38" i="51"/>
  <c r="G33" i="52"/>
  <c r="T41" i="51"/>
  <c r="L86" i="51"/>
  <c r="M86" i="51" s="1"/>
  <c r="S45" i="51"/>
  <c r="T45" i="51" s="1"/>
  <c r="J31" i="25"/>
  <c r="AS35" i="25"/>
  <c r="S76" i="25"/>
  <c r="Q7" i="52"/>
  <c r="AF143" i="52" s="1"/>
  <c r="W58" i="25"/>
  <c r="C7" i="52"/>
  <c r="F57" i="52" s="1"/>
  <c r="B58" i="25"/>
  <c r="D58" i="25" s="1"/>
  <c r="C23" i="52"/>
  <c r="E23" i="52" s="1"/>
  <c r="E73" i="52" s="1"/>
  <c r="E157" i="52" s="1"/>
  <c r="B78" i="25"/>
  <c r="D78" i="25" s="1"/>
  <c r="U34" i="25"/>
  <c r="AS34" i="25" s="1"/>
  <c r="U47" i="25"/>
  <c r="U45" i="25"/>
  <c r="AD37" i="25"/>
  <c r="AS37" i="25" s="1"/>
  <c r="J76" i="25"/>
  <c r="T55" i="51"/>
  <c r="F31" i="25"/>
  <c r="G31" i="25" s="1"/>
  <c r="C31" i="25"/>
  <c r="O30" i="25"/>
  <c r="P30" i="25" s="1"/>
  <c r="U40" i="25"/>
  <c r="AS40" i="25" s="1"/>
  <c r="AA56" i="25"/>
  <c r="L30" i="25"/>
  <c r="M30" i="25" s="1"/>
  <c r="M76" i="25"/>
  <c r="T42" i="51"/>
  <c r="Q21" i="52"/>
  <c r="AF155" i="52" s="1"/>
  <c r="W61" i="25"/>
  <c r="Q11" i="52"/>
  <c r="AF147" i="52" s="1"/>
  <c r="W76" i="25"/>
  <c r="AS39" i="25"/>
  <c r="U42" i="25"/>
  <c r="U52" i="25"/>
  <c r="O8" i="25"/>
  <c r="P8" i="25" s="1"/>
  <c r="AA57" i="25"/>
  <c r="Q23" i="52"/>
  <c r="AF157" i="52" s="1"/>
  <c r="W78" i="25"/>
  <c r="AA32" i="25"/>
  <c r="R31" i="25"/>
  <c r="R30" i="25"/>
  <c r="L8" i="25"/>
  <c r="C16" i="52"/>
  <c r="B71" i="25"/>
  <c r="D71" i="25" s="1"/>
  <c r="Q12" i="52"/>
  <c r="AF148" i="52" s="1"/>
  <c r="W60" i="25"/>
  <c r="U43" i="25"/>
  <c r="U50" i="25"/>
  <c r="U44" i="25"/>
  <c r="AG32" i="25"/>
  <c r="C25" i="49"/>
  <c r="C7" i="49" s="1"/>
  <c r="C30" i="49" s="1"/>
  <c r="D25" i="49"/>
  <c r="D7" i="49" s="1"/>
  <c r="D30" i="49" s="1"/>
  <c r="U49" i="25"/>
  <c r="X36" i="25"/>
  <c r="AS36" i="25" s="1"/>
  <c r="J123" i="51"/>
  <c r="L123" i="51" s="1"/>
  <c r="U58" i="51"/>
  <c r="V58" i="51" s="1"/>
  <c r="G8" i="52"/>
  <c r="K76" i="49"/>
  <c r="Z11" i="25" s="1"/>
  <c r="AB11" i="25" s="1"/>
  <c r="R41" i="49"/>
  <c r="K104" i="49" s="1"/>
  <c r="N104" i="49" s="1"/>
  <c r="F15" i="49"/>
  <c r="D104" i="51"/>
  <c r="D76" i="51"/>
  <c r="E59" i="25" s="1"/>
  <c r="G59" i="25" s="1"/>
  <c r="D105" i="51"/>
  <c r="D77" i="51"/>
  <c r="E58" i="25" s="1"/>
  <c r="G58" i="25" s="1"/>
  <c r="D55" i="52"/>
  <c r="D141" i="52" s="1"/>
  <c r="U56" i="51"/>
  <c r="V56" i="51" s="1"/>
  <c r="T58" i="51"/>
  <c r="L110" i="51"/>
  <c r="AE149" i="52"/>
  <c r="I16" i="49"/>
  <c r="G45" i="49"/>
  <c r="Q12" i="49"/>
  <c r="M32" i="51"/>
  <c r="E131" i="52"/>
  <c r="E133" i="52" s="1"/>
  <c r="Q8" i="52"/>
  <c r="L78" i="51"/>
  <c r="D116" i="51"/>
  <c r="D88" i="51"/>
  <c r="E75" i="25" s="1"/>
  <c r="G75" i="25" s="1"/>
  <c r="J72" i="49"/>
  <c r="W9" i="25" s="1"/>
  <c r="Y9" i="25" s="1"/>
  <c r="O59" i="49"/>
  <c r="P37" i="49"/>
  <c r="J100" i="49" s="1"/>
  <c r="C104" i="51"/>
  <c r="C76" i="51"/>
  <c r="L39" i="51"/>
  <c r="H104" i="51" s="1"/>
  <c r="H39" i="51"/>
  <c r="N39" i="51"/>
  <c r="I104" i="51" s="1"/>
  <c r="U44" i="51"/>
  <c r="V44" i="51" s="1"/>
  <c r="F117" i="51"/>
  <c r="L117" i="51" s="1"/>
  <c r="U52" i="51"/>
  <c r="V52" i="51" s="1"/>
  <c r="I72" i="49"/>
  <c r="T9" i="25" s="1"/>
  <c r="V9" i="25" s="1"/>
  <c r="M59" i="49"/>
  <c r="N37" i="49"/>
  <c r="I100" i="49" s="1"/>
  <c r="C116" i="51"/>
  <c r="C88" i="51"/>
  <c r="N51" i="51"/>
  <c r="I116" i="51" s="1"/>
  <c r="L51" i="51"/>
  <c r="H116" i="51" s="1"/>
  <c r="H51" i="51"/>
  <c r="E115" i="51"/>
  <c r="L115" i="51" s="1"/>
  <c r="U50" i="51"/>
  <c r="V50" i="51" s="1"/>
  <c r="D83" i="51"/>
  <c r="E67" i="25" s="1"/>
  <c r="G67" i="25" s="1"/>
  <c r="D111" i="51"/>
  <c r="G6" i="52"/>
  <c r="AA25" i="49"/>
  <c r="AA15" i="49"/>
  <c r="AA10" i="49"/>
  <c r="AA18" i="49"/>
  <c r="AA23" i="49"/>
  <c r="AA21" i="49"/>
  <c r="AA16" i="49"/>
  <c r="AA14" i="49"/>
  <c r="AA11" i="49"/>
  <c r="AA8" i="49"/>
  <c r="AA19" i="49"/>
  <c r="AA13" i="49"/>
  <c r="AA9" i="49"/>
  <c r="AA5" i="49"/>
  <c r="AA24" i="49"/>
  <c r="AA22" i="49"/>
  <c r="AA17" i="49"/>
  <c r="AA12" i="49"/>
  <c r="AA20" i="49"/>
  <c r="AA7" i="49"/>
  <c r="AA6" i="49"/>
  <c r="Q6" i="52"/>
  <c r="L76" i="51"/>
  <c r="I91" i="51"/>
  <c r="T61" i="25" s="1"/>
  <c r="Q9" i="52"/>
  <c r="L79" i="51"/>
  <c r="M85" i="51"/>
  <c r="C15" i="52"/>
  <c r="G74" i="51"/>
  <c r="N62" i="25" s="1"/>
  <c r="S37" i="51"/>
  <c r="I59" i="51"/>
  <c r="M89" i="51"/>
  <c r="C19" i="52"/>
  <c r="Z20" i="49"/>
  <c r="Z7" i="49"/>
  <c r="Z6" i="49"/>
  <c r="Z25" i="49"/>
  <c r="Z15" i="49"/>
  <c r="Z10" i="49"/>
  <c r="Z18" i="49"/>
  <c r="Z23" i="49"/>
  <c r="Z21" i="49"/>
  <c r="Z16" i="49"/>
  <c r="Z14" i="49"/>
  <c r="Z11" i="49"/>
  <c r="Z8" i="49"/>
  <c r="Z19" i="49"/>
  <c r="Z13" i="49"/>
  <c r="Z9" i="49"/>
  <c r="Z5" i="49"/>
  <c r="Z24" i="49"/>
  <c r="Z22" i="49"/>
  <c r="Z17" i="49"/>
  <c r="Z12" i="49"/>
  <c r="C43" i="51"/>
  <c r="P43" i="51" s="1"/>
  <c r="J108" i="51" s="1"/>
  <c r="Q28" i="51"/>
  <c r="R28" i="51" s="1"/>
  <c r="R10" i="51"/>
  <c r="D43" i="51" s="1"/>
  <c r="H40" i="49"/>
  <c r="F103" i="49" s="1"/>
  <c r="F75" i="49"/>
  <c r="K5" i="25" s="1"/>
  <c r="M5" i="25" s="1"/>
  <c r="W40" i="49"/>
  <c r="Y40" i="49" s="1"/>
  <c r="C111" i="51"/>
  <c r="C83" i="51"/>
  <c r="F46" i="51"/>
  <c r="L46" i="51"/>
  <c r="H111" i="51" s="1"/>
  <c r="N46" i="51"/>
  <c r="I111" i="51" s="1"/>
  <c r="H46" i="51"/>
  <c r="F111" i="51" s="1"/>
  <c r="K96" i="51"/>
  <c r="AA4" i="49"/>
  <c r="D92" i="51"/>
  <c r="E70" i="25" s="1"/>
  <c r="G70" i="25" s="1"/>
  <c r="D120" i="51"/>
  <c r="D103" i="51"/>
  <c r="D75" i="51"/>
  <c r="E63" i="25" s="1"/>
  <c r="G63" i="25" s="1"/>
  <c r="L109" i="51"/>
  <c r="Y4" i="49"/>
  <c r="AI6" i="49"/>
  <c r="AI7" i="49" s="1"/>
  <c r="L95" i="51"/>
  <c r="Q25" i="52"/>
  <c r="Z4" i="49"/>
  <c r="Q20" i="52"/>
  <c r="L90" i="51"/>
  <c r="M87" i="51"/>
  <c r="C17" i="52"/>
  <c r="O31" i="51"/>
  <c r="D109" i="51"/>
  <c r="D81" i="51"/>
  <c r="E76" i="25" s="1"/>
  <c r="G76" i="25" s="1"/>
  <c r="P67" i="49"/>
  <c r="O68" i="49"/>
  <c r="V65" i="49"/>
  <c r="W65" i="49"/>
  <c r="C92" i="51"/>
  <c r="C120" i="51"/>
  <c r="F55" i="51"/>
  <c r="H55" i="51"/>
  <c r="F120" i="51" s="1"/>
  <c r="L55" i="51"/>
  <c r="H120" i="51" s="1"/>
  <c r="D84" i="51"/>
  <c r="E65" i="25" s="1"/>
  <c r="G65" i="25" s="1"/>
  <c r="D112" i="51"/>
  <c r="H114" i="51"/>
  <c r="L114" i="51" s="1"/>
  <c r="U49" i="51"/>
  <c r="V49" i="51" s="1"/>
  <c r="Q22" i="52"/>
  <c r="L92" i="51"/>
  <c r="C103" i="51"/>
  <c r="C63" i="51"/>
  <c r="H63" i="51" s="1"/>
  <c r="C75" i="51"/>
  <c r="B63" i="25" s="1"/>
  <c r="D63" i="25" s="1"/>
  <c r="H38" i="51"/>
  <c r="N38" i="51"/>
  <c r="I103" i="51" s="1"/>
  <c r="L81" i="51"/>
  <c r="M81" i="51" s="1"/>
  <c r="D110" i="51"/>
  <c r="D82" i="51"/>
  <c r="E60" i="25" s="1"/>
  <c r="H49" i="52"/>
  <c r="J67" i="49"/>
  <c r="I68" i="49"/>
  <c r="O49" i="52"/>
  <c r="K77" i="49"/>
  <c r="R42" i="49"/>
  <c r="K105" i="49" s="1"/>
  <c r="N105" i="49" s="1"/>
  <c r="K49" i="52"/>
  <c r="N67" i="49"/>
  <c r="M68" i="49"/>
  <c r="D123" i="51"/>
  <c r="D95" i="51"/>
  <c r="E77" i="25" s="1"/>
  <c r="G77" i="25" s="1"/>
  <c r="C231" i="52"/>
  <c r="J80" i="51"/>
  <c r="W66" i="25" s="1"/>
  <c r="S43" i="51"/>
  <c r="D106" i="51"/>
  <c r="D78" i="51"/>
  <c r="E64" i="25" s="1"/>
  <c r="G64" i="25" s="1"/>
  <c r="T51" i="51"/>
  <c r="AA143" i="52"/>
  <c r="C84" i="51"/>
  <c r="C112" i="51"/>
  <c r="H47" i="51"/>
  <c r="L47" i="51"/>
  <c r="H112" i="51" s="1"/>
  <c r="N47" i="51"/>
  <c r="I112" i="51" s="1"/>
  <c r="Q5" i="52"/>
  <c r="L75" i="51"/>
  <c r="L93" i="51"/>
  <c r="M93" i="51" s="1"/>
  <c r="J37" i="49"/>
  <c r="G100" i="49" s="1"/>
  <c r="I59" i="49"/>
  <c r="G72" i="49"/>
  <c r="N9" i="25" s="1"/>
  <c r="P9" i="25" s="1"/>
  <c r="U26" i="49"/>
  <c r="C123" i="51"/>
  <c r="C95" i="51"/>
  <c r="F154" i="52"/>
  <c r="D90" i="51"/>
  <c r="E68" i="25" s="1"/>
  <c r="D118" i="51"/>
  <c r="C37" i="51"/>
  <c r="J37" i="51" s="1"/>
  <c r="G102" i="51" s="1"/>
  <c r="C106" i="51"/>
  <c r="C78" i="51"/>
  <c r="H41" i="51"/>
  <c r="N41" i="51"/>
  <c r="I106" i="51" s="1"/>
  <c r="P51" i="51"/>
  <c r="J116" i="51" s="1"/>
  <c r="Q14" i="52"/>
  <c r="L84" i="51"/>
  <c r="F133" i="52"/>
  <c r="T46" i="51"/>
  <c r="D107" i="51"/>
  <c r="D79" i="51"/>
  <c r="E72" i="25" s="1"/>
  <c r="C38" i="49"/>
  <c r="R4" i="51"/>
  <c r="D37" i="51" s="1"/>
  <c r="D4" i="52"/>
  <c r="G5" i="52"/>
  <c r="G9" i="52"/>
  <c r="C90" i="51"/>
  <c r="C118" i="51"/>
  <c r="F53" i="51"/>
  <c r="H53" i="51"/>
  <c r="F118" i="51" s="1"/>
  <c r="L53" i="51"/>
  <c r="H118" i="51" s="1"/>
  <c r="N53" i="51"/>
  <c r="I118" i="51" s="1"/>
  <c r="J74" i="51"/>
  <c r="O59" i="51"/>
  <c r="L88" i="51"/>
  <c r="Q18" i="52"/>
  <c r="O30" i="51"/>
  <c r="F105" i="51"/>
  <c r="L105" i="51" s="1"/>
  <c r="U40" i="51"/>
  <c r="V40" i="51" s="1"/>
  <c r="Q13" i="52"/>
  <c r="L83" i="51"/>
  <c r="K74" i="49"/>
  <c r="Z6" i="25" s="1"/>
  <c r="R39" i="49"/>
  <c r="L77" i="51"/>
  <c r="M77" i="51" s="1"/>
  <c r="C107" i="51"/>
  <c r="C79" i="51"/>
  <c r="H42" i="51"/>
  <c r="N42" i="51"/>
  <c r="I107" i="51" s="1"/>
  <c r="S5" i="49"/>
  <c r="D38" i="49" s="1"/>
  <c r="D73" i="49" s="1"/>
  <c r="F113" i="51"/>
  <c r="L113" i="51" s="1"/>
  <c r="U48" i="51"/>
  <c r="V48" i="51" s="1"/>
  <c r="I74" i="51"/>
  <c r="T62" i="25" s="1"/>
  <c r="M59" i="51"/>
  <c r="U45" i="51"/>
  <c r="V45" i="51" s="1"/>
  <c r="M10" i="25"/>
  <c r="J30" i="25"/>
  <c r="M6" i="25"/>
  <c r="D6" i="25"/>
  <c r="X58" i="25"/>
  <c r="X73" i="25"/>
  <c r="X69" i="25"/>
  <c r="D74" i="25"/>
  <c r="AG8" i="25"/>
  <c r="AH8" i="25" s="1"/>
  <c r="AJ31" i="25"/>
  <c r="AK31" i="25" s="1"/>
  <c r="AA6" i="25"/>
  <c r="AI6" i="25" s="1"/>
  <c r="D69" i="25"/>
  <c r="AE57" i="25"/>
  <c r="P26" i="51" l="1"/>
  <c r="E91" i="51"/>
  <c r="H61" i="25" s="1"/>
  <c r="J61" i="25" s="1"/>
  <c r="G59" i="51"/>
  <c r="F96" i="51" s="1"/>
  <c r="K57" i="25" s="1"/>
  <c r="M57" i="25" s="1"/>
  <c r="F54" i="51"/>
  <c r="E119" i="51" s="1"/>
  <c r="L82" i="51"/>
  <c r="M82" i="51" s="1"/>
  <c r="H91" i="51"/>
  <c r="Q61" i="25" s="1"/>
  <c r="S61" i="25" s="1"/>
  <c r="S54" i="51"/>
  <c r="T54" i="51" s="1"/>
  <c r="P37" i="51"/>
  <c r="J102" i="51" s="1"/>
  <c r="Z41" i="49"/>
  <c r="AA41" i="49" s="1"/>
  <c r="M88" i="51"/>
  <c r="R151" i="52"/>
  <c r="R66" i="52"/>
  <c r="C57" i="52"/>
  <c r="C143" i="52" s="1"/>
  <c r="K143" i="52" s="1"/>
  <c r="L66" i="52"/>
  <c r="R73" i="52"/>
  <c r="T43" i="51"/>
  <c r="Q66" i="52"/>
  <c r="J73" i="52"/>
  <c r="F73" i="52"/>
  <c r="N73" i="52"/>
  <c r="K73" i="52"/>
  <c r="I73" i="52"/>
  <c r="X63" i="25"/>
  <c r="H57" i="52"/>
  <c r="I57" i="52"/>
  <c r="O73" i="52"/>
  <c r="O57" i="52"/>
  <c r="M73" i="52"/>
  <c r="K57" i="52"/>
  <c r="J57" i="52"/>
  <c r="AS50" i="25"/>
  <c r="AS41" i="25"/>
  <c r="AS49" i="25"/>
  <c r="AS52" i="25"/>
  <c r="AS42" i="25"/>
  <c r="AS46" i="25"/>
  <c r="AS48" i="25"/>
  <c r="X51" i="25"/>
  <c r="Y51" i="25" s="1"/>
  <c r="AB48" i="25"/>
  <c r="AS45" i="25"/>
  <c r="AG51" i="25"/>
  <c r="AA51" i="25"/>
  <c r="AD51" i="25"/>
  <c r="AE51" i="25" s="1"/>
  <c r="Q57" i="52"/>
  <c r="N66" i="52"/>
  <c r="G66" i="52"/>
  <c r="M66" i="52"/>
  <c r="K66" i="52"/>
  <c r="E16" i="52"/>
  <c r="E66" i="52" s="1"/>
  <c r="O66" i="52"/>
  <c r="H66" i="52"/>
  <c r="F66" i="52"/>
  <c r="J66" i="52"/>
  <c r="C66" i="52"/>
  <c r="C151" i="52" s="1"/>
  <c r="G151" i="52" s="1"/>
  <c r="X30" i="25"/>
  <c r="AB6" i="25"/>
  <c r="AG30" i="25"/>
  <c r="U51" i="25"/>
  <c r="G72" i="25"/>
  <c r="M92" i="51"/>
  <c r="E25" i="49"/>
  <c r="F25" i="49" s="1"/>
  <c r="K54" i="49" s="1"/>
  <c r="N76" i="49"/>
  <c r="O76" i="49" s="1"/>
  <c r="T37" i="51"/>
  <c r="X71" i="25"/>
  <c r="X59" i="25"/>
  <c r="X75" i="25"/>
  <c r="E7" i="52"/>
  <c r="Q73" i="52"/>
  <c r="G73" i="52"/>
  <c r="L73" i="52"/>
  <c r="R57" i="52"/>
  <c r="V47" i="25"/>
  <c r="AS47" i="25"/>
  <c r="D101" i="49"/>
  <c r="E10" i="25"/>
  <c r="G10" i="25" s="1"/>
  <c r="H54" i="51"/>
  <c r="F119" i="51" s="1"/>
  <c r="C13" i="52"/>
  <c r="P63" i="52" s="1"/>
  <c r="B67" i="25"/>
  <c r="D67" i="25" s="1"/>
  <c r="H97" i="51"/>
  <c r="Q56" i="25" s="1"/>
  <c r="Q57" i="25"/>
  <c r="R8" i="25"/>
  <c r="AI8" i="25" s="1"/>
  <c r="X61" i="25"/>
  <c r="X74" i="25"/>
  <c r="L54" i="51"/>
  <c r="H119" i="51" s="1"/>
  <c r="C14" i="52"/>
  <c r="E14" i="52" s="1"/>
  <c r="B65" i="25"/>
  <c r="D65" i="25" s="1"/>
  <c r="N54" i="51"/>
  <c r="I119" i="51" s="1"/>
  <c r="C6" i="52"/>
  <c r="H56" i="52" s="1"/>
  <c r="B59" i="25"/>
  <c r="D59" i="25" s="1"/>
  <c r="L57" i="52"/>
  <c r="V44" i="25"/>
  <c r="AS44" i="25"/>
  <c r="X60" i="25"/>
  <c r="X76" i="25"/>
  <c r="M83" i="51"/>
  <c r="P9" i="52"/>
  <c r="AE144" i="52" s="1"/>
  <c r="Z19" i="25"/>
  <c r="AB19" i="25" s="1"/>
  <c r="AP31" i="25"/>
  <c r="AQ31" i="25" s="1"/>
  <c r="N37" i="51"/>
  <c r="I102" i="51" s="1"/>
  <c r="C20" i="52"/>
  <c r="H70" i="52" s="1"/>
  <c r="B68" i="25"/>
  <c r="D68" i="25" s="1"/>
  <c r="C8" i="52"/>
  <c r="Q58" i="52" s="1"/>
  <c r="B64" i="25"/>
  <c r="D64" i="25" s="1"/>
  <c r="C25" i="52"/>
  <c r="R75" i="52" s="1"/>
  <c r="B77" i="25"/>
  <c r="D77" i="25" s="1"/>
  <c r="B30" i="25"/>
  <c r="D30" i="25" s="1"/>
  <c r="B31" i="25"/>
  <c r="D31" i="25" s="1"/>
  <c r="K97" i="51"/>
  <c r="Z56" i="25" s="1"/>
  <c r="AB56" i="25" s="1"/>
  <c r="Z57" i="25"/>
  <c r="AB57" i="25" s="1"/>
  <c r="H73" i="52"/>
  <c r="C73" i="52"/>
  <c r="C157" i="52" s="1"/>
  <c r="G157" i="52" s="1"/>
  <c r="V43" i="25"/>
  <c r="AS43" i="25"/>
  <c r="AS32" i="25"/>
  <c r="X72" i="25"/>
  <c r="R5" i="25"/>
  <c r="F23" i="25"/>
  <c r="C23" i="25"/>
  <c r="X64" i="25"/>
  <c r="C9" i="52"/>
  <c r="H59" i="52" s="1"/>
  <c r="B72" i="25"/>
  <c r="D72" i="25" s="1"/>
  <c r="Q4" i="52"/>
  <c r="Q37" i="52" s="1"/>
  <c r="W62" i="25"/>
  <c r="N77" i="49"/>
  <c r="O77" i="49" s="1"/>
  <c r="R21" i="51"/>
  <c r="D54" i="51" s="1"/>
  <c r="D91" i="51" s="1"/>
  <c r="E61" i="25" s="1"/>
  <c r="Q26" i="51"/>
  <c r="R26" i="51" s="1"/>
  <c r="D59" i="51" s="1"/>
  <c r="E44" i="49"/>
  <c r="K44" i="49"/>
  <c r="G44" i="49"/>
  <c r="Q44" i="49"/>
  <c r="X70" i="25"/>
  <c r="X65" i="25"/>
  <c r="X62" i="25"/>
  <c r="X66" i="25"/>
  <c r="G68" i="25"/>
  <c r="Z42" i="49"/>
  <c r="AA42" i="49" s="1"/>
  <c r="C22" i="52"/>
  <c r="J72" i="52" s="1"/>
  <c r="B70" i="25"/>
  <c r="D70" i="25" s="1"/>
  <c r="C18" i="52"/>
  <c r="N68" i="52" s="1"/>
  <c r="B75" i="25"/>
  <c r="D75" i="25" s="1"/>
  <c r="K102" i="49"/>
  <c r="N102" i="49" s="1"/>
  <c r="Z39" i="49"/>
  <c r="AA39" i="49" s="1"/>
  <c r="M84" i="51"/>
  <c r="C102" i="51"/>
  <c r="C59" i="51"/>
  <c r="N59" i="51" s="1"/>
  <c r="I124" i="51" s="1"/>
  <c r="C74" i="51"/>
  <c r="H4" i="52"/>
  <c r="G94" i="49"/>
  <c r="N4" i="25" s="1"/>
  <c r="Q10" i="52"/>
  <c r="L80" i="51"/>
  <c r="K73" i="49"/>
  <c r="Z10" i="25" s="1"/>
  <c r="AB10" i="25" s="1"/>
  <c r="R38" i="49"/>
  <c r="K101" i="49" s="1"/>
  <c r="W38" i="49"/>
  <c r="Y38" i="49" s="1"/>
  <c r="Z26" i="49"/>
  <c r="E111" i="51"/>
  <c r="L111" i="51" s="1"/>
  <c r="U46" i="51"/>
  <c r="V46" i="51" s="1"/>
  <c r="L74" i="51"/>
  <c r="M78" i="51"/>
  <c r="Q11" i="49"/>
  <c r="I15" i="49"/>
  <c r="E118" i="51"/>
  <c r="L118" i="51" s="1"/>
  <c r="U53" i="51"/>
  <c r="V53" i="51" s="1"/>
  <c r="AF150" i="52"/>
  <c r="M75" i="51"/>
  <c r="N74" i="49"/>
  <c r="O74" i="49" s="1"/>
  <c r="AF145" i="52"/>
  <c r="D12" i="52"/>
  <c r="R12" i="49"/>
  <c r="C45" i="49" s="1"/>
  <c r="H45" i="49" s="1"/>
  <c r="F108" i="49" s="1"/>
  <c r="AF141" i="52"/>
  <c r="G231" i="52"/>
  <c r="V140" i="52"/>
  <c r="K50" i="52"/>
  <c r="F103" i="51"/>
  <c r="L103" i="51" s="1"/>
  <c r="U38" i="51"/>
  <c r="V38" i="51" s="1"/>
  <c r="E120" i="51"/>
  <c r="L120" i="51" s="1"/>
  <c r="U55" i="51"/>
  <c r="V55" i="51" s="1"/>
  <c r="K75" i="49"/>
  <c r="N75" i="49" s="1"/>
  <c r="O75" i="49" s="1"/>
  <c r="R40" i="49"/>
  <c r="K103" i="49" s="1"/>
  <c r="N103" i="49" s="1"/>
  <c r="Q45" i="52"/>
  <c r="AA26" i="49"/>
  <c r="D108" i="51"/>
  <c r="D80" i="51"/>
  <c r="E66" i="25" s="1"/>
  <c r="G66" i="25" s="1"/>
  <c r="M76" i="51"/>
  <c r="H142" i="52"/>
  <c r="F80" i="49"/>
  <c r="K7" i="25" s="1"/>
  <c r="W45" i="49"/>
  <c r="I96" i="51"/>
  <c r="AF149" i="52"/>
  <c r="J96" i="51"/>
  <c r="H141" i="52"/>
  <c r="C101" i="49"/>
  <c r="C63" i="49"/>
  <c r="H63" i="49" s="1"/>
  <c r="C73" i="49"/>
  <c r="B10" i="25" s="1"/>
  <c r="D10" i="25" s="1"/>
  <c r="T38" i="49"/>
  <c r="L101" i="49" s="1"/>
  <c r="H38" i="49"/>
  <c r="F231" i="52"/>
  <c r="M90" i="51"/>
  <c r="M95" i="51"/>
  <c r="AF142" i="52"/>
  <c r="K4" i="52"/>
  <c r="I94" i="49"/>
  <c r="T4" i="25" s="1"/>
  <c r="V4" i="25" s="1"/>
  <c r="F107" i="51"/>
  <c r="L107" i="51" s="1"/>
  <c r="U42" i="51"/>
  <c r="V42" i="51" s="1"/>
  <c r="C119" i="51"/>
  <c r="C91" i="51"/>
  <c r="B61" i="25" s="1"/>
  <c r="P54" i="51"/>
  <c r="J119" i="51" s="1"/>
  <c r="F106" i="51"/>
  <c r="L106" i="51" s="1"/>
  <c r="U41" i="51"/>
  <c r="V41" i="51" s="1"/>
  <c r="J140" i="52"/>
  <c r="H50" i="52"/>
  <c r="Q43" i="52"/>
  <c r="C108" i="51"/>
  <c r="C80" i="51"/>
  <c r="N43" i="51"/>
  <c r="I108" i="51" s="1"/>
  <c r="L43" i="51"/>
  <c r="H108" i="51" s="1"/>
  <c r="H43" i="51"/>
  <c r="F104" i="51"/>
  <c r="L104" i="51" s="1"/>
  <c r="U39" i="51"/>
  <c r="V39" i="51" s="1"/>
  <c r="J94" i="49"/>
  <c r="W4" i="25" s="1"/>
  <c r="Y4" i="25" s="1"/>
  <c r="D54" i="52"/>
  <c r="F112" i="51"/>
  <c r="L112" i="51" s="1"/>
  <c r="U47" i="51"/>
  <c r="V47" i="51" s="1"/>
  <c r="E97" i="51"/>
  <c r="H56" i="25" s="1"/>
  <c r="J56" i="25" s="1"/>
  <c r="Q30" i="51"/>
  <c r="O32" i="51"/>
  <c r="S30" i="51" s="1"/>
  <c r="O66" i="51" s="1"/>
  <c r="G131" i="52"/>
  <c r="H144" i="52"/>
  <c r="AD140" i="52"/>
  <c r="L140" i="52" s="1"/>
  <c r="Q31" i="51"/>
  <c r="G132" i="52"/>
  <c r="I132" i="52" s="1"/>
  <c r="Y26" i="49"/>
  <c r="U37" i="49"/>
  <c r="X4" i="49"/>
  <c r="Q37" i="49" s="1"/>
  <c r="C69" i="52"/>
  <c r="C153" i="52" s="1"/>
  <c r="Q69" i="52"/>
  <c r="P69" i="52"/>
  <c r="O69" i="52"/>
  <c r="J69" i="52"/>
  <c r="K69" i="52"/>
  <c r="F69" i="52"/>
  <c r="H69" i="52"/>
  <c r="R69" i="52"/>
  <c r="M69" i="52"/>
  <c r="L69" i="52"/>
  <c r="N69" i="52"/>
  <c r="E19" i="52"/>
  <c r="E69" i="52" s="1"/>
  <c r="E153" i="52" s="1"/>
  <c r="I69" i="52"/>
  <c r="G69" i="52"/>
  <c r="T19" i="52"/>
  <c r="G96" i="51"/>
  <c r="M79" i="51"/>
  <c r="AF152" i="52"/>
  <c r="O47" i="52"/>
  <c r="D102" i="51"/>
  <c r="D74" i="51"/>
  <c r="E62" i="25" s="1"/>
  <c r="AF156" i="52"/>
  <c r="P156" i="52" s="1"/>
  <c r="C67" i="52"/>
  <c r="L67" i="52"/>
  <c r="P67" i="52"/>
  <c r="M67" i="52"/>
  <c r="O67" i="52"/>
  <c r="Q67" i="52"/>
  <c r="N67" i="52"/>
  <c r="K67" i="52"/>
  <c r="R67" i="52"/>
  <c r="H67" i="52"/>
  <c r="J67" i="52"/>
  <c r="G67" i="52"/>
  <c r="E17" i="52"/>
  <c r="E67" i="52" s="1"/>
  <c r="I67" i="52"/>
  <c r="F67" i="52"/>
  <c r="T17" i="52"/>
  <c r="G7" i="52"/>
  <c r="G34" i="52" s="1"/>
  <c r="C65" i="52"/>
  <c r="R65" i="52"/>
  <c r="O65" i="52"/>
  <c r="M65" i="52"/>
  <c r="N65" i="52"/>
  <c r="H65" i="52"/>
  <c r="K65" i="52"/>
  <c r="J65" i="52"/>
  <c r="Q65" i="52"/>
  <c r="F65" i="52"/>
  <c r="L65" i="52"/>
  <c r="E15" i="52"/>
  <c r="G65" i="52"/>
  <c r="AF144" i="52"/>
  <c r="F116" i="51"/>
  <c r="L116" i="51" s="1"/>
  <c r="U51" i="51"/>
  <c r="V51" i="51" s="1"/>
  <c r="H145" i="52"/>
  <c r="AI10" i="25"/>
  <c r="D76" i="25"/>
  <c r="G60" i="25"/>
  <c r="R63" i="25"/>
  <c r="R72" i="25"/>
  <c r="U61" i="25"/>
  <c r="R58" i="25"/>
  <c r="V62" i="25"/>
  <c r="D60" i="25"/>
  <c r="U68" i="25"/>
  <c r="R77" i="25"/>
  <c r="R65" i="25"/>
  <c r="U78" i="25"/>
  <c r="R60" i="25"/>
  <c r="R67" i="25"/>
  <c r="I23" i="25"/>
  <c r="P62" i="25"/>
  <c r="R74" i="25"/>
  <c r="AD30" i="25"/>
  <c r="U76" i="25"/>
  <c r="R62" i="25"/>
  <c r="D15" i="25"/>
  <c r="F97" i="51" l="1"/>
  <c r="K56" i="25" s="1"/>
  <c r="M56" i="25" s="1"/>
  <c r="S59" i="51"/>
  <c r="L91" i="51"/>
  <c r="W151" i="52"/>
  <c r="G143" i="52"/>
  <c r="S143" i="52"/>
  <c r="U37" i="51"/>
  <c r="V37" i="51" s="1"/>
  <c r="L102" i="51"/>
  <c r="E57" i="52"/>
  <c r="E143" i="52" s="1"/>
  <c r="G58" i="52"/>
  <c r="S151" i="52"/>
  <c r="W143" i="52"/>
  <c r="J58" i="52"/>
  <c r="O143" i="52"/>
  <c r="U143" i="52"/>
  <c r="E8" i="52"/>
  <c r="E58" i="52" s="1"/>
  <c r="E145" i="52" s="1"/>
  <c r="K58" i="52"/>
  <c r="I25" i="49"/>
  <c r="I7" i="49" s="1"/>
  <c r="I30" i="49" s="1"/>
  <c r="I31" i="49" s="1"/>
  <c r="H64" i="52"/>
  <c r="L64" i="52"/>
  <c r="M56" i="52"/>
  <c r="F58" i="52"/>
  <c r="H58" i="52"/>
  <c r="L58" i="52"/>
  <c r="U151" i="52"/>
  <c r="K151" i="52"/>
  <c r="O151" i="52"/>
  <c r="I151" i="52"/>
  <c r="F59" i="52"/>
  <c r="X57" i="25"/>
  <c r="P59" i="51"/>
  <c r="J124" i="51" s="1"/>
  <c r="I130" i="51" s="1"/>
  <c r="J59" i="51"/>
  <c r="G124" i="51" s="1"/>
  <c r="G130" i="51" s="1"/>
  <c r="G232" i="52" s="1"/>
  <c r="X78" i="25"/>
  <c r="D119" i="51"/>
  <c r="X77" i="25"/>
  <c r="Y77" i="25" s="1"/>
  <c r="X68" i="25"/>
  <c r="Y68" i="25" s="1"/>
  <c r="X67" i="25"/>
  <c r="Y67" i="25" s="1"/>
  <c r="R70" i="52"/>
  <c r="L68" i="52"/>
  <c r="J68" i="52"/>
  <c r="O68" i="52"/>
  <c r="Q68" i="52"/>
  <c r="G68" i="52"/>
  <c r="C68" i="52"/>
  <c r="C152" i="52" s="1"/>
  <c r="W152" i="52" s="1"/>
  <c r="R68" i="52"/>
  <c r="AA23" i="25"/>
  <c r="AM51" i="25"/>
  <c r="K157" i="52"/>
  <c r="J64" i="52"/>
  <c r="E151" i="52"/>
  <c r="G63" i="52"/>
  <c r="Q64" i="52"/>
  <c r="R64" i="52"/>
  <c r="E18" i="52"/>
  <c r="E68" i="52" s="1"/>
  <c r="E152" i="52" s="1"/>
  <c r="H63" i="52"/>
  <c r="K64" i="52"/>
  <c r="K68" i="52"/>
  <c r="G64" i="52"/>
  <c r="G84" i="52" s="1"/>
  <c r="F64" i="52"/>
  <c r="O64" i="52"/>
  <c r="C64" i="52"/>
  <c r="C150" i="52" s="1"/>
  <c r="W150" i="52" s="1"/>
  <c r="H68" i="52"/>
  <c r="F68" i="52"/>
  <c r="C56" i="52"/>
  <c r="C142" i="52" s="1"/>
  <c r="W142" i="52" s="1"/>
  <c r="N56" i="52"/>
  <c r="R56" i="52"/>
  <c r="O75" i="52"/>
  <c r="K56" i="52"/>
  <c r="E25" i="52"/>
  <c r="E75" i="52" s="1"/>
  <c r="N72" i="52"/>
  <c r="Q75" i="52"/>
  <c r="E6" i="52"/>
  <c r="E56" i="52" s="1"/>
  <c r="E142" i="52" s="1"/>
  <c r="L56" i="52"/>
  <c r="G75" i="52"/>
  <c r="Q56" i="52"/>
  <c r="G56" i="52"/>
  <c r="J56" i="52"/>
  <c r="U157" i="52"/>
  <c r="I56" i="52"/>
  <c r="O56" i="52"/>
  <c r="L75" i="52"/>
  <c r="I157" i="52"/>
  <c r="F56" i="52"/>
  <c r="H75" i="52"/>
  <c r="M157" i="52"/>
  <c r="Q21" i="49"/>
  <c r="D21" i="52" s="1"/>
  <c r="F72" i="52"/>
  <c r="R72" i="52"/>
  <c r="M72" i="52"/>
  <c r="F7" i="49"/>
  <c r="F30" i="49" s="1"/>
  <c r="L72" i="52"/>
  <c r="E7" i="49"/>
  <c r="E30" i="49" s="1"/>
  <c r="R58" i="52"/>
  <c r="C58" i="52"/>
  <c r="C145" i="52" s="1"/>
  <c r="K145" i="52" s="1"/>
  <c r="E54" i="49"/>
  <c r="E59" i="49" s="1"/>
  <c r="I58" i="52"/>
  <c r="J59" i="52"/>
  <c r="E30" i="25"/>
  <c r="G59" i="52"/>
  <c r="O58" i="52"/>
  <c r="I59" i="52"/>
  <c r="N58" i="52"/>
  <c r="M58" i="52"/>
  <c r="Q54" i="49"/>
  <c r="K89" i="49" s="1"/>
  <c r="Z8" i="25" s="1"/>
  <c r="L70" i="52"/>
  <c r="M68" i="52"/>
  <c r="G54" i="49"/>
  <c r="F89" i="49" s="1"/>
  <c r="K70" i="52"/>
  <c r="E20" i="52"/>
  <c r="E70" i="52" s="1"/>
  <c r="O23" i="25"/>
  <c r="P23" i="25" s="1"/>
  <c r="Q72" i="52"/>
  <c r="F75" i="52"/>
  <c r="C45" i="52"/>
  <c r="L87" i="52" s="1"/>
  <c r="K59" i="52"/>
  <c r="W157" i="52"/>
  <c r="C10" i="52"/>
  <c r="K60" i="52" s="1"/>
  <c r="B66" i="25"/>
  <c r="D66" i="25" s="1"/>
  <c r="E22" i="52"/>
  <c r="E72" i="52" s="1"/>
  <c r="E156" i="52" s="1"/>
  <c r="K72" i="52"/>
  <c r="O70" i="52"/>
  <c r="C43" i="52"/>
  <c r="N85" i="52" s="1"/>
  <c r="Y45" i="49"/>
  <c r="Z40" i="49"/>
  <c r="AA40" i="49" s="1"/>
  <c r="R63" i="52"/>
  <c r="U64" i="25"/>
  <c r="X56" i="25"/>
  <c r="L23" i="25"/>
  <c r="J75" i="52"/>
  <c r="C75" i="52"/>
  <c r="C87" i="52" s="1"/>
  <c r="C158" i="52" s="1"/>
  <c r="L59" i="52"/>
  <c r="S157" i="52"/>
  <c r="H72" i="52"/>
  <c r="C72" i="52"/>
  <c r="C156" i="52" s="1"/>
  <c r="Q156" i="52" s="1"/>
  <c r="M70" i="52"/>
  <c r="C70" i="52"/>
  <c r="C85" i="52" s="1"/>
  <c r="P7" i="52"/>
  <c r="AE143" i="52" s="1"/>
  <c r="Z5" i="25"/>
  <c r="AB5" i="25" s="1"/>
  <c r="F63" i="52"/>
  <c r="J63" i="52"/>
  <c r="L96" i="51"/>
  <c r="L97" i="51" s="1"/>
  <c r="W57" i="25"/>
  <c r="I63" i="52"/>
  <c r="C63" i="52"/>
  <c r="C149" i="52" s="1"/>
  <c r="K149" i="52" s="1"/>
  <c r="S5" i="25"/>
  <c r="AI5" i="25"/>
  <c r="U69" i="25"/>
  <c r="U71" i="25"/>
  <c r="D61" i="25"/>
  <c r="E9" i="52"/>
  <c r="E59" i="52" s="1"/>
  <c r="E144" i="52" s="1"/>
  <c r="R59" i="52"/>
  <c r="Q70" i="52"/>
  <c r="P59" i="52"/>
  <c r="J70" i="52"/>
  <c r="Q63" i="52"/>
  <c r="E13" i="52"/>
  <c r="E63" i="52" s="1"/>
  <c r="E149" i="52" s="1"/>
  <c r="U73" i="25"/>
  <c r="S31" i="51"/>
  <c r="O68" i="51" s="1"/>
  <c r="O69" i="51" s="1"/>
  <c r="K75" i="52"/>
  <c r="O59" i="52"/>
  <c r="C59" i="52"/>
  <c r="C144" i="52" s="1"/>
  <c r="I144" i="52" s="1"/>
  <c r="O157" i="52"/>
  <c r="P72" i="52"/>
  <c r="O72" i="52"/>
  <c r="F70" i="52"/>
  <c r="N70" i="52"/>
  <c r="O63" i="52"/>
  <c r="M74" i="51"/>
  <c r="U75" i="25"/>
  <c r="U30" i="25"/>
  <c r="Q59" i="52"/>
  <c r="G72" i="52"/>
  <c r="G70" i="52"/>
  <c r="L63" i="52"/>
  <c r="U66" i="25"/>
  <c r="AA31" i="25"/>
  <c r="AA30" i="25"/>
  <c r="G97" i="51"/>
  <c r="N56" i="25" s="1"/>
  <c r="N57" i="25"/>
  <c r="P57" i="25" s="1"/>
  <c r="I97" i="51"/>
  <c r="T56" i="25" s="1"/>
  <c r="T57" i="25"/>
  <c r="K63" i="52"/>
  <c r="C4" i="52"/>
  <c r="G54" i="52" s="1"/>
  <c r="B62" i="25"/>
  <c r="U59" i="25"/>
  <c r="Q47" i="52"/>
  <c r="K153" i="52"/>
  <c r="G153" i="52"/>
  <c r="U153" i="52"/>
  <c r="S153" i="52"/>
  <c r="O153" i="52"/>
  <c r="W153" i="52"/>
  <c r="Q153" i="52"/>
  <c r="M153" i="52"/>
  <c r="I153" i="52"/>
  <c r="Y153" i="52"/>
  <c r="C5" i="52"/>
  <c r="G12" i="52"/>
  <c r="N80" i="49"/>
  <c r="V159" i="52"/>
  <c r="C96" i="51"/>
  <c r="C124" i="51"/>
  <c r="C130" i="51" s="1"/>
  <c r="C232" i="52" s="1"/>
  <c r="C60" i="51"/>
  <c r="L59" i="51"/>
  <c r="H124" i="51" s="1"/>
  <c r="H130" i="51" s="1"/>
  <c r="F59" i="51"/>
  <c r="R59" i="51"/>
  <c r="K124" i="51" s="1"/>
  <c r="J130" i="51" s="1"/>
  <c r="H59" i="51"/>
  <c r="F124" i="51" s="1"/>
  <c r="F130" i="51" s="1"/>
  <c r="T59" i="51"/>
  <c r="E65" i="52"/>
  <c r="S67" i="52"/>
  <c r="X26" i="49"/>
  <c r="AB4" i="49" s="1"/>
  <c r="Q67" i="49"/>
  <c r="I131" i="52"/>
  <c r="G133" i="52"/>
  <c r="M91" i="51"/>
  <c r="E79" i="49"/>
  <c r="H23" i="25" s="1"/>
  <c r="W44" i="49"/>
  <c r="J49" i="52"/>
  <c r="U54" i="51"/>
  <c r="V54" i="51" s="1"/>
  <c r="S69" i="52"/>
  <c r="U59" i="49"/>
  <c r="M72" i="49"/>
  <c r="AF9" i="25" s="1"/>
  <c r="AH9" i="25" s="1"/>
  <c r="V37" i="49"/>
  <c r="M100" i="49" s="1"/>
  <c r="AF154" i="52"/>
  <c r="D11" i="52"/>
  <c r="R11" i="49"/>
  <c r="S11" i="49" s="1"/>
  <c r="D44" i="49" s="1"/>
  <c r="D79" i="49" s="1"/>
  <c r="AF14" i="49"/>
  <c r="L49" i="52"/>
  <c r="N73" i="49"/>
  <c r="O73" i="49" s="1"/>
  <c r="M80" i="51"/>
  <c r="L119" i="51"/>
  <c r="AD139" i="52"/>
  <c r="O50" i="52"/>
  <c r="C66" i="51"/>
  <c r="Q32" i="51"/>
  <c r="R32" i="51" s="1"/>
  <c r="R30" i="51"/>
  <c r="D66" i="51" s="1"/>
  <c r="F108" i="51"/>
  <c r="L108" i="51" s="1"/>
  <c r="U43" i="51"/>
  <c r="V43" i="51" s="1"/>
  <c r="C108" i="49"/>
  <c r="C80" i="49"/>
  <c r="T45" i="49"/>
  <c r="L108" i="49" s="1"/>
  <c r="R45" i="49"/>
  <c r="F79" i="49"/>
  <c r="K23" i="25" s="1"/>
  <c r="Q40" i="52"/>
  <c r="H89" i="49"/>
  <c r="Q8" i="25" s="1"/>
  <c r="S8" i="25" s="1"/>
  <c r="J132" i="52"/>
  <c r="D124" i="51"/>
  <c r="D130" i="51" s="1"/>
  <c r="D232" i="52" s="1"/>
  <c r="D96" i="51"/>
  <c r="E57" i="25" s="1"/>
  <c r="J159" i="52"/>
  <c r="S12" i="49"/>
  <c r="D45" i="49" s="1"/>
  <c r="D80" i="49" s="1"/>
  <c r="E64" i="52"/>
  <c r="E150" i="52" s="1"/>
  <c r="C68" i="51"/>
  <c r="R31" i="51"/>
  <c r="D68" i="51" s="1"/>
  <c r="F101" i="49"/>
  <c r="N101" i="49" s="1"/>
  <c r="Z38" i="49"/>
  <c r="AA38" i="49" s="1"/>
  <c r="J97" i="51"/>
  <c r="Q26" i="52"/>
  <c r="D62" i="52"/>
  <c r="D148" i="52" s="1"/>
  <c r="K79" i="49"/>
  <c r="Z23" i="25" s="1"/>
  <c r="H26" i="52"/>
  <c r="G95" i="49"/>
  <c r="N3" i="25" s="1"/>
  <c r="J95" i="49"/>
  <c r="W3" i="25" s="1"/>
  <c r="Y3" i="25" s="1"/>
  <c r="K26" i="52"/>
  <c r="I95" i="49"/>
  <c r="T3" i="25" s="1"/>
  <c r="V3" i="25" s="1"/>
  <c r="H37" i="52"/>
  <c r="H143" i="52"/>
  <c r="I35" i="52"/>
  <c r="G57" i="52"/>
  <c r="K37" i="52"/>
  <c r="AF158" i="52"/>
  <c r="H79" i="49"/>
  <c r="Q23" i="25" s="1"/>
  <c r="K59" i="49"/>
  <c r="P31" i="25"/>
  <c r="F3" i="25"/>
  <c r="AG23" i="25"/>
  <c r="R70" i="25"/>
  <c r="M7" i="25"/>
  <c r="Y65" i="25"/>
  <c r="Y73" i="25"/>
  <c r="Y61" i="25"/>
  <c r="Y66" i="25"/>
  <c r="Y64" i="25"/>
  <c r="Y63" i="25"/>
  <c r="Y76" i="25"/>
  <c r="Y70" i="25"/>
  <c r="Y58" i="25"/>
  <c r="Y72" i="25"/>
  <c r="Y74" i="25"/>
  <c r="Y69" i="25"/>
  <c r="Y60" i="25"/>
  <c r="Y59" i="25"/>
  <c r="Y71" i="25"/>
  <c r="Y62" i="25"/>
  <c r="Y78" i="25"/>
  <c r="Y75" i="25"/>
  <c r="G62" i="25"/>
  <c r="AA3" i="25"/>
  <c r="I3" i="25"/>
  <c r="G61" i="25"/>
  <c r="K142" i="52" l="1"/>
  <c r="O152" i="52"/>
  <c r="U142" i="52"/>
  <c r="O149" i="52"/>
  <c r="U152" i="52"/>
  <c r="I60" i="52"/>
  <c r="S152" i="52"/>
  <c r="N60" i="52"/>
  <c r="I152" i="52"/>
  <c r="G152" i="52"/>
  <c r="K152" i="52"/>
  <c r="U150" i="52"/>
  <c r="Q85" i="52"/>
  <c r="U144" i="52"/>
  <c r="G144" i="52"/>
  <c r="M54" i="52"/>
  <c r="O85" i="52"/>
  <c r="R87" i="52"/>
  <c r="M85" i="52"/>
  <c r="J87" i="52"/>
  <c r="O142" i="52"/>
  <c r="G85" i="52"/>
  <c r="K85" i="52"/>
  <c r="G87" i="52"/>
  <c r="M142" i="52"/>
  <c r="G142" i="52"/>
  <c r="I142" i="52"/>
  <c r="Q87" i="52"/>
  <c r="Q49" i="52"/>
  <c r="AF140" i="52" s="1"/>
  <c r="E43" i="52"/>
  <c r="L85" i="52"/>
  <c r="H87" i="52"/>
  <c r="S142" i="52"/>
  <c r="S145" i="52"/>
  <c r="R56" i="25"/>
  <c r="K150" i="52"/>
  <c r="S150" i="52"/>
  <c r="G150" i="52"/>
  <c r="O150" i="52"/>
  <c r="I150" i="52"/>
  <c r="I156" i="52"/>
  <c r="G156" i="52"/>
  <c r="U31" i="25"/>
  <c r="X31" i="25"/>
  <c r="S144" i="52"/>
  <c r="W144" i="52"/>
  <c r="O144" i="52"/>
  <c r="K144" i="52"/>
  <c r="I145" i="52"/>
  <c r="W149" i="52"/>
  <c r="C34" i="52"/>
  <c r="G35" i="52" s="1"/>
  <c r="AG31" i="25"/>
  <c r="H60" i="52"/>
  <c r="L60" i="52"/>
  <c r="F54" i="52"/>
  <c r="O60" i="52"/>
  <c r="Q60" i="52"/>
  <c r="R60" i="52"/>
  <c r="C60" i="52"/>
  <c r="C83" i="52" s="1"/>
  <c r="C146" i="52" s="1"/>
  <c r="F60" i="52"/>
  <c r="C40" i="52"/>
  <c r="H83" i="52" s="1"/>
  <c r="M60" i="52"/>
  <c r="P68" i="51"/>
  <c r="G60" i="52"/>
  <c r="J60" i="52"/>
  <c r="E10" i="52"/>
  <c r="E60" i="52" s="1"/>
  <c r="U156" i="52"/>
  <c r="K156" i="52"/>
  <c r="S156" i="52"/>
  <c r="W156" i="52"/>
  <c r="O156" i="52"/>
  <c r="N54" i="52"/>
  <c r="U149" i="52"/>
  <c r="O145" i="52"/>
  <c r="H54" i="52"/>
  <c r="G149" i="52"/>
  <c r="M145" i="52"/>
  <c r="K54" i="52"/>
  <c r="I149" i="52"/>
  <c r="U145" i="52"/>
  <c r="S149" i="52"/>
  <c r="R21" i="49"/>
  <c r="C54" i="49" s="1"/>
  <c r="R54" i="49" s="1"/>
  <c r="K117" i="49" s="1"/>
  <c r="Q26" i="49"/>
  <c r="D26" i="52" s="1"/>
  <c r="P57" i="52"/>
  <c r="G145" i="52"/>
  <c r="I54" i="52"/>
  <c r="E89" i="49"/>
  <c r="H8" i="25" s="1"/>
  <c r="J8" i="25" s="1"/>
  <c r="W145" i="52"/>
  <c r="W54" i="49"/>
  <c r="G30" i="25"/>
  <c r="E87" i="52"/>
  <c r="E158" i="52" s="1"/>
  <c r="G59" i="49"/>
  <c r="AH23" i="25"/>
  <c r="R23" i="25"/>
  <c r="AI23" i="25" s="1"/>
  <c r="AM30" i="25"/>
  <c r="J5" i="52"/>
  <c r="J55" i="52" s="1"/>
  <c r="W37" i="25"/>
  <c r="Y37" i="25" s="1"/>
  <c r="W56" i="25"/>
  <c r="Y56" i="25" s="1"/>
  <c r="R85" i="52"/>
  <c r="F87" i="52"/>
  <c r="C54" i="52"/>
  <c r="L5" i="52"/>
  <c r="L55" i="52" s="1"/>
  <c r="AC37" i="25"/>
  <c r="AE37" i="25" s="1"/>
  <c r="H85" i="52"/>
  <c r="O87" i="52"/>
  <c r="K87" i="52"/>
  <c r="C97" i="51"/>
  <c r="J125" i="51" s="1"/>
  <c r="B57" i="25"/>
  <c r="AD31" i="25"/>
  <c r="O3" i="25"/>
  <c r="P3" i="25" s="1"/>
  <c r="L3" i="25"/>
  <c r="O54" i="52"/>
  <c r="D107" i="49"/>
  <c r="E23" i="25"/>
  <c r="G23" i="25" s="1"/>
  <c r="J85" i="52"/>
  <c r="E45" i="52"/>
  <c r="F4" i="25"/>
  <c r="C4" i="25"/>
  <c r="F85" i="52"/>
  <c r="L4" i="52"/>
  <c r="L54" i="52" s="1"/>
  <c r="AC36" i="25"/>
  <c r="AE36" i="25" s="1"/>
  <c r="J4" i="52"/>
  <c r="J37" i="52" s="1"/>
  <c r="W36" i="25"/>
  <c r="Y36" i="25" s="1"/>
  <c r="C12" i="52"/>
  <c r="E12" i="52" s="1"/>
  <c r="B7" i="25"/>
  <c r="D7" i="25" s="1"/>
  <c r="Q54" i="52"/>
  <c r="E4" i="52"/>
  <c r="D108" i="49"/>
  <c r="E7" i="25"/>
  <c r="G21" i="52"/>
  <c r="H155" i="52" s="1"/>
  <c r="K8" i="25"/>
  <c r="M8" i="25" s="1"/>
  <c r="T38" i="25"/>
  <c r="V38" i="25" s="1"/>
  <c r="T37" i="25"/>
  <c r="T140" i="52"/>
  <c r="J50" i="52"/>
  <c r="F232" i="52"/>
  <c r="AC31" i="25"/>
  <c r="O80" i="49"/>
  <c r="I143" i="52"/>
  <c r="T40" i="25"/>
  <c r="V40" i="25" s="1"/>
  <c r="K108" i="49"/>
  <c r="N108" i="49" s="1"/>
  <c r="Z45" i="49"/>
  <c r="AA45" i="49" s="1"/>
  <c r="D61" i="52"/>
  <c r="D147" i="52" s="1"/>
  <c r="H148" i="52"/>
  <c r="I11" i="52"/>
  <c r="H94" i="49"/>
  <c r="Q4" i="25" s="1"/>
  <c r="Q29" i="52"/>
  <c r="Q33" i="52"/>
  <c r="Q68" i="51"/>
  <c r="N68" i="51"/>
  <c r="J68" i="51"/>
  <c r="T52" i="25"/>
  <c r="V52" i="25" s="1"/>
  <c r="T33" i="25"/>
  <c r="N140" i="52"/>
  <c r="L50" i="52"/>
  <c r="I133" i="52"/>
  <c r="K131" i="52" s="1"/>
  <c r="J131" i="52"/>
  <c r="E124" i="51"/>
  <c r="U59" i="51"/>
  <c r="V59" i="51" s="1"/>
  <c r="G100" i="52"/>
  <c r="H28" i="52"/>
  <c r="H29" i="52"/>
  <c r="AF146" i="52"/>
  <c r="Q44" i="25"/>
  <c r="S44" i="25" s="1"/>
  <c r="P49" i="52"/>
  <c r="R67" i="49"/>
  <c r="Q68" i="49"/>
  <c r="U67" i="49"/>
  <c r="W67" i="49" s="1"/>
  <c r="W68" i="49" s="1"/>
  <c r="H232" i="52"/>
  <c r="C55" i="52"/>
  <c r="C141" i="52" s="1"/>
  <c r="R55" i="52"/>
  <c r="H55" i="52"/>
  <c r="I55" i="52"/>
  <c r="F55" i="52"/>
  <c r="K55" i="52"/>
  <c r="O55" i="52"/>
  <c r="E5" i="52"/>
  <c r="G55" i="52"/>
  <c r="Q55" i="52"/>
  <c r="Z153" i="52"/>
  <c r="Q66" i="51"/>
  <c r="C69" i="51"/>
  <c r="N66" i="51"/>
  <c r="J66" i="51"/>
  <c r="AD159" i="52"/>
  <c r="L139" i="52"/>
  <c r="X27" i="49"/>
  <c r="AB19" i="49"/>
  <c r="AB18" i="49"/>
  <c r="AB17" i="49"/>
  <c r="AB20" i="49"/>
  <c r="AB14" i="49"/>
  <c r="AB21" i="49"/>
  <c r="AB25" i="49"/>
  <c r="AB10" i="49"/>
  <c r="AB23" i="49"/>
  <c r="AB16" i="49"/>
  <c r="AB12" i="49"/>
  <c r="AB22" i="49"/>
  <c r="AB13" i="49"/>
  <c r="AB24" i="49"/>
  <c r="AB15" i="49"/>
  <c r="AB11" i="49"/>
  <c r="AB6" i="49"/>
  <c r="AB9" i="49"/>
  <c r="AB8" i="49"/>
  <c r="AB5" i="49"/>
  <c r="AB7" i="49"/>
  <c r="L60" i="51"/>
  <c r="H60" i="51"/>
  <c r="F60" i="51"/>
  <c r="J60" i="51"/>
  <c r="N60" i="51"/>
  <c r="AF139" i="52"/>
  <c r="D71" i="52"/>
  <c r="D155" i="52" s="1"/>
  <c r="R4" i="52"/>
  <c r="M94" i="49"/>
  <c r="AF4" i="25" s="1"/>
  <c r="F11" i="52"/>
  <c r="N79" i="49"/>
  <c r="R37" i="49"/>
  <c r="K100" i="49" s="1"/>
  <c r="N100" i="49" s="1"/>
  <c r="K72" i="49"/>
  <c r="Z9" i="25" s="1"/>
  <c r="AB9" i="25" s="1"/>
  <c r="Q59" i="49"/>
  <c r="W37" i="49"/>
  <c r="Y37" i="49" s="1"/>
  <c r="E231" i="52"/>
  <c r="K29" i="52"/>
  <c r="T34" i="25"/>
  <c r="V34" i="25" s="1"/>
  <c r="C154" i="52"/>
  <c r="E85" i="52"/>
  <c r="E154" i="52" s="1"/>
  <c r="G158" i="52"/>
  <c r="O158" i="52"/>
  <c r="K158" i="52"/>
  <c r="U158" i="52"/>
  <c r="S158" i="52"/>
  <c r="W158" i="52"/>
  <c r="I158" i="52"/>
  <c r="I232" i="52"/>
  <c r="M96" i="51"/>
  <c r="P66" i="51"/>
  <c r="W31" i="25"/>
  <c r="G11" i="52"/>
  <c r="F94" i="49"/>
  <c r="K4" i="25" s="1"/>
  <c r="C44" i="49"/>
  <c r="Y44" i="49" s="1"/>
  <c r="J23" i="25"/>
  <c r="M23" i="25"/>
  <c r="AG3" i="25"/>
  <c r="D62" i="25"/>
  <c r="P56" i="25"/>
  <c r="I4" i="25"/>
  <c r="AA4" i="25"/>
  <c r="G57" i="25"/>
  <c r="AB23" i="25"/>
  <c r="E62" i="52" l="1"/>
  <c r="E148" i="52" s="1"/>
  <c r="L54" i="49"/>
  <c r="H117" i="49" s="1"/>
  <c r="F54" i="49"/>
  <c r="J54" i="52"/>
  <c r="Y54" i="49"/>
  <c r="E94" i="49"/>
  <c r="H4" i="25" s="1"/>
  <c r="J4" i="25" s="1"/>
  <c r="N89" i="49"/>
  <c r="F21" i="52"/>
  <c r="F155" i="52" s="1"/>
  <c r="G83" i="52"/>
  <c r="L83" i="52"/>
  <c r="Q83" i="52"/>
  <c r="N83" i="52"/>
  <c r="K83" i="52"/>
  <c r="M83" i="52"/>
  <c r="J83" i="52"/>
  <c r="N141" i="52"/>
  <c r="N159" i="52" s="1"/>
  <c r="R83" i="52"/>
  <c r="F83" i="52"/>
  <c r="G41" i="52"/>
  <c r="O83" i="52"/>
  <c r="E40" i="52"/>
  <c r="T141" i="52"/>
  <c r="T159" i="52" s="1"/>
  <c r="Q50" i="52"/>
  <c r="Y31" i="25"/>
  <c r="K125" i="51"/>
  <c r="C125" i="51"/>
  <c r="R57" i="25"/>
  <c r="S21" i="49"/>
  <c r="D54" i="49" s="1"/>
  <c r="D89" i="49" s="1"/>
  <c r="D117" i="49" s="1"/>
  <c r="T54" i="49"/>
  <c r="L117" i="49" s="1"/>
  <c r="C89" i="49"/>
  <c r="R26" i="49"/>
  <c r="S26" i="49" s="1"/>
  <c r="D59" i="49" s="1"/>
  <c r="D94" i="49" s="1"/>
  <c r="D122" i="49" s="1"/>
  <c r="D132" i="49" s="1"/>
  <c r="D230" i="52" s="1"/>
  <c r="F62" i="52"/>
  <c r="C117" i="49"/>
  <c r="E83" i="52"/>
  <c r="E146" i="52" s="1"/>
  <c r="H54" i="49"/>
  <c r="F117" i="49" s="1"/>
  <c r="C62" i="52"/>
  <c r="C148" i="52" s="1"/>
  <c r="U148" i="52" s="1"/>
  <c r="W54" i="52"/>
  <c r="S23" i="25"/>
  <c r="L37" i="52"/>
  <c r="V33" i="25"/>
  <c r="V37" i="25"/>
  <c r="AB26" i="49"/>
  <c r="M62" i="52"/>
  <c r="J62" i="52"/>
  <c r="O62" i="52"/>
  <c r="L62" i="52"/>
  <c r="AE31" i="25"/>
  <c r="L4" i="25"/>
  <c r="M4" i="25" s="1"/>
  <c r="R62" i="52"/>
  <c r="E54" i="52"/>
  <c r="N25" i="52"/>
  <c r="N45" i="52" s="1"/>
  <c r="AF51" i="25"/>
  <c r="H62" i="52"/>
  <c r="G62" i="52"/>
  <c r="U70" i="25"/>
  <c r="R3" i="25"/>
  <c r="AI3" i="25" s="1"/>
  <c r="O4" i="25"/>
  <c r="P4" i="25" s="1"/>
  <c r="H125" i="51"/>
  <c r="M25" i="52"/>
  <c r="M75" i="52" s="1"/>
  <c r="Z51" i="25"/>
  <c r="T50" i="25"/>
  <c r="V50" i="25" s="1"/>
  <c r="AM31" i="25"/>
  <c r="M97" i="51"/>
  <c r="D97" i="51"/>
  <c r="Q62" i="52"/>
  <c r="K62" i="52"/>
  <c r="F125" i="51"/>
  <c r="N62" i="52"/>
  <c r="I62" i="52"/>
  <c r="G125" i="51"/>
  <c r="B56" i="25"/>
  <c r="I125" i="51"/>
  <c r="E125" i="51"/>
  <c r="C47" i="52"/>
  <c r="E117" i="49"/>
  <c r="G26" i="52"/>
  <c r="F95" i="49"/>
  <c r="K3" i="25" s="1"/>
  <c r="K146" i="52"/>
  <c r="S146" i="52"/>
  <c r="U146" i="52"/>
  <c r="W146" i="52"/>
  <c r="G146" i="52"/>
  <c r="O146" i="52"/>
  <c r="I146" i="52"/>
  <c r="S154" i="52"/>
  <c r="K154" i="52"/>
  <c r="U154" i="52"/>
  <c r="W154" i="52"/>
  <c r="O154" i="52"/>
  <c r="I154" i="52"/>
  <c r="G154" i="52"/>
  <c r="Z37" i="49"/>
  <c r="AA37" i="49" s="1"/>
  <c r="Q35" i="25"/>
  <c r="L26" i="52"/>
  <c r="P5" i="52"/>
  <c r="H147" i="52"/>
  <c r="F147" i="52"/>
  <c r="P11" i="52"/>
  <c r="S11" i="52" s="1"/>
  <c r="AE140" i="52"/>
  <c r="P50" i="52"/>
  <c r="Q39" i="25"/>
  <c r="S39" i="25" s="1"/>
  <c r="R26" i="52"/>
  <c r="M95" i="49"/>
  <c r="AF3" i="25" s="1"/>
  <c r="AH3" i="25" s="1"/>
  <c r="AF159" i="52"/>
  <c r="P139" i="52"/>
  <c r="W59" i="49"/>
  <c r="Q51" i="25"/>
  <c r="S51" i="25" s="1"/>
  <c r="K141" i="52"/>
  <c r="G141" i="52"/>
  <c r="W141" i="52"/>
  <c r="S141" i="52"/>
  <c r="I141" i="52"/>
  <c r="H31" i="52"/>
  <c r="J133" i="52"/>
  <c r="K132" i="52"/>
  <c r="C49" i="52" s="1"/>
  <c r="P4" i="52"/>
  <c r="P15" i="52"/>
  <c r="P65" i="52" s="1"/>
  <c r="K94" i="49"/>
  <c r="Z4" i="25" s="1"/>
  <c r="N72" i="49"/>
  <c r="O72" i="49" s="1"/>
  <c r="R54" i="52"/>
  <c r="C37" i="52"/>
  <c r="H38" i="52" s="1"/>
  <c r="E55" i="52"/>
  <c r="E141" i="52" s="1"/>
  <c r="I22" i="52"/>
  <c r="P23" i="52"/>
  <c r="C79" i="49"/>
  <c r="B23" i="25" s="1"/>
  <c r="C107" i="49"/>
  <c r="T44" i="49"/>
  <c r="L107" i="49" s="1"/>
  <c r="C59" i="49"/>
  <c r="H44" i="49"/>
  <c r="F107" i="49" s="1"/>
  <c r="R44" i="49"/>
  <c r="K107" i="49" s="1"/>
  <c r="L44" i="49"/>
  <c r="H107" i="49" s="1"/>
  <c r="F44" i="49"/>
  <c r="Q69" i="51"/>
  <c r="R66" i="51"/>
  <c r="R47" i="52"/>
  <c r="S66" i="51"/>
  <c r="Z32" i="25"/>
  <c r="P8" i="52"/>
  <c r="Z46" i="25"/>
  <c r="S60" i="51"/>
  <c r="Q49" i="25"/>
  <c r="S49" i="25" s="1"/>
  <c r="D159" i="52"/>
  <c r="Q42" i="25"/>
  <c r="P12" i="52"/>
  <c r="D76" i="52"/>
  <c r="D28" i="52"/>
  <c r="D29" i="52"/>
  <c r="R49" i="52"/>
  <c r="V67" i="49"/>
  <c r="U68" i="49"/>
  <c r="R68" i="51"/>
  <c r="S68" i="51"/>
  <c r="H95" i="49"/>
  <c r="Q3" i="25" s="1"/>
  <c r="P10" i="52"/>
  <c r="Q45" i="25"/>
  <c r="S45" i="25" s="1"/>
  <c r="J26" i="52"/>
  <c r="F26" i="52"/>
  <c r="E95" i="49"/>
  <c r="H3" i="25" s="1"/>
  <c r="Z41" i="25"/>
  <c r="AB41" i="25" s="1"/>
  <c r="E130" i="51"/>
  <c r="L124" i="51"/>
  <c r="P6" i="52"/>
  <c r="AA147" i="52"/>
  <c r="L147" i="52" s="1"/>
  <c r="AF69" i="25"/>
  <c r="AF73" i="25"/>
  <c r="V61" i="25"/>
  <c r="AF61" i="25"/>
  <c r="AB8" i="25"/>
  <c r="S74" i="25"/>
  <c r="AF74" i="25"/>
  <c r="S58" i="25"/>
  <c r="AF58" i="25"/>
  <c r="S65" i="25"/>
  <c r="AF65" i="25"/>
  <c r="S63" i="25"/>
  <c r="AF63" i="25"/>
  <c r="S72" i="25"/>
  <c r="AF72" i="25"/>
  <c r="S67" i="25"/>
  <c r="AF67" i="25"/>
  <c r="S60" i="25"/>
  <c r="AF60" i="25"/>
  <c r="S77" i="25"/>
  <c r="AF77" i="25"/>
  <c r="G7" i="25"/>
  <c r="S62" i="25"/>
  <c r="AF62" i="25"/>
  <c r="V69" i="25"/>
  <c r="V73" i="25"/>
  <c r="Y57" i="25"/>
  <c r="D57" i="25"/>
  <c r="U56" i="25"/>
  <c r="O89" i="49" l="1"/>
  <c r="N75" i="52"/>
  <c r="U141" i="52"/>
  <c r="C122" i="49"/>
  <c r="C123" i="49" s="1"/>
  <c r="C21" i="52"/>
  <c r="E21" i="52" s="1"/>
  <c r="E71" i="52" s="1"/>
  <c r="E4" i="25"/>
  <c r="G4" i="25" s="1"/>
  <c r="B8" i="25"/>
  <c r="D8" i="25" s="1"/>
  <c r="E8" i="25"/>
  <c r="G8" i="25" s="1"/>
  <c r="O141" i="52"/>
  <c r="M45" i="52"/>
  <c r="AB158" i="52" s="1"/>
  <c r="M148" i="52"/>
  <c r="G148" i="52"/>
  <c r="N94" i="49"/>
  <c r="N95" i="49" s="1"/>
  <c r="W148" i="52"/>
  <c r="K148" i="52"/>
  <c r="O148" i="52"/>
  <c r="I148" i="52"/>
  <c r="S148" i="52"/>
  <c r="N117" i="49"/>
  <c r="Z54" i="49"/>
  <c r="AA54" i="49" s="1"/>
  <c r="AB46" i="25"/>
  <c r="AB32" i="25"/>
  <c r="S35" i="25"/>
  <c r="AB4" i="25"/>
  <c r="W30" i="25"/>
  <c r="Y30" i="25" s="1"/>
  <c r="M14" i="52"/>
  <c r="AB150" i="52" s="1"/>
  <c r="Z39" i="25"/>
  <c r="AB39" i="25" s="1"/>
  <c r="S69" i="51"/>
  <c r="P25" i="52"/>
  <c r="P75" i="52" s="1"/>
  <c r="T51" i="25"/>
  <c r="AG4" i="25"/>
  <c r="AH4" i="25" s="1"/>
  <c r="S42" i="25"/>
  <c r="K133" i="52"/>
  <c r="N9" i="52"/>
  <c r="AC144" i="52" s="1"/>
  <c r="P144" i="52" s="1"/>
  <c r="Q144" i="52" s="1"/>
  <c r="AF46" i="25"/>
  <c r="AH46" i="25" s="1"/>
  <c r="N7" i="52"/>
  <c r="N57" i="52" s="1"/>
  <c r="AF32" i="25"/>
  <c r="AH32" i="25" s="1"/>
  <c r="AC30" i="25"/>
  <c r="AE30" i="25" s="1"/>
  <c r="P20" i="52"/>
  <c r="P70" i="52" s="1"/>
  <c r="T42" i="25"/>
  <c r="V42" i="25" s="1"/>
  <c r="P18" i="52"/>
  <c r="AE152" i="52" s="1"/>
  <c r="P152" i="52" s="1"/>
  <c r="Q152" i="52" s="1"/>
  <c r="T49" i="25"/>
  <c r="V49" i="25" s="1"/>
  <c r="N5" i="52"/>
  <c r="N55" i="52" s="1"/>
  <c r="W55" i="52" s="1"/>
  <c r="AF37" i="25"/>
  <c r="AH37" i="25" s="1"/>
  <c r="R4" i="25"/>
  <c r="S4" i="25" s="1"/>
  <c r="P21" i="52"/>
  <c r="T35" i="25"/>
  <c r="V35" i="25" s="1"/>
  <c r="M5" i="52"/>
  <c r="AB141" i="52" s="1"/>
  <c r="Z37" i="25"/>
  <c r="AB37" i="25" s="1"/>
  <c r="N14" i="52"/>
  <c r="N64" i="52" s="1"/>
  <c r="AF39" i="25"/>
  <c r="AH39" i="25" s="1"/>
  <c r="N13" i="52"/>
  <c r="AC149" i="52" s="1"/>
  <c r="P149" i="52" s="1"/>
  <c r="Q149" i="52" s="1"/>
  <c r="AF41" i="25"/>
  <c r="AH41" i="25" s="1"/>
  <c r="D125" i="51"/>
  <c r="E56" i="25"/>
  <c r="P16" i="52"/>
  <c r="AE151" i="52" s="1"/>
  <c r="P151" i="52" s="1"/>
  <c r="Q151" i="52" s="1"/>
  <c r="T45" i="25"/>
  <c r="V45" i="25" s="1"/>
  <c r="P14" i="52"/>
  <c r="AE150" i="52" s="1"/>
  <c r="T39" i="25"/>
  <c r="V39" i="25" s="1"/>
  <c r="T36" i="25"/>
  <c r="V36" i="25" s="1"/>
  <c r="Z31" i="25"/>
  <c r="AE148" i="52"/>
  <c r="P148" i="52" s="1"/>
  <c r="P62" i="52"/>
  <c r="S62" i="52" s="1"/>
  <c r="S12" i="52"/>
  <c r="T12" i="52" s="1"/>
  <c r="M9" i="52"/>
  <c r="C140" i="52"/>
  <c r="M91" i="52"/>
  <c r="C91" i="52"/>
  <c r="G91" i="52"/>
  <c r="N91" i="52"/>
  <c r="F91" i="52"/>
  <c r="I91" i="52"/>
  <c r="E49" i="52"/>
  <c r="O91" i="52"/>
  <c r="H91" i="52"/>
  <c r="K91" i="52"/>
  <c r="Q91" i="52"/>
  <c r="J91" i="52"/>
  <c r="L91" i="52"/>
  <c r="Q31" i="25"/>
  <c r="S31" i="25" s="1"/>
  <c r="I15" i="52"/>
  <c r="AF31" i="25"/>
  <c r="C11" i="52"/>
  <c r="P61" i="52" s="1"/>
  <c r="C94" i="49"/>
  <c r="B4" i="25" s="1"/>
  <c r="AE157" i="52"/>
  <c r="P157" i="52" s="1"/>
  <c r="P73" i="52"/>
  <c r="P34" i="52"/>
  <c r="S23" i="52"/>
  <c r="T23" i="52" s="1"/>
  <c r="E232" i="52"/>
  <c r="K130" i="51"/>
  <c r="M13" i="52"/>
  <c r="R140" i="52"/>
  <c r="R91" i="52"/>
  <c r="D31" i="52"/>
  <c r="E107" i="49"/>
  <c r="N107" i="49" s="1"/>
  <c r="Z44" i="49"/>
  <c r="AA44" i="49" s="1"/>
  <c r="F159" i="52"/>
  <c r="H159" i="52"/>
  <c r="J29" i="52"/>
  <c r="I16" i="52"/>
  <c r="I18" i="52"/>
  <c r="I14" i="52"/>
  <c r="P91" i="52"/>
  <c r="L29" i="52"/>
  <c r="I21" i="52"/>
  <c r="S49" i="52"/>
  <c r="D79" i="52"/>
  <c r="D78" i="52"/>
  <c r="AE145" i="52"/>
  <c r="P145" i="52" s="1"/>
  <c r="P58" i="52"/>
  <c r="S58" i="52" s="1"/>
  <c r="S8" i="52"/>
  <c r="T8" i="52" s="1"/>
  <c r="M7" i="52"/>
  <c r="K100" i="52"/>
  <c r="R29" i="52"/>
  <c r="R28" i="52"/>
  <c r="AC158" i="52"/>
  <c r="N87" i="52"/>
  <c r="P140" i="52"/>
  <c r="O79" i="49"/>
  <c r="P60" i="52"/>
  <c r="S60" i="52" s="1"/>
  <c r="P40" i="52"/>
  <c r="S10" i="52"/>
  <c r="T10" i="52" s="1"/>
  <c r="AA156" i="52"/>
  <c r="L156" i="52" s="1"/>
  <c r="I72" i="52"/>
  <c r="S72" i="52" s="1"/>
  <c r="S22" i="52"/>
  <c r="T22" i="52" s="1"/>
  <c r="I25" i="52"/>
  <c r="F100" i="52"/>
  <c r="G28" i="52"/>
  <c r="G29" i="52"/>
  <c r="N89" i="52"/>
  <c r="F89" i="52"/>
  <c r="M89" i="52"/>
  <c r="C89" i="52"/>
  <c r="C139" i="52"/>
  <c r="Q139" i="52" s="1"/>
  <c r="G89" i="52"/>
  <c r="C50" i="52"/>
  <c r="L89" i="52"/>
  <c r="J89" i="52"/>
  <c r="K89" i="52"/>
  <c r="I89" i="52"/>
  <c r="P89" i="52"/>
  <c r="H89" i="52"/>
  <c r="E47" i="52"/>
  <c r="O89" i="52"/>
  <c r="Q89" i="52"/>
  <c r="I20" i="52"/>
  <c r="R89" i="52"/>
  <c r="R50" i="52"/>
  <c r="R139" i="52"/>
  <c r="S47" i="52"/>
  <c r="C60" i="49"/>
  <c r="T59" i="49"/>
  <c r="L122" i="49" s="1"/>
  <c r="J59" i="49"/>
  <c r="G122" i="49" s="1"/>
  <c r="G132" i="49" s="1"/>
  <c r="P59" i="49"/>
  <c r="J122" i="49" s="1"/>
  <c r="N59" i="49"/>
  <c r="I122" i="49" s="1"/>
  <c r="J132" i="49" s="1"/>
  <c r="V59" i="49"/>
  <c r="M122" i="49" s="1"/>
  <c r="K132" i="49" s="1"/>
  <c r="L59" i="49"/>
  <c r="H122" i="49" s="1"/>
  <c r="H132" i="49" s="1"/>
  <c r="F59" i="49"/>
  <c r="H59" i="49"/>
  <c r="F122" i="49" s="1"/>
  <c r="F132" i="49" s="1"/>
  <c r="K95" i="49"/>
  <c r="Z3" i="25" s="1"/>
  <c r="Y59" i="49"/>
  <c r="R59" i="49"/>
  <c r="K122" i="49" s="1"/>
  <c r="AE147" i="52"/>
  <c r="P147" i="52" s="1"/>
  <c r="X147" i="52" s="1"/>
  <c r="AE142" i="52"/>
  <c r="P142" i="52" s="1"/>
  <c r="P56" i="52"/>
  <c r="S56" i="52" s="1"/>
  <c r="S6" i="52"/>
  <c r="T6" i="52" s="1"/>
  <c r="E100" i="52"/>
  <c r="F28" i="52"/>
  <c r="F29" i="52"/>
  <c r="P54" i="52"/>
  <c r="S54" i="52" s="1"/>
  <c r="P37" i="52"/>
  <c r="S4" i="52"/>
  <c r="T4" i="52" s="1"/>
  <c r="AE141" i="52"/>
  <c r="P55" i="52"/>
  <c r="V59" i="25"/>
  <c r="AF59" i="25"/>
  <c r="V71" i="25"/>
  <c r="AF71" i="25"/>
  <c r="V78" i="25"/>
  <c r="AF78" i="25"/>
  <c r="V76" i="25"/>
  <c r="AF76" i="25"/>
  <c r="V64" i="25"/>
  <c r="AF64" i="25"/>
  <c r="V66" i="25"/>
  <c r="AF66" i="25"/>
  <c r="V68" i="25"/>
  <c r="AF68" i="25"/>
  <c r="V75" i="25"/>
  <c r="AF75" i="25"/>
  <c r="U57" i="25"/>
  <c r="S3" i="25"/>
  <c r="M3" i="25"/>
  <c r="D56" i="25"/>
  <c r="J3" i="25"/>
  <c r="D23" i="25"/>
  <c r="M87" i="52" l="1"/>
  <c r="N59" i="52"/>
  <c r="N63" i="52"/>
  <c r="W63" i="52" s="1"/>
  <c r="G71" i="52"/>
  <c r="C132" i="49"/>
  <c r="C230" i="52" s="1"/>
  <c r="H71" i="52"/>
  <c r="F71" i="52"/>
  <c r="O71" i="52"/>
  <c r="R71" i="52"/>
  <c r="E155" i="52"/>
  <c r="M71" i="52"/>
  <c r="Q71" i="52"/>
  <c r="N71" i="52"/>
  <c r="C71" i="52"/>
  <c r="C155" i="52" s="1"/>
  <c r="I155" i="52" s="1"/>
  <c r="K71" i="52"/>
  <c r="P71" i="52"/>
  <c r="L71" i="52"/>
  <c r="J71" i="52"/>
  <c r="M55" i="52"/>
  <c r="S55" i="52" s="1"/>
  <c r="S5" i="52"/>
  <c r="T5" i="52" s="1"/>
  <c r="M64" i="52"/>
  <c r="AC141" i="52"/>
  <c r="P141" i="52" s="1"/>
  <c r="AC143" i="52"/>
  <c r="P143" i="52" s="1"/>
  <c r="Q143" i="52" s="1"/>
  <c r="P68" i="52"/>
  <c r="P45" i="52"/>
  <c r="AE158" i="52" s="1"/>
  <c r="P158" i="52" s="1"/>
  <c r="Q158" i="52" s="1"/>
  <c r="P64" i="52"/>
  <c r="U64" i="52" s="1"/>
  <c r="AE155" i="52"/>
  <c r="P155" i="52" s="1"/>
  <c r="P43" i="52"/>
  <c r="P85" i="52" s="1"/>
  <c r="O94" i="49"/>
  <c r="AC150" i="52"/>
  <c r="P150" i="52" s="1"/>
  <c r="Q150" i="52" s="1"/>
  <c r="P66" i="52"/>
  <c r="AI4" i="25"/>
  <c r="AB3" i="25"/>
  <c r="T31" i="25"/>
  <c r="S50" i="52"/>
  <c r="S140" i="52"/>
  <c r="M156" i="52"/>
  <c r="Z156" i="52" s="1"/>
  <c r="X156" i="52"/>
  <c r="Y156" i="52" s="1"/>
  <c r="Q157" i="52"/>
  <c r="Z157" i="52" s="1"/>
  <c r="X157" i="52"/>
  <c r="Y157" i="52" s="1"/>
  <c r="N26" i="52"/>
  <c r="G140" i="52"/>
  <c r="I140" i="52"/>
  <c r="W140" i="52"/>
  <c r="K140" i="52"/>
  <c r="M140" i="52"/>
  <c r="O140" i="52"/>
  <c r="U140" i="52"/>
  <c r="I132" i="49"/>
  <c r="I70" i="52"/>
  <c r="S70" i="52" s="1"/>
  <c r="I43" i="52"/>
  <c r="S20" i="52"/>
  <c r="T20" i="52" s="1"/>
  <c r="L141" i="52"/>
  <c r="S89" i="52"/>
  <c r="I75" i="52"/>
  <c r="S75" i="52" s="1"/>
  <c r="I45" i="52"/>
  <c r="S25" i="52"/>
  <c r="T25" i="52" s="1"/>
  <c r="Q145" i="52"/>
  <c r="Z145" i="52" s="1"/>
  <c r="X145" i="52"/>
  <c r="Y145" i="52" s="1"/>
  <c r="AA151" i="52"/>
  <c r="L151" i="52" s="1"/>
  <c r="I33" i="52"/>
  <c r="J33" i="52" s="1"/>
  <c r="K33" i="52" s="1"/>
  <c r="I66" i="52"/>
  <c r="S16" i="52"/>
  <c r="T16" i="52" s="1"/>
  <c r="C26" i="52"/>
  <c r="C95" i="49"/>
  <c r="B3" i="25" s="1"/>
  <c r="I26" i="52"/>
  <c r="E91" i="52"/>
  <c r="E140" i="52"/>
  <c r="G230" i="52"/>
  <c r="I71" i="52"/>
  <c r="AA155" i="52"/>
  <c r="L155" i="52" s="1"/>
  <c r="S21" i="52"/>
  <c r="T21" i="52" s="1"/>
  <c r="C61" i="52"/>
  <c r="C147" i="52" s="1"/>
  <c r="R61" i="52"/>
  <c r="L61" i="52"/>
  <c r="O61" i="52"/>
  <c r="J61" i="52"/>
  <c r="M61" i="52"/>
  <c r="N61" i="52"/>
  <c r="K61" i="52"/>
  <c r="H61" i="52"/>
  <c r="Q61" i="52"/>
  <c r="E11" i="52"/>
  <c r="E61" i="52" s="1"/>
  <c r="C35" i="52"/>
  <c r="I61" i="52"/>
  <c r="G61" i="52"/>
  <c r="F61" i="52"/>
  <c r="P26" i="52"/>
  <c r="Q140" i="52"/>
  <c r="X140" i="52"/>
  <c r="Y140" i="52" s="1"/>
  <c r="AA152" i="52"/>
  <c r="L152" i="52" s="1"/>
  <c r="I68" i="52"/>
  <c r="S18" i="52"/>
  <c r="T18" i="52" s="1"/>
  <c r="I65" i="52"/>
  <c r="S65" i="52" s="1"/>
  <c r="S15" i="52"/>
  <c r="T15" i="52" s="1"/>
  <c r="I40" i="52"/>
  <c r="S91" i="52"/>
  <c r="W64" i="52"/>
  <c r="Q148" i="52"/>
  <c r="Z148" i="52" s="1"/>
  <c r="X148" i="52"/>
  <c r="Y148" i="52" s="1"/>
  <c r="F230" i="52"/>
  <c r="T60" i="49"/>
  <c r="J60" i="49"/>
  <c r="P60" i="49"/>
  <c r="N60" i="49"/>
  <c r="L60" i="49"/>
  <c r="H60" i="49"/>
  <c r="F60" i="49"/>
  <c r="R60" i="49"/>
  <c r="AE146" i="52"/>
  <c r="P146" i="52" s="1"/>
  <c r="Q146" i="52" s="1"/>
  <c r="P83" i="52"/>
  <c r="P41" i="52"/>
  <c r="S40" i="52"/>
  <c r="S41" i="52" s="1"/>
  <c r="E122" i="49"/>
  <c r="Z59" i="49"/>
  <c r="AA59" i="49" s="1"/>
  <c r="E89" i="52"/>
  <c r="E139" i="52"/>
  <c r="G31" i="52"/>
  <c r="F31" i="52"/>
  <c r="H230" i="52"/>
  <c r="R159" i="52"/>
  <c r="S139" i="52"/>
  <c r="I139" i="52"/>
  <c r="G139" i="52"/>
  <c r="U139" i="52"/>
  <c r="W139" i="52"/>
  <c r="O139" i="52"/>
  <c r="K139" i="52"/>
  <c r="M139" i="52"/>
  <c r="AB143" i="52"/>
  <c r="L143" i="52" s="1"/>
  <c r="M57" i="52"/>
  <c r="S57" i="52" s="1"/>
  <c r="S7" i="52"/>
  <c r="T7" i="52" s="1"/>
  <c r="D81" i="52"/>
  <c r="AB149" i="52"/>
  <c r="L149" i="52" s="1"/>
  <c r="M63" i="52"/>
  <c r="S13" i="52"/>
  <c r="T13" i="52" s="1"/>
  <c r="AB144" i="52"/>
  <c r="L144" i="52" s="1"/>
  <c r="M59" i="52"/>
  <c r="S9" i="52"/>
  <c r="T9" i="52" s="1"/>
  <c r="T11" i="52"/>
  <c r="Q142" i="52"/>
  <c r="Z142" i="52" s="1"/>
  <c r="X142" i="52"/>
  <c r="Y142" i="52" s="1"/>
  <c r="R31" i="52"/>
  <c r="AA150" i="52"/>
  <c r="L150" i="52" s="1"/>
  <c r="I64" i="52"/>
  <c r="S14" i="52"/>
  <c r="T14" i="52" s="1"/>
  <c r="T73" i="52"/>
  <c r="P86" i="52"/>
  <c r="S73" i="52"/>
  <c r="M26" i="52"/>
  <c r="X139" i="52"/>
  <c r="Y139" i="52" s="1"/>
  <c r="G56" i="25"/>
  <c r="D4" i="25"/>
  <c r="S59" i="52" l="1"/>
  <c r="S63" i="52"/>
  <c r="S68" i="52"/>
  <c r="C159" i="52"/>
  <c r="I159" i="52" s="1"/>
  <c r="O155" i="52"/>
  <c r="S155" i="52"/>
  <c r="G155" i="52"/>
  <c r="U155" i="52"/>
  <c r="K155" i="52"/>
  <c r="W155" i="52"/>
  <c r="S71" i="52"/>
  <c r="Q155" i="52"/>
  <c r="P87" i="52"/>
  <c r="T64" i="52"/>
  <c r="AC159" i="52"/>
  <c r="P84" i="52"/>
  <c r="AE154" i="52"/>
  <c r="P154" i="52" s="1"/>
  <c r="Q154" i="52" s="1"/>
  <c r="S66" i="52"/>
  <c r="AB159" i="52"/>
  <c r="T27" i="52"/>
  <c r="K123" i="49"/>
  <c r="Q147" i="52"/>
  <c r="Q30" i="25"/>
  <c r="S30" i="25" s="1"/>
  <c r="Y147" i="52"/>
  <c r="AF30" i="25"/>
  <c r="T30" i="25"/>
  <c r="Z30" i="25"/>
  <c r="M76" i="52"/>
  <c r="M29" i="52"/>
  <c r="I84" i="52"/>
  <c r="S64" i="52"/>
  <c r="M144" i="52"/>
  <c r="Z144" i="52" s="1"/>
  <c r="X144" i="52"/>
  <c r="Y144" i="52" s="1"/>
  <c r="E147" i="52"/>
  <c r="C76" i="52"/>
  <c r="C29" i="52"/>
  <c r="C28" i="52"/>
  <c r="O76" i="52"/>
  <c r="K76" i="52"/>
  <c r="J95" i="52" s="1"/>
  <c r="H76" i="52"/>
  <c r="Q76" i="52"/>
  <c r="E26" i="52"/>
  <c r="E28" i="52" s="1"/>
  <c r="L76" i="52"/>
  <c r="J76" i="52"/>
  <c r="G76" i="52"/>
  <c r="F76" i="52"/>
  <c r="R76" i="52"/>
  <c r="K95" i="52" s="1"/>
  <c r="Q141" i="52"/>
  <c r="M150" i="52"/>
  <c r="Z150" i="52" s="1"/>
  <c r="X150" i="52"/>
  <c r="Y150" i="52" s="1"/>
  <c r="M152" i="52"/>
  <c r="Z152" i="52" s="1"/>
  <c r="X152" i="52"/>
  <c r="Y152" i="52" s="1"/>
  <c r="AA158" i="52"/>
  <c r="L158" i="52" s="1"/>
  <c r="I87" i="52"/>
  <c r="I230" i="52"/>
  <c r="Z140" i="52"/>
  <c r="H231" i="52"/>
  <c r="S61" i="52"/>
  <c r="M149" i="52"/>
  <c r="Z149" i="52" s="1"/>
  <c r="X149" i="52"/>
  <c r="Y149" i="52" s="1"/>
  <c r="M143" i="52"/>
  <c r="Z143" i="52" s="1"/>
  <c r="X143" i="52"/>
  <c r="Y143" i="52" s="1"/>
  <c r="Z139" i="52"/>
  <c r="S147" i="52"/>
  <c r="W147" i="52"/>
  <c r="O147" i="52"/>
  <c r="K147" i="52"/>
  <c r="U147" i="52"/>
  <c r="M131" i="52"/>
  <c r="G147" i="52"/>
  <c r="I147" i="52"/>
  <c r="M147" i="52"/>
  <c r="W60" i="49"/>
  <c r="I231" i="52"/>
  <c r="P76" i="52"/>
  <c r="P29" i="52"/>
  <c r="I100" i="52"/>
  <c r="I76" i="52"/>
  <c r="H100" i="52"/>
  <c r="I29" i="52"/>
  <c r="S26" i="52"/>
  <c r="S29" i="52" s="1"/>
  <c r="K35" i="52"/>
  <c r="L35" i="52" s="1"/>
  <c r="M151" i="52"/>
  <c r="Z151" i="52" s="1"/>
  <c r="X151" i="52"/>
  <c r="Y151" i="52" s="1"/>
  <c r="M141" i="52"/>
  <c r="X141" i="52"/>
  <c r="Y141" i="52" s="1"/>
  <c r="N76" i="52"/>
  <c r="N29" i="52"/>
  <c r="M155" i="52"/>
  <c r="X155" i="52"/>
  <c r="Y155" i="52" s="1"/>
  <c r="N122" i="49"/>
  <c r="E132" i="49"/>
  <c r="AA146" i="52"/>
  <c r="I83" i="52"/>
  <c r="S83" i="52" s="1"/>
  <c r="I41" i="52"/>
  <c r="T41" i="52" s="1"/>
  <c r="L123" i="49"/>
  <c r="D95" i="49"/>
  <c r="G123" i="49"/>
  <c r="I123" i="49"/>
  <c r="J123" i="49"/>
  <c r="F123" i="49"/>
  <c r="H123" i="49"/>
  <c r="E123" i="49"/>
  <c r="M123" i="49"/>
  <c r="O95" i="49"/>
  <c r="AA154" i="52"/>
  <c r="L154" i="52" s="1"/>
  <c r="I85" i="52"/>
  <c r="S85" i="52" s="1"/>
  <c r="D3" i="25"/>
  <c r="AE159" i="52" l="1"/>
  <c r="G159" i="52"/>
  <c r="E159" i="52"/>
  <c r="S87" i="52"/>
  <c r="O159" i="52"/>
  <c r="W159" i="52"/>
  <c r="U159" i="52"/>
  <c r="K159" i="52"/>
  <c r="C229" i="52"/>
  <c r="S159" i="52"/>
  <c r="Z155" i="52"/>
  <c r="E84" i="52"/>
  <c r="P159" i="52"/>
  <c r="Q159" i="52" s="1"/>
  <c r="P79" i="52"/>
  <c r="N79" i="52"/>
  <c r="I79" i="52"/>
  <c r="D123" i="49"/>
  <c r="E3" i="25"/>
  <c r="Z141" i="52"/>
  <c r="Z147" i="52"/>
  <c r="I95" i="52"/>
  <c r="H95" i="52"/>
  <c r="H78" i="52"/>
  <c r="G95" i="52"/>
  <c r="E230" i="52"/>
  <c r="L132" i="49"/>
  <c r="M158" i="52"/>
  <c r="Z158" i="52" s="1"/>
  <c r="X158" i="52"/>
  <c r="Y158" i="52" s="1"/>
  <c r="S76" i="52"/>
  <c r="F78" i="52"/>
  <c r="E95" i="52"/>
  <c r="G78" i="52"/>
  <c r="F95" i="52"/>
  <c r="L146" i="52"/>
  <c r="AA159" i="52"/>
  <c r="C31" i="52"/>
  <c r="O79" i="52"/>
  <c r="Q79" i="52"/>
  <c r="H79" i="52"/>
  <c r="K79" i="52"/>
  <c r="J98" i="52" s="1"/>
  <c r="E29" i="52"/>
  <c r="E31" i="52" s="1"/>
  <c r="L79" i="52"/>
  <c r="F79" i="52"/>
  <c r="R79" i="52"/>
  <c r="K98" i="52" s="1"/>
  <c r="G79" i="52"/>
  <c r="J79" i="52"/>
  <c r="M79" i="52"/>
  <c r="M154" i="52"/>
  <c r="Z154" i="52" s="1"/>
  <c r="X154" i="52"/>
  <c r="Y154" i="52" s="1"/>
  <c r="T26" i="52"/>
  <c r="C95" i="52"/>
  <c r="C97" i="52" s="1"/>
  <c r="C79" i="52"/>
  <c r="C78" i="52"/>
  <c r="E76" i="52"/>
  <c r="J97" i="52" l="1"/>
  <c r="I98" i="52"/>
  <c r="G3" i="25"/>
  <c r="H98" i="52"/>
  <c r="E98" i="52"/>
  <c r="F81" i="52"/>
  <c r="H229" i="52"/>
  <c r="H97" i="52"/>
  <c r="D95" i="52"/>
  <c r="E78" i="52"/>
  <c r="G98" i="52"/>
  <c r="H81" i="52"/>
  <c r="M146" i="52"/>
  <c r="Z146" i="52" s="1"/>
  <c r="X146" i="52"/>
  <c r="Y146" i="52" s="1"/>
  <c r="L159" i="52"/>
  <c r="F229" i="52"/>
  <c r="F97" i="52"/>
  <c r="C81" i="52"/>
  <c r="C98" i="52"/>
  <c r="E79" i="52"/>
  <c r="F98" i="52"/>
  <c r="G81" i="52"/>
  <c r="I229" i="52"/>
  <c r="I97" i="52"/>
  <c r="E229" i="52"/>
  <c r="L95" i="52"/>
  <c r="E97" i="52"/>
  <c r="G229" i="52"/>
  <c r="G97" i="52"/>
  <c r="L97" i="52" l="1"/>
  <c r="D229" i="52"/>
  <c r="D97" i="52"/>
  <c r="M159" i="52"/>
  <c r="Z159" i="52" s="1"/>
  <c r="X159" i="52"/>
  <c r="Y159" i="52" s="1"/>
  <c r="D98" i="52"/>
  <c r="E81" i="52"/>
  <c r="L98" i="52"/>
  <c r="AB51" i="25" l="1"/>
  <c r="AH51" i="25"/>
  <c r="V51" i="25" l="1"/>
  <c r="AN51" i="25"/>
  <c r="AH30" i="25"/>
  <c r="AB30" i="25" l="1"/>
  <c r="R27" i="25"/>
  <c r="AS51" i="25"/>
  <c r="AH31" i="25"/>
  <c r="AN30" i="25"/>
  <c r="AB31" i="25"/>
  <c r="V31" i="25" l="1"/>
  <c r="U27" i="25"/>
  <c r="V27" i="25" s="1"/>
  <c r="V30" i="25"/>
  <c r="AS30" i="25"/>
  <c r="AN31" i="25"/>
  <c r="AS31" i="25" l="1"/>
  <c r="S70" i="25" l="1"/>
  <c r="AF70" i="25"/>
  <c r="V70" i="25"/>
  <c r="S56" i="25" l="1"/>
  <c r="S57" i="25" l="1"/>
  <c r="V56" i="25" l="1"/>
  <c r="AF56" i="25"/>
  <c r="V57" i="25" l="1"/>
  <c r="AF57" i="25"/>
  <c r="R99" i="5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Maider Coloma Jiménez</author>
  </authors>
  <commentList>
    <comment ref="O1" authorId="0" shapeId="0" xr:uid="{F76A83F5-3D99-482E-86EE-86D36EEF6160}">
      <text>
        <r>
          <rPr>
            <b/>
            <sz val="9"/>
            <color indexed="81"/>
            <rFont val="Tahoma"/>
            <family val="2"/>
          </rPr>
          <t>Se calcula que lo que entra es un 90% de lo que se genera del Dato del total de la fracción resto, informe DFA página 15. El resto sería eliminación directa.</t>
        </r>
      </text>
    </comment>
    <comment ref="Q1" authorId="0" shapeId="0" xr:uid="{04B9A90B-2E78-40BA-BC92-2CAD0CA64CD8}">
      <text>
        <r>
          <rPr>
            <b/>
            <sz val="9"/>
            <color indexed="81"/>
            <rFont val="Tahoma"/>
            <family val="2"/>
          </rPr>
          <t>Dato calculado por diferencia entre total entradas menos pérdidas
Suma Celdas 6V+6W+6X+6Y</t>
        </r>
      </text>
    </comment>
    <comment ref="S1" authorId="0" shapeId="0" xr:uid="{B9D6A8F3-1DC5-4D1C-83DB-579C9CB3FBAE}">
      <text>
        <r>
          <rPr>
            <b/>
            <sz val="9"/>
            <color indexed="81"/>
            <rFont val="Tahoma"/>
            <family val="2"/>
          </rPr>
          <t>Dato del informe DFA, página 15. Pérdidas TMB</t>
        </r>
      </text>
    </comment>
    <comment ref="M3" authorId="0" shapeId="0" xr:uid="{949B65D7-5DA0-451F-AFCE-7CD3DE8EC234}">
      <text>
        <r>
          <rPr>
            <b/>
            <sz val="9"/>
            <color indexed="81"/>
            <rFont val="Tahoma"/>
            <family val="2"/>
          </rPr>
          <t>La tabla a la que hace referencia es la de la pestaña "Gestores"</t>
        </r>
      </text>
    </comment>
    <comment ref="O11" authorId="0" shapeId="0" xr:uid="{56E90D88-6761-4DE9-9E89-BBF58F834D69}">
      <text>
        <r>
          <rPr>
            <b/>
            <sz val="9"/>
            <color indexed="81"/>
            <rFont val="Tahoma"/>
            <family val="2"/>
          </rPr>
          <t xml:space="preserve">Biorresiduo es la suma de podas+restos de cocina. 
Las podas no van completamente a compostaje, según el informe de la DFA. Se puede ver en fila 29 columnas O, P y Q. 
Por lo tanto, para que esta celda de el valor de la suma de PODAS + RESTOS, hay que calcularlo con fórmula diferente. </t>
        </r>
      </text>
    </comment>
    <comment ref="I29" authorId="0" shapeId="0" xr:uid="{207E7D52-87CE-43EE-9F7E-829C17599973}">
      <text>
        <r>
          <rPr>
            <sz val="9"/>
            <color indexed="81"/>
            <rFont val="Tahoma"/>
            <family val="2"/>
          </rPr>
          <t xml:space="preserve">
Esto tiene esta fórmula porque el % de al lado es cero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Maider Coloma Jiménez</author>
  </authors>
  <commentList>
    <comment ref="B37" authorId="0" shapeId="0" xr:uid="{00000000-0006-0000-3200-000001000000}">
      <text>
        <r>
          <rPr>
            <b/>
            <sz val="9"/>
            <color indexed="81"/>
            <rFont val="Tahoma"/>
            <family val="2"/>
          </rPr>
          <t>Dato de SIGRE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Maider Coloma Jiménez</author>
  </authors>
  <commentList>
    <comment ref="F37" authorId="0" shapeId="0" xr:uid="{00000000-0006-0000-3400-000001000000}">
      <text>
        <r>
          <rPr>
            <b/>
            <sz val="9"/>
            <color indexed="81"/>
            <rFont val="Tahoma"/>
            <family val="2"/>
          </rPr>
          <t>Nuevo respecto al año pasado. Se asume que es "RC" puesto que en otras fracciones "privadas" están asociadas a RC</t>
        </r>
      </text>
    </comment>
    <comment ref="F38" authorId="0" shapeId="0" xr:uid="{00000000-0006-0000-3400-000002000000}">
      <text>
        <r>
          <rPr>
            <b/>
            <sz val="9"/>
            <color indexed="81"/>
            <rFont val="Tahoma"/>
            <family val="2"/>
          </rPr>
          <t>Nuevo respecto al año pasado. Se asume que comunitario es RH</t>
        </r>
      </text>
    </comment>
    <comment ref="F39" authorId="0" shapeId="0" xr:uid="{00000000-0006-0000-3400-000003000000}">
      <text>
        <r>
          <rPr>
            <b/>
            <sz val="9"/>
            <color indexed="81"/>
            <rFont val="Tahoma"/>
            <family val="2"/>
          </rPr>
          <t>Nuevo respecto al año pasado.</t>
        </r>
      </text>
    </comment>
    <comment ref="F75" authorId="0" shapeId="0" xr:uid="{00000000-0006-0000-3400-000004000000}">
      <text>
        <r>
          <rPr>
            <b/>
            <sz val="9"/>
            <color indexed="81"/>
            <rFont val="Tahoma"/>
            <family val="2"/>
          </rPr>
          <t>Nuevo respecto al año pasado. Se asume que comunitario es RH</t>
        </r>
      </text>
    </comment>
    <comment ref="F76" authorId="0" shapeId="0" xr:uid="{00000000-0006-0000-3400-000005000000}">
      <text>
        <r>
          <rPr>
            <b/>
            <sz val="9"/>
            <color indexed="81"/>
            <rFont val="Tahoma"/>
            <family val="2"/>
          </rPr>
          <t>Nuevo respecto al año pasado.</t>
        </r>
      </text>
    </comment>
    <comment ref="F84" authorId="0" shapeId="0" xr:uid="{00000000-0006-0000-3400-000006000000}">
      <text>
        <r>
          <rPr>
            <b/>
            <sz val="9"/>
            <color indexed="81"/>
            <rFont val="Tahoma"/>
            <family val="2"/>
          </rPr>
          <t xml:space="preserve">Nuevo respecto al 2020. Es RC, de acuerdo a la definición del residuo
</t>
        </r>
      </text>
    </comment>
    <comment ref="F85" authorId="0" shapeId="0" xr:uid="{00000000-0006-0000-3400-000007000000}">
      <text>
        <r>
          <rPr>
            <b/>
            <sz val="9"/>
            <color indexed="81"/>
            <rFont val="Tahoma"/>
            <family val="2"/>
          </rPr>
          <t xml:space="preserve">Nuevo respecto al 2020. Es RC, de acuerdo a la definición del residuo
</t>
        </r>
      </text>
    </comment>
    <comment ref="F109" authorId="0" shapeId="0" xr:uid="{00000000-0006-0000-3400-000008000000}">
      <text>
        <r>
          <rPr>
            <b/>
            <sz val="9"/>
            <color indexed="81"/>
            <rFont val="Tahoma"/>
            <family val="2"/>
          </rPr>
          <t>Nuevo respecto al año pasado. Se asume que comunitario es RH</t>
        </r>
      </text>
    </comment>
    <comment ref="F110" authorId="0" shapeId="0" xr:uid="{00000000-0006-0000-3400-000009000000}">
      <text>
        <r>
          <rPr>
            <b/>
            <sz val="9"/>
            <color indexed="81"/>
            <rFont val="Tahoma"/>
            <family val="2"/>
          </rPr>
          <t>Nuevo respecto al año pasado.</t>
        </r>
      </text>
    </comment>
    <comment ref="F133" authorId="0" shapeId="0" xr:uid="{00000000-0006-0000-3400-00000A000000}">
      <text>
        <r>
          <rPr>
            <b/>
            <sz val="9"/>
            <color indexed="81"/>
            <rFont val="Tahoma"/>
            <family val="2"/>
          </rPr>
          <t>Nuevo respecto al año 2020. Se asume que el punto limpio corresponde a RH</t>
        </r>
      </text>
    </comment>
    <comment ref="F135" authorId="0" shapeId="0" xr:uid="{00000000-0006-0000-3400-00000B000000}">
      <text>
        <r>
          <rPr>
            <b/>
            <sz val="9"/>
            <color indexed="81"/>
            <rFont val="Tahoma"/>
            <family val="2"/>
          </rPr>
          <t>Nuevo respecto al año pasado. Se asume que comunitario es RH</t>
        </r>
      </text>
    </comment>
    <comment ref="F136" authorId="0" shapeId="0" xr:uid="{00000000-0006-0000-3400-00000C000000}">
      <text>
        <r>
          <rPr>
            <b/>
            <sz val="9"/>
            <color indexed="81"/>
            <rFont val="Tahoma"/>
            <family val="2"/>
          </rPr>
          <t>Nuevo respecto al año pasado.</t>
        </r>
      </text>
    </comment>
    <comment ref="F170" authorId="0" shapeId="0" xr:uid="{00000000-0006-0000-3400-00000D000000}">
      <text>
        <r>
          <rPr>
            <b/>
            <sz val="9"/>
            <color indexed="81"/>
            <rFont val="Tahoma"/>
            <family val="2"/>
          </rPr>
          <t>Nuevo respecto al año pasado. Se asume que comunitario es RH</t>
        </r>
      </text>
    </comment>
    <comment ref="F171" authorId="0" shapeId="0" xr:uid="{00000000-0006-0000-3400-00000E000000}">
      <text>
        <r>
          <rPr>
            <b/>
            <sz val="9"/>
            <color indexed="81"/>
            <rFont val="Tahoma"/>
            <family val="2"/>
          </rPr>
          <t>Nuevo respecto al año pasado.</t>
        </r>
      </text>
    </comment>
    <comment ref="F201" authorId="0" shapeId="0" xr:uid="{00000000-0006-0000-3400-00000F000000}">
      <text>
        <r>
          <rPr>
            <b/>
            <sz val="9"/>
            <color indexed="81"/>
            <rFont val="Tahoma"/>
            <family val="2"/>
          </rPr>
          <t>Nuevo respecto al año pasado. Se asume que comunitario es RH</t>
        </r>
      </text>
    </comment>
    <comment ref="F202" authorId="0" shapeId="0" xr:uid="{00000000-0006-0000-3400-000010000000}">
      <text>
        <r>
          <rPr>
            <b/>
            <sz val="9"/>
            <color indexed="81"/>
            <rFont val="Tahoma"/>
            <family val="2"/>
          </rPr>
          <t>Nuevo respecto al año pasado.</t>
        </r>
      </text>
    </comment>
    <comment ref="F212" authorId="0" shapeId="0" xr:uid="{00000000-0006-0000-3400-000011000000}">
      <text>
        <r>
          <rPr>
            <b/>
            <sz val="9"/>
            <color indexed="81"/>
            <rFont val="Tahoma"/>
            <family val="2"/>
          </rPr>
          <t>Nuevo respecto al año pasado. Se asume que los RAEE de la cuadrilla son RH</t>
        </r>
      </text>
    </comment>
    <comment ref="K221" authorId="0" shapeId="0" xr:uid="{1A495DC3-5A02-4D4E-94C8-CE6437435976}">
      <text>
        <r>
          <rPr>
            <sz val="9"/>
            <color indexed="81"/>
            <rFont val="Tahoma"/>
            <family val="2"/>
          </rPr>
          <t>Los datos de Vitoria 2021 se han desglosado tomando como base el desglose de 2020, porque en 2021 no hay desglose publicado.</t>
        </r>
      </text>
    </comment>
    <comment ref="E297" authorId="0" shapeId="0" xr:uid="{00000000-0006-0000-3400-000012000000}">
      <text>
        <r>
          <rPr>
            <b/>
            <sz val="9"/>
            <color indexed="81"/>
            <rFont val="Tahoma"/>
            <family val="2"/>
          </rPr>
          <t>Dejamos esto hasta que confirmemos con DFA qué es "complementarias"</t>
        </r>
      </text>
    </comment>
    <comment ref="D310" authorId="0" shapeId="0" xr:uid="{00000000-0006-0000-3400-000013000000}">
      <text>
        <r>
          <rPr>
            <b/>
            <sz val="9"/>
            <color indexed="81"/>
            <rFont val="Tahoma"/>
            <family val="2"/>
          </rPr>
          <t>Dato del Excel del ministerio "C.CANTIDADES RECOGIDAS_2021_Euskadi_Envi"</t>
        </r>
      </text>
    </comment>
    <comment ref="D311" authorId="0" shapeId="0" xr:uid="{00000000-0006-0000-3400-000014000000}">
      <text>
        <r>
          <rPr>
            <b/>
            <sz val="9"/>
            <color indexed="81"/>
            <rFont val="Tahoma"/>
            <family val="2"/>
          </rPr>
          <t>Dato del Excel del ministerio "C.CANTIDADES RECOGIDAS_2021_Euskadi_Envi"</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María de Marco Rodrigo</author>
  </authors>
  <commentList>
    <comment ref="F18" authorId="0" shapeId="0" xr:uid="{00000000-0006-0000-3C00-000001000000}">
      <text>
        <r>
          <rPr>
            <b/>
            <sz val="9"/>
            <color indexed="81"/>
            <rFont val="Tahoma"/>
            <family val="2"/>
          </rPr>
          <t>María de Marco Rodrigo:</t>
        </r>
        <r>
          <rPr>
            <sz val="9"/>
            <color indexed="81"/>
            <rFont val="Tahoma"/>
            <family val="2"/>
          </rPr>
          <t xml:space="preserve">
Agregado a Orgánico fermentable PaP</t>
        </r>
      </text>
    </comment>
    <comment ref="F21" authorId="0" shapeId="0" xr:uid="{00000000-0006-0000-3C00-000002000000}">
      <text>
        <r>
          <rPr>
            <b/>
            <sz val="9"/>
            <color indexed="81"/>
            <rFont val="Tahoma"/>
            <family val="2"/>
          </rPr>
          <t>María de Marco Rodrigo:</t>
        </r>
        <r>
          <rPr>
            <sz val="9"/>
            <color indexed="81"/>
            <rFont val="Tahoma"/>
            <family val="2"/>
          </rPr>
          <t xml:space="preserve">
Hay que dividir entre poda leñosa y poda no leñosa según los datos de 2017
</t>
        </r>
      </text>
    </comment>
    <comment ref="F39" authorId="0" shapeId="0" xr:uid="{00000000-0006-0000-3C00-000003000000}">
      <text>
        <r>
          <rPr>
            <b/>
            <sz val="9"/>
            <color indexed="81"/>
            <rFont val="Tahoma"/>
            <family val="2"/>
          </rPr>
          <t>María de Marco Rodrigo:</t>
        </r>
        <r>
          <rPr>
            <sz val="9"/>
            <color indexed="81"/>
            <rFont val="Tahoma"/>
            <family val="2"/>
          </rPr>
          <t xml:space="preserve">
Agregado a Grandes generadores PaP</t>
        </r>
      </text>
    </comment>
    <comment ref="F47" authorId="0" shapeId="0" xr:uid="{00000000-0006-0000-3C00-000004000000}">
      <text>
        <r>
          <rPr>
            <b/>
            <sz val="9"/>
            <color indexed="81"/>
            <rFont val="Tahoma"/>
            <family val="2"/>
          </rPr>
          <t>María de Marco Rodrigo:</t>
        </r>
        <r>
          <rPr>
            <sz val="9"/>
            <color indexed="81"/>
            <rFont val="Tahoma"/>
            <family val="2"/>
          </rPr>
          <t xml:space="preserve">
Agregado a Sistema mixto, zonas aportación</t>
        </r>
      </text>
    </comment>
    <comment ref="D55" authorId="0" shapeId="0" xr:uid="{00000000-0006-0000-3C00-000005000000}">
      <text>
        <r>
          <rPr>
            <b/>
            <sz val="9"/>
            <color indexed="81"/>
            <rFont val="Tahoma"/>
            <family val="2"/>
          </rPr>
          <t>María de Marco Rodrigo:</t>
        </r>
        <r>
          <rPr>
            <sz val="9"/>
            <color indexed="81"/>
            <rFont val="Tahoma"/>
            <family val="2"/>
          </rPr>
          <t xml:space="preserve">
En el año 2016 no se usa este dato</t>
        </r>
      </text>
    </comment>
    <comment ref="F89" authorId="0" shapeId="0" xr:uid="{00000000-0006-0000-3C00-000006000000}">
      <text>
        <r>
          <rPr>
            <b/>
            <sz val="9"/>
            <color indexed="81"/>
            <rFont val="Tahoma"/>
            <family val="2"/>
          </rPr>
          <t>María de Marco Rodrigo:</t>
        </r>
        <r>
          <rPr>
            <sz val="9"/>
            <color indexed="81"/>
            <rFont val="Tahoma"/>
            <family val="2"/>
          </rPr>
          <t xml:space="preserve">
Distribuido entre línea blanca, línea marrón y lámparas.</t>
        </r>
      </text>
    </comment>
    <comment ref="F90" authorId="0" shapeId="0" xr:uid="{00000000-0006-0000-3C00-000007000000}">
      <text>
        <r>
          <rPr>
            <b/>
            <sz val="9"/>
            <color indexed="81"/>
            <rFont val="Tahoma"/>
            <family val="2"/>
          </rPr>
          <t>María de Marco Rodrigo:</t>
        </r>
        <r>
          <rPr>
            <sz val="9"/>
            <color indexed="81"/>
            <rFont val="Tahoma"/>
            <family val="2"/>
          </rPr>
          <t xml:space="preserve">
Agregado a Recogida de voluminosos en calle</t>
        </r>
      </text>
    </comment>
    <comment ref="F98" authorId="0" shapeId="0" xr:uid="{00000000-0006-0000-3C00-000008000000}">
      <text>
        <r>
          <rPr>
            <b/>
            <sz val="9"/>
            <color indexed="81"/>
            <rFont val="Tahoma"/>
            <family val="2"/>
          </rPr>
          <t>María de Marco Rodrigo:</t>
        </r>
        <r>
          <rPr>
            <sz val="9"/>
            <color indexed="81"/>
            <rFont val="Tahoma"/>
            <family val="2"/>
          </rPr>
          <t xml:space="preserve">
Hay que dividir entre film y duro y porespan (fila 113)
</t>
        </r>
      </text>
    </comment>
    <comment ref="F99" authorId="0" shapeId="0" xr:uid="{00000000-0006-0000-3C00-000009000000}">
      <text>
        <r>
          <rPr>
            <b/>
            <sz val="9"/>
            <color indexed="81"/>
            <rFont val="Tahoma"/>
            <family val="2"/>
          </rPr>
          <t>María de Marco Rodrigo:</t>
        </r>
        <r>
          <rPr>
            <sz val="9"/>
            <color indexed="81"/>
            <rFont val="Tahoma"/>
            <family val="2"/>
          </rPr>
          <t xml:space="preserve">
Hay que dividir entre film y duro y porespan (fila 114)
</t>
        </r>
      </text>
    </comment>
    <comment ref="F106" authorId="0" shapeId="0" xr:uid="{00000000-0006-0000-3C00-00000A000000}">
      <text>
        <r>
          <rPr>
            <b/>
            <sz val="9"/>
            <color indexed="81"/>
            <rFont val="Tahoma"/>
            <family val="2"/>
          </rPr>
          <t>María de Marco Rodrigo:</t>
        </r>
        <r>
          <rPr>
            <sz val="9"/>
            <color indexed="81"/>
            <rFont val="Tahoma"/>
            <family val="2"/>
          </rPr>
          <t xml:space="preserve">
Asimilable a Brigada municipal y similares.</t>
        </r>
      </text>
    </comment>
    <comment ref="F107" authorId="0" shapeId="0" xr:uid="{00000000-0006-0000-3C00-00000B000000}">
      <text>
        <r>
          <rPr>
            <b/>
            <sz val="9"/>
            <color indexed="81"/>
            <rFont val="Tahoma"/>
            <family val="2"/>
          </rPr>
          <t>María de Marco Rodrigo:</t>
        </r>
        <r>
          <rPr>
            <sz val="9"/>
            <color indexed="81"/>
            <rFont val="Tahoma"/>
            <family val="2"/>
          </rPr>
          <t xml:space="preserve">
Desagregado entre metales, aluminio y resto de metales en garbigune.</t>
        </r>
      </text>
    </comment>
    <comment ref="F117" authorId="0" shapeId="0" xr:uid="{00000000-0006-0000-3C00-00000C000000}">
      <text>
        <r>
          <rPr>
            <b/>
            <sz val="9"/>
            <color indexed="81"/>
            <rFont val="Tahoma"/>
            <family val="2"/>
          </rPr>
          <t>María de Marco Rodrigo:</t>
        </r>
        <r>
          <rPr>
            <sz val="9"/>
            <color indexed="81"/>
            <rFont val="Tahoma"/>
            <family val="2"/>
          </rPr>
          <t xml:space="preserve">
Asimilable a Recogidos en la calle.</t>
        </r>
      </text>
    </comment>
    <comment ref="E131" authorId="0" shapeId="0" xr:uid="{00000000-0006-0000-3C00-00000D000000}">
      <text>
        <r>
          <rPr>
            <b/>
            <sz val="9"/>
            <color indexed="81"/>
            <rFont val="Tahoma"/>
            <family val="2"/>
          </rPr>
          <t>María de Marco Rodrigo:</t>
        </r>
        <r>
          <rPr>
            <sz val="9"/>
            <color indexed="81"/>
            <rFont val="Tahoma"/>
            <family val="2"/>
          </rPr>
          <t xml:space="preserve">
Dónde poner? Agruparía con el anterior</t>
        </r>
      </text>
    </comment>
    <comment ref="F131" authorId="0" shapeId="0" xr:uid="{00000000-0006-0000-3C00-00000E000000}">
      <text>
        <r>
          <rPr>
            <b/>
            <sz val="9"/>
            <color indexed="81"/>
            <rFont val="Tahoma"/>
            <family val="2"/>
          </rPr>
          <t>María de Marco Rodrigo:</t>
        </r>
        <r>
          <rPr>
            <sz val="9"/>
            <color indexed="81"/>
            <rFont val="Tahoma"/>
            <family val="2"/>
          </rPr>
          <t xml:space="preserve">
Agrupar con el anterior</t>
        </r>
      </text>
    </comment>
    <comment ref="F135" authorId="0" shapeId="0" xr:uid="{00000000-0006-0000-3C00-00000F000000}">
      <text>
        <r>
          <rPr>
            <b/>
            <sz val="9"/>
            <color indexed="81"/>
            <rFont val="Tahoma"/>
            <family val="2"/>
          </rPr>
          <t>María de Marco Rodrigo:</t>
        </r>
        <r>
          <rPr>
            <sz val="9"/>
            <color indexed="81"/>
            <rFont val="Tahoma"/>
            <family val="2"/>
          </rPr>
          <t xml:space="preserve">
Es el mismo que 2017? El nombre no es exactamente igual. En el archivo original de 2018 venía el último, antes del total.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Hezkuntza Cimas</author>
    <author>tc={BD12BFFE-E4DB-44ED-997A-5641A8453480}</author>
  </authors>
  <commentList>
    <comment ref="AL14" authorId="0" shapeId="0" xr:uid="{65261C93-D3E6-4E6A-B844-4E2659394E18}">
      <text>
        <r>
          <rPr>
            <sz val="10"/>
            <rFont val="Arial"/>
            <family val="2"/>
          </rPr>
          <t xml:space="preserve">Zigor García: 
</t>
        </r>
        <r>
          <rPr>
            <sz val="9"/>
            <color rgb="FF000000"/>
            <rFont val="Tahoma"/>
            <family val="2"/>
            <charset val="1"/>
          </rPr>
          <t>Según inventario RU CAPV:
40% reciclado
58% V.E.
2% vertido</t>
        </r>
      </text>
    </comment>
    <comment ref="B31" authorId="1" shapeId="0" xr:uid="{E5286ABC-3E8C-4437-AEC6-2DFD589F396C}">
      <text>
        <r>
          <rPr>
            <b/>
            <sz val="9"/>
            <color indexed="81"/>
            <rFont val="Tahoma"/>
            <family val="2"/>
          </rPr>
          <t>Hezkuntza Cimas:</t>
        </r>
        <r>
          <rPr>
            <sz val="9"/>
            <color indexed="81"/>
            <rFont val="Tahoma"/>
            <family val="2"/>
          </rPr>
          <t xml:space="preserve">
Restos organicos de pescaderias</t>
        </r>
      </text>
    </comment>
    <comment ref="A39" authorId="1" shapeId="0" xr:uid="{7AB4C371-5D83-4398-8D24-665B89D0556C}">
      <text>
        <r>
          <rPr>
            <b/>
            <sz val="9"/>
            <color indexed="81"/>
            <rFont val="Tahoma"/>
            <family val="2"/>
          </rPr>
          <t>Hezkuntza Cimas:</t>
        </r>
        <r>
          <rPr>
            <sz val="9"/>
            <color indexed="81"/>
            <rFont val="Tahoma"/>
            <family val="2"/>
          </rPr>
          <t xml:space="preserve">
No hay dato</t>
        </r>
      </text>
    </comment>
    <comment ref="A40" authorId="1" shapeId="0" xr:uid="{1ACC417E-3ACA-46D7-83B8-A71399C5A5D9}">
      <text>
        <r>
          <rPr>
            <b/>
            <sz val="9"/>
            <color indexed="81"/>
            <rFont val="Tahoma"/>
            <family val="2"/>
          </rPr>
          <t>Hezkuntza Cimas:</t>
        </r>
        <r>
          <rPr>
            <sz val="9"/>
            <color indexed="81"/>
            <rFont val="Tahoma"/>
            <family val="2"/>
          </rPr>
          <t xml:space="preserve">
No hay dato</t>
        </r>
      </text>
    </comment>
    <comment ref="B43" authorId="1" shapeId="0" xr:uid="{E53F75D2-DAEA-4AC6-8DF3-11F989E3AD4B}">
      <text>
        <r>
          <rPr>
            <b/>
            <sz val="9"/>
            <color indexed="81"/>
            <rFont val="Tahoma"/>
            <family val="2"/>
          </rPr>
          <t>Hezkuntza Cimas:</t>
        </r>
        <r>
          <rPr>
            <sz val="9"/>
            <color indexed="81"/>
            <rFont val="Tahoma"/>
            <family val="2"/>
          </rPr>
          <t xml:space="preserve">
Dato de vidrio plano recogido por garbigune y colocado en RSSI</t>
        </r>
      </text>
    </comment>
    <comment ref="F44" authorId="1" shapeId="0" xr:uid="{19F4E979-ACA4-4AC9-BA64-39F2838E2D12}">
      <text>
        <r>
          <rPr>
            <b/>
            <sz val="9"/>
            <color indexed="81"/>
            <rFont val="Tahoma"/>
            <family val="2"/>
          </rPr>
          <t>Hezkuntza Cimas:</t>
        </r>
        <r>
          <rPr>
            <sz val="9"/>
            <color indexed="81"/>
            <rFont val="Tahoma"/>
            <family val="2"/>
          </rPr>
          <t xml:space="preserve">
No hay dato</t>
        </r>
      </text>
    </comment>
    <comment ref="AG52" authorId="2" shapeId="0" xr:uid="{BD12BFFE-E4DB-44ED-997A-5641A8453480}">
      <text>
        <t>[Comentario encadenado]
Su versión de Excel le permite leer este comentario encadenado; sin embargo, las ediciones que se apliquen se quitarán si el archivo se abre en una versión más reciente de Excel. Más información: https://go.microsoft.com/fwlink/?linkid=870924
Comentario:
    Tomamos como criterio que el 25% de las entradas será de perdidas, el resto almacenamiento</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Hezkuntza Cimas</author>
    <author>Maider Coloma Jiménez</author>
    <author>María de Marco Rodrigo</author>
  </authors>
  <commentList>
    <comment ref="A39" authorId="0" shapeId="0" xr:uid="{939BF212-F44B-4495-AB75-8C12219693A0}">
      <text>
        <r>
          <rPr>
            <b/>
            <sz val="9"/>
            <color indexed="81"/>
            <rFont val="Tahoma"/>
            <family val="2"/>
          </rPr>
          <t>Hezkuntza Cimas:</t>
        </r>
        <r>
          <rPr>
            <sz val="9"/>
            <color indexed="81"/>
            <rFont val="Tahoma"/>
            <family val="2"/>
          </rPr>
          <t xml:space="preserve">
No hay dato</t>
        </r>
      </text>
    </comment>
    <comment ref="A40" authorId="0" shapeId="0" xr:uid="{FF5A0E15-3048-4612-9604-252D32FAC920}">
      <text>
        <r>
          <rPr>
            <b/>
            <sz val="9"/>
            <color indexed="81"/>
            <rFont val="Tahoma"/>
            <family val="2"/>
          </rPr>
          <t>Hezkuntza Cimas:</t>
        </r>
        <r>
          <rPr>
            <sz val="9"/>
            <color indexed="81"/>
            <rFont val="Tahoma"/>
            <family val="2"/>
          </rPr>
          <t xml:space="preserve">
No hay dato</t>
        </r>
      </text>
    </comment>
    <comment ref="A44" authorId="0" shapeId="0" xr:uid="{0D74E8B9-543E-4DE4-BFC2-1507EA040CDD}">
      <text>
        <r>
          <rPr>
            <b/>
            <sz val="9"/>
            <color indexed="81"/>
            <rFont val="Tahoma"/>
            <family val="2"/>
          </rPr>
          <t>Hezkuntza Cimas:</t>
        </r>
        <r>
          <rPr>
            <sz val="9"/>
            <color indexed="81"/>
            <rFont val="Tahoma"/>
            <family val="2"/>
          </rPr>
          <t xml:space="preserve">
No hay dato</t>
        </r>
      </text>
    </comment>
    <comment ref="AE57" authorId="1" shapeId="0" xr:uid="{126B5075-C48D-47FA-B15B-07295A7F8CE3}">
      <text>
        <r>
          <rPr>
            <b/>
            <sz val="9"/>
            <color indexed="81"/>
            <rFont val="Tahoma"/>
            <family val="2"/>
          </rPr>
          <t>Vertido no tratado</t>
        </r>
      </text>
    </comment>
    <comment ref="AE58" authorId="1" shapeId="0" xr:uid="{67D93C07-5B1C-4B6F-9042-6A373CB08495}">
      <text>
        <r>
          <rPr>
            <b/>
            <sz val="9"/>
            <color indexed="81"/>
            <rFont val="Tahoma"/>
            <family val="2"/>
          </rPr>
          <t xml:space="preserve">Valorización energética
</t>
        </r>
      </text>
    </comment>
    <comment ref="F61" authorId="2" shapeId="0" xr:uid="{D0C668DD-4528-4538-A3D8-660BF5053213}">
      <text>
        <r>
          <rPr>
            <b/>
            <sz val="9"/>
            <color indexed="81"/>
            <rFont val="Tahoma"/>
            <family val="2"/>
          </rPr>
          <t>Noelia Marcos:</t>
        </r>
        <r>
          <rPr>
            <sz val="9"/>
            <color indexed="81"/>
            <rFont val="Tahoma"/>
            <family val="2"/>
          </rPr>
          <t xml:space="preserve">
Del informe del Observatorio de Bizkaia 2021,  Tablas 2. Evolución destino y tratamientos de residuos (toneladas). Años 2015-2021 (pág. 19).</t>
        </r>
      </text>
    </comment>
    <comment ref="AE62" authorId="1" shapeId="0" xr:uid="{DF166CAA-F949-4542-9CDD-22FAAC3D306F}">
      <text>
        <r>
          <rPr>
            <b/>
            <sz val="9"/>
            <color indexed="81"/>
            <rFont val="Tahoma"/>
            <family val="2"/>
          </rPr>
          <t>Vertido pre-tratado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Hezkuntza Cimas</author>
  </authors>
  <commentList>
    <comment ref="A44" authorId="0" shapeId="0" xr:uid="{E43AB1C0-2CD8-41C5-9C03-F80F8A48E79D}">
      <text>
        <r>
          <rPr>
            <b/>
            <sz val="9"/>
            <color indexed="81"/>
            <rFont val="Tahoma"/>
            <family val="2"/>
          </rPr>
          <t>Hezkuntza Cimas:</t>
        </r>
        <r>
          <rPr>
            <sz val="9"/>
            <color indexed="81"/>
            <rFont val="Tahoma"/>
            <family val="2"/>
          </rPr>
          <t xml:space="preserve">
No hay dato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Hezkuntza Cimas</author>
    <author>tc={D6E1B854-F2E9-4D2E-9C96-63D0BF7E0737}</author>
  </authors>
  <commentList>
    <comment ref="AL14" authorId="0" shapeId="0" xr:uid="{00000000-0006-0000-0700-000001000000}">
      <text>
        <r>
          <rPr>
            <sz val="10"/>
            <rFont val="Arial"/>
            <family val="2"/>
          </rPr>
          <t xml:space="preserve">Zigor García: 
</t>
        </r>
        <r>
          <rPr>
            <sz val="9"/>
            <color rgb="FF000000"/>
            <rFont val="Tahoma"/>
            <family val="2"/>
            <charset val="1"/>
          </rPr>
          <t>Según inventario RU CAPV:
40% reciclado
58% V.E.
2% vertido</t>
        </r>
      </text>
    </comment>
    <comment ref="B31" authorId="1" shapeId="0" xr:uid="{00000000-0006-0000-0700-000002000000}">
      <text>
        <r>
          <rPr>
            <b/>
            <sz val="9"/>
            <color indexed="81"/>
            <rFont val="Tahoma"/>
            <family val="2"/>
          </rPr>
          <t>Hezkuntza Cimas:</t>
        </r>
        <r>
          <rPr>
            <sz val="9"/>
            <color indexed="81"/>
            <rFont val="Tahoma"/>
            <family val="2"/>
          </rPr>
          <t xml:space="preserve">
Restos organicos de pescaderias</t>
        </r>
      </text>
    </comment>
    <comment ref="A39" authorId="1" shapeId="0" xr:uid="{00000000-0006-0000-0700-000003000000}">
      <text>
        <r>
          <rPr>
            <b/>
            <sz val="9"/>
            <color indexed="81"/>
            <rFont val="Tahoma"/>
            <family val="2"/>
          </rPr>
          <t>Hezkuntza Cimas:</t>
        </r>
        <r>
          <rPr>
            <sz val="9"/>
            <color indexed="81"/>
            <rFont val="Tahoma"/>
            <family val="2"/>
          </rPr>
          <t xml:space="preserve">
No hay dato</t>
        </r>
      </text>
    </comment>
    <comment ref="A40" authorId="1" shapeId="0" xr:uid="{00000000-0006-0000-0700-000004000000}">
      <text>
        <r>
          <rPr>
            <b/>
            <sz val="9"/>
            <color indexed="81"/>
            <rFont val="Tahoma"/>
            <family val="2"/>
          </rPr>
          <t>Hezkuntza Cimas:</t>
        </r>
        <r>
          <rPr>
            <sz val="9"/>
            <color indexed="81"/>
            <rFont val="Tahoma"/>
            <family val="2"/>
          </rPr>
          <t xml:space="preserve">
No hay dato</t>
        </r>
      </text>
    </comment>
    <comment ref="B43" authorId="1" shapeId="0" xr:uid="{00000000-0006-0000-0700-000005000000}">
      <text>
        <r>
          <rPr>
            <b/>
            <sz val="9"/>
            <color indexed="81"/>
            <rFont val="Tahoma"/>
            <family val="2"/>
          </rPr>
          <t>Hezkuntza Cimas:</t>
        </r>
        <r>
          <rPr>
            <sz val="9"/>
            <color indexed="81"/>
            <rFont val="Tahoma"/>
            <family val="2"/>
          </rPr>
          <t xml:space="preserve">
Dato de vidrio plano recogido por garbigune y colocado en RSSI</t>
        </r>
      </text>
    </comment>
    <comment ref="F44" authorId="1" shapeId="0" xr:uid="{00000000-0006-0000-0700-000006000000}">
      <text>
        <r>
          <rPr>
            <b/>
            <sz val="9"/>
            <color indexed="81"/>
            <rFont val="Tahoma"/>
            <family val="2"/>
          </rPr>
          <t>Hezkuntza Cimas:</t>
        </r>
        <r>
          <rPr>
            <sz val="9"/>
            <color indexed="81"/>
            <rFont val="Tahoma"/>
            <family val="2"/>
          </rPr>
          <t xml:space="preserve">
No hay dato</t>
        </r>
      </text>
    </comment>
    <comment ref="AG52" authorId="2" shapeId="0" xr:uid="{00000000-0006-0000-0700-000007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Tomamos como criterio que el 25% de las entradas será de perdidas, el resto almacenamiento</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Hezkuntza Cimas</author>
  </authors>
  <commentList>
    <comment ref="A39" authorId="0" shapeId="0" xr:uid="{00000000-0006-0000-0800-000001000000}">
      <text>
        <r>
          <rPr>
            <b/>
            <sz val="9"/>
            <color indexed="81"/>
            <rFont val="Tahoma"/>
            <family val="2"/>
          </rPr>
          <t>Hezkuntza Cimas:</t>
        </r>
        <r>
          <rPr>
            <sz val="9"/>
            <color indexed="81"/>
            <rFont val="Tahoma"/>
            <family val="2"/>
          </rPr>
          <t xml:space="preserve">
No hay dato</t>
        </r>
      </text>
    </comment>
    <comment ref="A40" authorId="0" shapeId="0" xr:uid="{00000000-0006-0000-0800-000002000000}">
      <text>
        <r>
          <rPr>
            <b/>
            <sz val="9"/>
            <color indexed="81"/>
            <rFont val="Tahoma"/>
            <family val="2"/>
          </rPr>
          <t>Hezkuntza Cimas:</t>
        </r>
        <r>
          <rPr>
            <sz val="9"/>
            <color indexed="81"/>
            <rFont val="Tahoma"/>
            <family val="2"/>
          </rPr>
          <t xml:space="preserve">
No hay dato</t>
        </r>
      </text>
    </comment>
    <comment ref="A44" authorId="0" shapeId="0" xr:uid="{00000000-0006-0000-0800-000003000000}">
      <text>
        <r>
          <rPr>
            <b/>
            <sz val="9"/>
            <color indexed="81"/>
            <rFont val="Tahoma"/>
            <family val="2"/>
          </rPr>
          <t>Hezkuntza Cimas:</t>
        </r>
        <r>
          <rPr>
            <sz val="9"/>
            <color indexed="81"/>
            <rFont val="Tahoma"/>
            <family val="2"/>
          </rPr>
          <t xml:space="preserve">
No hay dato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Hezkuntza Cimas</author>
  </authors>
  <commentList>
    <comment ref="A44" authorId="0" shapeId="0" xr:uid="{00000000-0006-0000-0900-000001000000}">
      <text>
        <r>
          <rPr>
            <b/>
            <sz val="9"/>
            <color indexed="81"/>
            <rFont val="Tahoma"/>
            <family val="2"/>
          </rPr>
          <t>Hezkuntza Cimas:</t>
        </r>
        <r>
          <rPr>
            <sz val="9"/>
            <color indexed="81"/>
            <rFont val="Tahoma"/>
            <family val="2"/>
          </rPr>
          <t xml:space="preserve">
No hay dato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Hezkuntza Cimas</author>
  </authors>
  <commentList>
    <comment ref="A7" authorId="0" shapeId="0" xr:uid="{00000000-0006-0000-1300-000001000000}">
      <text>
        <r>
          <rPr>
            <b/>
            <sz val="9"/>
            <color indexed="81"/>
            <rFont val="Tahoma"/>
            <family val="2"/>
          </rPr>
          <t>Hezkuntza Cimas:</t>
        </r>
        <r>
          <rPr>
            <sz val="9"/>
            <color indexed="81"/>
            <rFont val="Tahoma"/>
            <family val="2"/>
          </rPr>
          <t xml:space="preserve">
En pdf araba 2019 los % de los tratamientos estan redondeados y no dan 100%</t>
        </r>
      </text>
    </comment>
    <comment ref="A8" authorId="0" shapeId="0" xr:uid="{00000000-0006-0000-1300-000002000000}">
      <text>
        <r>
          <rPr>
            <b/>
            <sz val="9"/>
            <color indexed="81"/>
            <rFont val="Tahoma"/>
            <family val="2"/>
          </rPr>
          <t>Hezkuntza Cimas:</t>
        </r>
        <r>
          <rPr>
            <sz val="9"/>
            <color indexed="81"/>
            <rFont val="Tahoma"/>
            <family val="2"/>
          </rPr>
          <t xml:space="preserve">
En pdf araba 2019 los % de los tratamientos estan redondeados y no dan 100%</t>
        </r>
      </text>
    </comment>
    <comment ref="A90" authorId="0" shapeId="0" xr:uid="{00000000-0006-0000-1300-000003000000}">
      <text>
        <r>
          <rPr>
            <b/>
            <sz val="9"/>
            <color indexed="81"/>
            <rFont val="Tahoma"/>
            <family val="2"/>
          </rPr>
          <t>Hezkuntza Cimas:</t>
        </r>
        <r>
          <rPr>
            <sz val="9"/>
            <color indexed="81"/>
            <rFont val="Tahoma"/>
            <family val="2"/>
          </rPr>
          <t xml:space="preserve">
En pdf araba 2019 los % de los tratamientos estan redondeados y no dan 100%</t>
        </r>
      </text>
    </comment>
    <comment ref="A99" authorId="0" shapeId="0" xr:uid="{00000000-0006-0000-1300-000004000000}">
      <text>
        <r>
          <rPr>
            <b/>
            <sz val="9"/>
            <color indexed="81"/>
            <rFont val="Tahoma"/>
            <family val="2"/>
          </rPr>
          <t>Hezkuntza Cimas:</t>
        </r>
        <r>
          <rPr>
            <sz val="9"/>
            <color indexed="81"/>
            <rFont val="Tahoma"/>
            <family val="2"/>
          </rPr>
          <t xml:space="preserve">
En pdf araba 2019 los % de los tratamientos estan redondeados y no dan 100%</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Zigor García</author>
    <author/>
  </authors>
  <commentList>
    <comment ref="B38" authorId="0" shapeId="0" xr:uid="{00000000-0006-0000-3000-000001000000}">
      <text>
        <r>
          <rPr>
            <b/>
            <sz val="9"/>
            <color indexed="81"/>
            <rFont val="Tahoma"/>
            <family val="2"/>
          </rPr>
          <t>Zigor García:</t>
        </r>
        <r>
          <rPr>
            <sz val="9"/>
            <color indexed="81"/>
            <rFont val="Tahoma"/>
            <family val="2"/>
          </rPr>
          <t xml:space="preserve">
RAEE + fluorescentes
</t>
        </r>
      </text>
    </comment>
    <comment ref="C38" authorId="0" shapeId="0" xr:uid="{00000000-0006-0000-3000-000002000000}">
      <text>
        <r>
          <rPr>
            <b/>
            <sz val="9"/>
            <color indexed="81"/>
            <rFont val="Tahoma"/>
            <family val="2"/>
          </rPr>
          <t>Zigor García:</t>
        </r>
        <r>
          <rPr>
            <sz val="9"/>
            <color indexed="81"/>
            <rFont val="Tahoma"/>
            <family val="2"/>
          </rPr>
          <t xml:space="preserve">
Incluye fluorescentes</t>
        </r>
      </text>
    </comment>
    <comment ref="K80" authorId="1" shapeId="0" xr:uid="{00000000-0006-0000-3000-000003000000}">
      <text>
        <r>
          <rPr>
            <b/>
            <sz val="9"/>
            <color rgb="FF000000"/>
            <rFont val="Tahoma"/>
            <family val="2"/>
          </rPr>
          <t>Anexo I y Anexo III</t>
        </r>
      </text>
    </comment>
    <comment ref="L80" authorId="1" shapeId="0" xr:uid="{00000000-0006-0000-3000-000004000000}">
      <text>
        <r>
          <rPr>
            <b/>
            <sz val="9"/>
            <color rgb="FF000000"/>
            <rFont val="Tahoma"/>
            <family val="2"/>
          </rPr>
          <t>Anexo II y  Anexo III</t>
        </r>
      </text>
    </comment>
    <comment ref="M80" authorId="1" shapeId="0" xr:uid="{00000000-0006-0000-3000-000005000000}">
      <text>
        <r>
          <rPr>
            <sz val="9"/>
            <color rgb="FF000000"/>
            <rFont val="Tahoma"/>
            <family val="2"/>
          </rPr>
          <t xml:space="preserve">
Anexo III</t>
        </r>
      </text>
    </comment>
  </commentList>
</comments>
</file>

<file path=xl/sharedStrings.xml><?xml version="1.0" encoding="utf-8"?>
<sst xmlns="http://schemas.openxmlformats.org/spreadsheetml/2006/main" count="15269" uniqueCount="1805">
  <si>
    <t>GIPUZKOA 2019</t>
  </si>
  <si>
    <t>RAEE</t>
  </si>
  <si>
    <t>Tipo de residuo</t>
  </si>
  <si>
    <t>ÁLAVA</t>
  </si>
  <si>
    <t>RESIDUOS DOMÉSTICOS (RD)</t>
  </si>
  <si>
    <t>Biorresiduos</t>
  </si>
  <si>
    <t>Recogida en masa</t>
  </si>
  <si>
    <t>RESIDUOS DE LOS HOGARES (RH)</t>
  </si>
  <si>
    <t>Papel-Cartón</t>
  </si>
  <si>
    <t>Recogida selectiva</t>
  </si>
  <si>
    <t>RECOGIDA EN MASA</t>
  </si>
  <si>
    <t>Recogida en masa RD</t>
  </si>
  <si>
    <t>Vidrio</t>
  </si>
  <si>
    <t>20 03 01</t>
  </si>
  <si>
    <t>Envases ligeros</t>
  </si>
  <si>
    <t>RECOGIDA SELECTIVA</t>
  </si>
  <si>
    <t>Plásticos no envases</t>
  </si>
  <si>
    <t>Metales no envases</t>
  </si>
  <si>
    <t>20 02 01</t>
  </si>
  <si>
    <t>Podas y jardinería</t>
  </si>
  <si>
    <t>Podas</t>
  </si>
  <si>
    <t>Peligrosos del hogar</t>
  </si>
  <si>
    <t>20 01 08</t>
  </si>
  <si>
    <t>5ª contenedor</t>
  </si>
  <si>
    <t>Restos de cocina</t>
  </si>
  <si>
    <t>Textil</t>
  </si>
  <si>
    <t>20 01 01</t>
  </si>
  <si>
    <t>Papel-Carton</t>
  </si>
  <si>
    <t>Papel-cartón</t>
  </si>
  <si>
    <t>Madera</t>
  </si>
  <si>
    <t>15 01 07</t>
  </si>
  <si>
    <t xml:space="preserve">Vidrio </t>
  </si>
  <si>
    <t>Envases de vidrio</t>
  </si>
  <si>
    <t>Aceites de cocina</t>
  </si>
  <si>
    <t>15 01 06</t>
  </si>
  <si>
    <t>Otros misceláneos</t>
  </si>
  <si>
    <t>20 01 39</t>
  </si>
  <si>
    <t>20 01 40</t>
  </si>
  <si>
    <t>Otros voluminosos</t>
  </si>
  <si>
    <t>RCR</t>
  </si>
  <si>
    <t>20 01 33*</t>
  </si>
  <si>
    <t>Pilas peligrosas</t>
  </si>
  <si>
    <t>Pilas y baterías</t>
  </si>
  <si>
    <t>20 01 21*</t>
  </si>
  <si>
    <t>Fluorescentes</t>
  </si>
  <si>
    <t>20 01 27*</t>
  </si>
  <si>
    <t>Aerosoles, Pinturas y sus envases</t>
  </si>
  <si>
    <t>RP del hogar</t>
  </si>
  <si>
    <t>-</t>
  </si>
  <si>
    <t>20 01 26*</t>
  </si>
  <si>
    <t>Aceites usados (de cárter, etc.)</t>
  </si>
  <si>
    <t>Baterias y acumuladores</t>
  </si>
  <si>
    <t>20 01 99</t>
  </si>
  <si>
    <t>Termómetros de mercurio</t>
  </si>
  <si>
    <t>Resto de peligrosos</t>
  </si>
  <si>
    <t>Misceláneos</t>
  </si>
  <si>
    <t>20 01 11</t>
  </si>
  <si>
    <t>Textiles</t>
  </si>
  <si>
    <t>Residuos peligrosos</t>
  </si>
  <si>
    <t>20 01 34</t>
  </si>
  <si>
    <t>Pilas no peligrosas</t>
  </si>
  <si>
    <t>20 01 25</t>
  </si>
  <si>
    <t>Aceite de cocina</t>
  </si>
  <si>
    <t>RD</t>
  </si>
  <si>
    <t>Cintas de video / casette</t>
  </si>
  <si>
    <t>Juguetes</t>
  </si>
  <si>
    <t>Neumáticos fuera de uso</t>
  </si>
  <si>
    <t>Neumáticos</t>
  </si>
  <si>
    <t>Libros</t>
  </si>
  <si>
    <t>TOTAL RECOGIDA SELECTIVA</t>
  </si>
  <si>
    <t>Cartuchos de tóner</t>
  </si>
  <si>
    <t>CDs y DVDs</t>
  </si>
  <si>
    <t>20 01 32</t>
  </si>
  <si>
    <t>Medicamentos</t>
  </si>
  <si>
    <t>Radiografías</t>
  </si>
  <si>
    <t>Resto de miscelános</t>
  </si>
  <si>
    <t>Voluminosos</t>
  </si>
  <si>
    <t>20 01 36</t>
  </si>
  <si>
    <t>Linea blanca</t>
  </si>
  <si>
    <t>Otros RAEEs sin especificar</t>
  </si>
  <si>
    <t>20 03 07</t>
  </si>
  <si>
    <t>Resto de voluminosos</t>
  </si>
  <si>
    <t>RCD</t>
  </si>
  <si>
    <t>Recogido en Garbigunes</t>
  </si>
  <si>
    <t>Recogido en contenedores</t>
  </si>
  <si>
    <t>TOTAL RECOGIDA RH</t>
  </si>
  <si>
    <t>RESIDUOS SIMILARES DE SERVICIOS E INDUSTRIAS (RSSI)</t>
  </si>
  <si>
    <t>20 03 03</t>
  </si>
  <si>
    <t>Limpieza viaria, playas y animales muertos</t>
  </si>
  <si>
    <t>Mezcla de residuos</t>
  </si>
  <si>
    <t>Parques y jardínes</t>
  </si>
  <si>
    <t>Recogidas en poligonos industriales</t>
  </si>
  <si>
    <t>20 01 02</t>
  </si>
  <si>
    <t>15 01 03</t>
  </si>
  <si>
    <t>20 03 99</t>
  </si>
  <si>
    <t>Vehículos abandonados</t>
  </si>
  <si>
    <t>TOTAL RECOGIDA RSSI</t>
  </si>
  <si>
    <t>TOTAL RECOGIDA RD</t>
  </si>
  <si>
    <t>RESIDUOS COMERCIALES (RC)</t>
  </si>
  <si>
    <t>Recogida en masa RC</t>
  </si>
  <si>
    <t>Residuos alimenticios y de cocina</t>
  </si>
  <si>
    <t>Papel- Cartón</t>
  </si>
  <si>
    <t>Baterías y acumuladores</t>
  </si>
  <si>
    <t>Resto de misceláneos</t>
  </si>
  <si>
    <t>Línea blanca</t>
  </si>
  <si>
    <t>Línea marrón</t>
  </si>
  <si>
    <t>Línea gris</t>
  </si>
  <si>
    <t>20 01 37</t>
  </si>
  <si>
    <t>TOTAL RECOGIDA RC</t>
  </si>
  <si>
    <t>TOTAL RESIDUOS DOMÉSTICOS Y COMERCIALES (RD + RC)</t>
  </si>
  <si>
    <t>TOTAL RECOGIDA EN MASA</t>
  </si>
  <si>
    <t>TOTAL RD + RC</t>
  </si>
  <si>
    <t>Compostaje comunitario</t>
  </si>
  <si>
    <t>RU</t>
  </si>
  <si>
    <t>RC</t>
  </si>
  <si>
    <t>BIOCOMPOST</t>
  </si>
  <si>
    <t>ELIMINACIÓN</t>
  </si>
  <si>
    <t>RSSI</t>
  </si>
  <si>
    <t>Parques y jardines</t>
  </si>
  <si>
    <t>Otros</t>
  </si>
  <si>
    <t>Salidas</t>
  </si>
  <si>
    <t>%</t>
  </si>
  <si>
    <t>Reciclables</t>
  </si>
  <si>
    <t>Rechazos</t>
  </si>
  <si>
    <t>Perdidas</t>
  </si>
  <si>
    <t>TOTAL</t>
  </si>
  <si>
    <t>t</t>
  </si>
  <si>
    <t>PET</t>
  </si>
  <si>
    <t>Plásticos</t>
  </si>
  <si>
    <t>Metales</t>
  </si>
  <si>
    <t>Papel y cartón</t>
  </si>
  <si>
    <t>Férricos</t>
  </si>
  <si>
    <t>Aluminio</t>
  </si>
  <si>
    <t>Eliminación</t>
  </si>
  <si>
    <t>Valorización energética</t>
  </si>
  <si>
    <t>Reciclaje</t>
  </si>
  <si>
    <t>RESTO</t>
  </si>
  <si>
    <t>Resto</t>
  </si>
  <si>
    <t>Vertedero</t>
  </si>
  <si>
    <t>Rechazo</t>
  </si>
  <si>
    <t>Compostaje</t>
  </si>
  <si>
    <t>Doméstico</t>
  </si>
  <si>
    <t>Comercial</t>
  </si>
  <si>
    <t>RAEEs</t>
  </si>
  <si>
    <t>CAPV 2018</t>
  </si>
  <si>
    <t>NFU</t>
  </si>
  <si>
    <t>BIZKAIA</t>
  </si>
  <si>
    <t>5º contenedor</t>
  </si>
  <si>
    <t>Linea marrón</t>
  </si>
  <si>
    <t>Plástico</t>
  </si>
  <si>
    <t>Habitantes</t>
  </si>
  <si>
    <t>CAPV</t>
  </si>
  <si>
    <t>GIPUZKOA</t>
  </si>
  <si>
    <t/>
  </si>
  <si>
    <t>kg</t>
  </si>
  <si>
    <t>RH</t>
  </si>
  <si>
    <t>RS</t>
  </si>
  <si>
    <t>TMB</t>
  </si>
  <si>
    <t>Recogida y separación selectiva</t>
  </si>
  <si>
    <t>Total</t>
  </si>
  <si>
    <t>Separación selectiva</t>
  </si>
  <si>
    <t>Almacenamiento</t>
  </si>
  <si>
    <t>Pérdidas</t>
  </si>
  <si>
    <t>Pérdidas de agua</t>
  </si>
  <si>
    <t>Papel / Cartón</t>
  </si>
  <si>
    <t>PEAD</t>
  </si>
  <si>
    <t>Brick</t>
  </si>
  <si>
    <t>Film</t>
  </si>
  <si>
    <t>Acero / Férricos</t>
  </si>
  <si>
    <t>Zabalgarbi</t>
  </si>
  <si>
    <t>Estabilizado</t>
  </si>
  <si>
    <t>Mix</t>
  </si>
  <si>
    <t>CSR</t>
  </si>
  <si>
    <t>TOTAL PROD. RECUPERADOS</t>
  </si>
  <si>
    <t>Envases de plástico</t>
  </si>
  <si>
    <t>Envases</t>
  </si>
  <si>
    <t>Plasticos no envases</t>
  </si>
  <si>
    <t>COMPOSTAJE DOMÉSTICO</t>
  </si>
  <si>
    <t>Vidrio plano</t>
  </si>
  <si>
    <t>Rechazo a vertedero</t>
  </si>
  <si>
    <t>Entradas</t>
  </si>
  <si>
    <t>Año 2013</t>
  </si>
  <si>
    <t>Bizkaia</t>
  </si>
  <si>
    <t>Álava</t>
  </si>
  <si>
    <t>Gipuzkoa</t>
  </si>
  <si>
    <t>Araba</t>
  </si>
  <si>
    <t>TERRITORIO HISTÓRICO</t>
  </si>
  <si>
    <t xml:space="preserve">GIPUZKOA </t>
  </si>
  <si>
    <t>Sin datos</t>
  </si>
  <si>
    <t>TTHH</t>
  </si>
  <si>
    <t>Recogida en masa RU</t>
  </si>
  <si>
    <t>Total entradas TMB</t>
  </si>
  <si>
    <t>Total salida TMB</t>
  </si>
  <si>
    <t>De recogida selectiva</t>
  </si>
  <si>
    <t>TMB (salidas)</t>
  </si>
  <si>
    <r>
      <rPr>
        <sz val="10"/>
        <rFont val="Arial"/>
        <family val="2"/>
        <charset val="1"/>
      </rPr>
      <t xml:space="preserve">Resumen destino final </t>
    </r>
    <r>
      <rPr>
        <b/>
        <sz val="12"/>
        <rFont val="Arial"/>
        <family val="2"/>
        <charset val="1"/>
      </rPr>
      <t>(toneladas)</t>
    </r>
  </si>
  <si>
    <r>
      <rPr>
        <sz val="10"/>
        <rFont val="Arial"/>
        <family val="2"/>
        <charset val="1"/>
      </rPr>
      <t xml:space="preserve">Resumen destino final </t>
    </r>
    <r>
      <rPr>
        <b/>
        <sz val="12"/>
        <rFont val="Arial"/>
        <family val="2"/>
        <charset val="1"/>
      </rPr>
      <t>(%)</t>
    </r>
  </si>
  <si>
    <t>Chequeo</t>
  </si>
  <si>
    <t>Residuo</t>
  </si>
  <si>
    <t>% recogida selectiva</t>
  </si>
  <si>
    <t>% Recogida y separación selectiva</t>
  </si>
  <si>
    <t>% caracterización masa RD</t>
  </si>
  <si>
    <t>% caracterización masa RC</t>
  </si>
  <si>
    <t>% caracterización masa RU</t>
  </si>
  <si>
    <t>Generación masa fracción en RU</t>
  </si>
  <si>
    <t>Generación fracción</t>
  </si>
  <si>
    <t>Prep. Reutilización</t>
  </si>
  <si>
    <t>Reciclaje selectiva</t>
  </si>
  <si>
    <t>Valorización energética gestores no TMB</t>
  </si>
  <si>
    <t>Eliminación gestores</t>
  </si>
  <si>
    <t>Perdidas gestores</t>
  </si>
  <si>
    <t>Perdidas de agua</t>
  </si>
  <si>
    <t>Entradas totales TMB</t>
  </si>
  <si>
    <t xml:space="preserve">Entradas TMB (sin reciclables, almacenamiento ni agua y biogás). </t>
  </si>
  <si>
    <t>estabilizado</t>
  </si>
  <si>
    <t>bioestabilizdo eliminación vertedero</t>
  </si>
  <si>
    <t>rechazo</t>
  </si>
  <si>
    <t>Biogás</t>
  </si>
  <si>
    <t>Valorización energética directa</t>
  </si>
  <si>
    <t>Eliminación directa</t>
  </si>
  <si>
    <t>Prep. Reutilización (t)</t>
  </si>
  <si>
    <t>Reciclaje (t)</t>
  </si>
  <si>
    <t>Compostaje (t)</t>
  </si>
  <si>
    <t>Prep. Reu.  Reciclaje comp. (t)</t>
  </si>
  <si>
    <t>Valorización energética (t)</t>
  </si>
  <si>
    <t>Valorización (t)</t>
  </si>
  <si>
    <t>Eliminación (t)</t>
  </si>
  <si>
    <t>Pérdidas (t)</t>
  </si>
  <si>
    <t>Prep. Reutilización (%)</t>
  </si>
  <si>
    <t>Reciclaje (%)</t>
  </si>
  <si>
    <t>Compostaje (%)</t>
  </si>
  <si>
    <t>Prep. Reu.  Reciclaje comp. (%)</t>
  </si>
  <si>
    <t>Valorización energética (%)</t>
  </si>
  <si>
    <t>Valorización (%)</t>
  </si>
  <si>
    <t>Eliminación (%)</t>
  </si>
  <si>
    <t>Pérdidas (%)</t>
  </si>
  <si>
    <t>RU con RCD</t>
  </si>
  <si>
    <t>Se ha tomado el 75% de reciclaje para selectiva. Se podría haber tomado 75% de reciclaje del total generado.</t>
  </si>
  <si>
    <t>Desperdicio alimentario</t>
  </si>
  <si>
    <t>Grandes aparatos</t>
  </si>
  <si>
    <t>Aparatos de informática y telecomunicaciones pequeños […]</t>
  </si>
  <si>
    <t>Metal total</t>
  </si>
  <si>
    <t>Envases totales</t>
  </si>
  <si>
    <t>Envases de madera</t>
  </si>
  <si>
    <t>Envases de metales férreos</t>
  </si>
  <si>
    <t>Envases de aluminio</t>
  </si>
  <si>
    <t>Envases de papel y cartón</t>
  </si>
  <si>
    <t>Envases metálicos</t>
  </si>
  <si>
    <t>Sí</t>
  </si>
  <si>
    <t>Almacenamiento TMB</t>
  </si>
  <si>
    <t>Salidas TMB (sin reciclables ni agua evaporada)</t>
  </si>
  <si>
    <t>Estabilizado Zabalgarbi</t>
  </si>
  <si>
    <t>Estabilizado Vertedero</t>
  </si>
  <si>
    <t>CSR Zabalgarbi</t>
  </si>
  <si>
    <t>CSR Vertedero</t>
  </si>
  <si>
    <t>Rechazo a Zabalgarbi</t>
  </si>
  <si>
    <t>Valorización energéticas gestores NO TMB</t>
  </si>
  <si>
    <t>Valorización energética gestores TMB</t>
  </si>
  <si>
    <t>Rechazo vertedero valorización directa</t>
  </si>
  <si>
    <t>Almacenamiento (t)</t>
  </si>
  <si>
    <t>Almacenamiento (%)</t>
  </si>
  <si>
    <t xml:space="preserve">Total residuo gestionado TMB </t>
  </si>
  <si>
    <t>Total gestionado Zabalgarbi</t>
  </si>
  <si>
    <t>Total salidas TMB</t>
  </si>
  <si>
    <t>valorización energetica</t>
  </si>
  <si>
    <t>Entradas pdts. Tratamietno</t>
  </si>
  <si>
    <t>Pérdidas proceso</t>
  </si>
  <si>
    <t>Salidas TMB (Observatorio)</t>
  </si>
  <si>
    <t>Checkeo selcetiva</t>
  </si>
  <si>
    <t>Valorización enegética</t>
  </si>
  <si>
    <t>tmb total entradas</t>
  </si>
  <si>
    <t>chequeo total</t>
  </si>
  <si>
    <t>TMB total salidas</t>
  </si>
  <si>
    <t>chequeo salidas</t>
  </si>
  <si>
    <t>TMB total perdidas+almacenamiento</t>
  </si>
  <si>
    <t>chequeo perdidas</t>
  </si>
  <si>
    <t>eliminación</t>
  </si>
  <si>
    <t>TMB valorización energética</t>
  </si>
  <si>
    <t>TMB eliminación</t>
  </si>
  <si>
    <t>TMB Almacenamietno</t>
  </si>
  <si>
    <t>TMB pérdidas agua</t>
  </si>
  <si>
    <t>Valorización energética gestores NO TMB</t>
  </si>
  <si>
    <t>Pérdidas gestores</t>
  </si>
  <si>
    <t>Chequeo 2</t>
  </si>
  <si>
    <t>Envases ligeros combustibles</t>
  </si>
  <si>
    <t>Total resto</t>
  </si>
  <si>
    <t>Envases ligeros combustibles sobre envases ligeros</t>
  </si>
  <si>
    <t>Pérdidas y almacenamiento TMB</t>
  </si>
  <si>
    <t>Total eliminación directa vertedero</t>
  </si>
  <si>
    <t>Pérdidas y almacenamiento</t>
  </si>
  <si>
    <t>perdidas</t>
  </si>
  <si>
    <t>almacenamiento</t>
  </si>
  <si>
    <t>V.E.</t>
  </si>
  <si>
    <t>HABITANTES</t>
  </si>
  <si>
    <t>Estabilizado a Valorización Energética</t>
  </si>
  <si>
    <t>Estabilizado a Vertedero</t>
  </si>
  <si>
    <t>CSR a Valorización Energética</t>
  </si>
  <si>
    <t>CSR a Vertedero</t>
  </si>
  <si>
    <t>Rechazo a Valorización Energética</t>
  </si>
  <si>
    <t>Rechazo a Vertedero</t>
  </si>
  <si>
    <t>Eliminación en incineradora</t>
  </si>
  <si>
    <t>RU sin RCD</t>
  </si>
  <si>
    <t>Orgánico</t>
  </si>
  <si>
    <t>Papel</t>
  </si>
  <si>
    <t>Envases vidrio</t>
  </si>
  <si>
    <t>Pilas</t>
  </si>
  <si>
    <t>Baterías</t>
  </si>
  <si>
    <t>Metal</t>
  </si>
  <si>
    <t>Pilas y baterías peligrosas</t>
  </si>
  <si>
    <t>RCRs</t>
  </si>
  <si>
    <t>Vidrio no envase</t>
  </si>
  <si>
    <t>Biodegradable alimentación</t>
  </si>
  <si>
    <t>Vidrio envase</t>
  </si>
  <si>
    <t>RTPs del hogar</t>
  </si>
  <si>
    <t>Restos podas y jardinería</t>
  </si>
  <si>
    <t>Línea marrón-gris</t>
  </si>
  <si>
    <t>Metales TOTAL</t>
  </si>
  <si>
    <t>Plástico envase</t>
  </si>
  <si>
    <t>Envases férreos</t>
  </si>
  <si>
    <t>Envases aluminio</t>
  </si>
  <si>
    <t>Papel/Cartón envase</t>
  </si>
  <si>
    <t>PVC</t>
  </si>
  <si>
    <t>Acero</t>
  </si>
  <si>
    <t>Madera no envase</t>
  </si>
  <si>
    <t>Film bolsa basura</t>
  </si>
  <si>
    <t>Media_Residuo Municipal</t>
  </si>
  <si>
    <t>Otros residuos peligrosos</t>
  </si>
  <si>
    <t>Otros residuos misceláneos</t>
  </si>
  <si>
    <t>Papel/cartón</t>
  </si>
  <si>
    <t>Otros plásticos</t>
  </si>
  <si>
    <t xml:space="preserve"> </t>
  </si>
  <si>
    <t>CARACTERIZACIÓN ENTRADAS ZABALGARBI 2018</t>
  </si>
  <si>
    <t>Media_Residuo Asimilable Municipal</t>
  </si>
  <si>
    <t>RD Bizkaia 2018</t>
  </si>
  <si>
    <t>RC CAPV 2018</t>
  </si>
  <si>
    <t>Restos origen vegetal cocinados</t>
  </si>
  <si>
    <t>FRACCIÓN</t>
  </si>
  <si>
    <t>Restos origen vegetal no cocinados</t>
  </si>
  <si>
    <t>Otros residuos biodegradables</t>
  </si>
  <si>
    <t xml:space="preserve">Pieles </t>
  </si>
  <si>
    <t>Orgánico TOTAL</t>
  </si>
  <si>
    <t>Madera envase</t>
  </si>
  <si>
    <t>Madera TOTAL</t>
  </si>
  <si>
    <t>Papel/Cartón no envase (prensa, papelería, tisú)</t>
  </si>
  <si>
    <t>Tisú y similares</t>
  </si>
  <si>
    <t>Papel/Cartón TOTAL</t>
  </si>
  <si>
    <t xml:space="preserve">Plástico envase </t>
  </si>
  <si>
    <t>HDPE</t>
  </si>
  <si>
    <t>Film 1 uso</t>
  </si>
  <si>
    <t>Film total</t>
  </si>
  <si>
    <t>Otros (gomas)</t>
  </si>
  <si>
    <t xml:space="preserve">Otros </t>
  </si>
  <si>
    <t>Plásticos TOTAL</t>
  </si>
  <si>
    <t>Vidrio TOTAL</t>
  </si>
  <si>
    <t>Ropas y otros</t>
  </si>
  <si>
    <t>Textil TOTAL</t>
  </si>
  <si>
    <t>Miscélaneos ferréos y no ferréos</t>
  </si>
  <si>
    <t xml:space="preserve">Pilas </t>
  </si>
  <si>
    <t>Líquidos envasados (aceites minerales, …)</t>
  </si>
  <si>
    <t xml:space="preserve">Resto </t>
  </si>
  <si>
    <t>RTPs TOTAL</t>
  </si>
  <si>
    <t>Complejos</t>
  </si>
  <si>
    <t>Bricks</t>
  </si>
  <si>
    <t>Blisters (PVC)</t>
  </si>
  <si>
    <t>Tricapa (botellas leche)</t>
  </si>
  <si>
    <t>Resto (film Al/film PP, papel /film, …)</t>
  </si>
  <si>
    <t>Complejos envases total</t>
  </si>
  <si>
    <t>Otros multilateral (juguetes, …)</t>
  </si>
  <si>
    <t>Complejos no envases total</t>
  </si>
  <si>
    <t>Complejos TOTAL</t>
  </si>
  <si>
    <t>Inertes</t>
  </si>
  <si>
    <t>Piedras, cerámica, etc.</t>
  </si>
  <si>
    <t>Inertes TOTAL</t>
  </si>
  <si>
    <t>Otras categorías</t>
  </si>
  <si>
    <t>Pañales, residuos sanitarios, etc.</t>
  </si>
  <si>
    <t>Otros TOTAL</t>
  </si>
  <si>
    <t>Finos</t>
  </si>
  <si>
    <t>&lt;10 mm</t>
  </si>
  <si>
    <t>Finos TOTAL</t>
  </si>
  <si>
    <t>Líquido</t>
  </si>
  <si>
    <t>No tóxico ni peligroso</t>
  </si>
  <si>
    <t>No tóxico ni peligroso TOTAL</t>
  </si>
  <si>
    <t xml:space="preserve">Biorresiduos </t>
  </si>
  <si>
    <t xml:space="preserve">VIDRIO </t>
  </si>
  <si>
    <t xml:space="preserve">Papel y cartón </t>
  </si>
  <si>
    <t xml:space="preserve">Envases ligeros </t>
  </si>
  <si>
    <t xml:space="preserve">Peligrosos del hogar </t>
  </si>
  <si>
    <t xml:space="preserve">Plásticos no envases </t>
  </si>
  <si>
    <t xml:space="preserve">Misceláneos </t>
  </si>
  <si>
    <t xml:space="preserve">TOTAL </t>
  </si>
  <si>
    <t xml:space="preserve">Metales no envases </t>
  </si>
  <si>
    <t xml:space="preserve">Voluminosos </t>
  </si>
  <si>
    <t xml:space="preserve">RAEE </t>
  </si>
  <si>
    <t>Planta</t>
  </si>
  <si>
    <t>Valorización</t>
  </si>
  <si>
    <t>Generación</t>
  </si>
  <si>
    <t>Preparación para la reutilización</t>
  </si>
  <si>
    <t>Observaciones</t>
  </si>
  <si>
    <t>Jundiz</t>
  </si>
  <si>
    <t>BZB</t>
  </si>
  <si>
    <t>Berziklatu</t>
  </si>
  <si>
    <t xml:space="preserve">RESTO </t>
  </si>
  <si>
    <t>ACEITE VEG</t>
  </si>
  <si>
    <t>ENVASES</t>
  </si>
  <si>
    <t>VOLUMINOSOS</t>
  </si>
  <si>
    <t>COMPOSTAJE</t>
  </si>
  <si>
    <t>PODA</t>
  </si>
  <si>
    <t>VIDRIO</t>
  </si>
  <si>
    <t>PAPEL</t>
  </si>
  <si>
    <t>TEXTIL</t>
  </si>
  <si>
    <t>MADERA</t>
  </si>
  <si>
    <t xml:space="preserve">PELIGROSOS </t>
  </si>
  <si>
    <t>Prep. Para La Reutilización</t>
  </si>
  <si>
    <t>Valorización Energética</t>
  </si>
  <si>
    <t>Bioestabilizado Almacenamiento</t>
  </si>
  <si>
    <t>Bioestabilizado Eliminación</t>
  </si>
  <si>
    <t>Eliminación Rechazos</t>
  </si>
  <si>
    <t>Eliminación Directa</t>
  </si>
  <si>
    <t>Pérdidas De Agua Y Biogás</t>
  </si>
  <si>
    <t>Chequeo generación 2019</t>
  </si>
  <si>
    <t>Diferencia (%)</t>
  </si>
  <si>
    <t>Valorización Energética rechazos</t>
  </si>
  <si>
    <t>Valorización Energética bioestabilizado</t>
  </si>
  <si>
    <t>Valorización Energética CSR</t>
  </si>
  <si>
    <t>Eliminación CSR</t>
  </si>
  <si>
    <t>Almacenamiento 2019</t>
  </si>
  <si>
    <t>Equivalencias</t>
  </si>
  <si>
    <t>TOTAL 2018</t>
  </si>
  <si>
    <t>Total 2018 sin RCR</t>
  </si>
  <si>
    <t>RECICLAJE</t>
  </si>
  <si>
    <t>Año 2019</t>
  </si>
  <si>
    <t>Otros RAEE</t>
  </si>
  <si>
    <t>*</t>
  </si>
  <si>
    <t>GENERACIÓN</t>
  </si>
  <si>
    <t>% RS</t>
  </si>
  <si>
    <t>VALORIZACIÓN ENERGÉTICA</t>
  </si>
  <si>
    <t>PREP. PARA LA REUTILIZACIÓN</t>
  </si>
  <si>
    <t>Fracción</t>
  </si>
  <si>
    <t>Residuos alimenticios y de cocinas</t>
  </si>
  <si>
    <t>Pilas/Baterías</t>
  </si>
  <si>
    <t>Año / TH</t>
  </si>
  <si>
    <t>AÑO</t>
  </si>
  <si>
    <t>2010</t>
  </si>
  <si>
    <t>2011</t>
  </si>
  <si>
    <t>2012</t>
  </si>
  <si>
    <t>2013</t>
  </si>
  <si>
    <t>2014</t>
  </si>
  <si>
    <t>2015</t>
  </si>
  <si>
    <t>2016</t>
  </si>
  <si>
    <t>2017</t>
  </si>
  <si>
    <t>2018</t>
  </si>
  <si>
    <t>2019</t>
  </si>
  <si>
    <t>:</t>
  </si>
  <si>
    <t>PREVENCIÓN DE RESIDUOS URBANOS</t>
  </si>
  <si>
    <t>COMPOSTAJE COMUNITARIO</t>
  </si>
  <si>
    <t>Se trata de compostaje comunitario en la Cuadrilla de la Llanada Alavesa</t>
  </si>
  <si>
    <t>Se trata de compostaje doméstico en municipios en los que se han repartido autocompostadores</t>
  </si>
  <si>
    <t>En este caso, se trata de compostaje doméstico y comunitario, pero no se dispone del dato separado</t>
  </si>
  <si>
    <t>RECOGIDA RD (t/a)</t>
  </si>
  <si>
    <t>RECOGIDA RC (t/a)</t>
  </si>
  <si>
    <t>TOTAL RU (t/a)</t>
  </si>
  <si>
    <t>DESTINOS PRIMARIOS RU (t/a)</t>
  </si>
  <si>
    <t>CARACTERIZACIÓN FRACCIÓN RESTO RD (%)</t>
  </si>
  <si>
    <t>CARACTERIZACIÓN FRACCIÓN RESTO RC (%)</t>
  </si>
  <si>
    <t>GENERACIÓN EN MASA RD (t/a)</t>
  </si>
  <si>
    <t>GENERACIÓN EN MASA RC (t/a)</t>
  </si>
  <si>
    <t>GENERACIÓN EN MASA RU (t/a)</t>
  </si>
  <si>
    <t>GENERACIÓN SELECTIVA RU (t/a)</t>
  </si>
  <si>
    <t>GENERACIÓN TOTAL RU (t/a)</t>
  </si>
  <si>
    <t>% RECOGIDA SELECTIVA</t>
  </si>
  <si>
    <t>ENTRADAS TMB (RM)</t>
  </si>
  <si>
    <t>RECICLABLES</t>
  </si>
  <si>
    <t>ESTABILIZADO ALMACENAMIENTO</t>
  </si>
  <si>
    <t>ESTABILIZADO VERTEDERO</t>
  </si>
  <si>
    <t>RECHAZO</t>
  </si>
  <si>
    <t>AGUA Y BIOGÁS</t>
  </si>
  <si>
    <t>CARACTERIZACIÓN ESTABILIZADO ALMACENAMIENTO (%)</t>
  </si>
  <si>
    <t>CARACTERIZACIÓN ESTABILIZADO VERTEDERO (%)</t>
  </si>
  <si>
    <t>CARACTERIZACIÓN RECHAZO (%)</t>
  </si>
  <si>
    <t>SALIDAS TMB BIORRESIDUOS</t>
  </si>
  <si>
    <t>ENTRADAS TMB BIORRESIDUOS</t>
  </si>
  <si>
    <t>COMPOST</t>
  </si>
  <si>
    <t>RECHAZOS</t>
  </si>
  <si>
    <t>ESTABILIZADO ELIMINACIÓN</t>
  </si>
  <si>
    <t>Mezclas de residuos</t>
  </si>
  <si>
    <t>Limpieza viaria, de playas y animales muertos</t>
  </si>
  <si>
    <t>RM</t>
  </si>
  <si>
    <t>MASA</t>
  </si>
  <si>
    <t>SALIDAS TMB BIORRESIDUOS 2019</t>
  </si>
  <si>
    <t>Proporción en la masa</t>
  </si>
  <si>
    <t>Habitantes 2018</t>
  </si>
  <si>
    <t>kg/hab·año</t>
  </si>
  <si>
    <t>Total biorresiduos</t>
  </si>
  <si>
    <t>GESTIÓN FINAL RU (t/a)</t>
  </si>
  <si>
    <t>% PREP. PARA LA REUTILIZACIÓN</t>
  </si>
  <si>
    <t>% RECICLAJE</t>
  </si>
  <si>
    <t>% COMPOSTAJE</t>
  </si>
  <si>
    <t>% VALORIZACIÓN ENERGÉTICA</t>
  </si>
  <si>
    <t>BIOESTABILIZADO ALMACENAMIENTO</t>
  </si>
  <si>
    <t>% BIOESTABILIZADO ALMACENAMIENTO</t>
  </si>
  <si>
    <t>BIOESTABILIZADO ELIMINACIÓN</t>
  </si>
  <si>
    <t>% BIOESTABILIZADO ELIMINACIÓN</t>
  </si>
  <si>
    <t>ELIMINACIÓN RECHAZOS</t>
  </si>
  <si>
    <t>% ELIMINACIÓN RECHAZOS</t>
  </si>
  <si>
    <t>ELIMINACIÓN DIRECTA</t>
  </si>
  <si>
    <t>% ELIMINACIÓN DIRECTA</t>
  </si>
  <si>
    <t>PÉRDIDAS DE AGUA Y BIOGÁS</t>
  </si>
  <si>
    <t>% PÉRDIDAS DE AGUA Y BIOGÁS</t>
  </si>
  <si>
    <t>Sin pérdidas de agua</t>
  </si>
  <si>
    <t>Papel+vidrio+plásticos+metales+madera+envases ligeros</t>
  </si>
  <si>
    <t>Parques y jardines (para OE)</t>
  </si>
  <si>
    <t>Residuos alimenticios y de cocinas (para OE)</t>
  </si>
  <si>
    <t>GESTIÓN FINAL RU (%)</t>
  </si>
  <si>
    <t>Kg/hab año de envases:</t>
  </si>
  <si>
    <t>% ELIMINACIÓN</t>
  </si>
  <si>
    <t>% ALMACENAMIENTO BIOESTABILIZADO</t>
  </si>
  <si>
    <t>% PÉRDIDAS AGUA Y BIOGÁS</t>
  </si>
  <si>
    <t>Cálculo Inventario</t>
  </si>
  <si>
    <t>IMPRIMIR</t>
  </si>
  <si>
    <t>VALORIZACIÓN ENERGÉTICA RECHAZOS</t>
  </si>
  <si>
    <t>ENTRADAS TMB</t>
  </si>
  <si>
    <t>SALIDAS TMB (SIN RECICLABLES NI AGUA EVAPORADA)</t>
  </si>
  <si>
    <t>ESTABILIZADO</t>
  </si>
  <si>
    <t>CARACTERIZACIÓN ESTABILIZADO (%)</t>
  </si>
  <si>
    <t>CARACTERIZACIÓN CSR (%)</t>
  </si>
  <si>
    <t>% VALORIZACIÓN ENERGÉTICA RECHAZOS</t>
  </si>
  <si>
    <t>VALORIZACIÓN ENERGÉTICA BIOESTABILIZADO</t>
  </si>
  <si>
    <t>% VALORIZACIÓN ENERGÉTICA BIOESTABILIZADO</t>
  </si>
  <si>
    <t>VALORIZACIÓN ENERGÉTICA CSR</t>
  </si>
  <si>
    <t>% VALORIZACIÓN ENERGÉTICA CSR</t>
  </si>
  <si>
    <t>ELIMINACIÓN BIOESTABILIZADO</t>
  </si>
  <si>
    <t>% ELIMINACIÓN BIOESTABILIZADO</t>
  </si>
  <si>
    <t>ELIMINACIÓN CSR</t>
  </si>
  <si>
    <t>% ELIMINACIÓN CSR</t>
  </si>
  <si>
    <t>VALORIZACIÓN ENERGÉTICA DIRECTA</t>
  </si>
  <si>
    <t>% VALORIZACIÓN ENERGÉTICA DIRECTA</t>
  </si>
  <si>
    <t>PÉRDIDAS DE AGUA</t>
  </si>
  <si>
    <t>% PÉRDIDAS DE AGUA</t>
  </si>
  <si>
    <t>BIOESTABILIZADO VALORIZACIÓN ENERGÉTICA</t>
  </si>
  <si>
    <t xml:space="preserve">BIOESTABILIZADO ELIMINACIÓN </t>
  </si>
  <si>
    <t xml:space="preserve"> CSR VALORIZACIÓN ENERGÉTICA</t>
  </si>
  <si>
    <t xml:space="preserve"> CSR ELIMINACIÓN</t>
  </si>
  <si>
    <t>IMRPIMIR</t>
  </si>
  <si>
    <t>CSR VALORIZACIÓN ENERGÉTICA</t>
  </si>
  <si>
    <t>CSR ELIMINACIÓN</t>
  </si>
  <si>
    <t>TOTAL 2017</t>
  </si>
  <si>
    <t>Variación 17-18</t>
  </si>
  <si>
    <t>Total 2017 sin RCR</t>
  </si>
  <si>
    <t>Variación 17-18 sin RCR</t>
  </si>
  <si>
    <t>Papel, vidrio, plásticos, metal, madera, envases ligeros, biorresiduos</t>
  </si>
  <si>
    <t>Biorresiduos (sin agua)</t>
  </si>
  <si>
    <t>Pilas/baterías (peligrosas + no peligrosas)</t>
  </si>
  <si>
    <t>Otros misceláneos (para OE)</t>
  </si>
  <si>
    <t>Otros (para OE)</t>
  </si>
  <si>
    <t>% BIOESTABILIZADO VALORIZACIÓN ENERGÉTICA</t>
  </si>
  <si>
    <t>% CSR VALORIZACIÓN ENERGÉTICA</t>
  </si>
  <si>
    <t>% CSR ELIMINACIÓN</t>
  </si>
  <si>
    <t>Biodegradables a vertedero</t>
  </si>
  <si>
    <t>Sin contar las pérdidas de agua y biogás</t>
  </si>
  <si>
    <t>Sin RCR</t>
  </si>
  <si>
    <t>% FRENTE AL TOTAL DE BIORRESIDUOS</t>
  </si>
  <si>
    <t>Tabla para OE:</t>
  </si>
  <si>
    <t>GESTIÓN FINAL RU (para OE)</t>
  </si>
  <si>
    <t>PROPUESTA AÑADIR ESTOS DESTINOS TAMBIÉN</t>
  </si>
  <si>
    <t>PREP. PARA LA REUTILIZACIÓN (t)</t>
  </si>
  <si>
    <t>RECICLAJE (t)</t>
  </si>
  <si>
    <t>COMPOSTAJE (t)</t>
  </si>
  <si>
    <t>VALORIZACIÓN ENERGÉTICA (t)</t>
  </si>
  <si>
    <t>BIOESTABILIZADO ELIMINACIÓN (t)</t>
  </si>
  <si>
    <t>ELIMINACIÓN (t)</t>
  </si>
  <si>
    <t>PÉRDIDAS DE AGUA Y BIOGÁS (t)</t>
  </si>
  <si>
    <t>BIOESTABILIZADO V.E. (t)</t>
  </si>
  <si>
    <t>% BIOESTABILIZADO V.E.</t>
  </si>
  <si>
    <t>BIOESTABILIZADO ALMACENAMIENTO (t)</t>
  </si>
  <si>
    <t>VALORIZACIÓN ENERGÉTICA RECHAZOS (t)</t>
  </si>
  <si>
    <t>CSR VALORIZACIÓN ENERGÉTICA (t)</t>
  </si>
  <si>
    <t>CSR ELIMINACIÓN (t)</t>
  </si>
  <si>
    <t>VALORIZACIÓN ENERGÉTICA DIRECTA (t)</t>
  </si>
  <si>
    <t>ELIMINACIÓN RECHAZOS (t)</t>
  </si>
  <si>
    <t>ELIMINACIÓN DIRECTA (t)</t>
  </si>
  <si>
    <t>Generación Total RU (t/a)</t>
  </si>
  <si>
    <t>ANÁLISIS POR TERRITORIO</t>
  </si>
  <si>
    <t>RCRs de obra menor (recogidos en Garbigune)</t>
  </si>
  <si>
    <t>SCRAPS RAEEs 2013</t>
  </si>
  <si>
    <t>Suma de cantidad</t>
  </si>
  <si>
    <t>Rótulos de columna</t>
  </si>
  <si>
    <t>RCG</t>
  </si>
  <si>
    <t>Total RCG</t>
  </si>
  <si>
    <t>RDH</t>
  </si>
  <si>
    <t>Total RDH</t>
  </si>
  <si>
    <t>Total general</t>
  </si>
  <si>
    <t>Rótulos de fila</t>
  </si>
  <si>
    <t>01</t>
  </si>
  <si>
    <t>20</t>
  </si>
  <si>
    <t>48</t>
  </si>
  <si>
    <t>AEB</t>
  </si>
  <si>
    <t>Blanca</t>
  </si>
  <si>
    <t>AEG</t>
  </si>
  <si>
    <t>Gris</t>
  </si>
  <si>
    <t>AEM</t>
  </si>
  <si>
    <t>Marrón</t>
  </si>
  <si>
    <t>FLU</t>
  </si>
  <si>
    <t>OAE</t>
  </si>
  <si>
    <t>Otros RAEEs</t>
  </si>
  <si>
    <t>PBN</t>
  </si>
  <si>
    <t>PBP</t>
  </si>
  <si>
    <t>Tipo de RAEE</t>
  </si>
  <si>
    <t>Garbigunes</t>
  </si>
  <si>
    <t>Reporte DDFF</t>
  </si>
  <si>
    <t>Dato considerado recogidas locales</t>
  </si>
  <si>
    <t>Total comercial</t>
  </si>
  <si>
    <t>Total doméstico</t>
  </si>
  <si>
    <t>Valorización incluye reciclado y prep. Para la reutilización</t>
  </si>
  <si>
    <t>SCRAPS RAEEs 2018</t>
  </si>
  <si>
    <t>Categorías de productos REAL DECRETO 110/2015 ANEXO III</t>
  </si>
  <si>
    <t>RAEE recogidos de hogares particulares</t>
  </si>
  <si>
    <t>RAEE recogidos de usuarios distintos de  hogares particulares</t>
  </si>
  <si>
    <t>Total RAEE recogidos</t>
  </si>
  <si>
    <t>Reciclado</t>
  </si>
  <si>
    <t>Categoría RAEE</t>
  </si>
  <si>
    <t>Peso total en Tm</t>
  </si>
  <si>
    <t>RECOGIDOS DE HOGARES PARTICULARES EN PAÍS VASCO</t>
  </si>
  <si>
    <t>RECOGIDOS NO PROCEDENTES DE HOGARES PARTICULARES</t>
  </si>
  <si>
    <t>TOTAL RAEE RECOGIDOS PAÍS VASCO</t>
  </si>
  <si>
    <t>1. Aparatos de intercambio de temperatura (FR1)</t>
  </si>
  <si>
    <t>11*</t>
  </si>
  <si>
    <t>11*. Aparatos con CFC, HFC, HCFC, HC, NH3</t>
  </si>
  <si>
    <t>12*</t>
  </si>
  <si>
    <t>12*. Aparatos Aire acondicionado y aceites</t>
  </si>
  <si>
    <t>1. Grandes electrodomésticos</t>
  </si>
  <si>
    <t>13*</t>
  </si>
  <si>
    <t>13*. Aparatos con aceite en circuitos o condensadores</t>
  </si>
  <si>
    <t>VE</t>
  </si>
  <si>
    <t>2. Pequeños electrodomésticos</t>
  </si>
  <si>
    <t>Total FR1</t>
  </si>
  <si>
    <t>3. Equipos de inf. y telecom.</t>
  </si>
  <si>
    <t>2. Monitores y pantallas (FR2)</t>
  </si>
  <si>
    <t>21*</t>
  </si>
  <si>
    <t>21*. Monitores y pantallas CRT</t>
  </si>
  <si>
    <t>4. Electrónica de consumo</t>
  </si>
  <si>
    <t>22*</t>
  </si>
  <si>
    <t>22*. Monitores y pantallas: No CRT, no LED</t>
  </si>
  <si>
    <t>5. Alumbrado</t>
  </si>
  <si>
    <t>23. Monitores y pantallas LED</t>
  </si>
  <si>
    <t>6. Herramientas</t>
  </si>
  <si>
    <t>Total FR2</t>
  </si>
  <si>
    <t>7. Juguetes y equipos dep.</t>
  </si>
  <si>
    <t>3. Lámparas (FR3)</t>
  </si>
  <si>
    <t>31*</t>
  </si>
  <si>
    <t>31*. Lámparas de descarga, no LED y fluorescentes.</t>
  </si>
  <si>
    <t>8. Aparatos Médicos</t>
  </si>
  <si>
    <t>32. Lámparas LED</t>
  </si>
  <si>
    <t>9. Instr. de vig. y ctrl.</t>
  </si>
  <si>
    <t>Total FR3</t>
  </si>
  <si>
    <t>10. Máquinas expend.</t>
  </si>
  <si>
    <t>4. Grandes aparatos (FR4)</t>
  </si>
  <si>
    <t>41*</t>
  </si>
  <si>
    <t>41*. Grandes aparatos con componentes peligrosos</t>
  </si>
  <si>
    <t>42. Grandes aparatos (Resto)</t>
  </si>
  <si>
    <t>Total FR4</t>
  </si>
  <si>
    <t>5. Pequeños aparatos (FR5)</t>
  </si>
  <si>
    <t>51*</t>
  </si>
  <si>
    <t>51*. Pequeños aparatos con componentes peligrosos y pilas incorporadas</t>
  </si>
  <si>
    <t>52. Pequeños aparatos (Resto)</t>
  </si>
  <si>
    <t>Total FR5</t>
  </si>
  <si>
    <t>6. Aparatos de informática y telecomunicaciones pequeños (FR6)</t>
  </si>
  <si>
    <t>61*</t>
  </si>
  <si>
    <t>61*. Aparatos de informática y telecomunicaciones pequeños con componentes peligrosos</t>
  </si>
  <si>
    <t>Total FR6</t>
  </si>
  <si>
    <t>7. Paneles fotovoltaicos (FR7)</t>
  </si>
  <si>
    <t>71. Paneles fotovoltaicos (Ej.: Si)</t>
  </si>
  <si>
    <t>72*</t>
  </si>
  <si>
    <t>72*. Paneles fotovoltaicos peligrosos (Ej.:CdTe)</t>
  </si>
  <si>
    <t>Total FR7</t>
  </si>
  <si>
    <t>TOTAL (toneladas)</t>
  </si>
  <si>
    <t>Pequeños aparatos</t>
  </si>
  <si>
    <t>Linea gris</t>
  </si>
  <si>
    <t>THA</t>
  </si>
  <si>
    <t>THG</t>
  </si>
  <si>
    <t>THB</t>
  </si>
  <si>
    <t>Línea RAEE</t>
  </si>
  <si>
    <t>Domésticos</t>
  </si>
  <si>
    <t>Comerciales</t>
  </si>
  <si>
    <t>Total RAEEs</t>
  </si>
  <si>
    <t>TOTAL sin fluorescentes</t>
  </si>
  <si>
    <t>Total repartidos</t>
  </si>
  <si>
    <t>Estimaciones corregidas para ajustarlas a lo comunicado como recogido total en cada territorio histórico</t>
  </si>
  <si>
    <t>Año 2018 (datos a utilizar)</t>
  </si>
  <si>
    <t>Total Recogidos</t>
  </si>
  <si>
    <t>Observatorio de residuos de Araba</t>
  </si>
  <si>
    <t>Observatorio de Gipuzkoa</t>
  </si>
  <si>
    <t>Total RAEEs de la CAPV menos los de Araba y Gipuzkoa que los comunican segregados de otros residuos</t>
  </si>
  <si>
    <t>DATOS A FACILITAR PARA LA ELABORACIÓN DEL INVENTARIO DE RESIDUOS  URBANOS DE LA CAPV</t>
  </si>
  <si>
    <t>GENERACIÓN RU BIZKAIA</t>
  </si>
  <si>
    <t>AÑO: 2019</t>
  </si>
  <si>
    <t>Aerosoles, pinturas y sus envases</t>
  </si>
  <si>
    <t>Cintas de video/casette</t>
  </si>
  <si>
    <t>Residuos de construcción y reparación domiciliaria (RCRs)</t>
  </si>
  <si>
    <t>Residuos de construcción y reparación no domiciliaria (RCRs)</t>
  </si>
  <si>
    <t>Restos de podas de floristería</t>
  </si>
  <si>
    <t>INDICADORES</t>
  </si>
  <si>
    <t xml:space="preserve">DATOS DEL OBSERVATORIO
(t/año) </t>
  </si>
  <si>
    <t>Población</t>
  </si>
  <si>
    <t>Total RD+RC (t/año)</t>
  </si>
  <si>
    <t>Total RD (t/año)</t>
  </si>
  <si>
    <t>Total RC (t/año)</t>
  </si>
  <si>
    <t>Total Recogida en Masa (t/año)</t>
  </si>
  <si>
    <t>Total Recogida Selectiva (t/año)</t>
  </si>
  <si>
    <t>% RD</t>
  </si>
  <si>
    <t>% RC</t>
  </si>
  <si>
    <t>% Recogida Selectiva Total (RD+RC)</t>
  </si>
  <si>
    <t>% Recogida Selectiva RD</t>
  </si>
  <si>
    <t>% Recogida Selectiva RC</t>
  </si>
  <si>
    <t>RD+RC (kg/hab/año)</t>
  </si>
  <si>
    <t>Envases ligeros (kg/hab/año)</t>
  </si>
  <si>
    <t>Vidrio (kg/hab/año)</t>
  </si>
  <si>
    <t>P/C (kg/hab/año)</t>
  </si>
  <si>
    <t>Gipuzkoa sin Ermua y Mallabia</t>
  </si>
  <si>
    <t>Gipuzkoa con Ermua y Mallabia</t>
  </si>
  <si>
    <t>Ermua</t>
  </si>
  <si>
    <t>Mallabia</t>
  </si>
  <si>
    <t>Datos en toneladas</t>
  </si>
  <si>
    <t>Populazioa / Población 2019</t>
  </si>
  <si>
    <t>KUDEAKETA PUBLIKOA /GESTIÓN PÚBLICA</t>
  </si>
  <si>
    <t>ETXEKO KONPOSTATZEA ETA KONPOSTATZE KOMUNITARIOA / COMPOSTAJE DOMÉSTICO Y COMUNITARIO</t>
  </si>
  <si>
    <t>Etxeko konpostatzea eta konpostatze komunitarioa guztira / Compostaje doméstico y comunitario total</t>
  </si>
  <si>
    <t>Famili kopurua / nº de familias</t>
  </si>
  <si>
    <t>Kg/biztanleko-urtea / Kg/hab-año</t>
  </si>
  <si>
    <t>Pertsonak familiko / Nº personas por familia</t>
  </si>
  <si>
    <t>BIOHONDAKINA / BIORRESIDUO</t>
  </si>
  <si>
    <t>BILDUTAKO ORGANIKO HARTZIGARRIA / ORGÁNICO FERMENTABLE</t>
  </si>
  <si>
    <t>Organiko hartzigarria Atez ate (AAB) / Orgánico fermentable PaP</t>
  </si>
  <si>
    <t>Organiko hartzigarria 5 edukiontzia / Orgánico fermentable 5º contenedor</t>
  </si>
  <si>
    <t>Organiko hartzigarria sistema mixtoa, aportazio guneak / Orgánico fermentable sistema mixto, zonas de aportación</t>
  </si>
  <si>
    <t>Organiko hartzigarria sortzaile handiak  eta berezia (jatetxeak, tabernak, kafetegiak, eskolak_x001A_) / Orgánico fermentable grandes generadores  y singulares  (restaurantes, bares, cafeterías, colegios,...)</t>
  </si>
  <si>
    <t>Organiko hartzigarria poligonoetan / Orgánico fermentable polígonos</t>
  </si>
  <si>
    <t>Ezohiko oganiko hartzigarria (jaiak, bazkariak_x001A_) / Orgánico fermentable no habitual ( fiestas, comidas_x001A_)</t>
  </si>
  <si>
    <t>Organiko hartzigarria sortzaile bereziak beste kudeatzailekin kudeatua (Arraindegiak_x001A_) / Orgánico fermentable generadores singulares gestinado mediante otros gestores( pescaderias...)</t>
  </si>
  <si>
    <t>BILDUTAKO ORGANIKO HARTZIGARRIA GUZTIRA / TOTAL ORGÁNICO FERMENTABLE</t>
  </si>
  <si>
    <t>INAUSKETAK ETA LOREZAINTZA / PODA Y JARDINERÍA</t>
  </si>
  <si>
    <t>Inausketa bilketa puntuak / Puntos recogida de Poda</t>
  </si>
  <si>
    <t>Garbigunean iñausketa / Poda en garbigune</t>
  </si>
  <si>
    <t>INAUSKETAK ETA LOREZAINTZA GUZTIRA / TOTAL PODA Y JARDINERÍA</t>
  </si>
  <si>
    <t>BIOHONDAKINA GUZTIRA / TOTAL BIORRESIDUO</t>
  </si>
  <si>
    <t>ORGANIKOA GUZTIRA / TOTAL BIORRESIDUO</t>
  </si>
  <si>
    <t>PAPERA-KARTOIA / PAPEL-CARTÓN</t>
  </si>
  <si>
    <t>Atez ateko bilketa (AAB-PaP)-Herritarrak+komertzioak / Recogida PaP - ciudadanoS+comercios</t>
  </si>
  <si>
    <t>Kaleko Edukiontzietan / Contenedores de calle</t>
  </si>
  <si>
    <t>Sistema mixtoa, aportazio guneak / Sistema mixto, zonas de aportación</t>
  </si>
  <si>
    <t>Aportazio gunetan (kartoi komertziala edukiontziaren aldamenean) / Zonas de aportación (cartón comercial junto al contenedor)</t>
  </si>
  <si>
    <t>Komertzioetan / Comercios</t>
  </si>
  <si>
    <t>Administrazioan eta ikastetxetan / Administración y centros escolares</t>
  </si>
  <si>
    <t>Sortzaile handietan (industriak...) / Grandes generadores (industrias_x001A_)</t>
  </si>
  <si>
    <t>Garbigunean-Papera-kartoia / Garbigune-Papel-Cartón</t>
  </si>
  <si>
    <t>Gune industrialetako bilketa / Recogida polígonos industriales</t>
  </si>
  <si>
    <t>PAPERA-KARTOIA GUZTIRA / TOTAL PAPEL-CARTÓN</t>
  </si>
  <si>
    <t>ONTZI ARINAK / ENVASES LIGEROS</t>
  </si>
  <si>
    <t>Atez ate bildutakoa (Etxe eta komertzioetan) / Recogida PaP (recogida domiciliaria y comercial)</t>
  </si>
  <si>
    <t>Sortzaile handietan bildutakoak AAB / Grandes generadores</t>
  </si>
  <si>
    <t>Kaleko Edukiontzietan bildutakoak / Recogido en contenedores de calle</t>
  </si>
  <si>
    <t>Garbiguneetan bildutakoak / Recogido en garbigune</t>
  </si>
  <si>
    <t>ONTZI ARINAK GUZTIRA / TOTAL ENVASES LIGEROS</t>
  </si>
  <si>
    <t>BEIRA / VIDRIO</t>
  </si>
  <si>
    <t>Atez ate komertzioetan / PaP en comercios</t>
  </si>
  <si>
    <t>Garbigunean beira / Recogido en garbigune</t>
  </si>
  <si>
    <t>BEIRA GUZTIRA / TOTAL VIDRIO</t>
  </si>
  <si>
    <t>GARBIGUNEETAN BEIRA ZAPALA / VIDRIO PLANO EN GARBIGUNE</t>
  </si>
  <si>
    <t>GARBIGUNEETAN BEIRA ZAPALA GUZTIRA / TOTAL VIDRIO PLANO EN GARBIGUNE</t>
  </si>
  <si>
    <t>TAMAINA HANDIKOAK / VOLUMINOSOS</t>
  </si>
  <si>
    <t>Bildutako tamaina handikoak kalean eta etxean / Recogida voluminosos viaría y domiciliaria</t>
  </si>
  <si>
    <t>Bildutako tamaina handikoak  komertzio eta industrian / Recogida voluminosos comercial e industrial</t>
  </si>
  <si>
    <t>Garbigunean-tamaina handikoak / Garbigune-voluminosos</t>
  </si>
  <si>
    <t>TAMAINA HANDIKOAK GUZTIRA / TOTAL VOLUMINOSOS</t>
  </si>
  <si>
    <t>EGURRA / MADERA</t>
  </si>
  <si>
    <t>Poligonoetako egur bilketa (industriala, komertziala) / Recogida de madera en polígonos (industrial, comercial)</t>
  </si>
  <si>
    <t>Ezohiko egurra (kaleetan_x001A_) / Madera no habitual ( recogida viaría_x001A_)</t>
  </si>
  <si>
    <t>Merkatu edo azoketako egurra / Madera de mercados y ferias</t>
  </si>
  <si>
    <t>Garbigunean- egurra / Madera en garbigune</t>
  </si>
  <si>
    <t>EGURRA GUZTIRA / TOTAL MADERA</t>
  </si>
  <si>
    <t>ARROPA / TEXTIL</t>
  </si>
  <si>
    <t>Arropa-Oihalak edukiontzietan / Ropa-Telas en contenedor</t>
  </si>
  <si>
    <t>Garbigunean arropa / Ropa en garbigune</t>
  </si>
  <si>
    <t>ARROPA GUZTIRA / TOTAL TEXTIL</t>
  </si>
  <si>
    <t>OLIOA / ACEITE</t>
  </si>
  <si>
    <t>Sukaldeko Olio bilketa edukiontzietan / Recogida de aceite de cocina en contenedor</t>
  </si>
  <si>
    <t>Sukaldeko Olio bilketa puntu mogikorrean / Recogida de aceite de cocina en puntos móviles</t>
  </si>
  <si>
    <t>Garbigunean eta puntu mugikorretan sukaldeko olioa / Aceite de cocina en garbigune y punto movil</t>
  </si>
  <si>
    <t>OLIOA GUZTIRA / TOTAL ACEITE</t>
  </si>
  <si>
    <t>PILAK / PILAS</t>
  </si>
  <si>
    <t>Pilak kaleko edukiontzietan eta dendetako AAB / Pilas mediante contenedor y  comercios</t>
  </si>
  <si>
    <t>Garbigunean eta puntu mugikorretan-Pilak eta bateriak / Pilas y baterías en garbigune y puntos moviles</t>
  </si>
  <si>
    <t>PILAK GUZTIRA / TOTAL PILAS</t>
  </si>
  <si>
    <t>APARATU ELEKTRIKO ETA ELEKTRONIKOAK (RAEE-AK) / APARATO ELÉCTRICO Y ELECTRÓNICO (RAEE)</t>
  </si>
  <si>
    <t>Kaleko eta etxeko bilketa / Recogida viaria  y domiciliaria</t>
  </si>
  <si>
    <t>Garbigunean eta puntu mugikorretan / Garbigune y puntos moviles</t>
  </si>
  <si>
    <t>Komertzioetako eta industrietako bilketa / Recogida comercial e industrial</t>
  </si>
  <si>
    <t>APARATU ELEKTRIKO ETA ELEKTRONIKOAK (RAEE-AK) GUZTIRA / TOTAL APARATO ELÉCTRICO Y ELECTRÓNICO (RAEE)</t>
  </si>
  <si>
    <t>ETXEKO HONDAKIN ARRISKUTSUAK (RPH) / RESIDUOS DE LOS HOGARES PELIGROSOS</t>
  </si>
  <si>
    <t>Garbigunean hondakin arriskutsuak (barnizak, pinturak, disolbenteak, ibilgailuetako olioa)) / Residuos peligrosos (barnices, pinturas, disolventes, aceite motor)</t>
  </si>
  <si>
    <t>Hondakin arriskutxuak (RPH) puntu mobiletan / Residuos peligrosos (RPH) en puntos móviles</t>
  </si>
  <si>
    <t>ETXEKO HONDAKIN ARRISKUTSUAK (RPH) GUZTIRA / TOTAL RESIDUOS DE LOS HOGARES PELIGROSOS</t>
  </si>
  <si>
    <t>PLASTIKOA / PLÁSTICO</t>
  </si>
  <si>
    <t>Plastiko birziklagarriak/balioztagarriak poligonoetan (porespan eta bestelakoak barne) / Plástico reciclable/valorizable en polígonos (incluido porespan etc)</t>
  </si>
  <si>
    <t>Garbigune eta puntu mugikorretan bildutako plastiko birziklagarriak/balioztagarriak (porexpan eta bestelakoak barne)) / Plástico reciclable/valorizable recogido en garbigune y puntos móviles (incluido porespan y otros)</t>
  </si>
  <si>
    <t>PLASTIKOA GUZTIRA / TOTAL PLÁSTICO</t>
  </si>
  <si>
    <t>TXATARRA / CHATARRA</t>
  </si>
  <si>
    <t>Kalean burnikiak / Recogida viaría de metales</t>
  </si>
  <si>
    <t>Garbigunean burnikiak / Metales en garbigune</t>
  </si>
  <si>
    <t>TXATARRA GUZTIRA / TOTAL CHATARRA</t>
  </si>
  <si>
    <t>GURPILAK / NEUMÁTICOS</t>
  </si>
  <si>
    <t>Garbigunean jasotakoak / Recogidos en garbigune</t>
  </si>
  <si>
    <t>Ezohiko bilketa / Recogidas no habituales</t>
  </si>
  <si>
    <t>GURPILAK GUZTIRA / TOTAL NEUMÁTICOS</t>
  </si>
  <si>
    <t>JOLASAK / JUGUETES</t>
  </si>
  <si>
    <t>Garbigunean eta bestelako sistemen bidez jasotakoak / Recogidos en garbigune y otros sistemas</t>
  </si>
  <si>
    <t>JOLASAK GUZTIRA / TOTAL JUGUETES</t>
  </si>
  <si>
    <t>GAIKAKO BILKETA GUZTIRA / TOTAL RECOGIDA SELECTIVA</t>
  </si>
  <si>
    <t>GAIKAKO BILKETA + AUTOKONPOSTAJEA GUZTIRA / TOTAL RECOGIDA SELECTIVA + AUTOCOMPOSTAJE</t>
  </si>
  <si>
    <t>ERREFUSA / RESTO</t>
  </si>
  <si>
    <t>Atez ateko errefus bilketa herritarrei (AAB) / Recogida domicialiaria mediante PaP</t>
  </si>
  <si>
    <t>Kaleko edukiontzietan eta inguruan bildutakoa (nahastutako bilketa) / Recogida en contenedor y alrededores (recogida mezclada)</t>
  </si>
  <si>
    <t>Errefus bilketa sistema mistoa, aportazio guneak / Sistema mixto, zonas de aportación / Sistema mixto, zonas de aportación</t>
  </si>
  <si>
    <t>Landa eremuetako edukiontzietan bildutakoa / Recogida en zonas rurales mediante contenedor</t>
  </si>
  <si>
    <t>Komertzioetan eta merkatuetan bildutako errefusa / Recogida en comercios y mercados</t>
  </si>
  <si>
    <t>Poligonoetan bildutako errefusa / Recogida polígonos</t>
  </si>
  <si>
    <t>Kale garbiketan bildutakoa / Recogida mediante limpieza viaría</t>
  </si>
  <si>
    <t>Hondartzetan, erreketan edo atsegin lekuetan bildutako errefusa, estolderia / Playas, limpieza de ríos y zonas de ocio, alcantarillado</t>
  </si>
  <si>
    <t>Garbigunean errefus inertea edo ez arriskutsua zabortegirako / Rechazo inerte o no peligroso recogido en garbigune con destino vertedero</t>
  </si>
  <si>
    <t>Kontrol gabe isuritako errefusa (landa eremutan, poligonoetan) / Vertido incontrolado (zona rural, polígonos)</t>
  </si>
  <si>
    <t>Ezohiko errefusa (istripuak, haizeteak_x001A_) / Rechazo no habitual (accidentes, vendavales_x001A_)</t>
  </si>
  <si>
    <t>Errekuperatu gabeko tamaina handikoak / Voluminosos no recuperados</t>
  </si>
  <si>
    <t>Ekoizle handien errefusa azken tratamendura zuzenean / Rechazo de grandes generadores directamente a tratamiento final</t>
  </si>
  <si>
    <t>ERREFUSA GUZTIRA / TOTAL RESTO</t>
  </si>
  <si>
    <t>BILDUTAKO HIRI HONDAKIN OSOA GUZTIRA / TOTAL RECOGIDA TOTAL RESIDUO URBANO</t>
  </si>
  <si>
    <t>BILDUTAKO HIRI HONDAKIN OSOA + AUTOKONPOSTAJEA GUZTIRA / TOTAL RECOGIDA TOTAL RESIDUO URBANO + AUTOCOMPOSTAJE</t>
  </si>
  <si>
    <t>GAIKAKO BILKETA HIRI HONDAKIN OSOAREKIKO (autokonpostaje gabe) GUZTIRA / TOTAL RECOGIDA SELECTIVA FRENTE A RESIDUO URBANOS TOTAL (sin autocompostaje)</t>
  </si>
  <si>
    <t>ESKONBROA / ESCOMBRO</t>
  </si>
  <si>
    <t>Garbigunean eskonbroa / Escombro en garbigune</t>
  </si>
  <si>
    <t>Eskonbroa beste puntuetan jasoa (zabortegietakoa ez da kontuan hartuko) / Escombro recogido en otros puntos (no se considera el de vertedero)</t>
  </si>
  <si>
    <t>ESKONBROA GUZTIRA / TOTAL ESCOMBRO</t>
  </si>
  <si>
    <t>BESTE ESKOMBROAK / OTROS ESCOMBROS</t>
  </si>
  <si>
    <t>Eskonbroa birziklatzera / Escombro a reciclar</t>
  </si>
  <si>
    <t>Eskonbroa zabortegira / Escombro a vertedero</t>
  </si>
  <si>
    <t>ESKONBROA BIRZIKLATZERA GUZTIRA / TOTAL % ESCOMBRO A RECICLAJE</t>
  </si>
  <si>
    <t>* Oharra: 2019ko maiatzaren hasieran Debabarreneko Mankomunitateak zuzenketa bat egin zuen datuetan, hori dela eta datu hauek eta lehenengo komunikaziokoak ez dira justu berdinak.</t>
  </si>
  <si>
    <t>* Nota: a primeros de mayo de 2019 tuvo lugar una corrección por parte de la Mancomunidad de Debabarrena, por consiguiente estos datos no coinciden plenamente con los de la primera comumunicación de los mismos.</t>
  </si>
  <si>
    <t>DEBABARRENA</t>
  </si>
  <si>
    <t>DEBAGOIENA</t>
  </si>
  <si>
    <t>SAN MARKO</t>
  </si>
  <si>
    <t>SASIETA</t>
  </si>
  <si>
    <t>TOLOSALDEA</t>
  </si>
  <si>
    <t>TXINGUDI</t>
  </si>
  <si>
    <t>UROLA ERDIA</t>
  </si>
  <si>
    <t>UROLA KOSTA</t>
  </si>
  <si>
    <t>GIPUZKOA 2018</t>
  </si>
  <si>
    <t>Kg</t>
  </si>
  <si>
    <t>Kg/biz/urte</t>
  </si>
  <si>
    <t>POPULAZIOA / POBLACION 2.018</t>
  </si>
  <si>
    <t>Kg/biztanleko-urteko / Kg/hab-año</t>
  </si>
  <si>
    <t xml:space="preserve">BERRERABILITAKO ORGANIKOA GUZTIRA / TOTAL ORGANICO REUTILIZADO </t>
  </si>
  <si>
    <t>Organiko hartzigarria 5 edukiontzia /  Orgánico fermentable 5º contenedor</t>
  </si>
  <si>
    <t>Organiko hartzigarria sortzaile handiak AAB / Orgánico fermentable grandes generadores PaP</t>
  </si>
  <si>
    <t>Ezohiko oganiko hartzigarria (jaiak, bazkariak…) /  Orgánico fermentable no habitual ( fiestas, comidas…)</t>
  </si>
  <si>
    <t>Ezohiko oganiko hartzigarria (istripuak, haizeteak…) /  Orgánico fermentable no habitual (accidentes, vendavales…)</t>
  </si>
  <si>
    <t xml:space="preserve">BILDUTAKO ORGANIKO HARTZIGARRIA GUZTIRA / TOTAL ORGANICO FERMENTABLE </t>
  </si>
  <si>
    <t>Inausketa zuzkara (Adarrak,zuhaizkak...) / Poda leñosa (ramas, árboles…)</t>
  </si>
  <si>
    <t>Garbigunean-Lorezaintzako kimaketak (sastrakak, zuhaitzak...) / Garbigune - poda jardineria (maleza, árboles,…)</t>
  </si>
  <si>
    <t>INAUSKETA ZUZKARA GUZTIRA / TOTAL PODA LEÑOSA</t>
  </si>
  <si>
    <t>Lorezaintzako ikausketa ez zuzkara (belarra, loreak, horbela) / Poda de jardineria no leñosa (hierba, flores, hojarasca...)</t>
  </si>
  <si>
    <t>Garbigunean-Belarra, horbela… / Gabigune - Hierba, hojarasca…</t>
  </si>
  <si>
    <t xml:space="preserve">INAUSKETA EZ ZUZKARA GUZTIRA / TOTAL PODA NO LEÑOSA </t>
  </si>
  <si>
    <t xml:space="preserve">INAUSKETAK ETA LOREZAINTZA GUZTIRA / TOTAL PODA Y JARDINERIA </t>
  </si>
  <si>
    <t>BILDUTAKO BIOHONDAKINA / BIORRESIDUO RECOGIDO</t>
  </si>
  <si>
    <t xml:space="preserve">BIOHONDAKINA GUZTIRA / TOTAL BIORRESIDUO </t>
  </si>
  <si>
    <t>PAPERA-KARTOIA / PAPEL-CARTON</t>
  </si>
  <si>
    <t>Sistema mixtoa, aportazio guneak, birziklaguneak / Sistema mixto, zonas de aportación, zonas de reciclaje</t>
  </si>
  <si>
    <t>Atez ateko bilketa  komertzioetan / PaP en comercios</t>
  </si>
  <si>
    <t>Atez ateko bilketa administrazioan eta ikastetxetan / PaP en administración y centros escolares</t>
  </si>
  <si>
    <t>Sortzaile handietan AAB / Grandes generadores PaP</t>
  </si>
  <si>
    <t>BILDUTAKO PAPERA KARTOIA / PAPEL  CARTON RECOGIDO</t>
  </si>
  <si>
    <t>Atez ate bildutakoa (AAB-PaP) / Recogida PaP</t>
  </si>
  <si>
    <t xml:space="preserve">ONTZI ARINAK GUZTIRA / TOTAL ENVASES LIGEROS </t>
  </si>
  <si>
    <t>Atez ate komertzioetan  / PaP en comercios</t>
  </si>
  <si>
    <t>BESTELAKOAK / OTROS</t>
  </si>
  <si>
    <t xml:space="preserve"> TAMAINA HANDIKOAK / VOLUMINOSOS</t>
  </si>
  <si>
    <t>Bildutako tamaina handikoak / Recogida voluminosos</t>
  </si>
  <si>
    <t xml:space="preserve"> TAMAINA HANDIKOAK GUZTIRA / TOTAL VOLUMINOSOS</t>
  </si>
  <si>
    <t>Tamaina handikoetan birziklatzera bidalitako atala /  Fracción de voluminoos enviados a reciclaje</t>
  </si>
  <si>
    <t>Tamaina handikoetan errefusera edo zabortegira bidalitako atala / Fracción de voluminoOs enviado a rechazo o vertedero</t>
  </si>
  <si>
    <t>Poligonoetako tratatu gabeko egur bilketa / Recogida en polígonos de madera no tratada</t>
  </si>
  <si>
    <t>Poligonoetako tratatutako egurra edo nahastutako egur bilketa / Madera tratada o mezclada de polígonos</t>
  </si>
  <si>
    <t>Hondartzetako egurra / Madera de playas</t>
  </si>
  <si>
    <t>ARROPA-OIHALAK edukiontzietan / ROPA-TELAS en contenedor</t>
  </si>
  <si>
    <t>OLIOA /  ACEITE</t>
  </si>
  <si>
    <t>Sukaldeko Olio bilketa / Recogida de aceite de cocina</t>
  </si>
  <si>
    <t>Garbigunean sukaldeko olioa/  Aceite de cocina en garbigune</t>
  </si>
  <si>
    <t>Garbigunean olio minerala (motor olioa) / Aceite mineral en garbigune (aceite de motor)</t>
  </si>
  <si>
    <t>Garbigunean -Pilak eta bateriak  /  Pilas y baterías en garbigune</t>
  </si>
  <si>
    <t>Salmenta tokietan bildutakoak / Recogida en puntos de venta</t>
  </si>
  <si>
    <t>Kaleko tamaiña handiko bilketan / Recogida de voluminosso en calle</t>
  </si>
  <si>
    <t>Garbigunean – RAEE zuria / RAEE ínea blanca en garbigune</t>
  </si>
  <si>
    <t>Garbigunean – RAEE marroia/ RAEE ínea marrón en garbigune</t>
  </si>
  <si>
    <t>Garbigunean RAEE-lampara fluoreszenteak,,,/ RAEE lampara, fluerescente en garbigune</t>
  </si>
  <si>
    <t>RAEEak GUZTIRA / TOTAL RAEE</t>
  </si>
  <si>
    <t>ETXEKO HONDAKIN ARRISKUTSUAK (RPH) / RESIDUOS DE LOS HOGARES PELIGOROS</t>
  </si>
  <si>
    <t>Garbigunean hondakin arriskutsuak (barnizak, pinturak, disolbenteak) /Residuos peligrosos (barnices, pinturas, disolventes)</t>
  </si>
  <si>
    <t>RPH GUZTIRA / TOTAL RPH</t>
  </si>
  <si>
    <t>PLASTIKOA / PLASTICO</t>
  </si>
  <si>
    <t>Plastiko filma poligonoetan / Plástico film en polígonos</t>
  </si>
  <si>
    <t>Garbigunean Plastiko filma / Plástico film en garbigune</t>
  </si>
  <si>
    <t>PLASTIKO FILMA GUZTIRA / TOTAL PLÁSTICO FILM</t>
  </si>
  <si>
    <t>Plastiko gogorra eta plastiko nahasketak poligonoetan / Plásticos duros y mezclas en pplígonos</t>
  </si>
  <si>
    <t>Garbiguneko plastiko gogorra eta gainontzeko plastiko birziklagarriak / Plástico duro y demás plástico reciclable en garbigune</t>
  </si>
  <si>
    <t>GAINONTZEKO PLASTIKOAK GUZTIRA / TOTAL OTROS PLASTICOS</t>
  </si>
  <si>
    <t>PLASTIKOA GUZTIRA / TOTAL PLASTICO</t>
  </si>
  <si>
    <t>Udal brigada eta antzekoak / Brigada municipal y similares</t>
  </si>
  <si>
    <t>Garbigunean aluminioa / Aluminio en garbigune</t>
  </si>
  <si>
    <t>Garbigunean gainontzeko metalak / Resto de metales en garbigune</t>
  </si>
  <si>
    <t>PORESPANA / PORESPAN</t>
  </si>
  <si>
    <t>Bildutako porespana / Porespan recogido</t>
  </si>
  <si>
    <t>Garbigunean porespana / Porespan en garbigune</t>
  </si>
  <si>
    <t>PORESPANA GUZTIRA / TOTAL PORESPAN</t>
  </si>
  <si>
    <t>GURPILAK / NEUMATICOS</t>
  </si>
  <si>
    <t>Kalean jasotakoak / Recogidos en la calle</t>
  </si>
  <si>
    <t>GURPILAK GUZTIRA / TOTAL NEUMATICOS</t>
  </si>
  <si>
    <t xml:space="preserve">Garbigunean jasotakoak / Recogidos en garbigune </t>
  </si>
  <si>
    <t>GAIKAKO BILKETA OSOA / TOTAL RECOGIDA SELECTIVA</t>
  </si>
  <si>
    <t>GAIKAKO BILKETA + AUTOKONPOSTAJEA / RECOGIDA SELECTIVA + AUTOCOMPOSTAJE</t>
  </si>
  <si>
    <t>Atez ateko errefus bilketa herritarrei (AAB) / Recogida a ciudadanos mediante PaP</t>
  </si>
  <si>
    <t>Errefus bilketa sistema mistoa, aportazio guneak / Sistema mixto, zonas de aportación</t>
  </si>
  <si>
    <t>Komertzioetan eta poligonoetan atez ate bildutako errefusa / Recogida en comercios y polígonos mediante PaP</t>
  </si>
  <si>
    <t>Udal brigadek sortutakoa / Generado por brigadas municipales</t>
  </si>
  <si>
    <t>Merkatu eta azoketan bildutako errefusa / Generado en mercados y ferias</t>
  </si>
  <si>
    <t>Sortzaile handiak zuzenean zabortegietara bidalitako errefusa / Rechazo generado por grandes generadores enviado directamente a vertedero</t>
  </si>
  <si>
    <t>Estolderia garbiketa / Limpieza del alcantarillado</t>
  </si>
  <si>
    <t>Ezohiko errefusa (istripuak, haizeteak…) / Rechazo no habitual (accidentes, vendavales…)</t>
  </si>
  <si>
    <t xml:space="preserve">Hondakin selektiboen Tratamendu Plantetatik errefusa / Rechazo de plantas de tratamiento selectivo de residuos </t>
  </si>
  <si>
    <t>Errekuperatu gabeko tamaina handikoak / Voluminoso no recuperados</t>
  </si>
  <si>
    <t>ERREFUSA / RECHAZO</t>
  </si>
  <si>
    <t>ERREFUSA INERTEA / RECHAZO INERTE</t>
  </si>
  <si>
    <t>Poligonoetan atez ate bildutako errefusa inertea edo ez arriskutsua / Rechazo inerte o no peligroso recogido en polígonos PaP</t>
  </si>
  <si>
    <t xml:space="preserve">ERREFUSA INERTEA GUZTIRA / TOTAL RECHAZO INERTE </t>
  </si>
  <si>
    <t>ERREFUSA GUZTIRA / TOTAL RECHAZO</t>
  </si>
  <si>
    <t>BILDUTAKO HIRI HONDAKIN OSOA / RECOGIDA TOTAL RESIDUO URBANO</t>
  </si>
  <si>
    <t>BILDUTAKO HIRI HONDAKIN OSOA + AUTOKONPOSTAJEA / RECOGIDA TOTAL RESIDUO URBANO + AUTOCOMPOSTAJE</t>
  </si>
  <si>
    <t>GAIKAKO BILKETA HIRI HONDAKIN OSOAREKIKO / RECOGIDA SELECTIVA FRENTE A RESIDUO URBANOS TOTAL</t>
  </si>
  <si>
    <t>Papera Kartoia /Papel-cartón</t>
  </si>
  <si>
    <t>Egurra / Madera</t>
  </si>
  <si>
    <t>Plastikoa / Plástico</t>
  </si>
  <si>
    <t>Txatarra / Chatarra</t>
  </si>
  <si>
    <t>Inerte zabortegietara eramandakoak / Inerte enviado a vertedero</t>
  </si>
  <si>
    <t>Errefusa / Rechazo</t>
  </si>
  <si>
    <t>HIRI HONDAKINEN KUDEAKETA PRIBATUA GUZTIRA / GESTION PRIVADA RESIDUOS URBANOS TOTAL</t>
  </si>
  <si>
    <t>GAIKAKO BILKETA OSOA, KUDEAKETA PRIBATUA / TOTAL RECOGIDA SELECTIVA, GESTION PRIVADA</t>
  </si>
  <si>
    <t>ERREFUSA GUZTIRA KUDEAKETA PRIBATUA / RECHAZO TOTAL DE GESTIÓN PRIVADA</t>
  </si>
  <si>
    <t>BILDUTAKO HIRI HONDAKIN GUZTIAK (KUD publikoa+pribatua) / RECOGIDA TOTAL DE RESIDUO URBANO (gestión pública+privada)</t>
  </si>
  <si>
    <t>SORTUTAKO HIRI HONDAKIN GUZTIAK (KUD publikoa+pribatua) / GENERACION TOTAL RESIDUOS URBANOS (gestión pública+privada)</t>
  </si>
  <si>
    <t>GAIKAKO BILKETA OSOA (KUD publikoa+pribatua)  / / TOTAL RECOGIDA SELECTIVA  (gestión pública+privada)</t>
  </si>
  <si>
    <t>GAIKAKO BILKETA + AUTOKONPOSTAJEA (KUD publikoa+pribatua) / RECOGIDA SELECTIVA + AUTOCOMPOSTAJE  (gestión pública+privada)</t>
  </si>
  <si>
    <t>GAIKAKO BILKETA HIRI HONDAKIN OSOAREKIKO (KUD publikoa+pribatua) / RECOGIDA SELECTIVA FRENTE AL TOTAL DE RESIDUOS URBANOS  (gestión pública+privada)</t>
  </si>
  <si>
    <t>Garbigunean eskonbro garbia / Escombro limpio en garbigune</t>
  </si>
  <si>
    <t>Eskonbro garbia aportazio gunean edo inerten zabortegian / Escombro limpio en zonas de aportación o en vertedero de inerte</t>
  </si>
  <si>
    <t>ESKONBRO GARBIA GUZTIRA / TOTAL ESCOMBRO LIMPIO</t>
  </si>
  <si>
    <t>Eskonbro nahastua aportazio gunean edo inerten zabortegian / Escombro mezclado en zona de aportación o vertedero de inertes</t>
  </si>
  <si>
    <t>Garbiguneak:eraikuntzako hondarrak (birziklagarriak)</t>
  </si>
  <si>
    <t>Etxeko konpostatzea eta konpostatze komunitarioa guztira</t>
  </si>
  <si>
    <t>Bataz beste 80 kg/biztanleko eta urteko aurreikusi da</t>
  </si>
  <si>
    <t xml:space="preserve">Biztanleak/familiko: bataz beste 2,8 biztanle familiko aurreikusi dira (*) </t>
  </si>
  <si>
    <t>(*) Udalen batek biztanle kopuru zehatza izanez gero, aipamena jartzea komeniko litzateke</t>
  </si>
  <si>
    <t>GIPUZKOA 2017</t>
  </si>
  <si>
    <t xml:space="preserve"> Editado 2018</t>
  </si>
  <si>
    <t>POPULAZIOA / POBLACION 2.017</t>
  </si>
  <si>
    <t>Populazioa / Población 2018</t>
  </si>
  <si>
    <t>***</t>
  </si>
  <si>
    <t>???</t>
  </si>
  <si>
    <t>Garbiguneaneta bestelako sistemen bidez jasotakoak / Recogidos en garbigune y otros sistemas</t>
  </si>
  <si>
    <t>?</t>
  </si>
  <si>
    <t>Eskonbroa beste puntuetan jasoa (zabortegietakoa ez da kontuan hartuko) / Escombro recogido en otros puntos (no se contabiliza lo de vertedero)</t>
  </si>
  <si>
    <t>﻿ARABA 2018</t>
  </si>
  <si>
    <t xml:space="preserve">Fracción de recogida en masa </t>
  </si>
  <si>
    <t>CONTENEDOR</t>
  </si>
  <si>
    <t xml:space="preserve">ACEITE COCINA USADO </t>
  </si>
  <si>
    <t xml:space="preserve">Aceites de cocina usados </t>
  </si>
  <si>
    <t xml:space="preserve">ENVASES </t>
  </si>
  <si>
    <t xml:space="preserve">Envases ligeros plásticos y metálicos </t>
  </si>
  <si>
    <t xml:space="preserve">VOLUMINOSOS </t>
  </si>
  <si>
    <t xml:space="preserve">Enseres voluminosos, mobiliario fuera de uso </t>
  </si>
  <si>
    <t xml:space="preserve">ORGÁNICA </t>
  </si>
  <si>
    <t xml:space="preserve">Fracción orgánica recogida selectivamente </t>
  </si>
  <si>
    <t>Orgánica</t>
  </si>
  <si>
    <t xml:space="preserve">PODA </t>
  </si>
  <si>
    <t xml:space="preserve">Restos de poda y jardinería </t>
  </si>
  <si>
    <t>Textil (reutilización)</t>
  </si>
  <si>
    <t xml:space="preserve">Envases de vidrio </t>
  </si>
  <si>
    <t>Aceite cocina usado</t>
  </si>
  <si>
    <t xml:space="preserve">PAPEL </t>
  </si>
  <si>
    <t>PAEE</t>
  </si>
  <si>
    <t xml:space="preserve">RCD </t>
  </si>
  <si>
    <t xml:space="preserve">Residuos de construcción y demolición de obra menor </t>
  </si>
  <si>
    <t>Neumática resto</t>
  </si>
  <si>
    <t xml:space="preserve">TEXTIL </t>
  </si>
  <si>
    <t xml:space="preserve">Textil, juguetes, libros, PAEE, bazar </t>
  </si>
  <si>
    <t>Neumática envases</t>
  </si>
  <si>
    <t xml:space="preserve">Residuos de aparatos eléctricos y electrónicos </t>
  </si>
  <si>
    <t>Neumática papel</t>
  </si>
  <si>
    <t xml:space="preserve">OTROS RNP </t>
  </si>
  <si>
    <t xml:space="preserve">Otros residuos no peligrosos: madera, metales, neumáticos, etc. </t>
  </si>
  <si>
    <t>OTROS SISTEMAS</t>
  </si>
  <si>
    <t xml:space="preserve">﻿SISTEMA DE RECOGIDA </t>
  </si>
  <si>
    <t xml:space="preserve">kg </t>
  </si>
  <si>
    <t xml:space="preserve">% </t>
  </si>
  <si>
    <t xml:space="preserve">Residuos peligrosos </t>
  </si>
  <si>
    <t>Puntos limpios rurales</t>
  </si>
  <si>
    <t xml:space="preserve">Contenedor </t>
  </si>
  <si>
    <t>Voluminosos recogida municipal</t>
  </si>
  <si>
    <t xml:space="preserve">Neumática </t>
  </si>
  <si>
    <t xml:space="preserve">Habitantes (INE 2018) </t>
  </si>
  <si>
    <t>Poda municipal</t>
  </si>
  <si>
    <t xml:space="preserve">Garbigunes </t>
  </si>
  <si>
    <t xml:space="preserve">kg/hab/año </t>
  </si>
  <si>
    <t>RAEE sector privado</t>
  </si>
  <si>
    <t>Recogida municipal</t>
  </si>
  <si>
    <t>Vidrio PaP Vitoria-Gasteiz</t>
  </si>
  <si>
    <t xml:space="preserve">Limpieza viaria </t>
  </si>
  <si>
    <t>Papel PaP</t>
  </si>
  <si>
    <t>Recogidas privadas</t>
  </si>
  <si>
    <t>Envases PaP</t>
  </si>
  <si>
    <t>PLR</t>
  </si>
  <si>
    <t>Cuadrilla de ﻿AÑANA 2018</t>
  </si>
  <si>
    <t>Papel complementarias</t>
  </si>
  <si>
    <t>Habitantes 8.944</t>
  </si>
  <si>
    <t>PVM</t>
  </si>
  <si>
    <t>PaP Comercial</t>
  </si>
  <si>
    <t>Otras recogidas RNP Vitoria-Gasteiz</t>
  </si>
  <si>
    <t>Limpieza viaria</t>
  </si>
  <si>
    <t>Total recogida</t>
  </si>
  <si>
    <t>TOTAL RECOGIDA</t>
  </si>
  <si>
    <t>Cuadrilla de ﻿GORBEIALDEA 2018</t>
  </si>
  <si>
    <t>Habitantes 9.736</t>
  </si>
  <si>
    <t>Cuadrilla de ﻿AYALA 2018</t>
  </si>
  <si>
    <t>Habitantes 34.451</t>
  </si>
  <si>
    <t>Cuadrilla de ﻿CAMPEZO-MONTAÑA ALAVESA 2018</t>
  </si>
  <si>
    <t>Habitantes 2.912</t>
  </si>
  <si>
    <t>kg/hab/año</t>
  </si>
  <si>
    <t>Cuadrilla de ﻿LLANADA ALAVESA 2018</t>
  </si>
  <si>
    <t>Habitantes 12.446</t>
  </si>
  <si>
    <t>Cuadrilla de ﻿LAGUARDIA-RIOJA ALAVESA 2018</t>
  </si>
  <si>
    <t>﻿Cuadrilla de VITORIA-GASTEIZ 2018</t>
  </si>
  <si>
    <t>Habitantes 11.203</t>
  </si>
  <si>
    <t>Habitantes 249.176</t>
  </si>
  <si>
    <t>No está este gráfico en el informe de 2018</t>
  </si>
  <si>
    <t>No están estos datos en el informe de 2018</t>
  </si>
  <si>
    <t>Esta tabla de 2016 en el informe de 2017 no está tan desagregada</t>
  </si>
  <si>
    <t>Tabla 2017 (menos desagregada que la de 2016)</t>
  </si>
  <si>
    <t>PRIVADOS Gipuzkoa 2015 (t)</t>
  </si>
  <si>
    <t>PAPEL CARTÓN</t>
  </si>
  <si>
    <t>PLÁSTICO</t>
  </si>
  <si>
    <t>Total 2015</t>
  </si>
  <si>
    <t>MEDICINAS</t>
  </si>
  <si>
    <t>TXATARRA</t>
  </si>
  <si>
    <t>ECOEMBES 2018</t>
  </si>
  <si>
    <t>Amorebieta</t>
  </si>
  <si>
    <t>AC</t>
  </si>
  <si>
    <t>Rendimiento</t>
  </si>
  <si>
    <t>AL</t>
  </si>
  <si>
    <t>CB</t>
  </si>
  <si>
    <t>Cartón Brick</t>
  </si>
  <si>
    <t>OP</t>
  </si>
  <si>
    <t>Legazpi</t>
  </si>
  <si>
    <t>Urnieta</t>
  </si>
  <si>
    <t>PEBD</t>
  </si>
  <si>
    <t>Total entrada con rechazos</t>
  </si>
  <si>
    <t>PC</t>
  </si>
  <si>
    <t>Papel cartón</t>
  </si>
  <si>
    <t>id_tratamiento_actual</t>
  </si>
  <si>
    <t>cod_entidad_gestora</t>
  </si>
  <si>
    <t>cod_tipo_residuo_salida</t>
  </si>
  <si>
    <t>cantidad_salida</t>
  </si>
  <si>
    <t>cod_tipo_operacion</t>
  </si>
  <si>
    <t>id_tratamiento_siguiente</t>
  </si>
  <si>
    <t>066</t>
  </si>
  <si>
    <t>ENM</t>
  </si>
  <si>
    <t>REC</t>
  </si>
  <si>
    <t>ENV</t>
  </si>
  <si>
    <t>BRI</t>
  </si>
  <si>
    <t>ENP</t>
  </si>
  <si>
    <t>VER</t>
  </si>
  <si>
    <t>067</t>
  </si>
  <si>
    <t>ELI</t>
  </si>
  <si>
    <t>065</t>
  </si>
  <si>
    <t>064</t>
  </si>
  <si>
    <t>Recogidas</t>
  </si>
  <si>
    <t>Plantas</t>
  </si>
  <si>
    <t>Diferencia</t>
  </si>
  <si>
    <t>Total plantas</t>
  </si>
  <si>
    <t>COM</t>
  </si>
  <si>
    <t>AGU</t>
  </si>
  <si>
    <t>REU</t>
  </si>
  <si>
    <t>cod_origen</t>
  </si>
  <si>
    <t>cod_residuo</t>
  </si>
  <si>
    <t>HOG</t>
  </si>
  <si>
    <t>SSI</t>
  </si>
  <si>
    <t>Todas las entradas de envases son estas, donde se han separado en función a la planta gestora a la que van. Eliminar de la base de datos los datos de envases de las pestañas por territorios.</t>
  </si>
  <si>
    <t>cod_territorio</t>
  </si>
  <si>
    <t>anyo</t>
  </si>
  <si>
    <t>cod_entidad_recogedora</t>
  </si>
  <si>
    <t>cod_tipo_recogida</t>
  </si>
  <si>
    <t>cod_entidad_fuente</t>
  </si>
  <si>
    <t>cantidad_fuente</t>
  </si>
  <si>
    <t>cantidad_redistribuida</t>
  </si>
  <si>
    <t>criterios_aplicados</t>
  </si>
  <si>
    <t>XXX</t>
  </si>
  <si>
    <t>076</t>
  </si>
  <si>
    <t>061</t>
  </si>
  <si>
    <t>Bizkaia no tiene datos sin aplicar criterios</t>
  </si>
  <si>
    <t>077</t>
  </si>
  <si>
    <t>cod_entidad</t>
  </si>
  <si>
    <t>proceso</t>
  </si>
  <si>
    <t>cantidad</t>
  </si>
  <si>
    <t>medida</t>
  </si>
  <si>
    <t>cod_tipo_residuo</t>
  </si>
  <si>
    <t>cod_tipo_gestion</t>
  </si>
  <si>
    <t>cod_entidad_siguiente</t>
  </si>
  <si>
    <t>proceso_siguiente</t>
  </si>
  <si>
    <t>tipo_origen</t>
  </si>
  <si>
    <t>"Residuo"</t>
  </si>
  <si>
    <t>"Gestión"</t>
  </si>
  <si>
    <t>"Entidad generadora"</t>
  </si>
  <si>
    <t>"Entidad siguiente"</t>
  </si>
  <si>
    <t>0</t>
  </si>
  <si>
    <t>T</t>
  </si>
  <si>
    <t>Tipo de gestión no especificada</t>
  </si>
  <si>
    <t>Diputación Foral de Gipuzkoa</t>
  </si>
  <si>
    <t>Planta de separación de envases de Urnieta</t>
  </si>
  <si>
    <t>RDS</t>
  </si>
  <si>
    <t>Planta de separación de envases de Legazpi</t>
  </si>
  <si>
    <t>092</t>
  </si>
  <si>
    <t>081</t>
  </si>
  <si>
    <t>Pilas y baterías no peligrosas</t>
  </si>
  <si>
    <t>Ministerio</t>
  </si>
  <si>
    <t>Reciclador genérico de baterías y acumuladores</t>
  </si>
  <si>
    <t>072</t>
  </si>
  <si>
    <t>MED</t>
  </si>
  <si>
    <t>093</t>
  </si>
  <si>
    <t>SIGRE</t>
  </si>
  <si>
    <t>Gestor SIGRE</t>
  </si>
  <si>
    <t>094</t>
  </si>
  <si>
    <t>095</t>
  </si>
  <si>
    <t>1</t>
  </si>
  <si>
    <t>RAEE de línea blanca</t>
  </si>
  <si>
    <t>ECOLEC</t>
  </si>
  <si>
    <t>Gestor de ECOLEC</t>
  </si>
  <si>
    <t>2</t>
  </si>
  <si>
    <t>RAEE de línea gris</t>
  </si>
  <si>
    <t>3</t>
  </si>
  <si>
    <t>RAEE de línea marrón</t>
  </si>
  <si>
    <t>4</t>
  </si>
  <si>
    <t>5</t>
  </si>
  <si>
    <t>096</t>
  </si>
  <si>
    <t>097</t>
  </si>
  <si>
    <t>ECORAEE</t>
  </si>
  <si>
    <t>Gestor ECORAEE</t>
  </si>
  <si>
    <t>098</t>
  </si>
  <si>
    <t>099</t>
  </si>
  <si>
    <t>ECOTIC</t>
  </si>
  <si>
    <t>Gestor ECOTIC</t>
  </si>
  <si>
    <t>104</t>
  </si>
  <si>
    <t>107</t>
  </si>
  <si>
    <t>ECOLUM</t>
  </si>
  <si>
    <t>Gestor AMBILAMP</t>
  </si>
  <si>
    <t>106</t>
  </si>
  <si>
    <t>AMBILAMP</t>
  </si>
  <si>
    <t>102</t>
  </si>
  <si>
    <t>103</t>
  </si>
  <si>
    <t>ERP</t>
  </si>
  <si>
    <t>Gestor ERP</t>
  </si>
  <si>
    <t>108</t>
  </si>
  <si>
    <t>109</t>
  </si>
  <si>
    <t>ECOFIMATICA</t>
  </si>
  <si>
    <t>Gestor ECOFIMATICA</t>
  </si>
  <si>
    <t>110</t>
  </si>
  <si>
    <t>111</t>
  </si>
  <si>
    <t>TRAGAMOVIL</t>
  </si>
  <si>
    <t>Gestor TRAGAMOVIL</t>
  </si>
  <si>
    <t>112</t>
  </si>
  <si>
    <t>113</t>
  </si>
  <si>
    <t>ECOASIMELEC</t>
  </si>
  <si>
    <t>Gestor ECOASIMELEC</t>
  </si>
  <si>
    <t>RES</t>
  </si>
  <si>
    <t>062</t>
  </si>
  <si>
    <t>Fracción resto</t>
  </si>
  <si>
    <t>Vertedero genérico</t>
  </si>
  <si>
    <t>PYJ</t>
  </si>
  <si>
    <t>034</t>
  </si>
  <si>
    <t>Planta de compostaje de Artigas (Bilbao)</t>
  </si>
  <si>
    <t>ALI</t>
  </si>
  <si>
    <t>PYC</t>
  </si>
  <si>
    <t>063</t>
  </si>
  <si>
    <t>Papel y cartón sin especificar</t>
  </si>
  <si>
    <t>Reciclador genérico de papel</t>
  </si>
  <si>
    <t>VIE</t>
  </si>
  <si>
    <t>032</t>
  </si>
  <si>
    <t>Planta de clasificación de envases de Vidrio Aguado</t>
  </si>
  <si>
    <t>PLN</t>
  </si>
  <si>
    <t>068</t>
  </si>
  <si>
    <t>Reciclador genérico de Plásticos no envasess</t>
  </si>
  <si>
    <t>MEN</t>
  </si>
  <si>
    <t>069</t>
  </si>
  <si>
    <t>Reciclador genérico de metales</t>
  </si>
  <si>
    <t>AER</t>
  </si>
  <si>
    <t>080</t>
  </si>
  <si>
    <t>Reciclador genérico de residuos peligrosos</t>
  </si>
  <si>
    <t>ACV</t>
  </si>
  <si>
    <t>Aceite de motor</t>
  </si>
  <si>
    <t>BAT</t>
  </si>
  <si>
    <t>TER</t>
  </si>
  <si>
    <t>Termómetros de Mercurio</t>
  </si>
  <si>
    <t>OTP</t>
  </si>
  <si>
    <t>TEX</t>
  </si>
  <si>
    <t>090</t>
  </si>
  <si>
    <t>Reciclador genérico de textil en Gipuzkoa</t>
  </si>
  <si>
    <t>MAS</t>
  </si>
  <si>
    <t>071</t>
  </si>
  <si>
    <t>Madera sin especificar</t>
  </si>
  <si>
    <t>Reciclador genérico de madera</t>
  </si>
  <si>
    <t>ACE</t>
  </si>
  <si>
    <t>088</t>
  </si>
  <si>
    <t>Reciclador genérico de aceites (borrar si hay datos de Rafrinor y Ekogras)</t>
  </si>
  <si>
    <t>CIN</t>
  </si>
  <si>
    <t>044</t>
  </si>
  <si>
    <t>Rezikleta-Koopera</t>
  </si>
  <si>
    <t>JUG</t>
  </si>
  <si>
    <t>086</t>
  </si>
  <si>
    <t>Reciclador genérico de NFU</t>
  </si>
  <si>
    <t>LIB</t>
  </si>
  <si>
    <t>TON</t>
  </si>
  <si>
    <t>Cartuchos de toner</t>
  </si>
  <si>
    <t>DVD</t>
  </si>
  <si>
    <t>CDs y DVDS</t>
  </si>
  <si>
    <t>RAD</t>
  </si>
  <si>
    <t>048</t>
  </si>
  <si>
    <t>Tratamientos Geuria</t>
  </si>
  <si>
    <t>OMI</t>
  </si>
  <si>
    <t>OVO</t>
  </si>
  <si>
    <t>091</t>
  </si>
  <si>
    <t>Reciclador genérico de voluminosos de Gipuzkoa</t>
  </si>
  <si>
    <t>RGA</t>
  </si>
  <si>
    <t>114</t>
  </si>
  <si>
    <t>Gestor genérico de RCDs en Gipuzkoa</t>
  </si>
  <si>
    <t>RCO</t>
  </si>
  <si>
    <t>RCRs de obra menor (empresas de contenedores)</t>
  </si>
  <si>
    <t>LIM</t>
  </si>
  <si>
    <t>VFU</t>
  </si>
  <si>
    <t>087</t>
  </si>
  <si>
    <t>Reciclador genérico de VFU</t>
  </si>
  <si>
    <t>005</t>
  </si>
  <si>
    <t>CMG2-PLANTA BIOMETANIZACION</t>
  </si>
  <si>
    <t>Entrada / Salida</t>
  </si>
  <si>
    <t>COD LER</t>
  </si>
  <si>
    <t>AGOSTO</t>
  </si>
  <si>
    <t>SEPTIEMBRE</t>
  </si>
  <si>
    <t>OCTUBRE</t>
  </si>
  <si>
    <t>NOVIEMBRE</t>
  </si>
  <si>
    <t>DICIEMBRE</t>
  </si>
  <si>
    <t>Total Kg</t>
  </si>
  <si>
    <t>ENTRADA</t>
  </si>
  <si>
    <t>Biorresiduo</t>
  </si>
  <si>
    <t>SALIDA</t>
  </si>
  <si>
    <t>Rechazo pretrat.</t>
  </si>
  <si>
    <t>Lodos de digestión</t>
  </si>
  <si>
    <t>Metal ferrico</t>
  </si>
  <si>
    <t>CMGII</t>
  </si>
  <si>
    <t>ENTRADAS</t>
  </si>
  <si>
    <t>REPORTING</t>
  </si>
  <si>
    <t>DIF</t>
  </si>
  <si>
    <t>% Salidas</t>
  </si>
  <si>
    <t>% Pérdidas</t>
  </si>
  <si>
    <t>CMG1-TMB</t>
  </si>
  <si>
    <t>ABRIL</t>
  </si>
  <si>
    <t xml:space="preserve">MAYO </t>
  </si>
  <si>
    <t>JUNIO</t>
  </si>
  <si>
    <t>JULIO</t>
  </si>
  <si>
    <t>Mezcla residuos municipales</t>
  </si>
  <si>
    <t>Toneladas reciclado</t>
  </si>
  <si>
    <t>Caracterización masa RD envase</t>
  </si>
  <si>
    <t>Caracterización masa RD NO envase</t>
  </si>
  <si>
    <t>Metales Ferricos</t>
  </si>
  <si>
    <t>Metales férricos</t>
  </si>
  <si>
    <t>Metales No Ferricos</t>
  </si>
  <si>
    <t>Metales no férricos</t>
  </si>
  <si>
    <t>PEAD/PET</t>
  </si>
  <si>
    <t>Metales totales</t>
  </si>
  <si>
    <t>Otros residuos TM</t>
  </si>
  <si>
    <t>No férricos</t>
  </si>
  <si>
    <t>Residuo Combustible</t>
  </si>
  <si>
    <t>Metales envases</t>
  </si>
  <si>
    <t>SALIDAS</t>
  </si>
  <si>
    <t>Plásticos envases</t>
  </si>
  <si>
    <t>Envases de Metales férreos</t>
  </si>
  <si>
    <t>Destinos</t>
  </si>
  <si>
    <t>DIFERENCIA</t>
  </si>
  <si>
    <t>% TMB</t>
  </si>
  <si>
    <t>% vertedero</t>
  </si>
  <si>
    <t>% VE</t>
  </si>
  <si>
    <t>Urola Erdia</t>
  </si>
  <si>
    <t>Urola Kosta</t>
  </si>
  <si>
    <t>Txingudi</t>
  </si>
  <si>
    <t>Tolosaldea</t>
  </si>
  <si>
    <t>San Markos</t>
  </si>
  <si>
    <t>Sasieta</t>
  </si>
  <si>
    <t>Debagoiena</t>
  </si>
  <si>
    <t>Debabarrena</t>
  </si>
  <si>
    <t>Gipuzkoa menos Mallabia y Ermua</t>
  </si>
  <si>
    <t>GIPUZKOA 2020</t>
  </si>
  <si>
    <t>Populazioa / Población 2020</t>
  </si>
  <si>
    <t>AÑO: 2020</t>
  </si>
  <si>
    <t>Gipuzkoa menos Ermua y Mallabia</t>
  </si>
  <si>
    <t>Habitantes 2020</t>
  </si>
  <si>
    <t>DATOS 2020</t>
  </si>
  <si>
    <t>TMB 2020</t>
  </si>
  <si>
    <t>Salidas TMB (DMA20)</t>
  </si>
  <si>
    <t>Datos 2020</t>
  </si>
  <si>
    <t>Datos UTE (t)</t>
  </si>
  <si>
    <t>Entrada</t>
  </si>
  <si>
    <t>Tratado</t>
  </si>
  <si>
    <t>Estabilizado a vertedero</t>
  </si>
  <si>
    <t>Estabilizado a Zabalgarbi</t>
  </si>
  <si>
    <t>Estabilizado a GHK</t>
  </si>
  <si>
    <t>CDR/CSR</t>
  </si>
  <si>
    <t>CDR/CSR a vertedero</t>
  </si>
  <si>
    <t>CDR/CSR a Zabalgarbi</t>
  </si>
  <si>
    <t>CDR/CSR a GHK</t>
  </si>
  <si>
    <t>No recuperables</t>
  </si>
  <si>
    <t>No recuperables a vertedero</t>
  </si>
  <si>
    <t>No recuperables a Zabalgarbi</t>
  </si>
  <si>
    <t>Total sin pérdidas</t>
  </si>
  <si>
    <t>DATOS TMB 2020</t>
  </si>
  <si>
    <t>PRODUCTOS RECUPERADOS</t>
  </si>
  <si>
    <t>ACUMULADO  (t)</t>
  </si>
  <si>
    <t>Compostaje total</t>
  </si>
  <si>
    <t>VOLUMINOSOS REPASOS</t>
  </si>
  <si>
    <t>VITORIA</t>
  </si>
  <si>
    <t>VOLUMINOSOS PLR</t>
  </si>
  <si>
    <t>MONTAÑA</t>
  </si>
  <si>
    <t>LLANADA</t>
  </si>
  <si>
    <t>LAGUARDIA</t>
  </si>
  <si>
    <t>GORBEIALDEA</t>
  </si>
  <si>
    <t>AYALA</t>
  </si>
  <si>
    <t>AÑANA</t>
  </si>
  <si>
    <t>VOLUMINOSOS PaP domicilios</t>
  </si>
  <si>
    <t>VOLUMINOSOS municipales</t>
  </si>
  <si>
    <t>VOLUMINOSOS Municipal</t>
  </si>
  <si>
    <t>VOLUMINOSOS Los Huetos</t>
  </si>
  <si>
    <t>VOLUMINOSOS Gardelegi</t>
  </si>
  <si>
    <t>VOLUMINOSOS Garbigune</t>
  </si>
  <si>
    <t>VIDRIO PaP HORECA</t>
  </si>
  <si>
    <t>TEXTIL PVM</t>
  </si>
  <si>
    <t>TEXTIL PRIVADO</t>
  </si>
  <si>
    <t>TEXTIL garbigunes</t>
  </si>
  <si>
    <t>RESTO VERTIDOS INCONTROLADOS</t>
  </si>
  <si>
    <t>RESTO Privado</t>
  </si>
  <si>
    <t>RESTO privada</t>
  </si>
  <si>
    <t>RESTO PaP COMERCIAL</t>
  </si>
  <si>
    <t>RESTO neumática</t>
  </si>
  <si>
    <t>RESTO NEUMÁTICA</t>
  </si>
  <si>
    <t>RESTO LIMPIEZA VIARIA</t>
  </si>
  <si>
    <t>RESTO INSTALACIONES MUNICIPALES</t>
  </si>
  <si>
    <t>RESTO MERCADOS</t>
  </si>
  <si>
    <t xml:space="preserve">RESTO HOSPITALES </t>
  </si>
  <si>
    <t>RESTO esparcimiento</t>
  </si>
  <si>
    <t>RESTO CONTENEDOR ZONA RURAL</t>
  </si>
  <si>
    <t>RESTO CONTENEDOR VG</t>
  </si>
  <si>
    <t>RESTO contenedor</t>
  </si>
  <si>
    <t>RESIDUOS NO BIO PARQ Y JARD</t>
  </si>
  <si>
    <t>RESIDUOS DE LOS HOGARES</t>
  </si>
  <si>
    <t>REPASOS</t>
  </si>
  <si>
    <t>RECOGIDAS PRIVADAS</t>
  </si>
  <si>
    <t>RAEE PVM</t>
  </si>
  <si>
    <t>RAEE Privado</t>
  </si>
  <si>
    <t>RAEE Garbigune y PVM</t>
  </si>
  <si>
    <t>RAEE Garbigune</t>
  </si>
  <si>
    <t>PODA ZONA RURAL</t>
  </si>
  <si>
    <t>PODA Privada VERTIDO</t>
  </si>
  <si>
    <t>PODA PLR</t>
  </si>
  <si>
    <t>PODA Municipal VERTIDO</t>
  </si>
  <si>
    <t xml:space="preserve">PODA Municipal </t>
  </si>
  <si>
    <t>PODA municipal</t>
  </si>
  <si>
    <t>PODA Municipal</t>
  </si>
  <si>
    <t>PODA Garbigune</t>
  </si>
  <si>
    <t>PELIGROSOS SIGRE</t>
  </si>
  <si>
    <t>PELIGROSOS PVM</t>
  </si>
  <si>
    <t>PELIGROSOS Pilas PaP</t>
  </si>
  <si>
    <t>PELIGROSOS Los Huetos</t>
  </si>
  <si>
    <t>PELIGROSOS Gardelegi</t>
  </si>
  <si>
    <t>PELIGROSOS Garbigune</t>
  </si>
  <si>
    <t>PAPEL ZONA RURAL</t>
  </si>
  <si>
    <t>PAPEL VG</t>
  </si>
  <si>
    <t>PAPEL PaP comercial</t>
  </si>
  <si>
    <t>PAPEL Neumática</t>
  </si>
  <si>
    <t>PAPEL Municipal</t>
  </si>
  <si>
    <t>PAPEL Los Huetos</t>
  </si>
  <si>
    <t>PAPEL Gardelegi</t>
  </si>
  <si>
    <t>PAPEL Garbigune</t>
  </si>
  <si>
    <t>PAPEL garbigune</t>
  </si>
  <si>
    <t>PAPEL DFA</t>
  </si>
  <si>
    <t>PAPEL complementarias SAICA</t>
  </si>
  <si>
    <t>PAPEL complementarias</t>
  </si>
  <si>
    <t>OTROS RNP PVM</t>
  </si>
  <si>
    <t>OTROS RNP Los Huetos</t>
  </si>
  <si>
    <t>OTROS RNP Gardelegi</t>
  </si>
  <si>
    <t>OTROS RNP Garbigune</t>
  </si>
  <si>
    <t>MADERA Los Huetos</t>
  </si>
  <si>
    <t>MADERA Gardelegi</t>
  </si>
  <si>
    <t>MADERA Garbigune</t>
  </si>
  <si>
    <t>MADERA complementarias</t>
  </si>
  <si>
    <t>FORS PaP comercial</t>
  </si>
  <si>
    <t>FORS</t>
  </si>
  <si>
    <t>FOGO</t>
  </si>
  <si>
    <t>ENVASES ZONA RURAL</t>
  </si>
  <si>
    <t>ENVASES VG</t>
  </si>
  <si>
    <t>ENVASES PaP HORECA</t>
  </si>
  <si>
    <t>ENVASES neumática</t>
  </si>
  <si>
    <t>ENVASES esparcimiento</t>
  </si>
  <si>
    <t>ENVASES complementarias</t>
  </si>
  <si>
    <t>ACEITE VEG PVM</t>
  </si>
  <si>
    <t>ACEITE VEG municipal</t>
  </si>
  <si>
    <t>ACEITE VEG Municipal</t>
  </si>
  <si>
    <t>ACEITE VEG Los Huetos</t>
  </si>
  <si>
    <t>ACEITE VEG HORECA</t>
  </si>
  <si>
    <t>ACEITE VEG Gardelegi</t>
  </si>
  <si>
    <t>ACEITE VEG Garbigune</t>
  </si>
  <si>
    <t>KG</t>
  </si>
  <si>
    <t>RESIDUO</t>
  </si>
  <si>
    <t>CUADRILLA</t>
  </si>
  <si>
    <t>Fitosanitarios obsoletos</t>
  </si>
  <si>
    <t>Mezcla de hidrocarburos</t>
  </si>
  <si>
    <t>Termometros</t>
  </si>
  <si>
    <t>sigre</t>
  </si>
  <si>
    <t>Tinta de impresión</t>
  </si>
  <si>
    <t>Anticongelante-Líquido refrigerante</t>
  </si>
  <si>
    <t>Aerosoles</t>
  </si>
  <si>
    <t>Material absorbente contaminado</t>
  </si>
  <si>
    <t>Filtros de combustible y aceite</t>
  </si>
  <si>
    <t>Grasas y breas</t>
  </si>
  <si>
    <t>Bombillas-Fluorescentes</t>
  </si>
  <si>
    <t>Bombonas</t>
  </si>
  <si>
    <t>Fibrocemento</t>
  </si>
  <si>
    <t>Extintores</t>
  </si>
  <si>
    <t>Envases contaminados</t>
  </si>
  <si>
    <t>CD-DVD-VHS</t>
  </si>
  <si>
    <t>Productos químicos</t>
  </si>
  <si>
    <t>Tóner y cartuchos</t>
  </si>
  <si>
    <t>Aceite mineral</t>
  </si>
  <si>
    <t>Pinturas obsoletas</t>
  </si>
  <si>
    <t>tipo</t>
  </si>
  <si>
    <t>x</t>
  </si>
  <si>
    <t>TIPO DE R. URBANO</t>
  </si>
  <si>
    <t>Residuo doméstico</t>
  </si>
  <si>
    <t>Residuo comercial</t>
  </si>
  <si>
    <t>Residuo asimilable</t>
  </si>
  <si>
    <t>RCD de obra menor</t>
  </si>
  <si>
    <t>XX</t>
  </si>
  <si>
    <t>Entrada TMB 2020</t>
  </si>
  <si>
    <t>Salidas TMB (sin reciclables)</t>
  </si>
  <si>
    <t>RCD obra menor PLR</t>
  </si>
  <si>
    <t>RCD obra menor garbigune</t>
  </si>
  <si>
    <t>DATOS DFB</t>
  </si>
  <si>
    <t>Entradas pdtes. Tratamiento</t>
  </si>
  <si>
    <t>Pérdidas del proceso</t>
  </si>
  <si>
    <t>Total gestionado</t>
  </si>
  <si>
    <t>Chequeo bio  / Cocina-podas</t>
  </si>
  <si>
    <t>2020</t>
  </si>
  <si>
    <t>BIZKAIA 2020</t>
  </si>
  <si>
    <t>Total RU sin RCR</t>
  </si>
  <si>
    <t>Total con RCR</t>
  </si>
  <si>
    <t>Total sin RCR</t>
  </si>
  <si>
    <t>AÑO: 2021</t>
  </si>
  <si>
    <t>el total tiene que salir esto</t>
  </si>
  <si>
    <t>GIPUZKOA 2021</t>
  </si>
  <si>
    <t>Populazioa / Población 2021</t>
  </si>
  <si>
    <t>KAFE KAPSULAK / CÁPSULAS DE CAFÉ</t>
  </si>
  <si>
    <t>Edukiontzietan jasotako kafe kapsulak / Cápsulas de café recogidas en contenedor</t>
  </si>
  <si>
    <t>KAFE KAPSULAK GUZTIRA / TOTAL CÁPSULAS DE CAFÉ</t>
  </si>
  <si>
    <t>ARROPAREKIN JASOTAKO TRASTEAK / ENSERES RECOGIDOS CON LA ROPA</t>
  </si>
  <si>
    <t>Arropako edukiontzietan jasotako trasteak / Enseres recogidos en el contenedor de la ropa</t>
  </si>
  <si>
    <t>ARROPAREKIN JASOTAKO TRASTEAK GUZTIRA / TOTAL ENSERES RECOGIDOS CON LA ROPA</t>
  </si>
  <si>
    <t>GAIKAKO BILKETA HIRI HONDAKIN OSOAREKIKO (autokonpostajearekin) GUZTIRA / TOTAL RECOGIDA SELECTIVA FRENTE A RESIDUO URBANOS TOTAL (con autocompostaje)</t>
  </si>
  <si>
    <t>*ITURRIAK: Gipuzkoako Hondakinen Mankomunitateak eta GHK. Autokonpostajearen datuak estimazioa bat dira.    FUENTES: Datos de las Macomunidades de Residuos de Gipuzkoa y GHK. Los datos de autocompostaje son una estimación.</t>
  </si>
  <si>
    <t xml:space="preserve">% en peso </t>
  </si>
  <si>
    <t>BIZKAIA 2021</t>
  </si>
  <si>
    <t xml:space="preserve">RD </t>
  </si>
  <si>
    <t xml:space="preserve">Recogida en masa </t>
  </si>
  <si>
    <t xml:space="preserve">Biorresiduo </t>
  </si>
  <si>
    <t xml:space="preserve">Residuos construcción </t>
  </si>
  <si>
    <t xml:space="preserve">Recogida selectiva </t>
  </si>
  <si>
    <t xml:space="preserve">TOTAL R.D (Residuos domésticos) </t>
  </si>
  <si>
    <t xml:space="preserve">RC </t>
  </si>
  <si>
    <t xml:space="preserve">TOTAL R.C (Residuos comerciales) </t>
  </si>
  <si>
    <t xml:space="preserve">RU TOTAL </t>
  </si>
  <si>
    <t xml:space="preserve">TOTAL RECOGIDA EN MASA </t>
  </si>
  <si>
    <t xml:space="preserve">TOTAL RECOGIDA SELECTIVA </t>
  </si>
  <si>
    <t>TOTAL RESIDUOS URBANOS</t>
  </si>
  <si>
    <t>Habitantes(INE)</t>
  </si>
  <si>
    <t xml:space="preserve">Kg/hab/año </t>
  </si>
  <si>
    <t xml:space="preserve">﻿TRATAMIENTO RESIDUOS URBANOS (t) </t>
  </si>
  <si>
    <t xml:space="preserve">PREPARACIÓN PARA RECICLAJE/REUTILIZACION </t>
  </si>
  <si>
    <t xml:space="preserve">COMPOSTAJE </t>
  </si>
  <si>
    <t xml:space="preserve">VALORIZACION ENERGÉTICA </t>
  </si>
  <si>
    <t>ELIMINACIÓN PRE-TRATADO</t>
  </si>
  <si>
    <t>VERTIDO NO TRATADO</t>
  </si>
  <si>
    <t xml:space="preserve">Entradas pdtes. tratamiento </t>
  </si>
  <si>
    <t xml:space="preserve">Pérdidas del proceso </t>
  </si>
  <si>
    <t>Evolución destino y tratamientos de residuos (toneladas). Años 2015-2021</t>
  </si>
  <si>
    <t xml:space="preserve">﻿DESTINO RESIDUO URBANOS (t) </t>
  </si>
  <si>
    <t xml:space="preserve">Recogida selectiva para reciclaje </t>
  </si>
  <si>
    <t xml:space="preserve">Recogida Biorresiduos </t>
  </si>
  <si>
    <t xml:space="preserve">TMB </t>
  </si>
  <si>
    <t xml:space="preserve">Separación Selectiva </t>
  </si>
  <si>
    <t xml:space="preserve">Valorización energética </t>
  </si>
  <si>
    <t xml:space="preserve">Eliminación </t>
  </si>
  <si>
    <t>Entradas pdtes.tratamiento</t>
  </si>
  <si>
    <t xml:space="preserve">  </t>
  </si>
  <si>
    <r>
      <t xml:space="preserve"> </t>
    </r>
    <r>
      <rPr>
        <b/>
        <sz val="11"/>
        <color indexed="8"/>
        <rFont val="Calibri"/>
        <family val="2"/>
        <scheme val="minor"/>
      </rPr>
      <t xml:space="preserve">ARABA 2020 </t>
    </r>
    <r>
      <rPr>
        <sz val="11"/>
        <rFont val="Calibri"/>
        <family val="2"/>
        <scheme val="minor"/>
      </rPr>
      <t xml:space="preserve"> </t>
    </r>
  </si>
  <si>
    <r>
      <t xml:space="preserve"> </t>
    </r>
    <r>
      <rPr>
        <b/>
        <sz val="11"/>
        <color indexed="8"/>
        <rFont val="Calibri"/>
        <family val="2"/>
        <scheme val="minor"/>
      </rPr>
      <t xml:space="preserve">% en peso </t>
    </r>
    <r>
      <rPr>
        <sz val="11"/>
        <rFont val="Calibri"/>
        <family val="2"/>
        <scheme val="minor"/>
      </rPr>
      <t xml:space="preserve"> </t>
    </r>
  </si>
  <si>
    <r>
      <t xml:space="preserve"> </t>
    </r>
    <r>
      <rPr>
        <b/>
        <sz val="11"/>
        <color indexed="8"/>
        <rFont val="Calibri"/>
        <family val="2"/>
        <scheme val="minor"/>
      </rPr>
      <t xml:space="preserve">ARABA 2021 </t>
    </r>
    <r>
      <rPr>
        <sz val="11"/>
        <rFont val="Calibri"/>
        <family val="2"/>
        <scheme val="minor"/>
      </rPr>
      <t xml:space="preserve"> </t>
    </r>
  </si>
  <si>
    <r>
      <t xml:space="preserve"> </t>
    </r>
    <r>
      <rPr>
        <b/>
        <sz val="11"/>
        <color indexed="8"/>
        <rFont val="Calibri"/>
        <family val="2"/>
        <scheme val="minor"/>
      </rPr>
      <t xml:space="preserve">Variación </t>
    </r>
    <r>
      <rPr>
        <sz val="11"/>
        <rFont val="Calibri"/>
        <family val="2"/>
        <scheme val="minor"/>
      </rPr>
      <t xml:space="preserve"> </t>
    </r>
  </si>
  <si>
    <r>
      <t xml:space="preserve"> </t>
    </r>
    <r>
      <rPr>
        <sz val="11"/>
        <color indexed="8"/>
        <rFont val="Calibri"/>
        <family val="2"/>
        <scheme val="minor"/>
      </rPr>
      <t xml:space="preserve">ACEITE VEG </t>
    </r>
    <r>
      <rPr>
        <sz val="11"/>
        <rFont val="Calibri"/>
        <family val="2"/>
        <scheme val="minor"/>
      </rPr>
      <t xml:space="preserve"> </t>
    </r>
  </si>
  <si>
    <r>
      <t xml:space="preserve"> </t>
    </r>
    <r>
      <rPr>
        <sz val="11"/>
        <color indexed="8"/>
        <rFont val="Calibri"/>
        <family val="2"/>
        <scheme val="minor"/>
      </rPr>
      <t xml:space="preserve">ENVASES </t>
    </r>
    <r>
      <rPr>
        <sz val="11"/>
        <rFont val="Calibri"/>
        <family val="2"/>
        <scheme val="minor"/>
      </rPr>
      <t xml:space="preserve"> </t>
    </r>
  </si>
  <si>
    <r>
      <t xml:space="preserve"> </t>
    </r>
    <r>
      <rPr>
        <sz val="11"/>
        <color indexed="8"/>
        <rFont val="Calibri"/>
        <family val="2"/>
        <scheme val="minor"/>
      </rPr>
      <t xml:space="preserve">VOLUMINOSOS </t>
    </r>
    <r>
      <rPr>
        <sz val="11"/>
        <rFont val="Calibri"/>
        <family val="2"/>
        <scheme val="minor"/>
      </rPr>
      <t xml:space="preserve"> </t>
    </r>
  </si>
  <si>
    <r>
      <t xml:space="preserve"> </t>
    </r>
    <r>
      <rPr>
        <sz val="11"/>
        <color indexed="8"/>
        <rFont val="Calibri"/>
        <family val="2"/>
        <scheme val="minor"/>
      </rPr>
      <t xml:space="preserve">FORS </t>
    </r>
    <r>
      <rPr>
        <sz val="11"/>
        <rFont val="Calibri"/>
        <family val="2"/>
        <scheme val="minor"/>
      </rPr>
      <t xml:space="preserve"> </t>
    </r>
  </si>
  <si>
    <r>
      <t xml:space="preserve"> </t>
    </r>
    <r>
      <rPr>
        <sz val="11"/>
        <color indexed="8"/>
        <rFont val="Calibri"/>
        <family val="2"/>
        <scheme val="minor"/>
      </rPr>
      <t xml:space="preserve">FOGO </t>
    </r>
    <r>
      <rPr>
        <sz val="11"/>
        <rFont val="Calibri"/>
        <family val="2"/>
        <scheme val="minor"/>
      </rPr>
      <t xml:space="preserve"> </t>
    </r>
  </si>
  <si>
    <r>
      <t xml:space="preserve"> </t>
    </r>
    <r>
      <rPr>
        <sz val="11"/>
        <color indexed="8"/>
        <rFont val="Calibri"/>
        <family val="2"/>
        <scheme val="minor"/>
      </rPr>
      <t xml:space="preserve">PODA </t>
    </r>
    <r>
      <rPr>
        <sz val="11"/>
        <rFont val="Calibri"/>
        <family val="2"/>
        <scheme val="minor"/>
      </rPr>
      <t xml:space="preserve"> </t>
    </r>
  </si>
  <si>
    <r>
      <t xml:space="preserve"> </t>
    </r>
    <r>
      <rPr>
        <sz val="11"/>
        <color indexed="8"/>
        <rFont val="Calibri"/>
        <family val="2"/>
        <scheme val="minor"/>
      </rPr>
      <t xml:space="preserve">VIDRIO </t>
    </r>
    <r>
      <rPr>
        <sz val="11"/>
        <rFont val="Calibri"/>
        <family val="2"/>
        <scheme val="minor"/>
      </rPr>
      <t xml:space="preserve"> </t>
    </r>
  </si>
  <si>
    <r>
      <t xml:space="preserve"> </t>
    </r>
    <r>
      <rPr>
        <sz val="11"/>
        <color indexed="8"/>
        <rFont val="Calibri"/>
        <family val="2"/>
        <scheme val="minor"/>
      </rPr>
      <t xml:space="preserve">PAPEL </t>
    </r>
    <r>
      <rPr>
        <sz val="11"/>
        <rFont val="Calibri"/>
        <family val="2"/>
        <scheme val="minor"/>
      </rPr>
      <t xml:space="preserve"> </t>
    </r>
  </si>
  <si>
    <r>
      <t xml:space="preserve"> </t>
    </r>
    <r>
      <rPr>
        <sz val="11"/>
        <color indexed="8"/>
        <rFont val="Calibri"/>
        <family val="2"/>
        <scheme val="minor"/>
      </rPr>
      <t xml:space="preserve">TEXTIL </t>
    </r>
    <r>
      <rPr>
        <sz val="11"/>
        <rFont val="Calibri"/>
        <family val="2"/>
        <scheme val="minor"/>
      </rPr>
      <t xml:space="preserve"> </t>
    </r>
  </si>
  <si>
    <r>
      <t xml:space="preserve"> </t>
    </r>
    <r>
      <rPr>
        <sz val="11"/>
        <color indexed="8"/>
        <rFont val="Calibri"/>
        <family val="2"/>
        <scheme val="minor"/>
      </rPr>
      <t xml:space="preserve">RAEE </t>
    </r>
    <r>
      <rPr>
        <sz val="11"/>
        <rFont val="Calibri"/>
        <family val="2"/>
        <scheme val="minor"/>
      </rPr>
      <t xml:space="preserve"> </t>
    </r>
  </si>
  <si>
    <r>
      <t xml:space="preserve"> </t>
    </r>
    <r>
      <rPr>
        <sz val="11"/>
        <color indexed="8"/>
        <rFont val="Calibri"/>
        <family val="2"/>
        <scheme val="minor"/>
      </rPr>
      <t xml:space="preserve">MADERA </t>
    </r>
    <r>
      <rPr>
        <sz val="11"/>
        <rFont val="Calibri"/>
        <family val="2"/>
        <scheme val="minor"/>
      </rPr>
      <t xml:space="preserve"> </t>
    </r>
  </si>
  <si>
    <r>
      <t xml:space="preserve"> </t>
    </r>
    <r>
      <rPr>
        <sz val="11"/>
        <color indexed="8"/>
        <rFont val="Calibri"/>
        <family val="2"/>
        <scheme val="minor"/>
      </rPr>
      <t xml:space="preserve">OTROS RNP </t>
    </r>
    <r>
      <rPr>
        <sz val="11"/>
        <rFont val="Calibri"/>
        <family val="2"/>
        <scheme val="minor"/>
      </rPr>
      <t xml:space="preserve"> </t>
    </r>
  </si>
  <si>
    <r>
      <t xml:space="preserve"> </t>
    </r>
    <r>
      <rPr>
        <sz val="11"/>
        <color indexed="8"/>
        <rFont val="Calibri"/>
        <family val="2"/>
        <scheme val="minor"/>
      </rPr>
      <t xml:space="preserve">PELIGROSOS </t>
    </r>
    <r>
      <rPr>
        <sz val="11"/>
        <rFont val="Calibri"/>
        <family val="2"/>
        <scheme val="minor"/>
      </rPr>
      <t xml:space="preserve"> </t>
    </r>
  </si>
  <si>
    <r>
      <t xml:space="preserve"> </t>
    </r>
    <r>
      <rPr>
        <sz val="11"/>
        <color indexed="8"/>
        <rFont val="Calibri"/>
        <family val="2"/>
        <scheme val="minor"/>
      </rPr>
      <t xml:space="preserve">TOTAL </t>
    </r>
    <r>
      <rPr>
        <sz val="11"/>
        <rFont val="Calibri"/>
        <family val="2"/>
        <scheme val="minor"/>
      </rPr>
      <t xml:space="preserve"> </t>
    </r>
  </si>
  <si>
    <r>
      <t xml:space="preserve"> </t>
    </r>
    <r>
      <rPr>
        <sz val="11"/>
        <color indexed="8"/>
        <rFont val="Calibri"/>
        <family val="2"/>
        <scheme val="minor"/>
      </rPr>
      <t xml:space="preserve">Habitantes (INE) </t>
    </r>
    <r>
      <rPr>
        <sz val="11"/>
        <rFont val="Calibri"/>
        <family val="2"/>
        <scheme val="minor"/>
      </rPr>
      <t xml:space="preserve"> </t>
    </r>
  </si>
  <si>
    <r>
      <t xml:space="preserve"> </t>
    </r>
    <r>
      <rPr>
        <sz val="11"/>
        <color indexed="8"/>
        <rFont val="Calibri"/>
        <family val="2"/>
        <scheme val="minor"/>
      </rPr>
      <t xml:space="preserve">kg/hab/año </t>
    </r>
    <r>
      <rPr>
        <sz val="11"/>
        <rFont val="Calibri"/>
        <family val="2"/>
        <scheme val="minor"/>
      </rPr>
      <t xml:space="preserve"> </t>
    </r>
  </si>
  <si>
    <t>tonelada</t>
  </si>
  <si>
    <t>envases ligeros</t>
  </si>
  <si>
    <t>resto de miscelános</t>
  </si>
  <si>
    <r>
      <t xml:space="preserve"> </t>
    </r>
    <r>
      <rPr>
        <b/>
        <sz val="11"/>
        <color indexed="8"/>
        <rFont val="Calibri"/>
        <family val="2"/>
        <scheme val="minor"/>
      </rPr>
      <t xml:space="preserve">OTROS RNP </t>
    </r>
    <r>
      <rPr>
        <sz val="11"/>
        <rFont val="Calibri"/>
        <family val="2"/>
        <scheme val="minor"/>
      </rPr>
      <t xml:space="preserve"> </t>
    </r>
  </si>
  <si>
    <r>
      <t xml:space="preserve"> </t>
    </r>
    <r>
      <rPr>
        <b/>
        <sz val="11"/>
        <color indexed="8"/>
        <rFont val="Calibri"/>
        <family val="2"/>
        <scheme val="minor"/>
      </rPr>
      <t xml:space="preserve">kg </t>
    </r>
    <r>
      <rPr>
        <sz val="11"/>
        <rFont val="Calibri"/>
        <family val="2"/>
        <scheme val="minor"/>
      </rPr>
      <t xml:space="preserve"> </t>
    </r>
  </si>
  <si>
    <r>
      <t xml:space="preserve"> </t>
    </r>
    <r>
      <rPr>
        <sz val="12"/>
        <color indexed="8"/>
        <rFont val="Calibri"/>
        <family val="2"/>
        <scheme val="minor"/>
      </rPr>
      <t xml:space="preserve">Metal </t>
    </r>
    <r>
      <rPr>
        <sz val="11"/>
        <rFont val="Calibri"/>
        <family val="2"/>
        <scheme val="minor"/>
      </rPr>
      <t xml:space="preserve"> </t>
    </r>
  </si>
  <si>
    <r>
      <t xml:space="preserve"> </t>
    </r>
    <r>
      <rPr>
        <sz val="11"/>
        <color indexed="8"/>
        <rFont val="Calibri"/>
        <family val="2"/>
        <scheme val="minor"/>
      </rPr>
      <t xml:space="preserve">543.860 </t>
    </r>
    <r>
      <rPr>
        <sz val="11"/>
        <rFont val="Calibri"/>
        <family val="2"/>
        <scheme val="minor"/>
      </rPr>
      <t xml:space="preserve"> </t>
    </r>
  </si>
  <si>
    <r>
      <t xml:space="preserve"> </t>
    </r>
    <r>
      <rPr>
        <sz val="12"/>
        <color indexed="8"/>
        <rFont val="Calibri"/>
        <family val="2"/>
        <scheme val="minor"/>
      </rPr>
      <t xml:space="preserve">Plásticos </t>
    </r>
    <r>
      <rPr>
        <sz val="11"/>
        <rFont val="Calibri"/>
        <family val="2"/>
        <scheme val="minor"/>
      </rPr>
      <t xml:space="preserve"> </t>
    </r>
  </si>
  <si>
    <r>
      <t xml:space="preserve"> </t>
    </r>
    <r>
      <rPr>
        <sz val="11"/>
        <color indexed="8"/>
        <rFont val="Calibri"/>
        <family val="2"/>
        <scheme val="minor"/>
      </rPr>
      <t xml:space="preserve">245.911 </t>
    </r>
    <r>
      <rPr>
        <sz val="11"/>
        <rFont val="Calibri"/>
        <family val="2"/>
        <scheme val="minor"/>
      </rPr>
      <t xml:space="preserve"> </t>
    </r>
  </si>
  <si>
    <r>
      <t xml:space="preserve"> </t>
    </r>
    <r>
      <rPr>
        <sz val="12"/>
        <color indexed="8"/>
        <rFont val="Calibri"/>
        <family val="2"/>
        <scheme val="minor"/>
      </rPr>
      <t xml:space="preserve">Vidrio plano </t>
    </r>
    <r>
      <rPr>
        <sz val="11"/>
        <rFont val="Calibri"/>
        <family val="2"/>
        <scheme val="minor"/>
      </rPr>
      <t xml:space="preserve"> </t>
    </r>
  </si>
  <si>
    <r>
      <t xml:space="preserve"> </t>
    </r>
    <r>
      <rPr>
        <sz val="11"/>
        <color indexed="8"/>
        <rFont val="Calibri"/>
        <family val="2"/>
        <scheme val="minor"/>
      </rPr>
      <t xml:space="preserve">111.235 </t>
    </r>
    <r>
      <rPr>
        <sz val="11"/>
        <rFont val="Calibri"/>
        <family val="2"/>
        <scheme val="minor"/>
      </rPr>
      <t xml:space="preserve"> </t>
    </r>
  </si>
  <si>
    <r>
      <t xml:space="preserve"> </t>
    </r>
    <r>
      <rPr>
        <sz val="12"/>
        <color indexed="8"/>
        <rFont val="Calibri"/>
        <family val="2"/>
        <scheme val="minor"/>
      </rPr>
      <t xml:space="preserve">NFU </t>
    </r>
    <r>
      <rPr>
        <sz val="11"/>
        <rFont val="Calibri"/>
        <family val="2"/>
        <scheme val="minor"/>
      </rPr>
      <t xml:space="preserve"> </t>
    </r>
  </si>
  <si>
    <r>
      <t xml:space="preserve"> </t>
    </r>
    <r>
      <rPr>
        <sz val="11"/>
        <color indexed="8"/>
        <rFont val="Calibri"/>
        <family val="2"/>
        <scheme val="minor"/>
      </rPr>
      <t xml:space="preserve">70.640 </t>
    </r>
    <r>
      <rPr>
        <sz val="11"/>
        <rFont val="Calibri"/>
        <family val="2"/>
        <scheme val="minor"/>
      </rPr>
      <t xml:space="preserve"> </t>
    </r>
  </si>
  <si>
    <r>
      <t xml:space="preserve"> </t>
    </r>
    <r>
      <rPr>
        <sz val="12"/>
        <color indexed="8"/>
        <rFont val="Calibri"/>
        <family val="2"/>
        <scheme val="minor"/>
      </rPr>
      <t xml:space="preserve">Tóner y cartuchos </t>
    </r>
    <r>
      <rPr>
        <sz val="11"/>
        <rFont val="Calibri"/>
        <family val="2"/>
        <scheme val="minor"/>
      </rPr>
      <t xml:space="preserve"> </t>
    </r>
  </si>
  <si>
    <r>
      <t xml:space="preserve"> </t>
    </r>
    <r>
      <rPr>
        <sz val="11"/>
        <color indexed="8"/>
        <rFont val="Calibri"/>
        <family val="2"/>
        <scheme val="minor"/>
      </rPr>
      <t xml:space="preserve">6.835 </t>
    </r>
    <r>
      <rPr>
        <sz val="11"/>
        <rFont val="Calibri"/>
        <family val="2"/>
        <scheme val="minor"/>
      </rPr>
      <t xml:space="preserve"> </t>
    </r>
  </si>
  <si>
    <r>
      <t xml:space="preserve"> </t>
    </r>
    <r>
      <rPr>
        <sz val="12"/>
        <color indexed="8"/>
        <rFont val="Calibri"/>
        <family val="2"/>
        <scheme val="minor"/>
      </rPr>
      <t>CD-DVD-VHS</t>
    </r>
    <r>
      <rPr>
        <sz val="11"/>
        <rFont val="Calibri"/>
        <family val="2"/>
        <scheme val="minor"/>
      </rPr>
      <t xml:space="preserve"> </t>
    </r>
  </si>
  <si>
    <r>
      <t xml:space="preserve"> </t>
    </r>
    <r>
      <rPr>
        <sz val="11"/>
        <color indexed="8"/>
        <rFont val="Calibri"/>
        <family val="2"/>
        <scheme val="minor"/>
      </rPr>
      <t xml:space="preserve">2.300 </t>
    </r>
    <r>
      <rPr>
        <sz val="11"/>
        <rFont val="Calibri"/>
        <family val="2"/>
        <scheme val="minor"/>
      </rPr>
      <t xml:space="preserve"> </t>
    </r>
  </si>
  <si>
    <r>
      <t xml:space="preserve"> </t>
    </r>
    <r>
      <rPr>
        <sz val="12"/>
        <color indexed="8"/>
        <rFont val="Calibri"/>
        <family val="2"/>
        <scheme val="minor"/>
      </rPr>
      <t xml:space="preserve">Extintores </t>
    </r>
    <r>
      <rPr>
        <sz val="11"/>
        <rFont val="Calibri"/>
        <family val="2"/>
        <scheme val="minor"/>
      </rPr>
      <t xml:space="preserve"> </t>
    </r>
  </si>
  <si>
    <r>
      <t xml:space="preserve"> </t>
    </r>
    <r>
      <rPr>
        <sz val="11"/>
        <color indexed="8"/>
        <rFont val="Calibri"/>
        <family val="2"/>
        <scheme val="minor"/>
      </rPr>
      <t xml:space="preserve">1.597 </t>
    </r>
    <r>
      <rPr>
        <sz val="11"/>
        <rFont val="Calibri"/>
        <family val="2"/>
        <scheme val="minor"/>
      </rPr>
      <t xml:space="preserve"> </t>
    </r>
  </si>
  <si>
    <r>
      <t xml:space="preserve"> </t>
    </r>
    <r>
      <rPr>
        <sz val="12"/>
        <color indexed="8"/>
        <rFont val="Calibri"/>
        <family val="2"/>
        <scheme val="minor"/>
      </rPr>
      <t xml:space="preserve">Bombonas </t>
    </r>
    <r>
      <rPr>
        <sz val="11"/>
        <rFont val="Calibri"/>
        <family val="2"/>
        <scheme val="minor"/>
      </rPr>
      <t xml:space="preserve"> </t>
    </r>
  </si>
  <si>
    <r>
      <t xml:space="preserve"> </t>
    </r>
    <r>
      <rPr>
        <sz val="11"/>
        <color indexed="8"/>
        <rFont val="Calibri"/>
        <family val="2"/>
        <scheme val="minor"/>
      </rPr>
      <t xml:space="preserve">1.273 </t>
    </r>
    <r>
      <rPr>
        <sz val="11"/>
        <rFont val="Calibri"/>
        <family val="2"/>
        <scheme val="minor"/>
      </rPr>
      <t xml:space="preserve"> </t>
    </r>
  </si>
  <si>
    <r>
      <t xml:space="preserve"> </t>
    </r>
    <r>
      <rPr>
        <sz val="12"/>
        <color indexed="8"/>
        <rFont val="Calibri"/>
        <family val="2"/>
        <scheme val="minor"/>
      </rPr>
      <t xml:space="preserve">Otros </t>
    </r>
    <r>
      <rPr>
        <sz val="11"/>
        <rFont val="Calibri"/>
        <family val="2"/>
        <scheme val="minor"/>
      </rPr>
      <t xml:space="preserve"> </t>
    </r>
  </si>
  <si>
    <r>
      <t xml:space="preserve"> </t>
    </r>
    <r>
      <rPr>
        <sz val="11"/>
        <color indexed="8"/>
        <rFont val="Calibri"/>
        <family val="2"/>
        <scheme val="minor"/>
      </rPr>
      <t xml:space="preserve">8.945 </t>
    </r>
    <r>
      <rPr>
        <sz val="11"/>
        <rFont val="Calibri"/>
        <family val="2"/>
        <scheme val="minor"/>
      </rPr>
      <t xml:space="preserve"> </t>
    </r>
  </si>
  <si>
    <r>
      <t xml:space="preserve"> </t>
    </r>
    <r>
      <rPr>
        <b/>
        <sz val="11"/>
        <color indexed="8"/>
        <rFont val="Calibri"/>
        <family val="2"/>
        <scheme val="minor"/>
      </rPr>
      <t xml:space="preserve">TOTAL </t>
    </r>
    <r>
      <rPr>
        <sz val="11"/>
        <rFont val="Calibri"/>
        <family val="2"/>
        <scheme val="minor"/>
      </rPr>
      <t xml:space="preserve"> </t>
    </r>
  </si>
  <si>
    <r>
      <t xml:space="preserve"> </t>
    </r>
    <r>
      <rPr>
        <b/>
        <sz val="11"/>
        <color indexed="8"/>
        <rFont val="Calibri"/>
        <family val="2"/>
        <scheme val="minor"/>
      </rPr>
      <t xml:space="preserve">992.596 </t>
    </r>
    <r>
      <rPr>
        <sz val="11"/>
        <rFont val="Calibri"/>
        <family val="2"/>
        <scheme val="minor"/>
      </rPr>
      <t xml:space="preserve"> </t>
    </r>
  </si>
  <si>
    <t xml:space="preserve">﻿PELIGROSOS </t>
  </si>
  <si>
    <t xml:space="preserve">Pinturas y barnices </t>
  </si>
  <si>
    <t xml:space="preserve">Aceite mineral </t>
  </si>
  <si>
    <t xml:space="preserve">SIGRE </t>
  </si>
  <si>
    <t xml:space="preserve">Baterías </t>
  </si>
  <si>
    <t xml:space="preserve">Complementarias </t>
  </si>
  <si>
    <t xml:space="preserve">Productos químicos </t>
  </si>
  <si>
    <t xml:space="preserve">Envases contaminados </t>
  </si>
  <si>
    <t xml:space="preserve">Fibrocemento </t>
  </si>
  <si>
    <t xml:space="preserve">Material absorbente </t>
  </si>
  <si>
    <t xml:space="preserve">Aerosoles </t>
  </si>
  <si>
    <t xml:space="preserve">Radiografías </t>
  </si>
  <si>
    <t xml:space="preserve">Grasas y breas </t>
  </si>
  <si>
    <t xml:space="preserve">Tinta de impresión </t>
  </si>
  <si>
    <t>FOGO comunitario</t>
  </si>
  <si>
    <t>FOGO doméstico</t>
  </si>
  <si>
    <t>RAEE Privada</t>
  </si>
  <si>
    <t>FORS privada</t>
  </si>
  <si>
    <t>RESTO privado VERTIDO</t>
  </si>
  <si>
    <t>DATOS EXTRAÍDOS DEL INFORME DE LA  DFA</t>
  </si>
  <si>
    <t>PAPEL neumática</t>
  </si>
  <si>
    <t>PAPEL PaP comercial DFA</t>
  </si>
  <si>
    <t>PAPEL PaP comercial cuadrilla</t>
  </si>
  <si>
    <t>VOLUMINOSOS PL Labastida</t>
  </si>
  <si>
    <t>VOLUMINOSOS municipal</t>
  </si>
  <si>
    <t>PODA (sin pesaje)</t>
  </si>
  <si>
    <t>RAEE Cuadrilla</t>
  </si>
  <si>
    <t>RIOJA ALAVESA (LAGUARDIA)</t>
  </si>
  <si>
    <t>residuos peligrosos</t>
  </si>
  <si>
    <t>Otros RNP</t>
  </si>
  <si>
    <t>Compostaje doméstico</t>
  </si>
  <si>
    <t>﻿VITORIA-GASTEIZ</t>
  </si>
  <si>
    <t xml:space="preserve">Año 2020 </t>
  </si>
  <si>
    <t xml:space="preserve">Año 2021 </t>
  </si>
  <si>
    <t xml:space="preserve">Variación </t>
  </si>
  <si>
    <t xml:space="preserve">ACEITE VEG </t>
  </si>
  <si>
    <t xml:space="preserve">FORS </t>
  </si>
  <si>
    <t xml:space="preserve">FOGO </t>
  </si>
  <si>
    <t xml:space="preserve">MADERA </t>
  </si>
  <si>
    <t xml:space="preserve">Habitantes (INE) </t>
  </si>
  <si>
    <t>Los datos en rojo son estimación según el reparto que se hizo en 2020</t>
  </si>
  <si>
    <t>Los datos en negro son extraídos del informe del DFB</t>
  </si>
  <si>
    <t>Datos del informe de la DFB</t>
  </si>
  <si>
    <t>DATOS DFB 2020</t>
  </si>
  <si>
    <t>DATOS DFB 2021</t>
  </si>
  <si>
    <t>DATOS TMB 2021</t>
  </si>
  <si>
    <t>DATOS 2021</t>
  </si>
  <si>
    <t>TMB 2021</t>
  </si>
  <si>
    <t>Datos 2021</t>
  </si>
  <si>
    <t>Entrada TMB 2021</t>
  </si>
  <si>
    <t>Total resto (t)</t>
  </si>
  <si>
    <t>Total entradas TMB (t)</t>
  </si>
  <si>
    <t>Total salidas TMB (t)</t>
  </si>
  <si>
    <t>2021</t>
  </si>
  <si>
    <t>2022</t>
  </si>
  <si>
    <t>Total PVE</t>
  </si>
  <si>
    <t>CAE</t>
  </si>
  <si>
    <t>Europako Hondakinen Kalatogoa (EHZ), Europako Komisioak egindakoa, hondakinak definitzeko eta sailkatzeko tresna oso garrantzitsu bat da.</t>
  </si>
  <si>
    <t>Hondakin arriskutsuak izartxoarekin erakusten dira (*)</t>
  </si>
  <si>
    <r>
      <t>Unitateak:</t>
    </r>
    <r>
      <rPr>
        <sz val="9"/>
        <rFont val="Arial"/>
        <family val="2"/>
      </rPr>
      <t xml:space="preserve"> tonak(t) eta ehunekoak(%)</t>
    </r>
  </si>
  <si>
    <t>Hondakin multzoa / tratamendu-lana</t>
  </si>
  <si>
    <t>Sortutakoa
(t)</t>
  </si>
  <si>
    <t>Gaika jasotakoa
(t)</t>
  </si>
  <si>
    <t>Berrerabilpenerako prestatutakoa
(t)</t>
  </si>
  <si>
    <t>Berrerabilpenerako prestatutakoa
(%)</t>
  </si>
  <si>
    <t>Birziklatzea
(t)</t>
  </si>
  <si>
    <t>Birziklatzea
(%)</t>
  </si>
  <si>
    <t>Konpostajea
(t)</t>
  </si>
  <si>
    <t>Konpostajea
(%)</t>
  </si>
  <si>
    <t>Deuseztapena
(t)</t>
  </si>
  <si>
    <t>Deuseztapena
(%)</t>
  </si>
  <si>
    <t>Sortutako ura eta biogasa
(t)</t>
  </si>
  <si>
    <t>Sortutako ura eta biogasa
(%)</t>
  </si>
  <si>
    <t>Parke eta lorategien zaintzean inausitakoak</t>
  </si>
  <si>
    <t>Sukaldeetako eta jatetxeetako hondakin biodegradagarriak</t>
  </si>
  <si>
    <t>Papera eta kartoioa</t>
  </si>
  <si>
    <t>Beira</t>
  </si>
  <si>
    <t>Ontzi arinak</t>
  </si>
  <si>
    <t>Ontziak ez diren plastikoak</t>
  </si>
  <si>
    <t>Ontziak ez diren metalak</t>
  </si>
  <si>
    <t>Pilak eta bateriak</t>
  </si>
  <si>
    <t>Fluoreszenteak</t>
  </si>
  <si>
    <t>Beste hondakin arriskutsu batzuk</t>
  </si>
  <si>
    <t>Oihalak</t>
  </si>
  <si>
    <t>Egurra</t>
  </si>
  <si>
    <t>Sukaldeko olioak</t>
  </si>
  <si>
    <t>Medikamentuak</t>
  </si>
  <si>
    <t>Erradiografiak</t>
  </si>
  <si>
    <t>Beste nahasketa batzuk</t>
  </si>
  <si>
    <t>Tresna elektriko eta elektronikoak: TEEHak</t>
  </si>
  <si>
    <t>Tamaina handiko hondakinak</t>
  </si>
  <si>
    <t>Eraikuntzako eta konponketa lanetako hondakinak: RCRak</t>
  </si>
  <si>
    <t>Beste batzuk</t>
  </si>
  <si>
    <t>(1) Kontuan hartu behar da taula honetako datuek hondakinen azken kudeaketa jasotzen dutela. Beraz, datu hauek ez datoz bat hiri-hondakinen bilketa (bai gaika, bai masan) datuekin, zeren eta bertan hondakinen lehen erabilera jasotzen baita; hau da, ez dute kontutan hartzen HHen kudeatzaileek masan bildutako hondakinen zati bat aprobetxatu dezaketela eta gaika bildutakoen zati bat deuseztaketa edo balio energetikora bidali dezaketela.</t>
  </si>
  <si>
    <t>Euskal Autonomia Erkidegoa</t>
  </si>
  <si>
    <r>
      <t xml:space="preserve">Unitateak: </t>
    </r>
    <r>
      <rPr>
        <sz val="9"/>
        <rFont val="Arial"/>
        <family val="2"/>
      </rPr>
      <t>tonak</t>
    </r>
  </si>
  <si>
    <t>(:) Ez dago daturik</t>
  </si>
  <si>
    <r>
      <rPr>
        <b/>
        <sz val="9"/>
        <rFont val="Segoe UI"/>
        <family val="2"/>
      </rPr>
      <t xml:space="preserve">(1) EH: </t>
    </r>
    <r>
      <rPr>
        <sz val="9"/>
        <rFont val="Segoe UI"/>
        <family val="2"/>
      </rPr>
      <t>Etxeko Hondakinak. EH=EBH+ZIHB.  (EBH: Etxebizitzetako Hondakinak) (ZIHB: Zerbitzu eta Industrietako hondakin baliokideak)</t>
    </r>
  </si>
  <si>
    <r>
      <rPr>
        <b/>
        <sz val="9"/>
        <rFont val="Segoe UI"/>
        <family val="2"/>
      </rPr>
      <t>(2) MH:</t>
    </r>
    <r>
      <rPr>
        <sz val="9"/>
        <rFont val="Segoe UI"/>
        <family val="2"/>
      </rPr>
      <t xml:space="preserve"> Merkataritzako Hondakinak.</t>
    </r>
  </si>
  <si>
    <t>Jatorria eta bilketa mota / Urtea</t>
  </si>
  <si>
    <t>Hiri-hondakinak(HH)=EH(1)+MH(2)</t>
  </si>
  <si>
    <t>Etxeko Hondakinak (EH)</t>
  </si>
  <si>
    <t>EH Masan</t>
  </si>
  <si>
    <t>EH Gaika</t>
  </si>
  <si>
    <t>Merkataritzako Hondakinak (MH)</t>
  </si>
  <si>
    <t>MH Masan</t>
  </si>
  <si>
    <t>MH Gaika</t>
  </si>
  <si>
    <r>
      <rPr>
        <b/>
        <sz val="9"/>
        <rFont val="Segoe UI"/>
        <family val="2"/>
      </rPr>
      <t>(1) EH:</t>
    </r>
    <r>
      <rPr>
        <sz val="9"/>
        <rFont val="Segoe UI"/>
        <family val="2"/>
      </rPr>
      <t xml:space="preserve"> Etxeko Hondakinak. EH=EBH+ZIHB.  (EBH: Etxebizitzetako Hondakinak) (ZIHB: Zerbitzu eta Industrietako hondakin baliokideak)</t>
    </r>
  </si>
  <si>
    <r>
      <rPr>
        <b/>
        <sz val="9"/>
        <rFont val="Segoe UI"/>
        <family val="2"/>
      </rPr>
      <t>(*) Hiri-hondakinak(HH):</t>
    </r>
    <r>
      <rPr>
        <sz val="9"/>
        <rFont val="Segoe UI"/>
        <family val="2"/>
      </rPr>
      <t xml:space="preserve"> Etxeko eta Merkataritzako hondakinak. HH=EH+MH.</t>
    </r>
  </si>
  <si>
    <r>
      <t xml:space="preserve">Unitateak: </t>
    </r>
    <r>
      <rPr>
        <sz val="9"/>
        <rFont val="Arial"/>
        <family val="2"/>
      </rPr>
      <t>Kilogramo/biztanle</t>
    </r>
  </si>
  <si>
    <t>Urtea / Lurralde Historikoa</t>
  </si>
  <si>
    <t>EAE</t>
  </si>
  <si>
    <r>
      <rPr>
        <b/>
        <u/>
        <sz val="9"/>
        <rFont val="Segoe UI"/>
        <family val="2"/>
      </rPr>
      <t xml:space="preserve">Iturria: </t>
    </r>
    <r>
      <rPr>
        <sz val="9"/>
        <rFont val="Segoe UI"/>
        <family val="2"/>
      </rPr>
      <t>EUSTAT.  Biztanleen udal estatistika</t>
    </r>
  </si>
  <si>
    <t>Lurralde historikoa / Urtea</t>
  </si>
  <si>
    <t>Hiri-hondakinak (HH=EH+MH)(3)</t>
  </si>
  <si>
    <t>Bilketa mota</t>
  </si>
  <si>
    <t>URTE</t>
  </si>
  <si>
    <t>HH=EH+MH</t>
  </si>
  <si>
    <t xml:space="preserve">Bildutako HH guztira </t>
  </si>
  <si>
    <t>HH</t>
  </si>
  <si>
    <t>HH. Masan bildutako guztia.</t>
  </si>
  <si>
    <t>HH. Gaika bildutako guztia.</t>
  </si>
  <si>
    <t>URTEA</t>
  </si>
  <si>
    <t>Etxeko Hondakinak (EH=EBH+ZIHB)(1)</t>
  </si>
  <si>
    <t>Etxeko Hondakinak: Etxebizitzetako Hondakinak (EBH)(1.1)</t>
  </si>
  <si>
    <t>EHZ</t>
  </si>
  <si>
    <t>EBH</t>
  </si>
  <si>
    <t>Hondakin mota</t>
  </si>
  <si>
    <t>Masan bildutako EBH guztiak</t>
  </si>
  <si>
    <t>Udaletako hondakin nahastuak</t>
  </si>
  <si>
    <t>Gaika bildutako EBH guztiak</t>
  </si>
  <si>
    <t>Biohondakinak</t>
  </si>
  <si>
    <t>Parke eta lorategiak zaintzean inausitakoak</t>
  </si>
  <si>
    <t>Etxebizitzetako hondakin arriskutsuak</t>
  </si>
  <si>
    <t>Pila arriskutsuak</t>
  </si>
  <si>
    <t>Pintura, tinta, itsasgarria eta erretxina arriskutsuak</t>
  </si>
  <si>
    <t>Bestelako olioak eta koipeak (karterrekoak, etab.)</t>
  </si>
  <si>
    <t>Bateriak eta metagailuak</t>
  </si>
  <si>
    <t>Merkuriozko termometroak</t>
  </si>
  <si>
    <t>Gainerako hondakin arriskutsuak</t>
  </si>
  <si>
    <t>Nahasketak</t>
  </si>
  <si>
    <t>Pila ez arriskutsuak</t>
  </si>
  <si>
    <t>Sukaldeetako olioak</t>
  </si>
  <si>
    <t>Bideoko eta kasetteko zintak</t>
  </si>
  <si>
    <t>Jostailuak</t>
  </si>
  <si>
    <t>Erabilgarriak ez diren pneumatikoak</t>
  </si>
  <si>
    <t>Liburuak</t>
  </si>
  <si>
    <t>Tonerreko kartutxoak</t>
  </si>
  <si>
    <t>CDak y DVDak</t>
  </si>
  <si>
    <t xml:space="preserve">Linea zuriko etxetresna elektrikoak </t>
  </si>
  <si>
    <t xml:space="preserve">Linea marroiko etxetresna elektrikoak </t>
  </si>
  <si>
    <t xml:space="preserve">Linea griseko etxetresna elektrikoak </t>
  </si>
  <si>
    <t>Zehaztu gabeko beste etxetresna elektriko eta elektroniko batzuk (TEEHak)</t>
  </si>
  <si>
    <t>Tamaina handiko beste batzuk</t>
  </si>
  <si>
    <t>Etxebizitzetako eraikuntzako eta konponketa lanetako hondakinak. (RCRak)</t>
  </si>
  <si>
    <t>Garbiguneetan bildutakoa</t>
  </si>
  <si>
    <t>Edukiontzietan bildutakoa</t>
  </si>
  <si>
    <t>Etxebizitzetako Hondakinak (EBH). Bildutako guztia.</t>
  </si>
  <si>
    <t>Etxeko Hondakinak (EH)(1)</t>
  </si>
  <si>
    <t>Etxeko Hondakinak: Zerbitzu eta Industrietako hondakin baliokideak (ZIHB)(1.2)</t>
  </si>
  <si>
    <t>ZIHB</t>
  </si>
  <si>
    <t>Masan bildutako ZIHB guztiak</t>
  </si>
  <si>
    <t>Bideak, hondartzak... garbitzearen ondoriozko hondakinak;  hildako animaliak.</t>
  </si>
  <si>
    <t>Gaika bildutako ZIHB guztiak</t>
  </si>
  <si>
    <t>Industrialdeetan bildutakoak</t>
  </si>
  <si>
    <t>Papera eta kartoia</t>
  </si>
  <si>
    <t>Zura</t>
  </si>
  <si>
    <t>Utzitako ibilgailuak</t>
  </si>
  <si>
    <t>Eraikuntzako eta konponketa lanetako hondakinak, etxebizitzetakoak izan ezik. (RCRk)</t>
  </si>
  <si>
    <t>Zerbitzu eta Industrietako hondakin baliokideak (ZIHB). Bildutako guztia.</t>
  </si>
  <si>
    <t>EH</t>
  </si>
  <si>
    <t>Etxeko Hondakinak (EH= EBH+ZIHB). Bildutako guztia.</t>
  </si>
  <si>
    <t xml:space="preserve">Merkataritzako Hondakinak (MH)(2) </t>
  </si>
  <si>
    <t>MH</t>
  </si>
  <si>
    <t>Masan bildutako MH guztiak</t>
  </si>
  <si>
    <t>Gaika bildutako MH guztiak</t>
  </si>
  <si>
    <t>Hondakin arriskutsuak</t>
  </si>
  <si>
    <t>Zehaztu gabeko beste tresna elektriko eta elektroniko batzuk (TEEHak)</t>
  </si>
  <si>
    <t>Merkataritzako Hondakinak (MH). Bildutako guztia.</t>
  </si>
  <si>
    <t>(4) Taula honetan jasotzen diren datuak bai masan, bai gaika bildutako Etxeko Hondakinei eta Merkataritzako Hondakinei dagozkie. Hori dela eta masan bildutako kantitateak ez datoz bat 1.1 Taulan agertzen diren azkenengo tratamenduekin, Balio Energetikoarekin eta Deuseztapenarekin, hain zuzen. Era berean, gaika bildutako kantitateak ez datoz bat 1.1 Taulan islatzen diren Birziklapen eta Konpostaje tratamenduekin.</t>
  </si>
  <si>
    <t>Hondakin arriskutsuak (*) batekin zehazten dira.</t>
  </si>
  <si>
    <r>
      <rPr>
        <b/>
        <sz val="9"/>
        <rFont val="Segoe UI"/>
        <family val="2"/>
      </rPr>
      <t xml:space="preserve">(1) EH: </t>
    </r>
    <r>
      <rPr>
        <sz val="9"/>
        <rFont val="Segoe UI"/>
        <family val="2"/>
      </rPr>
      <t>Etxeko Hondakinak. EH=EBH+ZIHB.</t>
    </r>
  </si>
  <si>
    <r>
      <rPr>
        <b/>
        <sz val="9"/>
        <rFont val="Segoe UI"/>
        <family val="2"/>
      </rPr>
      <t>(1.1) EBH:</t>
    </r>
    <r>
      <rPr>
        <sz val="9"/>
        <rFont val="Segoe UI"/>
        <family val="2"/>
      </rPr>
      <t xml:space="preserve"> Etxebizitzetako Hondakinak.</t>
    </r>
  </si>
  <si>
    <r>
      <rPr>
        <b/>
        <sz val="9"/>
        <rFont val="Segoe UI"/>
        <family val="2"/>
      </rPr>
      <t>(1.2) ZIHB</t>
    </r>
    <r>
      <rPr>
        <sz val="9"/>
        <rFont val="Segoe UI"/>
        <family val="2"/>
      </rPr>
      <t>: Zerbitzu eta Industrietako hondakin baliokideak.</t>
    </r>
  </si>
  <si>
    <r>
      <rPr>
        <b/>
        <sz val="9"/>
        <rFont val="Segoe UI"/>
        <family val="2"/>
      </rPr>
      <t>(2) HH:</t>
    </r>
    <r>
      <rPr>
        <sz val="9"/>
        <rFont val="Segoe UI"/>
        <family val="2"/>
      </rPr>
      <t xml:space="preserve">  Merkataritzako Hondakinak.</t>
    </r>
  </si>
  <si>
    <r>
      <rPr>
        <b/>
        <sz val="9"/>
        <rFont val="Segoe UI"/>
        <family val="2"/>
      </rPr>
      <t>(3) Hiri Hondakinak=</t>
    </r>
    <r>
      <rPr>
        <sz val="9"/>
        <rFont val="Segoe UI"/>
        <family val="2"/>
      </rPr>
      <t>Etxeko Hondakinak+merkataritzako Hondakinak. HH=EH+MH.</t>
    </r>
  </si>
  <si>
    <r>
      <t>Unitateak: Tonak</t>
    </r>
    <r>
      <rPr>
        <sz val="9"/>
        <rFont val="Arial"/>
        <family val="2"/>
      </rPr>
      <t>/biztanle</t>
    </r>
  </si>
  <si>
    <r>
      <rPr>
        <b/>
        <u/>
        <sz val="9"/>
        <rFont val="Segoe UI"/>
        <family val="2"/>
      </rPr>
      <t>Iturria:</t>
    </r>
    <r>
      <rPr>
        <sz val="9"/>
        <rFont val="Segoe UI"/>
        <family val="2"/>
      </rPr>
      <t xml:space="preserve"> Eusko Jaurlaritza.  Industria, Trantsizio Energetiko eta Jasangarritasun Saila. Euskal Autonomia Erkidegoko Hiri hondakinen estatistika.</t>
    </r>
  </si>
  <si>
    <t>Hondakin guztiak RCDekin (t)</t>
  </si>
  <si>
    <t>Hondakin guztiak   (RCD gabe)</t>
  </si>
  <si>
    <t>Balorizazio energetikoa
(t)</t>
  </si>
  <si>
    <t>Biltegiratzea
(t)</t>
  </si>
  <si>
    <t>Balorizazio material eta energetikoa
(t)</t>
  </si>
  <si>
    <t>Berrerabilpenerako prestatutakoa (birziklatze, konpostajea)
(t)</t>
  </si>
  <si>
    <t>Zuzeneko deuseztapena
(t)</t>
  </si>
  <si>
    <t>Gaika jasotakoa
(%</t>
  </si>
  <si>
    <t>Balorizazio energetikoa
(%)</t>
  </si>
  <si>
    <t>Biltegiratzea
(%)</t>
  </si>
  <si>
    <t>Berrerabilpenerako prestatutakoa (birziklatze, konpostajea)
(%)</t>
  </si>
  <si>
    <t>Balorizazio material eta energetikoa
(%)</t>
  </si>
  <si>
    <t>Zuzeneko deuseztapena
(%)</t>
  </si>
  <si>
    <t>(*) Hiri-hondakinak(HH): Etxeko eta Merkataritzako hondakinak. HH=EH+MH.</t>
  </si>
  <si>
    <r>
      <rPr>
        <b/>
        <sz val="9"/>
        <rFont val="Segoe UI"/>
        <family val="2"/>
      </rPr>
      <t>(*) MH:</t>
    </r>
    <r>
      <rPr>
        <sz val="9"/>
        <rFont val="Segoe UI"/>
        <family val="2"/>
      </rPr>
      <t xml:space="preserve"> Merkataritzako Hondakinak.</t>
    </r>
  </si>
  <si>
    <t>2023</t>
  </si>
  <si>
    <t>(**) Ez dira sartzen gaikako bilketako EEHak. Bilketa-taula bat denez, masan biltzen diren EEHak datu horietan daude. Hori dela eta, taula honetako hiri-hondakinen guztizkoak ez datoz bat 1.1 fitxako hondakin guztiekin. Fitxa horretan, gainera, bereizi egiten dira masa-bilketako EEH hondakinak.</t>
  </si>
  <si>
    <t>(**) Ez dira sartzen gaikako bilketako EEHak. Bilketa-taula bat denez, masan biltzen diren EEHak datu horietan daude. Hori dela eta, taula honetako hiri-hondakinen guztizkoak ez datoz bat 1.1 fitxako hondakin guztiekin. Fitxa horretan, gainera, bereizi egiten dira masa-bilketako EEH hondakinak. (EEH: Eraikuntzako eta Eraispeneko Hondakinak).</t>
  </si>
  <si>
    <t>* 2012tik 2019ra bitarteko datuek ez dute gaikako bilketako EEHrik barne hartzen, baina bai masako bilketaren barruan kudeatu diren EEHak.</t>
  </si>
  <si>
    <t>** 2020tik aurrerako datuek ez dute barne hartzen EEHrik, ez gaikako bilketarik, ez masako bilketarik.</t>
  </si>
  <si>
    <t>* Urte guztietako datuek ez dute gaikako bilketako EEHrik barne hartzen, baina bai masako bilketan kudeatu diren EEHak.</t>
  </si>
  <si>
    <t>Urte arteko emaitzak modu homogeneoan alderatu ahal izateko, ez dira obra txikiko EEHak sartzen, kontrakoa adierazi ezean. Ikusi oin-oharrak orri bakoitzean. Europako kontabilitate-irizpideek adierazten dute EEHak ez direla udal-hondakinak.</t>
  </si>
  <si>
    <t>2005</t>
  </si>
  <si>
    <t>Euskal Autonomia Erkidegoko Hiri-hondakinen Estatistika. 2024.</t>
  </si>
  <si>
    <t>1.1.- Hiri-hondakinak, hondakin multzoaren eta tratamendu.- lanen arabera. Euskal Autonomia Erkidegoa. 2024.</t>
  </si>
  <si>
    <t>2.1.- Sortutako hiri-hondakinak, jatorriaren, bilketa motaren eta urtearen arabera. Euskal Autonomia Erkidegoa. 2003-2024.</t>
  </si>
  <si>
    <t>2.2.- Sortutako hiri-hondakinak,  jatorriaren, bilketa motaren eta urtearen arabera. Araba. 2003-2024.</t>
  </si>
  <si>
    <t>2.3.- Sortutako hiri-hondakinak,  jatorriaren, bilketa motaren eta urtearen arabera. Bizkaia. 2003-2024.</t>
  </si>
  <si>
    <t>2.4.- Sortutako hiri.- hondakinak,  jatorriaren, bilketa motaren eta urtearen arabera. Gipuzkoa. 2003-2024.</t>
  </si>
  <si>
    <t>3.1.- Sortutako hiri-hondakinak,biztanleko, urtearen eta lurralde historikoaren arabera. Euskal Autonomia Erkidegoa. 2003-2024.</t>
  </si>
  <si>
    <t>3.2.- Sortutako etxeko hondakinak, biztanleko, urtearen eta lurralde historikoaren arabera. Euskal Autonomia Erkidegoa. 2003-2024.</t>
  </si>
  <si>
    <t>3.3.- Sortutako merkataritzako hondakinak, biztanleko, urtearen eta lurralde historikoaren arabera. Euskal Autonomia Erkidegoa. 2003-2024.</t>
  </si>
  <si>
    <t>4.1.- Sortutako hiri-hondakinak, bilketa motaren, jatorriaren eta 6 digitoko EHZ kategorien arabera. Euskal Autonomia Erkidegoa. 2005-2024.</t>
  </si>
  <si>
    <t>4.2.- Sortutako hiri-hondakinak, per capita, bilketa motaren, jatorriaren eta 6 digitoko EHZ kategorien arabera. Euskal Autonomia Erkidegoa. 2005-2024.</t>
  </si>
  <si>
    <t>5.1.- Sortutako hiri-hondakin guztiak, biztanleko, lurralde historikoaren eta urtearen arabera. 2003-2024.</t>
  </si>
  <si>
    <t>5.2.- Kudeatutako hiri-hondakin guztiak, biztanleko, lurralde historikoaren eta urtearen arabera. 2003-2024.</t>
  </si>
  <si>
    <t>5.3.- Hiri-hondakinak, biztanleko, lurralde historikoaren eta urtearen arabera. Zabortegietan utzitakoa. 2003-2024.</t>
  </si>
  <si>
    <t>5.4.- Hiri-hondakinak, biztanleko, lurralde historikoaren eta urtearen arabera. Balio energetikoa eta errausketa. 2003-2024.</t>
  </si>
  <si>
    <t>5.5.- Hiri-hondakinak, biztanleko, lurralde historikoaren eta urtearen arabera. Birziklatzea. 2003-2024.</t>
  </si>
  <si>
    <t>5.6.- Hiri-hondakinak, biztanleko, lurralde historikoaren eta urtearen arabera. Konpostaje. 2003-2024.</t>
  </si>
  <si>
    <t>1.1.- Hiri-hondakinak, hondakin multzoaren eta tratamendu-lanen arabera. Euskal Autonomia Erkidegoa. 2024.</t>
  </si>
  <si>
    <t>5.6.- Hiri-hondakinak, biztanleko, lurralde historikoaren eta urtearen arabera. Konpostajea. 2003-2024.</t>
  </si>
  <si>
    <t>4.2.- Sortutako hiri-hondakinak, per cápita, bilketa motaren, jatorriaren eta 6 digitoko EHZ kategorien arabera. Euskal Autonomia Erkidegoa. 2005-2024.</t>
  </si>
  <si>
    <t>3.2.- Sortutako etxeko hondakinak(*), biztanleko, urtearen eta lurralde historikoaren arabera. Euskal Autonomia Erkidegoa. 2003-2024.</t>
  </si>
  <si>
    <t>3.1.- Sortutako hiri-hondakinak(1), biztanleko, urtearen eta lurralde historikoaren arabera. Euskal Autonomia Erkidegoa. 2003-2024.</t>
  </si>
  <si>
    <t>2.4-Residuos Urbanos(*) generados por origen y tipo de recogida y año. Gipuzkoa. 2003-2024.</t>
  </si>
  <si>
    <t>2.3.- Sortutako hiri-hondakinak(*), jatorriaren, bilketa motaren eta urtearen arabera. Bizkaia. 2003-2024.</t>
  </si>
  <si>
    <t>2.2.- Sortutako hiri-hondakinak(*), jatorriaren, bilketa motaren eta urtearen arabera. Araba. 2003-2024.</t>
  </si>
  <si>
    <t>2.1.- Sortutako hiri-hondakinak HH(*), jatorriaren, bilketa motaren eta urtearen arabera. Euskal Autonomia Erkidegoa. 2003-2024.</t>
  </si>
  <si>
    <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</si>
</sst>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2">
    <numFmt numFmtId="41" formatCode="_-* #,##0_-;\-* #,##0_-;_-* &quot;-&quot;_-;_-@_-"/>
    <numFmt numFmtId="44" formatCode="_-* #,##0.00\ &quot;€&quot;_-;\-* #,##0.00\ &quot;€&quot;_-;_-* &quot;-&quot;??\ &quot;€&quot;_-;_-@_-"/>
    <numFmt numFmtId="43" formatCode="_-* #,##0.00_-;\-* #,##0.00_-;_-* &quot;-&quot;??_-;_-@_-"/>
    <numFmt numFmtId="164" formatCode="_-* #,##0.00\ _€_-;\-* #,##0.00\ _€_-;_-* &quot;-&quot;??\ _€_-;_-@_-"/>
    <numFmt numFmtId="165" formatCode="0.0%"/>
    <numFmt numFmtId="166" formatCode="#,##0.000"/>
    <numFmt numFmtId="167" formatCode="0.00\ %"/>
    <numFmt numFmtId="168" formatCode="0\ %"/>
    <numFmt numFmtId="169" formatCode="#,##0.0"/>
    <numFmt numFmtId="170" formatCode="_-* #,##0\ _€_-;\-* #,##0\ _€_-;_-* &quot;-&quot;??\ _€_-;_-@_-"/>
    <numFmt numFmtId="171" formatCode="0.0"/>
    <numFmt numFmtId="172" formatCode="0.000"/>
    <numFmt numFmtId="173" formatCode="0.000%"/>
    <numFmt numFmtId="174" formatCode="0.0000000"/>
    <numFmt numFmtId="175" formatCode="#,##0.0000"/>
    <numFmt numFmtId="176" formatCode="_-* #,##0_-;\-* #,##0_-;_-* &quot;-&quot;??_-;_-@_-"/>
    <numFmt numFmtId="177" formatCode="#,##0.000000000000"/>
    <numFmt numFmtId="178" formatCode="#,##0.0000000000"/>
    <numFmt numFmtId="179" formatCode="#,##0.00000000000000"/>
    <numFmt numFmtId="180" formatCode="_(* #,##0.00_);_(* \(#,##0.00\);_(* &quot;-&quot;??_);_(@_)"/>
    <numFmt numFmtId="181" formatCode="_(* #,##0_);_(* \(#,##0\);_(* &quot;-&quot;??_);_(@_)"/>
    <numFmt numFmtId="182" formatCode="0.0000\ %"/>
  </numFmts>
  <fonts count="193"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name val="Arial"/>
      <family val="2"/>
    </font>
    <font>
      <b/>
      <sz val="10"/>
      <name val="Arial"/>
      <family val="2"/>
    </font>
    <font>
      <u/>
      <sz val="10"/>
      <color indexed="12"/>
      <name val="Arial"/>
      <family val="2"/>
    </font>
    <font>
      <sz val="10"/>
      <name val="Calibri"/>
      <family val="2"/>
    </font>
    <font>
      <sz val="10"/>
      <name val="Arial"/>
      <family val="2"/>
    </font>
    <font>
      <b/>
      <sz val="10"/>
      <name val="Calibri"/>
      <family val="2"/>
    </font>
    <font>
      <b/>
      <sz val="10"/>
      <color indexed="9"/>
      <name val="Calibri"/>
      <family val="2"/>
    </font>
    <font>
      <b/>
      <sz val="10"/>
      <color theme="0"/>
      <name val="Calibri"/>
      <family val="2"/>
    </font>
    <font>
      <sz val="11"/>
      <color rgb="FF000000"/>
      <name val="Calibri"/>
      <family val="2"/>
      <charset val="1"/>
    </font>
    <font>
      <sz val="10"/>
      <color indexed="8"/>
      <name val="Arial"/>
      <family val="2"/>
    </font>
    <font>
      <sz val="10"/>
      <color rgb="FFFF0000"/>
      <name val="Calibri"/>
      <family val="2"/>
    </font>
    <font>
      <sz val="10"/>
      <color theme="1"/>
      <name val="Calibri"/>
      <family val="2"/>
    </font>
    <font>
      <b/>
      <sz val="10"/>
      <color indexed="40"/>
      <name val="Calibri"/>
      <family val="2"/>
    </font>
    <font>
      <sz val="10"/>
      <color indexed="40"/>
      <name val="Calibri"/>
      <family val="2"/>
    </font>
    <font>
      <b/>
      <u/>
      <sz val="10"/>
      <name val="Calibri"/>
      <family val="2"/>
    </font>
    <font>
      <b/>
      <sz val="10"/>
      <color theme="1"/>
      <name val="Calibri"/>
      <family val="2"/>
    </font>
    <font>
      <b/>
      <sz val="9"/>
      <color indexed="81"/>
      <name val="Tahoma"/>
      <family val="2"/>
    </font>
    <font>
      <sz val="9"/>
      <color indexed="81"/>
      <name val="Tahoma"/>
      <family val="2"/>
    </font>
    <font>
      <sz val="11"/>
      <color indexed="8"/>
      <name val="Calibri"/>
      <family val="2"/>
    </font>
    <font>
      <sz val="10"/>
      <color indexed="36"/>
      <name val="Calibri"/>
      <family val="2"/>
    </font>
    <font>
      <sz val="10"/>
      <color indexed="17"/>
      <name val="Calibri"/>
      <family val="2"/>
    </font>
    <font>
      <u/>
      <sz val="10"/>
      <name val="Calibri"/>
      <family val="2"/>
    </font>
    <font>
      <b/>
      <sz val="10"/>
      <color indexed="36"/>
      <name val="Calibri"/>
      <family val="2"/>
    </font>
    <font>
      <sz val="9"/>
      <color rgb="FF000000"/>
      <name val="Calibri"/>
      <family val="2"/>
      <scheme val="minor"/>
    </font>
    <font>
      <b/>
      <sz val="10"/>
      <color rgb="FFFF0000"/>
      <name val="Calibri"/>
      <family val="2"/>
    </font>
    <font>
      <sz val="11"/>
      <name val="Calibri"/>
      <family val="2"/>
    </font>
    <font>
      <i/>
      <sz val="8"/>
      <name val="Calibri"/>
      <family val="2"/>
    </font>
    <font>
      <sz val="10"/>
      <color rgb="FFFF0000"/>
      <name val="Arial"/>
      <family val="2"/>
    </font>
    <font>
      <sz val="10"/>
      <name val="Arial"/>
      <family val="2"/>
      <charset val="1"/>
    </font>
    <font>
      <b/>
      <sz val="12"/>
      <name val="Arial"/>
      <family val="2"/>
      <charset val="1"/>
    </font>
    <font>
      <sz val="10"/>
      <color theme="7"/>
      <name val="Arial"/>
      <family val="2"/>
    </font>
    <font>
      <sz val="10"/>
      <color rgb="FF7030A0"/>
      <name val="Arial"/>
      <family val="2"/>
    </font>
    <font>
      <sz val="9"/>
      <color theme="1"/>
      <name val="Arial"/>
      <family val="2"/>
    </font>
    <font>
      <b/>
      <sz val="10"/>
      <color theme="0"/>
      <name val="Arial"/>
      <family val="2"/>
    </font>
    <font>
      <b/>
      <sz val="10"/>
      <color rgb="FF7030A0"/>
      <name val="Arial"/>
      <family val="2"/>
    </font>
    <font>
      <sz val="9"/>
      <color rgb="FF000000"/>
      <name val="Tahoma"/>
      <family val="2"/>
      <charset val="1"/>
    </font>
    <font>
      <b/>
      <sz val="11"/>
      <color theme="1"/>
      <name val="Calibri"/>
      <family val="2"/>
    </font>
    <font>
      <sz val="10"/>
      <color theme="1"/>
      <name val="Arial"/>
      <family val="2"/>
    </font>
    <font>
      <sz val="11"/>
      <name val="Calibri"/>
      <family val="2"/>
      <scheme val="minor"/>
    </font>
    <font>
      <b/>
      <sz val="11"/>
      <name val="Calibri"/>
      <family val="2"/>
      <scheme val="minor"/>
    </font>
    <font>
      <b/>
      <sz val="11"/>
      <color indexed="9"/>
      <name val="Calibri"/>
      <family val="2"/>
    </font>
    <font>
      <b/>
      <sz val="11"/>
      <name val="Calibri"/>
      <family val="2"/>
    </font>
    <font>
      <sz val="11"/>
      <color rgb="FF000000"/>
      <name val="Calibri"/>
      <family val="2"/>
    </font>
    <font>
      <sz val="11"/>
      <color rgb="FFFFFFFF"/>
      <name val="Calibri"/>
      <family val="2"/>
    </font>
    <font>
      <sz val="10"/>
      <color indexed="55"/>
      <name val="Calibri"/>
      <family val="2"/>
    </font>
    <font>
      <b/>
      <sz val="9"/>
      <color indexed="38"/>
      <name val="Arial"/>
      <family val="2"/>
    </font>
    <font>
      <u/>
      <sz val="10"/>
      <color indexed="19"/>
      <name val="Arial"/>
      <family val="2"/>
    </font>
    <font>
      <b/>
      <sz val="16"/>
      <color indexed="30"/>
      <name val="Arial"/>
      <family val="2"/>
    </font>
    <font>
      <b/>
      <sz val="16"/>
      <color indexed="31"/>
      <name val="Arial"/>
      <family val="2"/>
    </font>
    <font>
      <sz val="16"/>
      <color indexed="31"/>
      <name val="Arial"/>
      <family val="2"/>
    </font>
    <font>
      <sz val="10"/>
      <color indexed="30"/>
      <name val="Arial"/>
      <family val="2"/>
    </font>
    <font>
      <sz val="8"/>
      <color indexed="60"/>
      <name val="Arial"/>
      <family val="2"/>
    </font>
    <font>
      <b/>
      <sz val="9"/>
      <color indexed="30"/>
      <name val="Arial"/>
      <family val="2"/>
    </font>
    <font>
      <sz val="9"/>
      <color indexed="30"/>
      <name val="Arial"/>
      <family val="2"/>
    </font>
    <font>
      <b/>
      <sz val="8"/>
      <name val="Arial"/>
      <family val="2"/>
    </font>
    <font>
      <sz val="8"/>
      <name val="Arial"/>
      <family val="2"/>
    </font>
    <font>
      <sz val="8"/>
      <color indexed="22"/>
      <name val="Arial"/>
      <family val="2"/>
    </font>
    <font>
      <sz val="10"/>
      <color indexed="53"/>
      <name val="Arial"/>
      <family val="2"/>
    </font>
    <font>
      <b/>
      <sz val="36"/>
      <color indexed="31"/>
      <name val="Arial"/>
      <family val="2"/>
    </font>
    <font>
      <sz val="10"/>
      <color indexed="9"/>
      <name val="Arial"/>
      <family val="2"/>
    </font>
    <font>
      <sz val="9"/>
      <name val="Arial"/>
      <family val="2"/>
    </font>
    <font>
      <b/>
      <sz val="9"/>
      <name val="Arial"/>
      <family val="2"/>
    </font>
    <font>
      <sz val="9"/>
      <color indexed="9"/>
      <name val="Arial"/>
      <family val="2"/>
    </font>
    <font>
      <b/>
      <sz val="9"/>
      <color indexed="31"/>
      <name val="Arial"/>
      <family val="2"/>
    </font>
    <font>
      <b/>
      <sz val="9"/>
      <color rgb="FFFF0000"/>
      <name val="Arial"/>
      <family val="2"/>
    </font>
    <font>
      <b/>
      <sz val="7"/>
      <color indexed="31"/>
      <name val="Arial"/>
      <family val="2"/>
    </font>
    <font>
      <i/>
      <sz val="10"/>
      <color indexed="23"/>
      <name val="Calibri"/>
      <family val="2"/>
    </font>
    <font>
      <sz val="8"/>
      <color indexed="53"/>
      <name val="Calibri"/>
      <family val="2"/>
    </font>
    <font>
      <sz val="8"/>
      <color indexed="46"/>
      <name val="Calibri"/>
      <family val="2"/>
    </font>
    <font>
      <sz val="10"/>
      <color indexed="60"/>
      <name val="Calibri"/>
      <family val="2"/>
    </font>
    <font>
      <sz val="10"/>
      <color indexed="23"/>
      <name val="Calibri"/>
      <family val="2"/>
    </font>
    <font>
      <sz val="8"/>
      <color indexed="49"/>
      <name val="Calibri"/>
      <family val="2"/>
    </font>
    <font>
      <sz val="8"/>
      <color indexed="14"/>
      <name val="Calibri"/>
      <family val="2"/>
    </font>
    <font>
      <sz val="8"/>
      <name val="Calibri"/>
      <family val="2"/>
    </font>
    <font>
      <sz val="10"/>
      <color indexed="18"/>
      <name val="Calibri"/>
      <family val="2"/>
    </font>
    <font>
      <sz val="10"/>
      <color indexed="9"/>
      <name val="Calibri"/>
      <family val="2"/>
    </font>
    <font>
      <sz val="8"/>
      <color indexed="50"/>
      <name val="Calibri"/>
      <family val="2"/>
    </font>
    <font>
      <sz val="8"/>
      <color indexed="55"/>
      <name val="Calibri"/>
      <family val="2"/>
    </font>
    <font>
      <sz val="10"/>
      <color indexed="53"/>
      <name val="Calibri"/>
      <family val="2"/>
    </font>
    <font>
      <sz val="10"/>
      <color indexed="19"/>
      <name val="Calibri"/>
      <family val="2"/>
    </font>
    <font>
      <sz val="10"/>
      <color indexed="29"/>
      <name val="Calibri"/>
      <family val="2"/>
    </font>
    <font>
      <sz val="10"/>
      <color rgb="FF01017F"/>
      <name val="Calibri"/>
      <family val="2"/>
      <scheme val="minor"/>
    </font>
    <font>
      <b/>
      <sz val="10"/>
      <color indexed="22"/>
      <name val="Calibri"/>
      <family val="2"/>
    </font>
    <font>
      <sz val="10"/>
      <color indexed="22"/>
      <name val="Calibri"/>
      <family val="2"/>
    </font>
    <font>
      <b/>
      <sz val="10"/>
      <color indexed="23"/>
      <name val="Calibri"/>
      <family val="2"/>
    </font>
    <font>
      <sz val="10"/>
      <color theme="0"/>
      <name val="Calibri"/>
      <family val="2"/>
    </font>
    <font>
      <b/>
      <sz val="10"/>
      <color theme="0" tint="-0.499984740745262"/>
      <name val="Calibri"/>
      <family val="2"/>
    </font>
    <font>
      <sz val="10"/>
      <color theme="0" tint="-0.499984740745262"/>
      <name val="Calibri"/>
      <family val="2"/>
    </font>
    <font>
      <b/>
      <sz val="9"/>
      <color rgb="FFFFFFFF"/>
      <name val="Verdana"/>
      <family val="2"/>
    </font>
    <font>
      <sz val="9"/>
      <name val="Arial Narrow"/>
      <family val="2"/>
    </font>
    <font>
      <b/>
      <sz val="10"/>
      <color theme="0" tint="-0.499984740745262"/>
      <name val="Arial"/>
      <family val="2"/>
    </font>
    <font>
      <sz val="9"/>
      <color rgb="FF000000"/>
      <name val="Arial Narrow"/>
      <family val="2"/>
    </font>
    <font>
      <b/>
      <sz val="9"/>
      <name val="Arial Narrow"/>
      <family val="2"/>
    </font>
    <font>
      <strike/>
      <sz val="10"/>
      <color theme="0" tint="-0.14996795556505021"/>
      <name val="Calibri"/>
      <family val="2"/>
    </font>
    <font>
      <b/>
      <strike/>
      <sz val="10"/>
      <color theme="0" tint="-0.14996795556505021"/>
      <name val="Calibri"/>
      <family val="2"/>
    </font>
    <font>
      <i/>
      <strike/>
      <sz val="8"/>
      <color theme="0" tint="-0.14996795556505021"/>
      <name val="Calibri"/>
      <family val="2"/>
    </font>
    <font>
      <b/>
      <sz val="9"/>
      <color rgb="FF000000"/>
      <name val="Tahoma"/>
      <family val="2"/>
    </font>
    <font>
      <sz val="9"/>
      <color rgb="FF000000"/>
      <name val="Tahoma"/>
      <family val="2"/>
    </font>
    <font>
      <sz val="10"/>
      <color rgb="FF000000"/>
      <name val="Calibri"/>
      <family val="2"/>
    </font>
    <font>
      <b/>
      <sz val="10"/>
      <color rgb="FF000000"/>
      <name val="Calibri"/>
      <family val="2"/>
    </font>
    <font>
      <b/>
      <sz val="10"/>
      <color rgb="FFFFFFFF"/>
      <name val="Calibri"/>
      <family val="2"/>
    </font>
    <font>
      <b/>
      <sz val="8"/>
      <color rgb="FF000000"/>
      <name val="Calibri"/>
      <family val="2"/>
    </font>
    <font>
      <sz val="8"/>
      <color rgb="FF000000"/>
      <name val="Calibri"/>
      <family val="2"/>
    </font>
    <font>
      <i/>
      <sz val="10"/>
      <color rgb="FF808080"/>
      <name val="Calibri"/>
      <family val="2"/>
    </font>
    <font>
      <i/>
      <sz val="8"/>
      <color rgb="FF808080"/>
      <name val="Calibri"/>
      <family val="2"/>
    </font>
    <font>
      <b/>
      <sz val="8"/>
      <color rgb="FFFFFFFF"/>
      <name val="Calibri"/>
      <family val="2"/>
    </font>
    <font>
      <sz val="10"/>
      <color rgb="FFBFBFBF"/>
      <name val="Calibri"/>
      <family val="2"/>
    </font>
    <font>
      <sz val="10"/>
      <color rgb="FFFFFFFF"/>
      <name val="Calibri"/>
      <family val="2"/>
    </font>
    <font>
      <b/>
      <sz val="18"/>
      <name val="Arial"/>
      <family val="2"/>
    </font>
    <font>
      <b/>
      <sz val="8"/>
      <color indexed="9"/>
      <name val="Arial"/>
      <family val="2"/>
    </font>
    <font>
      <i/>
      <sz val="8"/>
      <color indexed="9"/>
      <name val="Arial"/>
      <family val="2"/>
    </font>
    <font>
      <i/>
      <sz val="8"/>
      <name val="Arial"/>
      <family val="2"/>
    </font>
    <font>
      <b/>
      <sz val="10"/>
      <color indexed="9"/>
      <name val="Arial"/>
      <family val="2"/>
    </font>
    <font>
      <b/>
      <sz val="10"/>
      <color indexed="8"/>
      <name val="Arial"/>
      <family val="2"/>
    </font>
    <font>
      <i/>
      <u/>
      <sz val="8"/>
      <name val="Arial"/>
      <family val="2"/>
    </font>
    <font>
      <i/>
      <sz val="10"/>
      <name val="Arial"/>
      <family val="2"/>
    </font>
    <font>
      <b/>
      <sz val="8"/>
      <color theme="1"/>
      <name val="Arial"/>
      <family val="2"/>
    </font>
    <font>
      <b/>
      <sz val="10"/>
      <color theme="1"/>
      <name val="Arial"/>
      <family val="2"/>
    </font>
    <font>
      <i/>
      <sz val="8"/>
      <color theme="1"/>
      <name val="Arial"/>
      <family val="2"/>
    </font>
    <font>
      <b/>
      <sz val="10"/>
      <color indexed="55"/>
      <name val="Arial"/>
      <family val="2"/>
    </font>
    <font>
      <b/>
      <sz val="10"/>
      <color indexed="17"/>
      <name val="Tahoma"/>
      <family val="2"/>
    </font>
    <font>
      <i/>
      <sz val="8"/>
      <color indexed="17"/>
      <name val="Tahoma"/>
      <family val="2"/>
    </font>
    <font>
      <i/>
      <sz val="8"/>
      <color theme="1"/>
      <name val="Tahoma"/>
      <family val="2"/>
    </font>
    <font>
      <b/>
      <sz val="10"/>
      <color theme="1"/>
      <name val="Tahoma"/>
      <family val="2"/>
    </font>
    <font>
      <b/>
      <sz val="10"/>
      <color rgb="FFFF0000"/>
      <name val="Arial"/>
      <family val="2"/>
    </font>
    <font>
      <b/>
      <i/>
      <sz val="8"/>
      <name val="Arial"/>
      <family val="2"/>
    </font>
    <font>
      <b/>
      <i/>
      <sz val="8"/>
      <color theme="1"/>
      <name val="Arial"/>
      <family val="2"/>
    </font>
    <font>
      <i/>
      <sz val="8"/>
      <color rgb="FFFF0000"/>
      <name val="Arial"/>
      <family val="2"/>
    </font>
    <font>
      <b/>
      <sz val="10"/>
      <color indexed="12"/>
      <name val="Arial"/>
      <family val="2"/>
    </font>
    <font>
      <sz val="10"/>
      <color indexed="10"/>
      <name val="Arial"/>
      <family val="2"/>
    </font>
    <font>
      <b/>
      <sz val="12"/>
      <name val="Calibri"/>
      <family val="2"/>
      <scheme val="minor"/>
    </font>
    <font>
      <i/>
      <sz val="10"/>
      <color theme="0"/>
      <name val="Arial"/>
      <family val="2"/>
    </font>
    <font>
      <sz val="10"/>
      <color theme="6" tint="-0.249977111117893"/>
      <name val="Arial"/>
      <family val="2"/>
    </font>
    <font>
      <b/>
      <u/>
      <sz val="10"/>
      <name val="Arial"/>
      <family val="2"/>
    </font>
    <font>
      <b/>
      <i/>
      <sz val="10"/>
      <name val="Arial"/>
      <family val="2"/>
    </font>
    <font>
      <i/>
      <sz val="11"/>
      <color indexed="8"/>
      <name val="Times New Roman"/>
      <family val="1"/>
    </font>
    <font>
      <sz val="12"/>
      <name val="Times New Roman"/>
      <family val="1"/>
    </font>
    <font>
      <sz val="8"/>
      <color indexed="8"/>
      <name val="Arial"/>
      <family val="2"/>
    </font>
    <font>
      <b/>
      <sz val="8"/>
      <color indexed="8"/>
      <name val="Arial"/>
      <family val="2"/>
    </font>
    <font>
      <i/>
      <sz val="10"/>
      <color indexed="8"/>
      <name val="Arial"/>
      <family val="2"/>
    </font>
    <font>
      <b/>
      <sz val="12"/>
      <color theme="1"/>
      <name val="Calibri"/>
      <family val="2"/>
      <scheme val="minor"/>
    </font>
    <font>
      <i/>
      <sz val="11"/>
      <color theme="1"/>
      <name val="Calibri"/>
      <family val="2"/>
      <scheme val="minor"/>
    </font>
    <font>
      <sz val="11"/>
      <color theme="6"/>
      <name val="Calibri"/>
      <family val="2"/>
      <scheme val="minor"/>
    </font>
    <font>
      <i/>
      <sz val="8"/>
      <color rgb="FF000000"/>
      <name val="Calibri"/>
      <family val="2"/>
    </font>
    <font>
      <b/>
      <sz val="11"/>
      <color rgb="FF3F3F3F"/>
      <name val="Calibri"/>
      <family val="2"/>
      <scheme val="minor"/>
    </font>
    <font>
      <sz val="12"/>
      <color rgb="FF000000"/>
      <name val="Calibri"/>
      <family val="2"/>
      <scheme val="minor"/>
    </font>
    <font>
      <sz val="11"/>
      <color theme="1"/>
      <name val="Calibri"/>
      <family val="2"/>
    </font>
    <font>
      <i/>
      <sz val="10"/>
      <color theme="1"/>
      <name val="Calibri"/>
      <family val="2"/>
    </font>
    <font>
      <sz val="8"/>
      <name val="Calibri"/>
      <family val="2"/>
      <scheme val="minor"/>
    </font>
    <font>
      <b/>
      <i/>
      <sz val="9"/>
      <name val="Arial"/>
      <family val="2"/>
    </font>
    <font>
      <b/>
      <sz val="11"/>
      <color theme="0"/>
      <name val="Calibri"/>
      <family val="2"/>
    </font>
    <font>
      <b/>
      <sz val="10"/>
      <name val="Arial"/>
      <family val="2"/>
    </font>
    <font>
      <i/>
      <sz val="10"/>
      <name val="Arial"/>
      <family val="2"/>
    </font>
    <font>
      <b/>
      <sz val="11"/>
      <color indexed="8"/>
      <name val="Calibri"/>
      <family val="2"/>
      <scheme val="minor"/>
    </font>
    <font>
      <sz val="11"/>
      <color indexed="8"/>
      <name val="Calibri"/>
      <family val="2"/>
      <scheme val="minor"/>
    </font>
    <font>
      <sz val="10"/>
      <color theme="0"/>
      <name val="Arial"/>
      <family val="2"/>
    </font>
    <font>
      <sz val="12"/>
      <color indexed="8"/>
      <name val="Calibri"/>
      <family val="2"/>
      <scheme val="minor"/>
    </font>
    <font>
      <i/>
      <sz val="8"/>
      <color rgb="FFFF0000"/>
      <name val="Calibri"/>
      <family val="2"/>
    </font>
    <font>
      <b/>
      <sz val="8"/>
      <color theme="0"/>
      <name val="Calibri"/>
      <family val="2"/>
    </font>
    <font>
      <b/>
      <sz val="8"/>
      <color rgb="FFFF0000"/>
      <name val="Calibri"/>
      <family val="2"/>
    </font>
    <font>
      <sz val="8"/>
      <color rgb="FFFF0000"/>
      <name val="Calibri"/>
      <family val="2"/>
    </font>
    <font>
      <sz val="10"/>
      <color rgb="FF00B050"/>
      <name val="Calibri"/>
      <family val="2"/>
    </font>
    <font>
      <b/>
      <sz val="11"/>
      <color rgb="FFFF0000"/>
      <name val="Calibri"/>
      <family val="2"/>
      <scheme val="minor"/>
    </font>
    <font>
      <sz val="11"/>
      <color rgb="FFFF0000"/>
      <name val="Calibri"/>
      <family val="2"/>
    </font>
    <font>
      <sz val="10"/>
      <color theme="3"/>
      <name val="Arial"/>
      <family val="2"/>
    </font>
    <font>
      <sz val="9"/>
      <name val="Times New Roman"/>
      <family val="1"/>
    </font>
    <font>
      <b/>
      <sz val="20"/>
      <color theme="4" tint="-0.499984740745262"/>
      <name val="Segoe UI"/>
      <family val="2"/>
    </font>
    <font>
      <b/>
      <sz val="16"/>
      <color theme="4" tint="-0.499984740745262"/>
      <name val="Segoe UI"/>
      <family val="2"/>
    </font>
    <font>
      <sz val="10"/>
      <name val="Segoe UI"/>
      <family val="2"/>
    </font>
    <font>
      <sz val="9"/>
      <name val="Segoe UI"/>
      <family val="2"/>
    </font>
    <font>
      <b/>
      <sz val="9"/>
      <name val="Segoe UI"/>
      <family val="2"/>
    </font>
    <font>
      <b/>
      <u/>
      <sz val="9"/>
      <name val="Segoe UI"/>
      <family val="2"/>
    </font>
    <font>
      <b/>
      <sz val="12"/>
      <name val="Segoe UI"/>
      <family val="2"/>
    </font>
    <font>
      <b/>
      <sz val="10"/>
      <name val="Segoe UI"/>
      <family val="2"/>
    </font>
    <font>
      <b/>
      <sz val="16"/>
      <name val="Arial"/>
      <family val="2"/>
    </font>
    <font>
      <sz val="16"/>
      <name val="Arial"/>
      <family val="2"/>
    </font>
    <font>
      <b/>
      <sz val="36"/>
      <name val="Arial"/>
      <family val="2"/>
    </font>
    <font>
      <sz val="10"/>
      <color indexed="9"/>
      <name val="Segoe UI"/>
      <family val="2"/>
    </font>
    <font>
      <b/>
      <sz val="14"/>
      <name val="Segoe UI"/>
      <family val="2"/>
    </font>
    <font>
      <sz val="12"/>
      <name val="Segoe UI"/>
      <family val="2"/>
    </font>
    <font>
      <b/>
      <sz val="16"/>
      <name val="Segoe UI"/>
      <family val="2"/>
    </font>
    <font>
      <b/>
      <sz val="9"/>
      <color theme="1"/>
      <name val="Segoe UI"/>
      <family val="2"/>
    </font>
    <font>
      <sz val="9"/>
      <color theme="1"/>
      <name val="Segoe UI"/>
      <family val="2"/>
    </font>
    <font>
      <i/>
      <sz val="9"/>
      <color theme="1"/>
      <name val="Segoe UI"/>
      <family val="2"/>
    </font>
    <font>
      <sz val="9"/>
      <name val="Segoe UI"/>
    </font>
    <font>
      <sz val="16"/>
      <color theme="1"/>
      <name val="Segoe UI"/>
      <family val="2"/>
    </font>
    <font>
      <sz val="10"/>
      <color theme="1"/>
      <name val="Segoe UI"/>
      <family val="2"/>
    </font>
  </fonts>
  <fills count="186">
    <fill>
      <patternFill patternType="none"/>
    </fill>
    <fill>
      <patternFill patternType="gray125"/>
    </fill>
    <fill>
      <patternFill patternType="solid">
        <fgColor indexed="9"/>
        <bgColor indexed="64"/>
      </patternFill>
    </fill>
    <fill>
      <patternFill patternType="solid">
        <fgColor indexed="49"/>
        <bgColor indexed="64"/>
      </patternFill>
    </fill>
    <fill>
      <patternFill patternType="solid">
        <fgColor indexed="51"/>
        <bgColor indexed="64"/>
      </patternFill>
    </fill>
    <fill>
      <patternFill patternType="solid">
        <fgColor indexed="53"/>
        <bgColor indexed="64"/>
      </patternFill>
    </fill>
    <fill>
      <patternFill patternType="solid">
        <fgColor indexed="62"/>
        <bgColor indexed="64"/>
      </patternFill>
    </fill>
    <fill>
      <patternFill patternType="solid">
        <fgColor indexed="10"/>
        <bgColor indexed="64"/>
      </patternFill>
    </fill>
    <fill>
      <patternFill patternType="solid">
        <fgColor indexed="36"/>
        <bgColor indexed="64"/>
      </patternFill>
    </fill>
    <fill>
      <patternFill patternType="solid">
        <fgColor theme="3" tint="0.39997558519241921"/>
        <bgColor indexed="64"/>
      </patternFill>
    </fill>
    <fill>
      <patternFill patternType="solid">
        <fgColor theme="9"/>
        <bgColor indexed="64"/>
      </patternFill>
    </fill>
    <fill>
      <patternFill patternType="solid">
        <fgColor rgb="FF00B050"/>
        <bgColor indexed="64"/>
      </patternFill>
    </fill>
    <fill>
      <patternFill patternType="solid">
        <fgColor indexed="29"/>
        <bgColor indexed="64"/>
      </patternFill>
    </fill>
    <fill>
      <patternFill patternType="solid">
        <fgColor indexed="44"/>
        <bgColor indexed="64"/>
      </patternFill>
    </fill>
    <fill>
      <patternFill patternType="solid">
        <fgColor indexed="43"/>
        <bgColor indexed="64"/>
      </patternFill>
    </fill>
    <fill>
      <patternFill patternType="solid">
        <fgColor indexed="52"/>
        <bgColor indexed="64"/>
      </patternFill>
    </fill>
    <fill>
      <patternFill patternType="solid">
        <fgColor indexed="11"/>
        <bgColor indexed="64"/>
      </patternFill>
    </fill>
    <fill>
      <patternFill patternType="solid">
        <fgColor indexed="46"/>
        <bgColor indexed="64"/>
      </patternFill>
    </fill>
    <fill>
      <patternFill patternType="solid">
        <fgColor theme="9" tint="0.59999389629810485"/>
        <bgColor indexed="64"/>
      </patternFill>
    </fill>
    <fill>
      <patternFill patternType="solid">
        <fgColor rgb="FFFFC000"/>
        <bgColor indexed="64"/>
      </patternFill>
    </fill>
    <fill>
      <patternFill patternType="solid">
        <fgColor rgb="FFFFFF00"/>
        <bgColor indexed="64"/>
      </patternFill>
    </fill>
    <fill>
      <patternFill patternType="solid">
        <fgColor indexed="13"/>
        <bgColor indexed="64"/>
      </patternFill>
    </fill>
    <fill>
      <patternFill patternType="solid">
        <fgColor indexed="22"/>
        <bgColor indexed="64"/>
      </patternFill>
    </fill>
    <fill>
      <patternFill patternType="solid">
        <fgColor indexed="19"/>
        <bgColor indexed="64"/>
      </patternFill>
    </fill>
    <fill>
      <patternFill patternType="solid">
        <fgColor indexed="31"/>
        <bgColor indexed="64"/>
      </patternFill>
    </fill>
    <fill>
      <patternFill patternType="solid">
        <fgColor indexed="14"/>
        <bgColor indexed="64"/>
      </patternFill>
    </fill>
    <fill>
      <patternFill patternType="solid">
        <fgColor theme="9" tint="0.39997558519241921"/>
        <bgColor indexed="64"/>
      </patternFill>
    </fill>
    <fill>
      <patternFill patternType="solid">
        <fgColor indexed="27"/>
        <bgColor indexed="64"/>
      </patternFill>
    </fill>
    <fill>
      <patternFill patternType="solid">
        <fgColor theme="9" tint="0.79998168889431442"/>
        <bgColor indexed="64"/>
      </patternFill>
    </fill>
    <fill>
      <patternFill patternType="solid">
        <fgColor rgb="FFFF0000"/>
        <bgColor indexed="64"/>
      </patternFill>
    </fill>
    <fill>
      <patternFill patternType="solid">
        <fgColor indexed="42"/>
        <bgColor indexed="64"/>
      </patternFill>
    </fill>
    <fill>
      <patternFill patternType="solid">
        <fgColor rgb="FFFFFF66"/>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indexed="41"/>
        <bgColor indexed="64"/>
      </patternFill>
    </fill>
    <fill>
      <patternFill patternType="solid">
        <fgColor indexed="50"/>
        <bgColor indexed="64"/>
      </patternFill>
    </fill>
    <fill>
      <patternFill patternType="solid">
        <fgColor indexed="54"/>
        <bgColor indexed="64"/>
      </patternFill>
    </fill>
    <fill>
      <patternFill patternType="solid">
        <fgColor rgb="FFD9D9D9"/>
        <bgColor rgb="FFDDD9C3"/>
      </patternFill>
    </fill>
    <fill>
      <patternFill patternType="solid">
        <fgColor rgb="FF2FFF8D"/>
        <bgColor rgb="FF7DFFB8"/>
      </patternFill>
    </fill>
    <fill>
      <patternFill patternType="solid">
        <fgColor rgb="FFFFD1D1"/>
        <bgColor rgb="FFFCD5B5"/>
      </patternFill>
    </fill>
    <fill>
      <patternFill patternType="mediumGray">
        <fgColor rgb="FFC0C0C1"/>
        <bgColor rgb="FFCCCCFF"/>
      </patternFill>
    </fill>
    <fill>
      <patternFill patternType="solid">
        <fgColor rgb="FF7DFFB8"/>
        <bgColor rgb="FFCCFFCC"/>
      </patternFill>
    </fill>
    <fill>
      <patternFill patternType="solid">
        <fgColor rgb="FFC9FFE1"/>
        <bgColor rgb="FFCCFFCC"/>
      </patternFill>
    </fill>
    <fill>
      <patternFill patternType="solid">
        <fgColor rgb="FFDDD9C3"/>
        <bgColor rgb="FFD9D9D9"/>
      </patternFill>
    </fill>
    <fill>
      <patternFill patternType="solid">
        <fgColor rgb="FFFDEBDC"/>
        <bgColor rgb="FFFFFFCC"/>
      </patternFill>
    </fill>
    <fill>
      <patternFill patternType="solid">
        <fgColor rgb="FFFFE48F"/>
        <bgColor rgb="FFFCD5B5"/>
      </patternFill>
    </fill>
    <fill>
      <patternFill patternType="solid">
        <fgColor rgb="FF93CF51"/>
        <bgColor rgb="FF99CC00"/>
      </patternFill>
    </fill>
    <fill>
      <patternFill patternType="solid">
        <fgColor rgb="FFFEBFA2"/>
        <bgColor rgb="FFFFCC99"/>
      </patternFill>
    </fill>
    <fill>
      <patternFill patternType="darkGray">
        <fgColor rgb="FFFEBFA2"/>
        <bgColor rgb="FFFFCC99"/>
      </patternFill>
    </fill>
    <fill>
      <patternFill patternType="solid">
        <fgColor rgb="FFFFE48F"/>
        <bgColor rgb="FFFFFFCC"/>
      </patternFill>
    </fill>
    <fill>
      <patternFill patternType="solid">
        <fgColor theme="8" tint="0.79998168889431442"/>
        <bgColor rgb="FFDDD9C3"/>
      </patternFill>
    </fill>
    <fill>
      <patternFill patternType="solid">
        <fgColor rgb="FFDDD9C4"/>
        <bgColor rgb="FF000000"/>
      </patternFill>
    </fill>
    <fill>
      <patternFill patternType="solid">
        <fgColor theme="4" tint="0.39997558519241921"/>
        <bgColor indexed="64"/>
      </patternFill>
    </fill>
    <fill>
      <patternFill patternType="solid">
        <fgColor theme="4" tint="0.39997558519241921"/>
        <bgColor rgb="FFDDD9C3"/>
      </patternFill>
    </fill>
    <fill>
      <patternFill patternType="solid">
        <fgColor rgb="FF0070C0"/>
        <bgColor rgb="FFCCFFCC"/>
      </patternFill>
    </fill>
    <fill>
      <patternFill patternType="solid">
        <fgColor theme="4" tint="0.39997558519241921"/>
        <bgColor rgb="FFCCFFCC"/>
      </patternFill>
    </fill>
    <fill>
      <patternFill patternType="solid">
        <fgColor theme="0" tint="-4.9989318521683403E-2"/>
        <bgColor rgb="FFFFFFCC"/>
      </patternFill>
    </fill>
    <fill>
      <patternFill patternType="solid">
        <fgColor theme="5" tint="0.79998168889431442"/>
        <bgColor rgb="FFCCFFCC"/>
      </patternFill>
    </fill>
    <fill>
      <patternFill patternType="solid">
        <fgColor theme="0" tint="-4.9989318521683403E-2"/>
        <bgColor rgb="FFDDD9C3"/>
      </patternFill>
    </fill>
    <fill>
      <patternFill patternType="solid">
        <fgColor rgb="FFDDD9C3"/>
        <bgColor rgb="FF000000"/>
      </patternFill>
    </fill>
    <fill>
      <patternFill patternType="solid">
        <fgColor rgb="FFFDE9D9"/>
        <bgColor rgb="FF000000"/>
      </patternFill>
    </fill>
    <fill>
      <patternFill patternType="solid">
        <fgColor theme="9" tint="-0.249977111117893"/>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rgb="FFFFFFCC"/>
        <bgColor indexed="64"/>
      </patternFill>
    </fill>
    <fill>
      <patternFill patternType="solid">
        <fgColor rgb="FFFFFFCC"/>
        <bgColor rgb="FF7DFFB8"/>
      </patternFill>
    </fill>
    <fill>
      <patternFill patternType="solid">
        <fgColor theme="4" tint="-0.249977111117893"/>
        <bgColor indexed="64"/>
      </patternFill>
    </fill>
    <fill>
      <patternFill patternType="solid">
        <fgColor theme="5" tint="0.79998168889431442"/>
        <bgColor indexed="64"/>
      </patternFill>
    </fill>
    <fill>
      <patternFill patternType="solid">
        <fgColor theme="0" tint="-0.34998626667073579"/>
        <bgColor indexed="64"/>
      </patternFill>
    </fill>
    <fill>
      <patternFill patternType="solid">
        <fgColor rgb="FFFFFF99"/>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FF33CC"/>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rgb="FFFF99CC"/>
        <bgColor indexed="64"/>
      </patternFill>
    </fill>
    <fill>
      <patternFill patternType="solid">
        <fgColor rgb="FFCC9900"/>
        <bgColor indexed="64"/>
      </patternFill>
    </fill>
    <fill>
      <patternFill patternType="solid">
        <fgColor rgb="FF003366"/>
        <bgColor indexed="64"/>
      </patternFill>
    </fill>
    <fill>
      <patternFill patternType="solid">
        <fgColor rgb="FFCCCC00"/>
        <bgColor indexed="64"/>
      </patternFill>
    </fill>
    <fill>
      <patternFill patternType="solid">
        <fgColor rgb="FF92D050"/>
        <bgColor indexed="64"/>
      </patternFill>
    </fill>
    <fill>
      <patternFill patternType="solid">
        <fgColor rgb="FFCC00CC"/>
        <bgColor indexed="64"/>
      </patternFill>
    </fill>
    <fill>
      <patternFill patternType="solid">
        <fgColor rgb="FF9999FF"/>
        <bgColor indexed="64"/>
      </patternFill>
    </fill>
    <fill>
      <patternFill patternType="solid">
        <fgColor rgb="FF7F7F7F"/>
        <bgColor rgb="FF7F7F7F"/>
      </patternFill>
    </fill>
    <fill>
      <patternFill patternType="solid">
        <fgColor rgb="FFFFFF99"/>
        <bgColor rgb="FFFFFF99"/>
      </patternFill>
    </fill>
    <fill>
      <patternFill patternType="solid">
        <fgColor rgb="FFFFFF00"/>
        <bgColor rgb="FFFFFF00"/>
      </patternFill>
    </fill>
    <fill>
      <patternFill patternType="solid">
        <fgColor rgb="FFFFC000"/>
        <bgColor rgb="FFFFC000"/>
      </patternFill>
    </fill>
    <fill>
      <patternFill patternType="solid">
        <fgColor rgb="FFFF9900"/>
        <bgColor rgb="FFCC6600"/>
      </patternFill>
    </fill>
    <fill>
      <patternFill patternType="solid">
        <fgColor rgb="FFCC6600"/>
        <bgColor rgb="FFCC6600"/>
      </patternFill>
    </fill>
    <fill>
      <patternFill patternType="solid">
        <fgColor rgb="FF99CC00"/>
        <bgColor rgb="FF99CC00"/>
      </patternFill>
    </fill>
    <fill>
      <patternFill patternType="solid">
        <fgColor rgb="FF00CC66"/>
        <bgColor rgb="FF00CC66"/>
      </patternFill>
    </fill>
    <fill>
      <patternFill patternType="solid">
        <fgColor rgb="FF6699FF"/>
        <bgColor rgb="FF6699FF"/>
      </patternFill>
    </fill>
    <fill>
      <patternFill patternType="solid">
        <fgColor rgb="FFCC99FF"/>
        <bgColor rgb="FFCC99FF"/>
      </patternFill>
    </fill>
    <fill>
      <patternFill patternType="solid">
        <fgColor rgb="FFFF66CC"/>
        <bgColor rgb="FFFF66CC"/>
      </patternFill>
    </fill>
    <fill>
      <patternFill patternType="solid">
        <fgColor rgb="FFFF9966"/>
        <bgColor indexed="64"/>
      </patternFill>
    </fill>
    <fill>
      <patternFill patternType="solid">
        <fgColor rgb="FFFF9999"/>
        <bgColor rgb="FFFF9999"/>
      </patternFill>
    </fill>
    <fill>
      <patternFill patternType="solid">
        <fgColor rgb="FFFF5050"/>
        <bgColor rgb="FFFF5050"/>
      </patternFill>
    </fill>
    <fill>
      <patternFill patternType="solid">
        <fgColor indexed="47"/>
        <bgColor indexed="64"/>
      </patternFill>
    </fill>
    <fill>
      <patternFill patternType="solid">
        <fgColor theme="0"/>
        <bgColor indexed="64"/>
      </patternFill>
    </fill>
    <fill>
      <patternFill patternType="solid">
        <fgColor indexed="18"/>
        <bgColor indexed="64"/>
      </patternFill>
    </fill>
    <fill>
      <patternFill patternType="solid">
        <fgColor rgb="FF666699"/>
        <bgColor rgb="FF808080"/>
      </patternFill>
    </fill>
    <fill>
      <patternFill patternType="solid">
        <fgColor rgb="FFFFFFFF"/>
        <bgColor rgb="FFFFFFCC"/>
      </patternFill>
    </fill>
    <fill>
      <patternFill patternType="solid">
        <fgColor indexed="23"/>
        <bgColor indexed="64"/>
      </patternFill>
    </fill>
    <fill>
      <patternFill patternType="solid">
        <fgColor rgb="FFC0C0C0"/>
        <bgColor rgb="FFB1B1B1"/>
      </patternFill>
    </fill>
    <fill>
      <patternFill patternType="solid">
        <fgColor rgb="FF969696"/>
        <bgColor rgb="FF808080"/>
      </patternFill>
    </fill>
    <fill>
      <patternFill patternType="solid">
        <fgColor rgb="FFCCFFFF"/>
        <bgColor rgb="FFCCFFCC"/>
      </patternFill>
    </fill>
    <fill>
      <patternFill patternType="solid">
        <fgColor rgb="FF203764"/>
        <bgColor rgb="FF203764"/>
      </patternFill>
    </fill>
    <fill>
      <patternFill patternType="solid">
        <fgColor rgb="FF375623"/>
        <bgColor rgb="FF375623"/>
      </patternFill>
    </fill>
    <fill>
      <patternFill patternType="solid">
        <fgColor rgb="FF9BC2E6"/>
        <bgColor rgb="FF9BC2E6"/>
      </patternFill>
    </fill>
    <fill>
      <patternFill patternType="solid">
        <fgColor rgb="FF336699"/>
        <bgColor rgb="FF336699"/>
      </patternFill>
    </fill>
    <fill>
      <patternFill patternType="solid">
        <fgColor rgb="FFC9E5ED"/>
        <bgColor rgb="FFC9E5ED"/>
      </patternFill>
    </fill>
    <fill>
      <patternFill patternType="solid">
        <fgColor rgb="FF1F4E78"/>
        <bgColor rgb="FF1F4E78"/>
      </patternFill>
    </fill>
    <fill>
      <patternFill patternType="solid">
        <fgColor rgb="FF548235"/>
        <bgColor rgb="FF548235"/>
      </patternFill>
    </fill>
    <fill>
      <patternFill patternType="solid">
        <fgColor indexed="13"/>
        <bgColor indexed="34"/>
      </patternFill>
    </fill>
    <fill>
      <patternFill patternType="solid">
        <fgColor indexed="11"/>
        <bgColor indexed="49"/>
      </patternFill>
    </fill>
    <fill>
      <patternFill patternType="solid">
        <fgColor indexed="10"/>
        <bgColor indexed="60"/>
      </patternFill>
    </fill>
    <fill>
      <patternFill patternType="solid">
        <fgColor indexed="60"/>
        <bgColor indexed="25"/>
      </patternFill>
    </fill>
    <fill>
      <patternFill patternType="solid">
        <fgColor indexed="52"/>
        <bgColor indexed="51"/>
      </patternFill>
    </fill>
    <fill>
      <patternFill patternType="solid">
        <fgColor indexed="51"/>
        <bgColor indexed="13"/>
      </patternFill>
    </fill>
    <fill>
      <patternFill patternType="solid">
        <fgColor indexed="16"/>
        <bgColor indexed="37"/>
      </patternFill>
    </fill>
    <fill>
      <patternFill patternType="solid">
        <fgColor indexed="30"/>
        <bgColor indexed="21"/>
      </patternFill>
    </fill>
    <fill>
      <patternFill patternType="solid">
        <fgColor indexed="12"/>
        <bgColor indexed="39"/>
      </patternFill>
    </fill>
    <fill>
      <patternFill patternType="solid">
        <fgColor indexed="17"/>
        <bgColor indexed="21"/>
      </patternFill>
    </fill>
    <fill>
      <patternFill patternType="solid">
        <fgColor indexed="53"/>
        <bgColor indexed="52"/>
      </patternFill>
    </fill>
    <fill>
      <patternFill patternType="solid">
        <fgColor indexed="15"/>
        <bgColor indexed="35"/>
      </patternFill>
    </fill>
    <fill>
      <patternFill patternType="solid">
        <fgColor indexed="50"/>
        <bgColor indexed="51"/>
      </patternFill>
    </fill>
    <fill>
      <patternFill patternType="solid">
        <fgColor indexed="14"/>
        <bgColor indexed="33"/>
      </patternFill>
    </fill>
    <fill>
      <patternFill patternType="solid">
        <fgColor indexed="25"/>
        <bgColor indexed="61"/>
      </patternFill>
    </fill>
    <fill>
      <patternFill patternType="solid">
        <fgColor indexed="24"/>
        <bgColor indexed="46"/>
      </patternFill>
    </fill>
    <fill>
      <patternFill patternType="solid">
        <fgColor indexed="21"/>
        <bgColor indexed="38"/>
      </patternFill>
    </fill>
    <fill>
      <patternFill patternType="solid">
        <fgColor indexed="22"/>
        <bgColor indexed="31"/>
      </patternFill>
    </fill>
    <fill>
      <patternFill patternType="solid">
        <fgColor indexed="9"/>
        <bgColor indexed="31"/>
      </patternFill>
    </fill>
    <fill>
      <patternFill patternType="solid">
        <fgColor indexed="16"/>
        <bgColor indexed="64"/>
      </patternFill>
    </fill>
    <fill>
      <patternFill patternType="solid">
        <fgColor rgb="FF0070C0"/>
        <bgColor indexed="64"/>
      </patternFill>
    </fill>
    <fill>
      <patternFill patternType="solid">
        <fgColor indexed="24"/>
        <bgColor indexed="64"/>
      </patternFill>
    </fill>
    <fill>
      <patternFill patternType="solid">
        <fgColor indexed="26"/>
        <bgColor indexed="64"/>
      </patternFill>
    </fill>
    <fill>
      <patternFill patternType="solid">
        <fgColor theme="0"/>
        <bgColor indexed="33"/>
      </patternFill>
    </fill>
    <fill>
      <patternFill patternType="solid">
        <fgColor theme="0"/>
        <bgColor indexed="52"/>
      </patternFill>
    </fill>
    <fill>
      <patternFill patternType="solid">
        <fgColor rgb="FF00B0F0"/>
        <bgColor indexed="64"/>
      </patternFill>
    </fill>
    <fill>
      <patternFill patternType="solid">
        <fgColor rgb="FFFF66CC"/>
        <bgColor indexed="64"/>
      </patternFill>
    </fill>
    <fill>
      <patternFill patternType="solid">
        <fgColor rgb="FFFF3300"/>
        <bgColor indexed="64"/>
      </patternFill>
    </fill>
    <fill>
      <patternFill patternType="solid">
        <fgColor indexed="39"/>
        <bgColor indexed="64"/>
      </patternFill>
    </fill>
    <fill>
      <patternFill patternType="solid">
        <fgColor rgb="FFFF9999"/>
        <bgColor indexed="64"/>
      </patternFill>
    </fill>
    <fill>
      <patternFill patternType="solid">
        <fgColor rgb="FFCC66FF"/>
        <bgColor indexed="64"/>
      </patternFill>
    </fill>
    <fill>
      <patternFill patternType="solid">
        <fgColor theme="7"/>
        <bgColor indexed="64"/>
      </patternFill>
    </fill>
    <fill>
      <patternFill patternType="solid">
        <fgColor theme="7" tint="-0.249977111117893"/>
        <bgColor indexed="64"/>
      </patternFill>
    </fill>
    <fill>
      <patternFill patternType="solid">
        <fgColor rgb="FF9966FF"/>
        <bgColor indexed="64"/>
      </patternFill>
    </fill>
    <fill>
      <patternFill patternType="solid">
        <fgColor rgb="FFFF7C80"/>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indexed="22"/>
        <bgColor indexed="0"/>
      </patternFill>
    </fill>
    <fill>
      <patternFill patternType="solid">
        <fgColor theme="2"/>
        <bgColor indexed="64"/>
      </patternFill>
    </fill>
    <fill>
      <patternFill patternType="solid">
        <fgColor indexed="12"/>
        <bgColor indexed="64"/>
      </patternFill>
    </fill>
    <fill>
      <patternFill patternType="solid">
        <fgColor indexed="15"/>
        <bgColor indexed="64"/>
      </patternFill>
    </fill>
    <fill>
      <patternFill patternType="solid">
        <fgColor indexed="17"/>
        <bgColor indexed="64"/>
      </patternFill>
    </fill>
    <fill>
      <patternFill patternType="solid">
        <fgColor indexed="20"/>
        <bgColor indexed="64"/>
      </patternFill>
    </fill>
    <fill>
      <patternFill patternType="solid">
        <fgColor indexed="21"/>
        <bgColor indexed="64"/>
      </patternFill>
    </fill>
    <fill>
      <patternFill patternType="solid">
        <fgColor indexed="25"/>
        <bgColor indexed="64"/>
      </patternFill>
    </fill>
    <fill>
      <patternFill patternType="solid">
        <fgColor indexed="28"/>
        <bgColor indexed="64"/>
      </patternFill>
    </fill>
    <fill>
      <patternFill patternType="solid">
        <fgColor indexed="30"/>
        <bgColor indexed="64"/>
      </patternFill>
    </fill>
    <fill>
      <patternFill patternType="solid">
        <fgColor indexed="32"/>
        <bgColor indexed="64"/>
      </patternFill>
    </fill>
    <fill>
      <patternFill patternType="solid">
        <fgColor indexed="33"/>
        <bgColor indexed="64"/>
      </patternFill>
    </fill>
    <fill>
      <patternFill patternType="solid">
        <fgColor indexed="34"/>
        <bgColor indexed="64"/>
      </patternFill>
    </fill>
    <fill>
      <patternFill patternType="solid">
        <fgColor indexed="35"/>
        <bgColor indexed="64"/>
      </patternFill>
    </fill>
    <fill>
      <patternFill patternType="solid">
        <fgColor indexed="37"/>
        <bgColor indexed="64"/>
      </patternFill>
    </fill>
    <fill>
      <patternFill patternType="solid">
        <fgColor indexed="38"/>
        <bgColor indexed="64"/>
      </patternFill>
    </fill>
    <fill>
      <patternFill patternType="solid">
        <fgColor indexed="40"/>
        <bgColor indexed="64"/>
      </patternFill>
    </fill>
    <fill>
      <patternFill patternType="solid">
        <fgColor indexed="45"/>
        <bgColor indexed="64"/>
      </patternFill>
    </fill>
    <fill>
      <patternFill patternType="solid">
        <fgColor indexed="48"/>
        <bgColor indexed="64"/>
      </patternFill>
    </fill>
    <fill>
      <patternFill patternType="solid">
        <fgColor rgb="FF215967"/>
        <bgColor rgb="FF215967"/>
      </patternFill>
    </fill>
    <fill>
      <patternFill patternType="solid">
        <fgColor rgb="FFF2F2F2"/>
      </patternFill>
    </fill>
    <fill>
      <patternFill patternType="solid">
        <fgColor theme="6" tint="0.79998168889431442"/>
        <bgColor indexed="64"/>
      </patternFill>
    </fill>
    <fill>
      <patternFill patternType="solid">
        <fgColor rgb="FFD0CECE"/>
        <bgColor indexed="64"/>
      </patternFill>
    </fill>
    <fill>
      <patternFill patternType="solid">
        <fgColor theme="5" tint="0.59999389629810485"/>
        <bgColor indexed="64"/>
      </patternFill>
    </fill>
    <fill>
      <patternFill patternType="solid">
        <fgColor theme="7" tint="0.79998168889431442"/>
        <bgColor rgb="FFFCD5B5"/>
      </patternFill>
    </fill>
    <fill>
      <patternFill patternType="solid">
        <fgColor theme="6" tint="0.79998168889431442"/>
        <bgColor rgb="FFD9D9D9"/>
      </patternFill>
    </fill>
    <fill>
      <patternFill patternType="solid">
        <fgColor rgb="FFCC0000"/>
        <bgColor indexed="64"/>
      </patternFill>
    </fill>
    <fill>
      <patternFill patternType="solid">
        <fgColor rgb="FF66FFFF"/>
        <bgColor indexed="64"/>
      </patternFill>
    </fill>
    <fill>
      <patternFill patternType="solid">
        <fgColor rgb="FFFFCC99"/>
        <bgColor indexed="64"/>
      </patternFill>
    </fill>
    <fill>
      <patternFill patternType="solid">
        <fgColor rgb="FF008000"/>
        <bgColor indexed="64"/>
      </patternFill>
    </fill>
    <fill>
      <patternFill patternType="solid">
        <fgColor theme="5"/>
        <bgColor indexed="64"/>
      </patternFill>
    </fill>
    <fill>
      <patternFill patternType="solid">
        <fgColor rgb="FF92D050"/>
        <bgColor rgb="FFD9D9D9"/>
      </patternFill>
    </fill>
    <fill>
      <patternFill patternType="solid">
        <fgColor rgb="FFFFFF00"/>
        <bgColor rgb="FFCCFFCC"/>
      </patternFill>
    </fill>
    <fill>
      <patternFill patternType="solid">
        <fgColor rgb="FFFFFF00"/>
        <bgColor rgb="FFD9D9D9"/>
      </patternFill>
    </fill>
    <fill>
      <patternFill patternType="solid">
        <fgColor theme="9" tint="0.79998168889431442"/>
        <bgColor rgb="FFD9D9D9"/>
      </patternFill>
    </fill>
    <fill>
      <patternFill patternType="solid">
        <fgColor rgb="FFFFFF00"/>
        <bgColor rgb="FFFCD5B5"/>
      </patternFill>
    </fill>
  </fills>
  <borders count="368">
    <border>
      <left/>
      <right/>
      <top/>
      <bottom/>
      <diagonal/>
    </border>
    <border>
      <left style="medium">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style="thin">
        <color indexed="64"/>
      </left>
      <right style="thin">
        <color indexed="64"/>
      </right>
      <top/>
      <bottom/>
      <diagonal/>
    </border>
    <border>
      <left style="medium">
        <color auto="1"/>
      </left>
      <right/>
      <top style="medium">
        <color auto="1"/>
      </top>
      <bottom/>
      <diagonal/>
    </border>
    <border>
      <left style="medium">
        <color indexed="64"/>
      </left>
      <right/>
      <top/>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diagonal/>
    </border>
    <border>
      <left style="thin">
        <color indexed="18"/>
      </left>
      <right style="thin">
        <color indexed="18"/>
      </right>
      <top/>
      <bottom style="thin">
        <color indexed="18"/>
      </bottom>
      <diagonal/>
    </border>
    <border>
      <left style="thin">
        <color indexed="18"/>
      </left>
      <right style="thin">
        <color indexed="18"/>
      </right>
      <top style="thin">
        <color indexed="18"/>
      </top>
      <bottom/>
      <diagonal/>
    </border>
    <border>
      <left style="thin">
        <color indexed="18"/>
      </left>
      <right/>
      <top/>
      <bottom style="thin">
        <color indexed="18"/>
      </bottom>
      <diagonal/>
    </border>
    <border>
      <left/>
      <right/>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style="thin">
        <color indexed="18"/>
      </right>
      <top style="thin">
        <color indexed="18"/>
      </top>
      <bottom style="thin">
        <color indexed="18"/>
      </bottom>
      <diagonal/>
    </border>
    <border>
      <left/>
      <right/>
      <top style="thin">
        <color indexed="18"/>
      </top>
      <bottom style="thin">
        <color indexed="18"/>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indexed="64"/>
      </left>
      <right style="medium">
        <color indexed="64"/>
      </right>
      <top style="thin">
        <color indexed="64"/>
      </top>
      <bottom style="medium">
        <color indexed="64"/>
      </bottom>
      <diagonal/>
    </border>
    <border>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medium">
        <color auto="1"/>
      </top>
      <bottom/>
      <diagonal/>
    </border>
    <border>
      <left/>
      <right style="thin">
        <color auto="1"/>
      </right>
      <top style="medium">
        <color auto="1"/>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auto="1"/>
      </left>
      <right/>
      <top style="medium">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auto="1"/>
      </top>
      <bottom style="medium">
        <color indexed="64"/>
      </bottom>
      <diagonal/>
    </border>
    <border>
      <left/>
      <right style="thin">
        <color indexed="64"/>
      </right>
      <top style="thin">
        <color indexed="64"/>
      </top>
      <bottom style="medium">
        <color indexed="64"/>
      </bottom>
      <diagonal/>
    </border>
    <border>
      <left style="thin">
        <color auto="1"/>
      </left>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auto="1"/>
      </left>
      <right style="thin">
        <color auto="1"/>
      </right>
      <top/>
      <bottom/>
      <diagonal/>
    </border>
    <border>
      <left/>
      <right/>
      <top style="medium">
        <color auto="1"/>
      </top>
      <bottom style="thin">
        <color auto="1"/>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auto="1"/>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right/>
      <top style="thin">
        <color indexed="9"/>
      </top>
      <bottom style="thin">
        <color indexed="50"/>
      </bottom>
      <diagonal/>
    </border>
    <border>
      <left style="thin">
        <color indexed="50"/>
      </left>
      <right style="thin">
        <color indexed="50"/>
      </right>
      <top style="thin">
        <color indexed="9"/>
      </top>
      <bottom style="thin">
        <color indexed="9"/>
      </bottom>
      <diagonal/>
    </border>
    <border>
      <left style="thin">
        <color indexed="9"/>
      </left>
      <right style="thin">
        <color indexed="9"/>
      </right>
      <top style="thin">
        <color indexed="9"/>
      </top>
      <bottom/>
      <diagonal/>
    </border>
    <border>
      <left style="thin">
        <color indexed="50"/>
      </left>
      <right style="thin">
        <color indexed="50"/>
      </right>
      <top style="thin">
        <color indexed="9"/>
      </top>
      <bottom/>
      <diagonal/>
    </border>
    <border>
      <left style="thin">
        <color indexed="64"/>
      </left>
      <right style="thin">
        <color indexed="64"/>
      </right>
      <top style="thin">
        <color indexed="18"/>
      </top>
      <bottom/>
      <diagonal/>
    </border>
    <border>
      <left style="thin">
        <color indexed="64"/>
      </left>
      <right/>
      <top style="thin">
        <color indexed="18"/>
      </top>
      <bottom style="thin">
        <color indexed="64"/>
      </bottom>
      <diagonal/>
    </border>
    <border>
      <left/>
      <right/>
      <top style="thin">
        <color indexed="18"/>
      </top>
      <bottom style="thin">
        <color indexed="64"/>
      </bottom>
      <diagonal/>
    </border>
    <border>
      <left/>
      <right style="medium">
        <color indexed="64"/>
      </right>
      <top style="thin">
        <color indexed="18"/>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18"/>
      </right>
      <top style="thin">
        <color indexed="18"/>
      </top>
      <bottom style="thin">
        <color indexed="18"/>
      </bottom>
      <diagonal/>
    </border>
    <border>
      <left style="thin">
        <color indexed="18"/>
      </left>
      <right style="medium">
        <color indexed="64"/>
      </right>
      <top style="thin">
        <color indexed="18"/>
      </top>
      <bottom style="thin">
        <color indexed="18"/>
      </bottom>
      <diagonal/>
    </border>
    <border>
      <left style="medium">
        <color indexed="64"/>
      </left>
      <right/>
      <top style="thin">
        <color indexed="18"/>
      </top>
      <bottom style="medium">
        <color indexed="64"/>
      </bottom>
      <diagonal/>
    </border>
    <border>
      <left style="thin">
        <color indexed="64"/>
      </left>
      <right/>
      <top style="thin">
        <color indexed="18"/>
      </top>
      <bottom style="medium">
        <color indexed="64"/>
      </bottom>
      <diagonal/>
    </border>
    <border>
      <left style="thin">
        <color indexed="64"/>
      </left>
      <right style="medium">
        <color indexed="64"/>
      </right>
      <top style="thin">
        <color indexed="18"/>
      </top>
      <bottom style="medium">
        <color indexed="64"/>
      </bottom>
      <diagonal/>
    </border>
    <border>
      <left/>
      <right style="thin">
        <color indexed="18"/>
      </right>
      <top style="medium">
        <color indexed="64"/>
      </top>
      <bottom style="medium">
        <color indexed="64"/>
      </bottom>
      <diagonal/>
    </border>
    <border>
      <left/>
      <right style="thin">
        <color indexed="18"/>
      </right>
      <top style="medium">
        <color indexed="64"/>
      </top>
      <bottom style="thin">
        <color indexed="18"/>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2"/>
      </left>
      <right style="thin">
        <color indexed="62"/>
      </right>
      <top style="thin">
        <color indexed="62"/>
      </top>
      <bottom style="thin">
        <color indexed="62"/>
      </bottom>
      <diagonal/>
    </border>
    <border>
      <left style="thin">
        <color indexed="18"/>
      </left>
      <right style="thin">
        <color indexed="18"/>
      </right>
      <top style="thin">
        <color indexed="18"/>
      </top>
      <bottom style="thin">
        <color indexed="27"/>
      </bottom>
      <diagonal/>
    </border>
    <border>
      <left style="thin">
        <color indexed="18"/>
      </left>
      <right style="thin">
        <color indexed="18"/>
      </right>
      <top/>
      <bottom style="thin">
        <color indexed="27"/>
      </bottom>
      <diagonal/>
    </border>
    <border>
      <left style="thin">
        <color rgb="FF01017F"/>
      </left>
      <right style="thin">
        <color rgb="FF01017F"/>
      </right>
      <top style="thin">
        <color rgb="FF01017F"/>
      </top>
      <bottom style="thin">
        <color rgb="FF01017F"/>
      </bottom>
      <diagonal/>
    </border>
    <border>
      <left style="thin">
        <color indexed="18"/>
      </left>
      <right style="thin">
        <color indexed="18"/>
      </right>
      <top style="thin">
        <color indexed="27"/>
      </top>
      <bottom style="thin">
        <color indexed="18"/>
      </bottom>
      <diagonal/>
    </border>
    <border>
      <left/>
      <right/>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auto="1"/>
      </bottom>
      <diagonal/>
    </border>
    <border>
      <left/>
      <right/>
      <top style="thin">
        <color auto="1"/>
      </top>
      <bottom/>
      <diagonal/>
    </border>
    <border>
      <left style="medium">
        <color indexed="64"/>
      </left>
      <right/>
      <top style="thin">
        <color indexed="64"/>
      </top>
      <bottom/>
      <diagonal/>
    </border>
    <border>
      <left style="medium">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3"/>
      </bottom>
      <diagonal/>
    </border>
    <border>
      <left style="thin">
        <color indexed="64"/>
      </left>
      <right style="thin">
        <color indexed="63"/>
      </right>
      <top style="thin">
        <color indexed="63"/>
      </top>
      <bottom style="thin">
        <color indexed="63"/>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medium">
        <color indexed="63"/>
      </left>
      <right style="thin">
        <color indexed="63"/>
      </right>
      <top style="thin">
        <color indexed="63"/>
      </top>
      <bottom style="thin">
        <color indexed="63"/>
      </bottom>
      <diagonal/>
    </border>
    <border>
      <left style="medium">
        <color indexed="63"/>
      </left>
      <right style="thin">
        <color indexed="64"/>
      </right>
      <top style="thin">
        <color indexed="63"/>
      </top>
      <bottom style="thin">
        <color indexed="63"/>
      </bottom>
      <diagonal/>
    </border>
    <border>
      <left style="thin">
        <color indexed="63"/>
      </left>
      <right/>
      <top style="thin">
        <color indexed="63"/>
      </top>
      <bottom style="thin">
        <color indexed="63"/>
      </bottom>
      <diagonal/>
    </border>
    <border>
      <left style="thin">
        <color indexed="63"/>
      </left>
      <right style="thin">
        <color indexed="63"/>
      </right>
      <top style="thin">
        <color indexed="63"/>
      </top>
      <bottom/>
      <diagonal/>
    </border>
    <border>
      <left style="thin">
        <color indexed="63"/>
      </left>
      <right/>
      <top style="thin">
        <color indexed="63"/>
      </top>
      <bottom/>
      <diagonal/>
    </border>
    <border>
      <left style="medium">
        <color indexed="63"/>
      </left>
      <right style="thin">
        <color indexed="63"/>
      </right>
      <top style="medium">
        <color indexed="63"/>
      </top>
      <bottom style="thin">
        <color indexed="63"/>
      </bottom>
      <diagonal/>
    </border>
    <border>
      <left style="thin">
        <color indexed="63"/>
      </left>
      <right style="thin">
        <color indexed="63"/>
      </right>
      <top style="medium">
        <color indexed="63"/>
      </top>
      <bottom style="thin">
        <color indexed="63"/>
      </bottom>
      <diagonal/>
    </border>
    <border>
      <left style="thin">
        <color indexed="63"/>
      </left>
      <right/>
      <top style="medium">
        <color indexed="63"/>
      </top>
      <bottom style="thin">
        <color indexed="63"/>
      </bottom>
      <diagonal/>
    </border>
    <border>
      <left style="medium">
        <color indexed="63"/>
      </left>
      <right style="thin">
        <color indexed="63"/>
      </right>
      <top style="thin">
        <color indexed="63"/>
      </top>
      <bottom style="medium">
        <color indexed="63"/>
      </bottom>
      <diagonal/>
    </border>
    <border>
      <left style="thin">
        <color indexed="63"/>
      </left>
      <right style="thin">
        <color indexed="63"/>
      </right>
      <top style="thin">
        <color indexed="63"/>
      </top>
      <bottom style="medium">
        <color indexed="63"/>
      </bottom>
      <diagonal/>
    </border>
    <border>
      <left style="thin">
        <color indexed="63"/>
      </left>
      <right/>
      <top style="thin">
        <color indexed="63"/>
      </top>
      <bottom style="medium">
        <color indexed="63"/>
      </bottom>
      <diagonal/>
    </border>
    <border>
      <left style="thin">
        <color indexed="63"/>
      </left>
      <right style="thin">
        <color indexed="63"/>
      </right>
      <top/>
      <bottom style="thin">
        <color indexed="63"/>
      </bottom>
      <diagonal/>
    </border>
    <border>
      <left style="thin">
        <color indexed="63"/>
      </left>
      <right/>
      <top/>
      <bottom style="thin">
        <color indexed="63"/>
      </bottom>
      <diagonal/>
    </border>
    <border>
      <left style="thin">
        <color indexed="63"/>
      </left>
      <right style="thin">
        <color indexed="63"/>
      </right>
      <top/>
      <bottom/>
      <diagonal/>
    </border>
    <border>
      <left style="thin">
        <color indexed="63"/>
      </left>
      <right/>
      <top/>
      <bottom/>
      <diagonal/>
    </border>
    <border>
      <left style="thin">
        <color indexed="63"/>
      </left>
      <right style="thin">
        <color indexed="63"/>
      </right>
      <top style="thin">
        <color indexed="63"/>
      </top>
      <bottom style="thin">
        <color indexed="63"/>
      </bottom>
      <diagonal/>
    </border>
    <border>
      <left/>
      <right/>
      <top/>
      <bottom style="thin">
        <color indexed="22"/>
      </bottom>
      <diagonal/>
    </border>
    <border>
      <left style="thin">
        <color indexed="22"/>
      </left>
      <right style="thin">
        <color indexed="22"/>
      </right>
      <top style="thin">
        <color indexed="22"/>
      </top>
      <bottom style="thin">
        <color indexed="22"/>
      </bottom>
      <diagonal/>
    </border>
    <border>
      <left/>
      <right/>
      <top style="thin">
        <color indexed="22"/>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style="thin">
        <color indexed="63"/>
      </top>
      <bottom style="medium">
        <color indexed="63"/>
      </bottom>
      <diagonal/>
    </border>
    <border>
      <left style="thin">
        <color indexed="63"/>
      </left>
      <right style="thin">
        <color indexed="63"/>
      </right>
      <top style="thin">
        <color indexed="63"/>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medium">
        <color auto="1"/>
      </right>
      <top style="medium">
        <color auto="1"/>
      </top>
      <bottom style="medium">
        <color auto="1"/>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bottom style="medium">
        <color indexed="64"/>
      </bottom>
      <diagonal/>
    </border>
    <border>
      <left style="medium">
        <color auto="1"/>
      </left>
      <right/>
      <top style="medium">
        <color auto="1"/>
      </top>
      <bottom style="medium">
        <color auto="1"/>
      </bottom>
      <diagonal/>
    </border>
    <border>
      <left style="thin">
        <color indexed="8"/>
      </left>
      <right/>
      <top/>
      <bottom/>
      <diagonal/>
    </border>
    <border>
      <left style="thin">
        <color indexed="8"/>
      </left>
      <right style="thin">
        <color indexed="8"/>
      </right>
      <top/>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style="thin">
        <color indexed="64"/>
      </bottom>
      <diagonal/>
    </border>
    <border>
      <left/>
      <right/>
      <top/>
      <bottom style="thin">
        <color auto="1"/>
      </bottom>
      <diagonal/>
    </border>
    <border>
      <left/>
      <right style="thin">
        <color indexed="8"/>
      </right>
      <top/>
      <bottom/>
      <diagonal/>
    </border>
    <border>
      <left style="thin">
        <color auto="1"/>
      </left>
      <right style="thin">
        <color auto="1"/>
      </right>
      <top style="thin">
        <color auto="1"/>
      </top>
      <bottom style="thin">
        <color auto="1"/>
      </bottom>
      <diagonal/>
    </border>
    <border>
      <left/>
      <right style="thin">
        <color indexed="8"/>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auto="1"/>
      </top>
      <bottom/>
      <diagonal/>
    </border>
    <border>
      <left style="thin">
        <color auto="1"/>
      </left>
      <right style="thin">
        <color auto="1"/>
      </right>
      <top/>
      <bottom style="thin">
        <color indexed="8"/>
      </bottom>
      <diagonal/>
    </border>
    <border>
      <left/>
      <right/>
      <top/>
      <bottom style="thin">
        <color indexed="8"/>
      </bottom>
      <diagonal/>
    </border>
    <border>
      <left style="thin">
        <color indexed="8"/>
      </left>
      <right/>
      <top style="thin">
        <color indexed="8"/>
      </top>
      <bottom/>
      <diagonal/>
    </border>
    <border>
      <left/>
      <right/>
      <top style="thin">
        <color indexed="8"/>
      </top>
      <bottom/>
      <diagonal/>
    </border>
    <border>
      <left/>
      <right/>
      <top style="thin">
        <color indexed="8"/>
      </top>
      <bottom style="thin">
        <color auto="1"/>
      </bottom>
      <diagonal/>
    </border>
    <border>
      <left/>
      <right style="thin">
        <color indexed="8"/>
      </right>
      <top style="thin">
        <color indexed="8"/>
      </top>
      <bottom/>
      <diagonal/>
    </border>
    <border>
      <left style="thin">
        <color indexed="64"/>
      </left>
      <right/>
      <top style="thin">
        <color indexed="64"/>
      </top>
      <bottom style="thin">
        <color indexed="64"/>
      </bottom>
      <diagonal/>
    </border>
    <border>
      <left/>
      <right/>
      <top style="medium">
        <color auto="1"/>
      </top>
      <bottom style="medium">
        <color auto="1"/>
      </bottom>
      <diagonal/>
    </border>
    <border>
      <left style="thin">
        <color indexed="8"/>
      </left>
      <right/>
      <top style="thin">
        <color indexed="8"/>
      </top>
      <bottom style="thin">
        <color indexed="8"/>
      </bottom>
      <diagonal/>
    </border>
    <border>
      <left style="medium">
        <color indexed="64"/>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thin">
        <color indexed="8"/>
      </right>
      <top style="medium">
        <color indexed="64"/>
      </top>
      <bottom/>
      <diagonal/>
    </border>
    <border>
      <left style="thin">
        <color indexed="8"/>
      </left>
      <right style="medium">
        <color indexed="64"/>
      </right>
      <top style="medium">
        <color indexed="64"/>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bottom style="thin">
        <color indexed="8"/>
      </bottom>
      <diagonal/>
    </border>
    <border>
      <left style="thin">
        <color indexed="8"/>
      </left>
      <right style="medium">
        <color indexed="64"/>
      </right>
      <top/>
      <bottom style="thin">
        <color indexed="8"/>
      </bottom>
      <diagonal/>
    </border>
    <border>
      <left style="thin">
        <color indexed="8"/>
      </left>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bottom/>
      <diagonal/>
    </border>
    <border>
      <left style="thin">
        <color rgb="FF3F3F3F"/>
      </left>
      <right style="thin">
        <color rgb="FF3F3F3F"/>
      </right>
      <top/>
      <bottom style="thin">
        <color rgb="FF3F3F3F"/>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18"/>
      </left>
      <right style="thin">
        <color indexed="18"/>
      </right>
      <top style="thin">
        <color indexed="18"/>
      </top>
      <bottom style="thin">
        <color indexed="27"/>
      </bottom>
      <diagonal/>
    </border>
    <border>
      <left style="thin">
        <color indexed="18"/>
      </left>
      <right style="thin">
        <color indexed="18"/>
      </right>
      <top/>
      <bottom style="thin">
        <color indexed="27"/>
      </bottom>
      <diagonal/>
    </border>
    <border>
      <left style="thin">
        <color auto="1"/>
      </left>
      <right style="thin">
        <color auto="1"/>
      </right>
      <top style="thin">
        <color auto="1"/>
      </top>
      <bottom style="thin">
        <color auto="1"/>
      </bottom>
      <diagonal/>
    </border>
    <border>
      <left style="thin">
        <color indexed="9"/>
      </left>
      <right style="thin">
        <color indexed="9"/>
      </right>
      <top style="thin">
        <color indexed="9"/>
      </top>
      <bottom style="thin">
        <color indexed="9"/>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auto="1"/>
      </right>
      <top style="thin">
        <color auto="1"/>
      </top>
      <bottom/>
      <diagonal/>
    </border>
    <border>
      <left/>
      <right style="thin">
        <color auto="1"/>
      </right>
      <top/>
      <bottom/>
      <diagonal/>
    </border>
    <border>
      <left/>
      <right/>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medium">
        <color auto="1"/>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50"/>
      </left>
      <right style="thin">
        <color indexed="50"/>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indexed="9"/>
      </right>
      <top/>
      <bottom style="medium">
        <color indexed="64"/>
      </bottom>
      <diagonal/>
    </border>
    <border>
      <left style="thin">
        <color theme="0"/>
      </left>
      <right/>
      <top style="medium">
        <color indexed="64"/>
      </top>
      <bottom style="thin">
        <color theme="0"/>
      </bottom>
      <diagonal/>
    </border>
    <border>
      <left style="thin">
        <color theme="0"/>
      </left>
      <right/>
      <top style="thin">
        <color theme="0"/>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9"/>
      </left>
      <right style="thin">
        <color indexed="9"/>
      </right>
      <top style="medium">
        <color theme="0" tint="-0.24994659260841701"/>
      </top>
      <bottom style="thin">
        <color theme="0"/>
      </bottom>
      <diagonal/>
    </border>
    <border>
      <left style="thin">
        <color indexed="9"/>
      </left>
      <right style="thin">
        <color indexed="9"/>
      </right>
      <top style="thin">
        <color indexed="9"/>
      </top>
      <bottom style="thin">
        <color theme="0"/>
      </bottom>
      <diagonal/>
    </border>
    <border>
      <left style="thin">
        <color indexed="9"/>
      </left>
      <right style="thin">
        <color indexed="9"/>
      </right>
      <top style="medium">
        <color theme="0" tint="-0.24994659260841701"/>
      </top>
      <bottom/>
      <diagonal/>
    </border>
    <border>
      <left style="thin">
        <color indexed="9"/>
      </left>
      <right style="thin">
        <color indexed="9"/>
      </right>
      <top style="thick">
        <color auto="1"/>
      </top>
      <bottom style="thin">
        <color indexed="9"/>
      </bottom>
      <diagonal/>
    </border>
    <border>
      <left style="thin">
        <color theme="0" tint="-0.249977111117893"/>
      </left>
      <right style="thin">
        <color theme="0" tint="-0.249977111117893"/>
      </right>
      <top style="thin">
        <color theme="0" tint="-0.24994659260841701"/>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9"/>
      </left>
      <right style="thin">
        <color indexed="9"/>
      </right>
      <top/>
      <bottom style="thin">
        <color indexed="9"/>
      </bottom>
      <diagonal/>
    </border>
    <border>
      <left style="thin">
        <color theme="0" tint="-0.249977111117893"/>
      </left>
      <right/>
      <top style="thin">
        <color theme="0" tint="-0.24994659260841701"/>
      </top>
      <bottom style="thin">
        <color theme="0" tint="-0.249977111117893"/>
      </bottom>
      <diagonal/>
    </border>
    <border>
      <left/>
      <right/>
      <top style="thin">
        <color indexed="9"/>
      </top>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6"/>
      </right>
      <top style="thin">
        <color theme="0" tint="-0.24994659260841701"/>
      </top>
      <bottom style="thin">
        <color theme="0" tint="-0.24994659260841701"/>
      </bottom>
      <diagonal/>
    </border>
    <border>
      <left style="thin">
        <color indexed="9"/>
      </left>
      <right style="thin">
        <color indexed="9"/>
      </right>
      <top style="thin">
        <color theme="0" tint="-0.249977111117893"/>
      </top>
      <bottom style="thin">
        <color theme="0" tint="-0.249977111117893"/>
      </bottom>
      <diagonal/>
    </border>
    <border>
      <left style="thin">
        <color indexed="9"/>
      </left>
      <right style="thin">
        <color theme="0" tint="-0.249977111117893"/>
      </right>
      <top style="thin">
        <color theme="0" tint="-0.249977111117893"/>
      </top>
      <bottom style="thin">
        <color theme="0" tint="-0.249977111117893"/>
      </bottom>
      <diagonal/>
    </border>
    <border>
      <left/>
      <right style="thin">
        <color indexed="9"/>
      </right>
      <top style="thin">
        <color theme="0" tint="-0.249977111117893"/>
      </top>
      <bottom style="thin">
        <color theme="0" tint="-0.249977111117893"/>
      </bottom>
      <diagonal/>
    </border>
    <border>
      <left style="thin">
        <color indexed="64"/>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style="thin">
        <color indexed="9"/>
      </top>
      <bottom style="thin">
        <color theme="0" tint="-0.249977111117893"/>
      </bottom>
      <diagonal/>
    </border>
    <border>
      <left style="thin">
        <color theme="0" tint="-0.24994659260841701"/>
      </left>
      <right style="thin">
        <color theme="0" tint="-0.24994659260841701"/>
      </right>
      <top style="thin">
        <color theme="0" tint="-0.249977111117893"/>
      </top>
      <bottom style="thin">
        <color indexed="9"/>
      </bottom>
      <diagonal/>
    </border>
    <border>
      <left style="thin">
        <color indexed="50"/>
      </left>
      <right/>
      <top style="thin">
        <color indexed="9"/>
      </top>
      <bottom/>
      <diagonal/>
    </border>
    <border>
      <left style="thin">
        <color theme="0" tint="-0.24994659260841701"/>
      </left>
      <right style="thin">
        <color theme="0" tint="-0.24994659260841701"/>
      </right>
      <top style="thin">
        <color indexed="9"/>
      </top>
      <bottom style="thin">
        <color indexed="9"/>
      </bottom>
      <diagonal/>
    </border>
    <border>
      <left style="thin">
        <color indexed="50"/>
      </left>
      <right/>
      <top style="thin">
        <color indexed="9"/>
      </top>
      <bottom style="thin">
        <color indexed="9"/>
      </bottom>
      <diagonal/>
    </border>
    <border>
      <left style="thin">
        <color theme="0" tint="-0.24994659260841701"/>
      </left>
      <right style="thin">
        <color theme="0" tint="-0.24994659260841701"/>
      </right>
      <top style="thin">
        <color theme="0" tint="-0.249977111117893"/>
      </top>
      <bottom/>
      <diagonal/>
    </border>
    <border>
      <left style="thin">
        <color theme="0" tint="-0.24994659260841701"/>
      </left>
      <right style="thin">
        <color theme="0" tint="-0.24994659260841701"/>
      </right>
      <top style="thin">
        <color indexed="9"/>
      </top>
      <bottom/>
      <diagonal/>
    </border>
    <border>
      <left/>
      <right/>
      <top/>
      <bottom style="thin">
        <color indexed="9"/>
      </bottom>
      <diagonal/>
    </border>
    <border>
      <left/>
      <right/>
      <top style="thin">
        <color indexed="9"/>
      </top>
      <bottom style="thin">
        <color indexed="9"/>
      </bottom>
      <diagonal/>
    </border>
    <border>
      <left style="thin">
        <color theme="0" tint="-0.24994659260841701"/>
      </left>
      <right/>
      <top style="thin">
        <color indexed="9"/>
      </top>
      <bottom/>
      <diagonal/>
    </border>
    <border>
      <left style="thin">
        <color theme="0" tint="-0.24994659260841701"/>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4659260841701"/>
      </left>
      <right style="thin">
        <color theme="0" tint="-0.24994659260841701"/>
      </right>
      <top style="thin">
        <color indexed="9"/>
      </top>
      <bottom style="thin">
        <color theme="0" tint="-0.249977111117893"/>
      </bottom>
      <diagonal/>
    </border>
    <border>
      <left style="thin">
        <color indexed="9"/>
      </left>
      <right style="thin">
        <color indexed="9"/>
      </right>
      <top style="thin">
        <color indexed="9"/>
      </top>
      <bottom style="thin">
        <color indexed="9"/>
      </bottom>
      <diagonal/>
    </border>
    <border>
      <left style="thin">
        <color indexed="50"/>
      </left>
      <right/>
      <top style="thin">
        <color indexed="50"/>
      </top>
      <bottom style="thin">
        <color indexed="50"/>
      </bottom>
      <diagonal/>
    </border>
    <border>
      <left style="thin">
        <color indexed="50"/>
      </left>
      <right/>
      <top style="thin">
        <color indexed="50"/>
      </top>
      <bottom style="thin">
        <color indexed="9"/>
      </bottom>
      <diagonal/>
    </border>
    <border>
      <left style="thin">
        <color indexed="64"/>
      </left>
      <right/>
      <top style="thin">
        <color indexed="50"/>
      </top>
      <bottom style="thin">
        <color indexed="64"/>
      </bottom>
      <diagonal/>
    </border>
    <border>
      <left style="thin">
        <color indexed="64"/>
      </left>
      <right/>
      <top style="thin">
        <color indexed="50"/>
      </top>
      <bottom style="thin">
        <color indexed="9"/>
      </bottom>
      <diagonal/>
    </border>
    <border>
      <left style="thin">
        <color indexed="64"/>
      </left>
      <right style="thin">
        <color indexed="64"/>
      </right>
      <top style="thin">
        <color indexed="50"/>
      </top>
      <bottom style="thin">
        <color indexed="9"/>
      </bottom>
      <diagonal/>
    </border>
    <border>
      <left/>
      <right style="dashed">
        <color indexed="50"/>
      </right>
      <top style="thin">
        <color indexed="50"/>
      </top>
      <bottom style="thin">
        <color indexed="9"/>
      </bottom>
      <diagonal/>
    </border>
    <border>
      <left style="thin">
        <color indexed="50"/>
      </left>
      <right style="dashed">
        <color indexed="50"/>
      </right>
      <top style="thin">
        <color indexed="50"/>
      </top>
      <bottom style="thin">
        <color indexed="9"/>
      </bottom>
      <diagonal/>
    </border>
    <border>
      <left style="thin">
        <color indexed="64"/>
      </left>
      <right style="dashed">
        <color indexed="50"/>
      </right>
      <top style="thin">
        <color indexed="50"/>
      </top>
      <bottom style="thin">
        <color indexed="9"/>
      </bottom>
      <diagonal/>
    </border>
    <border>
      <left style="thin">
        <color indexed="50"/>
      </left>
      <right style="thin">
        <color indexed="64"/>
      </right>
      <top style="thin">
        <color indexed="50"/>
      </top>
      <bottom style="thin">
        <color indexed="9"/>
      </bottom>
      <diagonal/>
    </border>
    <border>
      <left/>
      <right/>
      <top style="thin">
        <color indexed="50"/>
      </top>
      <bottom style="thin">
        <color indexed="9"/>
      </bottom>
      <diagonal/>
    </border>
    <border>
      <left style="thin">
        <color indexed="64"/>
      </left>
      <right style="thin">
        <color indexed="50"/>
      </right>
      <top style="thin">
        <color indexed="50"/>
      </top>
      <bottom style="thin">
        <color indexed="9"/>
      </bottom>
      <diagonal/>
    </border>
    <border>
      <left style="dashed">
        <color indexed="50"/>
      </left>
      <right style="thin">
        <color indexed="50"/>
      </right>
      <top style="thin">
        <color indexed="50"/>
      </top>
      <bottom style="thin">
        <color indexed="9"/>
      </bottom>
      <diagonal/>
    </border>
    <border>
      <left style="dashed">
        <color indexed="50"/>
      </left>
      <right style="thin">
        <color indexed="64"/>
      </right>
      <top style="thin">
        <color indexed="50"/>
      </top>
      <bottom style="thin">
        <color indexed="9"/>
      </bottom>
      <diagonal/>
    </border>
    <border>
      <left style="thin">
        <color indexed="64"/>
      </left>
      <right/>
      <top style="thin">
        <color indexed="9"/>
      </top>
      <bottom style="thin">
        <color indexed="9"/>
      </bottom>
      <diagonal/>
    </border>
    <border>
      <left style="thin">
        <color indexed="64"/>
      </left>
      <right style="thin">
        <color indexed="64"/>
      </right>
      <top style="thin">
        <color indexed="9"/>
      </top>
      <bottom style="thin">
        <color indexed="9"/>
      </bottom>
      <diagonal/>
    </border>
    <border>
      <left/>
      <right style="dashed">
        <color indexed="50"/>
      </right>
      <top style="thin">
        <color indexed="9"/>
      </top>
      <bottom style="thin">
        <color indexed="9"/>
      </bottom>
      <diagonal/>
    </border>
    <border>
      <left style="thin">
        <color indexed="50"/>
      </left>
      <right style="dashed">
        <color indexed="50"/>
      </right>
      <top style="thin">
        <color indexed="9"/>
      </top>
      <bottom style="thin">
        <color indexed="9"/>
      </bottom>
      <diagonal/>
    </border>
    <border>
      <left style="thin">
        <color indexed="50"/>
      </left>
      <right style="thin">
        <color indexed="64"/>
      </right>
      <top style="thin">
        <color indexed="9"/>
      </top>
      <bottom style="thin">
        <color indexed="9"/>
      </bottom>
      <diagonal/>
    </border>
    <border>
      <left style="thin">
        <color indexed="64"/>
      </left>
      <right style="thin">
        <color indexed="50"/>
      </right>
      <top style="thin">
        <color indexed="9"/>
      </top>
      <bottom style="thin">
        <color indexed="9"/>
      </bottom>
      <diagonal/>
    </border>
    <border>
      <left style="dashed">
        <color indexed="50"/>
      </left>
      <right style="thin">
        <color indexed="50"/>
      </right>
      <top style="thin">
        <color indexed="9"/>
      </top>
      <bottom style="thin">
        <color indexed="9"/>
      </bottom>
      <diagonal/>
    </border>
    <border>
      <left style="dashed">
        <color indexed="50"/>
      </left>
      <right style="thin">
        <color indexed="64"/>
      </right>
      <top style="thin">
        <color indexed="9"/>
      </top>
      <bottom style="thin">
        <color indexed="9"/>
      </bottom>
      <diagonal/>
    </border>
    <border>
      <left/>
      <right style="thin">
        <color indexed="50"/>
      </right>
      <top style="thin">
        <color indexed="9"/>
      </top>
      <bottom style="thin">
        <color indexed="9"/>
      </bottom>
      <diagonal/>
    </border>
    <border>
      <left style="thin">
        <color indexed="64"/>
      </left>
      <right style="thin">
        <color indexed="64"/>
      </right>
      <top style="thin">
        <color indexed="50"/>
      </top>
      <bottom style="thin">
        <color indexed="64"/>
      </bottom>
      <diagonal/>
    </border>
    <border>
      <left/>
      <right style="dashed">
        <color indexed="50"/>
      </right>
      <top style="thin">
        <color indexed="50"/>
      </top>
      <bottom style="thin">
        <color indexed="64"/>
      </bottom>
      <diagonal/>
    </border>
    <border>
      <left style="thin">
        <color indexed="50"/>
      </left>
      <right style="dashed">
        <color indexed="50"/>
      </right>
      <top style="thin">
        <color indexed="50"/>
      </top>
      <bottom style="thin">
        <color indexed="64"/>
      </bottom>
      <diagonal/>
    </border>
    <border>
      <left style="thin">
        <color indexed="50"/>
      </left>
      <right/>
      <top style="thin">
        <color indexed="50"/>
      </top>
      <bottom style="thin">
        <color indexed="64"/>
      </bottom>
      <diagonal/>
    </border>
    <border>
      <left style="thin">
        <color indexed="64"/>
      </left>
      <right style="dashed">
        <color indexed="50"/>
      </right>
      <top style="thin">
        <color indexed="50"/>
      </top>
      <bottom style="thin">
        <color indexed="64"/>
      </bottom>
      <diagonal/>
    </border>
    <border>
      <left style="thin">
        <color indexed="50"/>
      </left>
      <right style="thin">
        <color indexed="64"/>
      </right>
      <top style="thin">
        <color indexed="50"/>
      </top>
      <bottom style="thin">
        <color indexed="64"/>
      </bottom>
      <diagonal/>
    </border>
    <border>
      <left/>
      <right/>
      <top style="thin">
        <color indexed="50"/>
      </top>
      <bottom style="thin">
        <color indexed="64"/>
      </bottom>
      <diagonal/>
    </border>
    <border>
      <left style="thin">
        <color indexed="64"/>
      </left>
      <right style="thin">
        <color indexed="50"/>
      </right>
      <top style="thin">
        <color indexed="50"/>
      </top>
      <bottom style="thin">
        <color indexed="64"/>
      </bottom>
      <diagonal/>
    </border>
    <border>
      <left style="dashed">
        <color indexed="50"/>
      </left>
      <right style="thin">
        <color indexed="50"/>
      </right>
      <top style="thin">
        <color indexed="50"/>
      </top>
      <bottom style="thin">
        <color indexed="64"/>
      </bottom>
      <diagonal/>
    </border>
    <border>
      <left style="hair">
        <color indexed="50"/>
      </left>
      <right style="thin">
        <color indexed="64"/>
      </right>
      <top style="thin">
        <color indexed="50"/>
      </top>
      <bottom style="thin">
        <color indexed="64"/>
      </bottom>
      <diagonal/>
    </border>
    <border>
      <left/>
      <right style="thin">
        <color indexed="50"/>
      </right>
      <top/>
      <bottom/>
      <diagonal/>
    </border>
    <border>
      <left style="thin">
        <color indexed="64"/>
      </left>
      <right style="thin">
        <color indexed="64"/>
      </right>
      <top style="thin">
        <color indexed="64"/>
      </top>
      <bottom style="thin">
        <color indexed="9"/>
      </bottom>
      <diagonal/>
    </border>
    <border>
      <left/>
      <right style="dashed">
        <color indexed="50"/>
      </right>
      <top style="thin">
        <color indexed="64"/>
      </top>
      <bottom style="thin">
        <color indexed="9"/>
      </bottom>
      <diagonal/>
    </border>
    <border>
      <left style="thin">
        <color indexed="50"/>
      </left>
      <right style="dashed">
        <color indexed="50"/>
      </right>
      <top style="thin">
        <color indexed="64"/>
      </top>
      <bottom style="thin">
        <color indexed="9"/>
      </bottom>
      <diagonal/>
    </border>
    <border>
      <left style="thin">
        <color indexed="50"/>
      </left>
      <right/>
      <top style="thin">
        <color indexed="64"/>
      </top>
      <bottom style="thin">
        <color indexed="9"/>
      </bottom>
      <diagonal/>
    </border>
    <border>
      <left style="thin">
        <color indexed="64"/>
      </left>
      <right/>
      <top style="thin">
        <color indexed="64"/>
      </top>
      <bottom style="thin">
        <color indexed="9"/>
      </bottom>
      <diagonal/>
    </border>
    <border>
      <left style="thin">
        <color indexed="50"/>
      </left>
      <right style="thin">
        <color indexed="64"/>
      </right>
      <top style="thin">
        <color indexed="64"/>
      </top>
      <bottom style="thin">
        <color indexed="9"/>
      </bottom>
      <diagonal/>
    </border>
    <border>
      <left/>
      <right style="thin">
        <color indexed="50"/>
      </right>
      <top style="thin">
        <color indexed="64"/>
      </top>
      <bottom style="thin">
        <color indexed="9"/>
      </bottom>
      <diagonal/>
    </border>
    <border>
      <left style="dashed">
        <color indexed="50"/>
      </left>
      <right style="thin">
        <color indexed="50"/>
      </right>
      <top style="thin">
        <color indexed="64"/>
      </top>
      <bottom style="thin">
        <color indexed="9"/>
      </bottom>
      <diagonal/>
    </border>
    <border>
      <left style="dashed">
        <color indexed="50"/>
      </left>
      <right style="thin">
        <color indexed="64"/>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right style="thin">
        <color indexed="50"/>
      </right>
      <top style="thin">
        <color indexed="50"/>
      </top>
      <bottom style="thin">
        <color indexed="64"/>
      </bottom>
      <diagonal/>
    </border>
    <border>
      <left style="dashed">
        <color indexed="50"/>
      </left>
      <right style="thin">
        <color indexed="64"/>
      </right>
      <top style="thin">
        <color indexed="50"/>
      </top>
      <bottom style="thin">
        <color indexed="64"/>
      </bottom>
      <diagonal/>
    </border>
    <border>
      <left/>
      <right style="thin">
        <color indexed="64"/>
      </right>
      <top style="thin">
        <color indexed="50"/>
      </top>
      <bottom style="thin">
        <color indexed="64"/>
      </bottom>
      <diagonal/>
    </border>
    <border>
      <left style="thin">
        <color indexed="9"/>
      </left>
      <right style="thin">
        <color indexed="9"/>
      </right>
      <top style="thin">
        <color indexed="9"/>
      </top>
      <bottom/>
      <diagonal/>
    </border>
    <border>
      <left/>
      <right style="thin">
        <color indexed="9"/>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dashed">
        <color indexed="46"/>
      </bottom>
      <diagonal/>
    </border>
    <border>
      <left style="thin">
        <color indexed="9"/>
      </left>
      <right style="thin">
        <color indexed="9"/>
      </right>
      <top style="thin">
        <color indexed="9"/>
      </top>
      <bottom style="medium">
        <color indexed="64"/>
      </bottom>
      <diagonal/>
    </border>
  </borders>
  <cellStyleXfs count="51">
    <xf numFmtId="0" fontId="0" fillId="0" borderId="0"/>
    <xf numFmtId="0" fontId="4" fillId="0" borderId="0" applyNumberFormat="0" applyFill="0" applyBorder="0" applyAlignment="0" applyProtection="0"/>
    <xf numFmtId="0" fontId="6" fillId="0" borderId="0"/>
    <xf numFmtId="0" fontId="8" fillId="0" borderId="0" applyNumberFormat="0" applyFill="0" applyBorder="0" applyAlignment="0" applyProtection="0">
      <alignment vertical="top"/>
      <protection locked="0"/>
    </xf>
    <xf numFmtId="0" fontId="10" fillId="0" borderId="0"/>
    <xf numFmtId="0" fontId="1" fillId="0" borderId="0"/>
    <xf numFmtId="9" fontId="10" fillId="0" borderId="0" applyFont="0" applyFill="0" applyBorder="0" applyAlignment="0" applyProtection="0"/>
    <xf numFmtId="0" fontId="14" fillId="0" borderId="0"/>
    <xf numFmtId="44" fontId="10" fillId="0" borderId="0" applyFont="0" applyFill="0" applyBorder="0" applyAlignment="0" applyProtection="0"/>
    <xf numFmtId="168" fontId="10" fillId="0" borderId="0" applyBorder="0" applyProtection="0"/>
    <xf numFmtId="0" fontId="1" fillId="0" borderId="0"/>
    <xf numFmtId="164" fontId="10" fillId="0" borderId="0" applyFont="0" applyFill="0" applyBorder="0" applyAlignment="0" applyProtection="0"/>
    <xf numFmtId="164" fontId="10" fillId="0" borderId="0" applyFont="0" applyFill="0" applyBorder="0" applyAlignment="0" applyProtection="0"/>
    <xf numFmtId="9" fontId="24" fillId="0" borderId="0" applyFont="0" applyFill="0" applyBorder="0" applyAlignment="0" applyProtection="0"/>
    <xf numFmtId="0" fontId="1" fillId="0" borderId="0"/>
    <xf numFmtId="0" fontId="10" fillId="0" borderId="0"/>
    <xf numFmtId="0" fontId="1" fillId="0" borderId="0"/>
    <xf numFmtId="41"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4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0" fillId="0" borderId="0"/>
    <xf numFmtId="9" fontId="24" fillId="0" borderId="0" applyFont="0" applyFill="0" applyBorder="0" applyAlignment="0" applyProtection="0"/>
    <xf numFmtId="0" fontId="48"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164" fontId="1" fillId="0" borderId="0" applyFont="0" applyFill="0" applyBorder="0" applyAlignment="0" applyProtection="0"/>
    <xf numFmtId="0" fontId="1" fillId="0" borderId="0"/>
    <xf numFmtId="9" fontId="1" fillId="0" borderId="0" applyFont="0" applyFill="0" applyBorder="0" applyAlignment="0" applyProtection="0"/>
    <xf numFmtId="0" fontId="15" fillId="0" borderId="0"/>
    <xf numFmtId="0" fontId="15" fillId="0" borderId="0"/>
    <xf numFmtId="0" fontId="15" fillId="0" borderId="0"/>
    <xf numFmtId="9" fontId="1" fillId="0" borderId="0" applyFont="0" applyFill="0" applyBorder="0" applyAlignment="0" applyProtection="0"/>
    <xf numFmtId="180" fontId="10" fillId="0" borderId="0" applyFont="0" applyFill="0" applyBorder="0" applyAlignment="0" applyProtection="0"/>
    <xf numFmtId="0" fontId="150" fillId="170" borderId="223" applyNumberFormat="0" applyAlignment="0" applyProtection="0"/>
    <xf numFmtId="43" fontId="1" fillId="0" borderId="0" applyFont="0" applyFill="0" applyBorder="0" applyAlignment="0" applyProtection="0"/>
    <xf numFmtId="0" fontId="6" fillId="0" borderId="0"/>
    <xf numFmtId="164"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171" fillId="0" borderId="0"/>
  </cellStyleXfs>
  <cellXfs count="4006">
    <xf numFmtId="0" fontId="0" fillId="0" borderId="0" xfId="0"/>
    <xf numFmtId="0" fontId="6" fillId="0" borderId="0" xfId="2"/>
    <xf numFmtId="0" fontId="9" fillId="0" borderId="0" xfId="2" applyFont="1" applyAlignment="1">
      <alignment vertical="center"/>
    </xf>
    <xf numFmtId="3" fontId="9" fillId="0" borderId="0" xfId="2" applyNumberFormat="1" applyFont="1" applyAlignment="1">
      <alignment vertical="center"/>
    </xf>
    <xf numFmtId="0" fontId="9" fillId="0" borderId="8" xfId="2" applyFont="1" applyBorder="1" applyAlignment="1">
      <alignment vertical="center"/>
    </xf>
    <xf numFmtId="0" fontId="10" fillId="0" borderId="6" xfId="4" applyBorder="1" applyAlignment="1">
      <alignment wrapText="1"/>
    </xf>
    <xf numFmtId="0" fontId="9" fillId="2" borderId="8" xfId="2" applyFont="1" applyFill="1" applyBorder="1" applyAlignment="1">
      <alignment horizontal="left" vertical="center"/>
    </xf>
    <xf numFmtId="0" fontId="9" fillId="0" borderId="0" xfId="2" applyFont="1" applyAlignment="1">
      <alignment vertical="center" wrapText="1"/>
    </xf>
    <xf numFmtId="0" fontId="10" fillId="0" borderId="18" xfId="4" applyBorder="1" applyAlignment="1">
      <alignment wrapText="1"/>
    </xf>
    <xf numFmtId="0" fontId="9" fillId="0" borderId="8" xfId="2" applyFont="1" applyBorder="1" applyAlignment="1">
      <alignment horizontal="right" vertical="center"/>
    </xf>
    <xf numFmtId="0" fontId="9" fillId="2" borderId="8" xfId="2" applyFont="1" applyFill="1" applyBorder="1" applyAlignment="1">
      <alignment vertical="center"/>
    </xf>
    <xf numFmtId="0" fontId="9" fillId="2" borderId="8" xfId="2" applyFont="1" applyFill="1" applyBorder="1" applyAlignment="1">
      <alignment horizontal="right" vertical="center"/>
    </xf>
    <xf numFmtId="0" fontId="9" fillId="0" borderId="8" xfId="2" applyFont="1" applyBorder="1" applyAlignment="1">
      <alignment horizontal="right" vertical="center" wrapText="1"/>
    </xf>
    <xf numFmtId="0" fontId="9" fillId="0" borderId="8" xfId="2" applyFont="1" applyBorder="1" applyAlignment="1">
      <alignment horizontal="left" vertical="center"/>
    </xf>
    <xf numFmtId="1" fontId="9" fillId="0" borderId="0" xfId="2" applyNumberFormat="1" applyFont="1" applyAlignment="1">
      <alignment vertical="center"/>
    </xf>
    <xf numFmtId="0" fontId="9" fillId="0" borderId="0" xfId="5" applyFont="1" applyAlignment="1">
      <alignment vertical="center"/>
    </xf>
    <xf numFmtId="3" fontId="9" fillId="0" borderId="0" xfId="5" applyNumberFormat="1" applyFont="1" applyAlignment="1">
      <alignment vertical="center"/>
    </xf>
    <xf numFmtId="166" fontId="9" fillId="0" borderId="0" xfId="2" applyNumberFormat="1" applyFont="1" applyAlignment="1">
      <alignment vertical="center"/>
    </xf>
    <xf numFmtId="0" fontId="9" fillId="0" borderId="15" xfId="2" applyFont="1" applyBorder="1" applyAlignment="1">
      <alignment vertical="center"/>
    </xf>
    <xf numFmtId="0" fontId="9" fillId="0" borderId="20" xfId="2" applyFont="1" applyBorder="1" applyAlignment="1">
      <alignment vertical="center"/>
    </xf>
    <xf numFmtId="164" fontId="9" fillId="0" borderId="0" xfId="2" applyNumberFormat="1" applyFont="1" applyAlignment="1">
      <alignment vertical="center"/>
    </xf>
    <xf numFmtId="9" fontId="9" fillId="0" borderId="0" xfId="2" applyNumberFormat="1" applyFont="1" applyAlignment="1">
      <alignment vertical="center"/>
    </xf>
    <xf numFmtId="3" fontId="11" fillId="0" borderId="0" xfId="2" applyNumberFormat="1" applyFont="1" applyAlignment="1">
      <alignment vertical="center"/>
    </xf>
    <xf numFmtId="3" fontId="9" fillId="0" borderId="0" xfId="2" applyNumberFormat="1" applyFont="1" applyAlignment="1">
      <alignment horizontal="right" vertical="center"/>
    </xf>
    <xf numFmtId="165" fontId="9" fillId="0" borderId="0" xfId="2" applyNumberFormat="1" applyFont="1" applyAlignment="1">
      <alignment vertical="center"/>
    </xf>
    <xf numFmtId="10" fontId="9" fillId="0" borderId="0" xfId="2" applyNumberFormat="1" applyFont="1" applyAlignment="1">
      <alignment vertical="center"/>
    </xf>
    <xf numFmtId="4" fontId="9" fillId="0" borderId="0" xfId="5" applyNumberFormat="1" applyFont="1" applyAlignment="1">
      <alignment vertical="center"/>
    </xf>
    <xf numFmtId="0" fontId="9" fillId="0" borderId="0" xfId="5" applyFont="1" applyAlignment="1">
      <alignment vertical="center" wrapText="1"/>
    </xf>
    <xf numFmtId="1" fontId="9" fillId="32" borderId="10" xfId="13" applyNumberFormat="1" applyFont="1" applyFill="1" applyBorder="1" applyAlignment="1">
      <alignment vertical="center"/>
    </xf>
    <xf numFmtId="3" fontId="11" fillId="0" borderId="10" xfId="5" applyNumberFormat="1" applyFont="1" applyBorder="1" applyAlignment="1">
      <alignment vertical="center"/>
    </xf>
    <xf numFmtId="166" fontId="11" fillId="0" borderId="10" xfId="5" applyNumberFormat="1" applyFont="1" applyBorder="1" applyAlignment="1">
      <alignment vertical="center"/>
    </xf>
    <xf numFmtId="166" fontId="9" fillId="0" borderId="0" xfId="5" applyNumberFormat="1" applyFont="1" applyAlignment="1">
      <alignment vertical="center"/>
    </xf>
    <xf numFmtId="3" fontId="28" fillId="0" borderId="0" xfId="5" applyNumberFormat="1" applyFont="1" applyAlignment="1">
      <alignment horizontal="right" vertical="center"/>
    </xf>
    <xf numFmtId="3" fontId="25" fillId="0" borderId="0" xfId="5" applyNumberFormat="1" applyFont="1" applyAlignment="1">
      <alignment vertical="center"/>
    </xf>
    <xf numFmtId="3" fontId="27" fillId="0" borderId="0" xfId="5" applyNumberFormat="1" applyFont="1" applyAlignment="1">
      <alignment horizontal="left" vertical="center"/>
    </xf>
    <xf numFmtId="10" fontId="25" fillId="0" borderId="0" xfId="5" applyNumberFormat="1" applyFont="1" applyAlignment="1">
      <alignment vertical="center"/>
    </xf>
    <xf numFmtId="166" fontId="27" fillId="0" borderId="0" xfId="5" applyNumberFormat="1" applyFont="1" applyAlignment="1">
      <alignment horizontal="left" vertical="center"/>
    </xf>
    <xf numFmtId="0" fontId="9" fillId="0" borderId="31" xfId="2" applyFont="1" applyBorder="1" applyAlignment="1">
      <alignment vertical="center"/>
    </xf>
    <xf numFmtId="0" fontId="11" fillId="0" borderId="0" xfId="2" applyFont="1" applyAlignment="1">
      <alignment horizontal="center" vertical="center"/>
    </xf>
    <xf numFmtId="0" fontId="11" fillId="0" borderId="0" xfId="2" applyFont="1" applyAlignment="1">
      <alignment vertical="center"/>
    </xf>
    <xf numFmtId="0" fontId="10" fillId="0" borderId="0" xfId="4" applyAlignment="1">
      <alignment wrapText="1"/>
    </xf>
    <xf numFmtId="3" fontId="9" fillId="22" borderId="33" xfId="2" applyNumberFormat="1" applyFont="1" applyFill="1" applyBorder="1" applyAlignment="1">
      <alignment vertical="center"/>
    </xf>
    <xf numFmtId="0" fontId="9" fillId="0" borderId="33" xfId="2" applyFont="1" applyBorder="1" applyAlignment="1">
      <alignment horizontal="center" vertical="center"/>
    </xf>
    <xf numFmtId="3" fontId="9" fillId="0" borderId="35" xfId="2" applyNumberFormat="1" applyFont="1" applyBorder="1" applyAlignment="1">
      <alignment vertical="center"/>
    </xf>
    <xf numFmtId="0" fontId="9" fillId="0" borderId="35" xfId="2" applyFont="1" applyBorder="1" applyAlignment="1">
      <alignment vertical="center"/>
    </xf>
    <xf numFmtId="3" fontId="9" fillId="0" borderId="33" xfId="2" applyNumberFormat="1" applyFont="1" applyBorder="1" applyAlignment="1">
      <alignment horizontal="center" vertical="center"/>
    </xf>
    <xf numFmtId="0" fontId="9" fillId="0" borderId="33" xfId="2" applyFont="1" applyBorder="1" applyAlignment="1">
      <alignment vertical="center"/>
    </xf>
    <xf numFmtId="0" fontId="9" fillId="0" borderId="33" xfId="2" applyFont="1" applyBorder="1" applyAlignment="1">
      <alignment horizontal="left" vertical="center"/>
    </xf>
    <xf numFmtId="3" fontId="9" fillId="0" borderId="33" xfId="2" applyNumberFormat="1" applyFont="1" applyBorder="1" applyAlignment="1">
      <alignment vertical="center"/>
    </xf>
    <xf numFmtId="3" fontId="9" fillId="0" borderId="33" xfId="2" applyNumberFormat="1" applyFont="1" applyBorder="1" applyAlignment="1">
      <alignment horizontal="right" vertical="center"/>
    </xf>
    <xf numFmtId="3" fontId="11" fillId="0" borderId="0" xfId="2" applyNumberFormat="1" applyFont="1" applyAlignment="1">
      <alignment horizontal="right" vertical="center"/>
    </xf>
    <xf numFmtId="0" fontId="10" fillId="0" borderId="46" xfId="4" applyBorder="1"/>
    <xf numFmtId="0" fontId="10" fillId="0" borderId="0" xfId="4"/>
    <xf numFmtId="3" fontId="10" fillId="0" borderId="7" xfId="4" applyNumberFormat="1" applyBorder="1"/>
    <xf numFmtId="3" fontId="10" fillId="0" borderId="7" xfId="4" applyNumberFormat="1" applyBorder="1" applyAlignment="1">
      <alignment wrapText="1"/>
    </xf>
    <xf numFmtId="0" fontId="10" fillId="0" borderId="22" xfId="4" applyBorder="1" applyAlignment="1">
      <alignment wrapText="1"/>
    </xf>
    <xf numFmtId="3" fontId="10" fillId="0" borderId="8" xfId="4" applyNumberFormat="1" applyBorder="1" applyAlignment="1">
      <alignment wrapText="1"/>
    </xf>
    <xf numFmtId="0" fontId="10" fillId="0" borderId="8" xfId="4" applyBorder="1" applyAlignment="1">
      <alignment horizontal="left" vertical="center" wrapText="1"/>
    </xf>
    <xf numFmtId="3" fontId="10" fillId="0" borderId="8" xfId="4" applyNumberFormat="1" applyBorder="1" applyAlignment="1">
      <alignment horizontal="left" vertical="center"/>
    </xf>
    <xf numFmtId="0" fontId="10" fillId="0" borderId="8" xfId="4" applyBorder="1" applyAlignment="1">
      <alignment horizontal="left" vertical="center"/>
    </xf>
    <xf numFmtId="3" fontId="10" fillId="0" borderId="0" xfId="4" applyNumberFormat="1" applyAlignment="1">
      <alignment horizontal="left" vertical="center"/>
    </xf>
    <xf numFmtId="3" fontId="10" fillId="0" borderId="0" xfId="4" applyNumberFormat="1"/>
    <xf numFmtId="3" fontId="0" fillId="0" borderId="0" xfId="9" applyNumberFormat="1" applyFont="1" applyBorder="1" applyProtection="1"/>
    <xf numFmtId="0" fontId="10" fillId="0" borderId="47" xfId="4" applyBorder="1"/>
    <xf numFmtId="171" fontId="33" fillId="0" borderId="0" xfId="4" applyNumberFormat="1" applyFont="1" applyAlignment="1">
      <alignment horizontal="center"/>
    </xf>
    <xf numFmtId="0" fontId="34" fillId="0" borderId="0" xfId="4" applyFont="1"/>
    <xf numFmtId="0" fontId="10" fillId="38" borderId="49" xfId="4" applyFill="1" applyBorder="1" applyAlignment="1">
      <alignment wrapText="1"/>
    </xf>
    <xf numFmtId="0" fontId="10" fillId="38" borderId="50" xfId="4" applyFill="1" applyBorder="1" applyAlignment="1">
      <alignment wrapText="1"/>
    </xf>
    <xf numFmtId="0" fontId="10" fillId="38" borderId="2" xfId="4" applyFill="1" applyBorder="1" applyAlignment="1">
      <alignment wrapText="1"/>
    </xf>
    <xf numFmtId="0" fontId="10" fillId="39" borderId="51" xfId="4" applyFill="1" applyBorder="1" applyAlignment="1">
      <alignment wrapText="1"/>
    </xf>
    <xf numFmtId="0" fontId="10" fillId="39" borderId="52" xfId="4" applyFill="1" applyBorder="1" applyAlignment="1">
      <alignment wrapText="1"/>
    </xf>
    <xf numFmtId="0" fontId="10" fillId="39" borderId="53" xfId="4" applyFill="1" applyBorder="1" applyAlignment="1">
      <alignment wrapText="1"/>
    </xf>
    <xf numFmtId="0" fontId="10" fillId="40" borderId="46" xfId="4" applyFill="1" applyBorder="1" applyAlignment="1">
      <alignment wrapText="1"/>
    </xf>
    <xf numFmtId="0" fontId="34" fillId="38" borderId="32" xfId="4" applyFont="1" applyFill="1" applyBorder="1" applyAlignment="1">
      <alignment wrapText="1"/>
    </xf>
    <xf numFmtId="0" fontId="34" fillId="41" borderId="53" xfId="4" applyFont="1" applyFill="1" applyBorder="1"/>
    <xf numFmtId="0" fontId="34" fillId="42" borderId="32" xfId="4" applyFont="1" applyFill="1" applyBorder="1" applyAlignment="1">
      <alignment wrapText="1"/>
    </xf>
    <xf numFmtId="0" fontId="34" fillId="42" borderId="16" xfId="4" applyFont="1" applyFill="1" applyBorder="1" applyAlignment="1">
      <alignment vertical="center" wrapText="1"/>
    </xf>
    <xf numFmtId="0" fontId="10" fillId="43" borderId="52" xfId="4" applyFill="1" applyBorder="1" applyAlignment="1">
      <alignment horizontal="center" vertical="center" wrapText="1"/>
    </xf>
    <xf numFmtId="0" fontId="10" fillId="44" borderId="51" xfId="4" applyFill="1" applyBorder="1" applyAlignment="1">
      <alignment wrapText="1"/>
    </xf>
    <xf numFmtId="0" fontId="10" fillId="44" borderId="54" xfId="4" applyFill="1" applyBorder="1" applyAlignment="1">
      <alignment wrapText="1"/>
    </xf>
    <xf numFmtId="0" fontId="10" fillId="45" borderId="1" xfId="4" applyFill="1" applyBorder="1" applyAlignment="1">
      <alignment wrapText="1"/>
    </xf>
    <xf numFmtId="0" fontId="10" fillId="45" borderId="52" xfId="4" applyFill="1" applyBorder="1" applyAlignment="1">
      <alignment wrapText="1"/>
    </xf>
    <xf numFmtId="0" fontId="10" fillId="45" borderId="53" xfId="4" applyFill="1" applyBorder="1" applyAlignment="1">
      <alignment wrapText="1"/>
    </xf>
    <xf numFmtId="0" fontId="34" fillId="46" borderId="50" xfId="4" applyFont="1" applyFill="1" applyBorder="1" applyAlignment="1">
      <alignment wrapText="1"/>
    </xf>
    <xf numFmtId="0" fontId="34" fillId="47" borderId="50" xfId="4" applyFont="1" applyFill="1" applyBorder="1" applyAlignment="1">
      <alignment wrapText="1"/>
    </xf>
    <xf numFmtId="0" fontId="34" fillId="48" borderId="50" xfId="4" applyFont="1" applyFill="1" applyBorder="1" applyAlignment="1">
      <alignment wrapText="1"/>
    </xf>
    <xf numFmtId="0" fontId="34" fillId="44" borderId="50" xfId="4" applyFont="1" applyFill="1" applyBorder="1" applyAlignment="1">
      <alignment wrapText="1"/>
    </xf>
    <xf numFmtId="0" fontId="34" fillId="37" borderId="2" xfId="4" applyFont="1" applyFill="1" applyBorder="1" applyAlignment="1">
      <alignment wrapText="1"/>
    </xf>
    <xf numFmtId="0" fontId="34" fillId="38" borderId="55" xfId="4" applyFont="1" applyFill="1" applyBorder="1" applyAlignment="1">
      <alignment wrapText="1"/>
    </xf>
    <xf numFmtId="0" fontId="34" fillId="41" borderId="50" xfId="4" applyFont="1" applyFill="1" applyBorder="1"/>
    <xf numFmtId="0" fontId="34" fillId="42" borderId="50" xfId="4" applyFont="1" applyFill="1" applyBorder="1" applyAlignment="1">
      <alignment wrapText="1"/>
    </xf>
    <xf numFmtId="165" fontId="34" fillId="48" borderId="50" xfId="9" applyNumberFormat="1" applyFont="1" applyFill="1" applyBorder="1" applyAlignment="1" applyProtection="1">
      <alignment wrapText="1"/>
    </xf>
    <xf numFmtId="3" fontId="10" fillId="38" borderId="56" xfId="4" applyNumberFormat="1" applyFill="1" applyBorder="1"/>
    <xf numFmtId="165" fontId="0" fillId="38" borderId="33" xfId="9" applyNumberFormat="1" applyFont="1" applyFill="1" applyBorder="1" applyProtection="1"/>
    <xf numFmtId="165" fontId="0" fillId="38" borderId="18" xfId="9" applyNumberFormat="1" applyFont="1" applyFill="1" applyBorder="1" applyProtection="1"/>
    <xf numFmtId="167" fontId="0" fillId="39" borderId="49" xfId="9" applyNumberFormat="1" applyFont="1" applyFill="1" applyBorder="1" applyProtection="1"/>
    <xf numFmtId="3" fontId="10" fillId="39" borderId="50" xfId="4" applyNumberFormat="1" applyFill="1" applyBorder="1"/>
    <xf numFmtId="167" fontId="0" fillId="39" borderId="50" xfId="9" applyNumberFormat="1" applyFont="1" applyFill="1" applyBorder="1" applyProtection="1"/>
    <xf numFmtId="3" fontId="10" fillId="39" borderId="2" xfId="4" applyNumberFormat="1" applyFill="1" applyBorder="1"/>
    <xf numFmtId="3" fontId="10" fillId="40" borderId="22" xfId="4" applyNumberFormat="1" applyFill="1" applyBorder="1"/>
    <xf numFmtId="3" fontId="10" fillId="38" borderId="46" xfId="4" applyNumberFormat="1" applyFill="1" applyBorder="1"/>
    <xf numFmtId="3" fontId="10" fillId="41" borderId="2" xfId="4" applyNumberFormat="1" applyFill="1" applyBorder="1"/>
    <xf numFmtId="3" fontId="10" fillId="42" borderId="57" xfId="4" applyNumberFormat="1" applyFill="1" applyBorder="1"/>
    <xf numFmtId="3" fontId="10" fillId="42" borderId="46" xfId="4" applyNumberFormat="1" applyFill="1" applyBorder="1"/>
    <xf numFmtId="3" fontId="10" fillId="43" borderId="50" xfId="4" applyNumberFormat="1" applyFill="1" applyBorder="1"/>
    <xf numFmtId="3" fontId="10" fillId="44" borderId="49" xfId="4" applyNumberFormat="1" applyFill="1" applyBorder="1"/>
    <xf numFmtId="3" fontId="10" fillId="44" borderId="2" xfId="4" applyNumberFormat="1" applyFill="1" applyBorder="1"/>
    <xf numFmtId="3" fontId="10" fillId="45" borderId="50" xfId="4" applyNumberFormat="1" applyFill="1" applyBorder="1"/>
    <xf numFmtId="3" fontId="10" fillId="45" borderId="2" xfId="4" applyNumberFormat="1" applyFill="1" applyBorder="1"/>
    <xf numFmtId="3" fontId="10" fillId="38" borderId="26" xfId="4" applyNumberFormat="1" applyFill="1" applyBorder="1"/>
    <xf numFmtId="3" fontId="10" fillId="41" borderId="33" xfId="4" applyNumberFormat="1" applyFill="1" applyBorder="1"/>
    <xf numFmtId="3" fontId="10" fillId="42" borderId="33" xfId="4" applyNumberFormat="1" applyFill="1" applyBorder="1"/>
    <xf numFmtId="3" fontId="10" fillId="46" borderId="33" xfId="4" applyNumberFormat="1" applyFill="1" applyBorder="1"/>
    <xf numFmtId="3" fontId="10" fillId="47" borderId="33" xfId="4" applyNumberFormat="1" applyFill="1" applyBorder="1"/>
    <xf numFmtId="3" fontId="10" fillId="48" borderId="33" xfId="4" applyNumberFormat="1" applyFill="1" applyBorder="1"/>
    <xf numFmtId="3" fontId="10" fillId="44" borderId="33" xfId="4" applyNumberFormat="1" applyFill="1" applyBorder="1"/>
    <xf numFmtId="3" fontId="10" fillId="37" borderId="33" xfId="4" applyNumberFormat="1" applyFill="1" applyBorder="1"/>
    <xf numFmtId="165" fontId="0" fillId="38" borderId="26" xfId="9" applyNumberFormat="1" applyFont="1" applyFill="1" applyBorder="1" applyProtection="1"/>
    <xf numFmtId="165" fontId="0" fillId="41" borderId="33" xfId="9" applyNumberFormat="1" applyFont="1" applyFill="1" applyBorder="1" applyProtection="1"/>
    <xf numFmtId="165" fontId="0" fillId="42" borderId="33" xfId="9" applyNumberFormat="1" applyFont="1" applyFill="1" applyBorder="1" applyProtection="1"/>
    <xf numFmtId="165" fontId="0" fillId="46" borderId="33" xfId="9" applyNumberFormat="1" applyFont="1" applyFill="1" applyBorder="1" applyProtection="1"/>
    <xf numFmtId="165" fontId="0" fillId="47" borderId="33" xfId="9" applyNumberFormat="1" applyFont="1" applyFill="1" applyBorder="1" applyProtection="1"/>
    <xf numFmtId="165" fontId="0" fillId="48" borderId="33" xfId="9" applyNumberFormat="1" applyFont="1" applyFill="1" applyBorder="1" applyProtection="1"/>
    <xf numFmtId="165" fontId="0" fillId="44" borderId="33" xfId="9" applyNumberFormat="1" applyFont="1" applyFill="1" applyBorder="1" applyProtection="1"/>
    <xf numFmtId="165" fontId="0" fillId="37" borderId="59" xfId="9" applyNumberFormat="1" applyFont="1" applyFill="1" applyBorder="1" applyProtection="1"/>
    <xf numFmtId="10" fontId="10" fillId="39" borderId="56" xfId="6" applyNumberFormat="1" applyFont="1" applyFill="1" applyBorder="1"/>
    <xf numFmtId="3" fontId="10" fillId="39" borderId="33" xfId="4" applyNumberFormat="1" applyFill="1" applyBorder="1"/>
    <xf numFmtId="3" fontId="10" fillId="39" borderId="59" xfId="4" applyNumberFormat="1" applyFill="1" applyBorder="1"/>
    <xf numFmtId="3" fontId="10" fillId="38" borderId="60" xfId="4" applyNumberFormat="1" applyFill="1" applyBorder="1"/>
    <xf numFmtId="3" fontId="10" fillId="41" borderId="59" xfId="4" applyNumberFormat="1" applyFill="1" applyBorder="1"/>
    <xf numFmtId="3" fontId="10" fillId="42" borderId="61" xfId="4" applyNumberFormat="1" applyFill="1" applyBorder="1"/>
    <xf numFmtId="3" fontId="10" fillId="42" borderId="60" xfId="4" applyNumberFormat="1" applyFill="1" applyBorder="1"/>
    <xf numFmtId="3" fontId="10" fillId="43" borderId="33" xfId="4" applyNumberFormat="1" applyFill="1" applyBorder="1"/>
    <xf numFmtId="3" fontId="10" fillId="44" borderId="56" xfId="4" applyNumberFormat="1" applyFill="1" applyBorder="1"/>
    <xf numFmtId="3" fontId="10" fillId="44" borderId="59" xfId="4" applyNumberFormat="1" applyFill="1" applyBorder="1"/>
    <xf numFmtId="3" fontId="10" fillId="45" borderId="33" xfId="4" applyNumberFormat="1" applyFill="1" applyBorder="1"/>
    <xf numFmtId="3" fontId="10" fillId="45" borderId="59" xfId="4" applyNumberFormat="1" applyFill="1" applyBorder="1"/>
    <xf numFmtId="3" fontId="0" fillId="38" borderId="33" xfId="9" applyNumberFormat="1" applyFont="1" applyFill="1" applyBorder="1" applyProtection="1"/>
    <xf numFmtId="167" fontId="0" fillId="39" borderId="56" xfId="9" applyNumberFormat="1" applyFont="1" applyFill="1" applyBorder="1" applyProtection="1"/>
    <xf numFmtId="167" fontId="0" fillId="39" borderId="33" xfId="9" applyNumberFormat="1" applyFont="1" applyFill="1" applyBorder="1" applyProtection="1"/>
    <xf numFmtId="3" fontId="0" fillId="39" borderId="33" xfId="9" applyNumberFormat="1" applyFont="1" applyFill="1" applyBorder="1" applyProtection="1"/>
    <xf numFmtId="165" fontId="10" fillId="38" borderId="33" xfId="9" applyNumberFormat="1" applyFill="1" applyBorder="1" applyProtection="1"/>
    <xf numFmtId="3" fontId="10" fillId="38" borderId="33" xfId="9" applyNumberFormat="1" applyFill="1" applyBorder="1" applyProtection="1"/>
    <xf numFmtId="165" fontId="10" fillId="38" borderId="18" xfId="9" applyNumberFormat="1" applyFill="1" applyBorder="1" applyProtection="1"/>
    <xf numFmtId="167" fontId="10" fillId="39" borderId="56" xfId="9" applyNumberFormat="1" applyFill="1" applyBorder="1" applyProtection="1"/>
    <xf numFmtId="167" fontId="10" fillId="39" borderId="33" xfId="9" applyNumberFormat="1" applyFill="1" applyBorder="1" applyProtection="1"/>
    <xf numFmtId="165" fontId="10" fillId="38" borderId="26" xfId="9" applyNumberFormat="1" applyFill="1" applyBorder="1" applyProtection="1"/>
    <xf numFmtId="165" fontId="10" fillId="41" borderId="33" xfId="9" applyNumberFormat="1" applyFill="1" applyBorder="1" applyProtection="1"/>
    <xf numFmtId="165" fontId="10" fillId="42" borderId="33" xfId="9" applyNumberFormat="1" applyFill="1" applyBorder="1" applyProtection="1"/>
    <xf numFmtId="165" fontId="10" fillId="46" borderId="33" xfId="9" applyNumberFormat="1" applyFill="1" applyBorder="1" applyProtection="1"/>
    <xf numFmtId="165" fontId="10" fillId="47" borderId="33" xfId="9" applyNumberFormat="1" applyFill="1" applyBorder="1" applyProtection="1"/>
    <xf numFmtId="165" fontId="10" fillId="48" borderId="33" xfId="9" applyNumberFormat="1" applyFill="1" applyBorder="1" applyProtection="1"/>
    <xf numFmtId="165" fontId="10" fillId="44" borderId="33" xfId="9" applyNumberFormat="1" applyFill="1" applyBorder="1" applyProtection="1"/>
    <xf numFmtId="165" fontId="10" fillId="37" borderId="59" xfId="9" applyNumberFormat="1" applyFill="1" applyBorder="1" applyProtection="1"/>
    <xf numFmtId="0" fontId="10" fillId="19" borderId="18" xfId="4" applyFill="1" applyBorder="1" applyAlignment="1">
      <alignment wrapText="1"/>
    </xf>
    <xf numFmtId="0" fontId="10" fillId="28" borderId="18" xfId="4" applyFill="1" applyBorder="1" applyAlignment="1">
      <alignment wrapText="1"/>
    </xf>
    <xf numFmtId="165" fontId="36" fillId="38" borderId="33" xfId="9" applyNumberFormat="1" applyFont="1" applyFill="1" applyBorder="1" applyProtection="1"/>
    <xf numFmtId="3" fontId="36" fillId="38" borderId="33" xfId="9" applyNumberFormat="1" applyFont="1" applyFill="1" applyBorder="1" applyProtection="1"/>
    <xf numFmtId="165" fontId="36" fillId="38" borderId="18" xfId="9" applyNumberFormat="1" applyFont="1" applyFill="1" applyBorder="1" applyProtection="1"/>
    <xf numFmtId="167" fontId="36" fillId="39" borderId="56" xfId="9" applyNumberFormat="1" applyFont="1" applyFill="1" applyBorder="1" applyProtection="1"/>
    <xf numFmtId="3" fontId="36" fillId="39" borderId="33" xfId="4" applyNumberFormat="1" applyFont="1" applyFill="1" applyBorder="1"/>
    <xf numFmtId="167" fontId="36" fillId="39" borderId="33" xfId="9" applyNumberFormat="1" applyFont="1" applyFill="1" applyBorder="1" applyProtection="1"/>
    <xf numFmtId="3" fontId="37" fillId="39" borderId="59" xfId="4" applyNumberFormat="1" applyFont="1" applyFill="1" applyBorder="1"/>
    <xf numFmtId="3" fontId="36" fillId="40" borderId="22" xfId="4" applyNumberFormat="1" applyFont="1" applyFill="1" applyBorder="1"/>
    <xf numFmtId="3" fontId="36" fillId="38" borderId="60" xfId="4" applyNumberFormat="1" applyFont="1" applyFill="1" applyBorder="1"/>
    <xf numFmtId="3" fontId="36" fillId="41" borderId="59" xfId="4" applyNumberFormat="1" applyFont="1" applyFill="1" applyBorder="1"/>
    <xf numFmtId="3" fontId="36" fillId="42" borderId="61" xfId="4" applyNumberFormat="1" applyFont="1" applyFill="1" applyBorder="1"/>
    <xf numFmtId="3" fontId="36" fillId="42" borderId="60" xfId="4" applyNumberFormat="1" applyFont="1" applyFill="1" applyBorder="1"/>
    <xf numFmtId="3" fontId="36" fillId="44" borderId="56" xfId="4" applyNumberFormat="1" applyFont="1" applyFill="1" applyBorder="1"/>
    <xf numFmtId="3" fontId="36" fillId="45" borderId="33" xfId="4" applyNumberFormat="1" applyFont="1" applyFill="1" applyBorder="1"/>
    <xf numFmtId="3" fontId="36" fillId="38" borderId="26" xfId="4" applyNumberFormat="1" applyFont="1" applyFill="1" applyBorder="1"/>
    <xf numFmtId="3" fontId="36" fillId="41" borderId="33" xfId="4" applyNumberFormat="1" applyFont="1" applyFill="1" applyBorder="1"/>
    <xf numFmtId="3" fontId="36" fillId="42" borderId="33" xfId="4" applyNumberFormat="1" applyFont="1" applyFill="1" applyBorder="1"/>
    <xf numFmtId="3" fontId="36" fillId="46" borderId="33" xfId="4" applyNumberFormat="1" applyFont="1" applyFill="1" applyBorder="1"/>
    <xf numFmtId="3" fontId="36" fillId="47" borderId="33" xfId="4" applyNumberFormat="1" applyFont="1" applyFill="1" applyBorder="1"/>
    <xf numFmtId="3" fontId="36" fillId="48" borderId="33" xfId="4" applyNumberFormat="1" applyFont="1" applyFill="1" applyBorder="1"/>
    <xf numFmtId="3" fontId="36" fillId="44" borderId="33" xfId="4" applyNumberFormat="1" applyFont="1" applyFill="1" applyBorder="1"/>
    <xf numFmtId="3" fontId="36" fillId="37" borderId="33" xfId="4" applyNumberFormat="1" applyFont="1" applyFill="1" applyBorder="1"/>
    <xf numFmtId="165" fontId="36" fillId="38" borderId="26" xfId="9" applyNumberFormat="1" applyFont="1" applyFill="1" applyBorder="1" applyProtection="1"/>
    <xf numFmtId="165" fontId="36" fillId="41" borderId="33" xfId="9" applyNumberFormat="1" applyFont="1" applyFill="1" applyBorder="1" applyProtection="1"/>
    <xf numFmtId="165" fontId="36" fillId="42" borderId="33" xfId="9" applyNumberFormat="1" applyFont="1" applyFill="1" applyBorder="1" applyProtection="1"/>
    <xf numFmtId="165" fontId="36" fillId="46" borderId="33" xfId="9" applyNumberFormat="1" applyFont="1" applyFill="1" applyBorder="1" applyProtection="1"/>
    <xf numFmtId="165" fontId="36" fillId="47" borderId="33" xfId="9" applyNumberFormat="1" applyFont="1" applyFill="1" applyBorder="1" applyProtection="1"/>
    <xf numFmtId="165" fontId="36" fillId="48" borderId="33" xfId="9" applyNumberFormat="1" applyFont="1" applyFill="1" applyBorder="1" applyProtection="1"/>
    <xf numFmtId="165" fontId="36" fillId="44" borderId="33" xfId="9" applyNumberFormat="1" applyFont="1" applyFill="1" applyBorder="1" applyProtection="1"/>
    <xf numFmtId="165" fontId="36" fillId="37" borderId="59" xfId="9" applyNumberFormat="1" applyFont="1" applyFill="1" applyBorder="1" applyProtection="1"/>
    <xf numFmtId="3" fontId="36" fillId="0" borderId="0" xfId="4" applyNumberFormat="1" applyFont="1"/>
    <xf numFmtId="0" fontId="36" fillId="0" borderId="0" xfId="4" applyFont="1"/>
    <xf numFmtId="165" fontId="36" fillId="38" borderId="33" xfId="9" applyNumberFormat="1" applyFont="1" applyFill="1" applyBorder="1" applyAlignment="1" applyProtection="1">
      <alignment vertical="center"/>
    </xf>
    <xf numFmtId="3" fontId="36" fillId="38" borderId="33" xfId="9" applyNumberFormat="1" applyFont="1" applyFill="1" applyBorder="1" applyAlignment="1" applyProtection="1">
      <alignment vertical="center"/>
    </xf>
    <xf numFmtId="165" fontId="36" fillId="38" borderId="18" xfId="9" applyNumberFormat="1" applyFont="1" applyFill="1" applyBorder="1" applyAlignment="1" applyProtection="1">
      <alignment vertical="center"/>
    </xf>
    <xf numFmtId="167" fontId="36" fillId="39" borderId="56" xfId="9" applyNumberFormat="1" applyFont="1" applyFill="1" applyBorder="1" applyAlignment="1" applyProtection="1">
      <alignment vertical="center"/>
    </xf>
    <xf numFmtId="3" fontId="36" fillId="39" borderId="33" xfId="4" applyNumberFormat="1" applyFont="1" applyFill="1" applyBorder="1" applyAlignment="1">
      <alignment vertical="center"/>
    </xf>
    <xf numFmtId="167" fontId="36" fillId="39" borderId="33" xfId="9" applyNumberFormat="1" applyFont="1" applyFill="1" applyBorder="1" applyAlignment="1" applyProtection="1">
      <alignment vertical="center"/>
    </xf>
    <xf numFmtId="3" fontId="36" fillId="40" borderId="22" xfId="4" applyNumberFormat="1" applyFont="1" applyFill="1" applyBorder="1" applyAlignment="1">
      <alignment vertical="center"/>
    </xf>
    <xf numFmtId="3" fontId="36" fillId="38" borderId="60" xfId="4" applyNumberFormat="1" applyFont="1" applyFill="1" applyBorder="1" applyAlignment="1">
      <alignment vertical="center"/>
    </xf>
    <xf numFmtId="3" fontId="36" fillId="41" borderId="59" xfId="4" applyNumberFormat="1" applyFont="1" applyFill="1" applyBorder="1" applyAlignment="1">
      <alignment vertical="center"/>
    </xf>
    <xf numFmtId="3" fontId="36" fillId="42" borderId="61" xfId="4" applyNumberFormat="1" applyFont="1" applyFill="1" applyBorder="1" applyAlignment="1">
      <alignment vertical="center"/>
    </xf>
    <xf numFmtId="3" fontId="36" fillId="42" borderId="60" xfId="4" applyNumberFormat="1" applyFont="1" applyFill="1" applyBorder="1" applyAlignment="1">
      <alignment vertical="center"/>
    </xf>
    <xf numFmtId="3" fontId="36" fillId="44" borderId="56" xfId="4" applyNumberFormat="1" applyFont="1" applyFill="1" applyBorder="1" applyAlignment="1">
      <alignment vertical="center"/>
    </xf>
    <xf numFmtId="3" fontId="36" fillId="45" borderId="33" xfId="4" applyNumberFormat="1" applyFont="1" applyFill="1" applyBorder="1" applyAlignment="1">
      <alignment vertical="center"/>
    </xf>
    <xf numFmtId="3" fontId="36" fillId="38" borderId="26" xfId="4" applyNumberFormat="1" applyFont="1" applyFill="1" applyBorder="1" applyAlignment="1">
      <alignment vertical="center"/>
    </xf>
    <xf numFmtId="3" fontId="36" fillId="41" borderId="33" xfId="4" applyNumberFormat="1" applyFont="1" applyFill="1" applyBorder="1" applyAlignment="1">
      <alignment vertical="center"/>
    </xf>
    <xf numFmtId="3" fontId="36" fillId="42" borderId="33" xfId="4" applyNumberFormat="1" applyFont="1" applyFill="1" applyBorder="1" applyAlignment="1">
      <alignment vertical="center"/>
    </xf>
    <xf numFmtId="3" fontId="36" fillId="46" borderId="33" xfId="4" applyNumberFormat="1" applyFont="1" applyFill="1" applyBorder="1" applyAlignment="1">
      <alignment vertical="center"/>
    </xf>
    <xf numFmtId="3" fontId="36" fillId="47" borderId="33" xfId="4" applyNumberFormat="1" applyFont="1" applyFill="1" applyBorder="1" applyAlignment="1">
      <alignment vertical="center"/>
    </xf>
    <xf numFmtId="3" fontId="36" fillId="48" borderId="33" xfId="4" applyNumberFormat="1" applyFont="1" applyFill="1" applyBorder="1" applyAlignment="1">
      <alignment vertical="center"/>
    </xf>
    <xf numFmtId="3" fontId="36" fillId="44" borderId="33" xfId="4" applyNumberFormat="1" applyFont="1" applyFill="1" applyBorder="1" applyAlignment="1">
      <alignment vertical="center"/>
    </xf>
    <xf numFmtId="3" fontId="36" fillId="37" borderId="33" xfId="4" applyNumberFormat="1" applyFont="1" applyFill="1" applyBorder="1" applyAlignment="1">
      <alignment vertical="center"/>
    </xf>
    <xf numFmtId="165" fontId="36" fillId="38" borderId="26" xfId="9" applyNumberFormat="1" applyFont="1" applyFill="1" applyBorder="1" applyAlignment="1" applyProtection="1">
      <alignment vertical="center"/>
    </xf>
    <xf numFmtId="165" fontId="36" fillId="41" borderId="33" xfId="9" applyNumberFormat="1" applyFont="1" applyFill="1" applyBorder="1" applyAlignment="1" applyProtection="1">
      <alignment vertical="center"/>
    </xf>
    <xf numFmtId="165" fontId="36" fillId="42" borderId="33" xfId="9" applyNumberFormat="1" applyFont="1" applyFill="1" applyBorder="1" applyAlignment="1" applyProtection="1">
      <alignment vertical="center"/>
    </xf>
    <xf numFmtId="165" fontId="36" fillId="46" borderId="33" xfId="9" applyNumberFormat="1" applyFont="1" applyFill="1" applyBorder="1" applyAlignment="1" applyProtection="1">
      <alignment vertical="center"/>
    </xf>
    <xf numFmtId="165" fontId="36" fillId="47" borderId="33" xfId="9" applyNumberFormat="1" applyFont="1" applyFill="1" applyBorder="1" applyAlignment="1" applyProtection="1">
      <alignment vertical="center"/>
    </xf>
    <xf numFmtId="165" fontId="36" fillId="48" borderId="33" xfId="9" applyNumberFormat="1" applyFont="1" applyFill="1" applyBorder="1" applyAlignment="1" applyProtection="1">
      <alignment vertical="center"/>
    </xf>
    <xf numFmtId="165" fontId="36" fillId="44" borderId="33" xfId="9" applyNumberFormat="1" applyFont="1" applyFill="1" applyBorder="1" applyAlignment="1" applyProtection="1">
      <alignment vertical="center"/>
    </xf>
    <xf numFmtId="165" fontId="36" fillId="37" borderId="59" xfId="9" applyNumberFormat="1" applyFont="1" applyFill="1" applyBorder="1" applyAlignment="1" applyProtection="1">
      <alignment vertical="center"/>
    </xf>
    <xf numFmtId="0" fontId="10" fillId="0" borderId="0" xfId="4" applyAlignment="1">
      <alignment vertical="center"/>
    </xf>
    <xf numFmtId="3" fontId="36" fillId="0" borderId="0" xfId="4" applyNumberFormat="1" applyFont="1" applyAlignment="1">
      <alignment vertical="center"/>
    </xf>
    <xf numFmtId="0" fontId="36" fillId="0" borderId="0" xfId="4" applyFont="1" applyAlignment="1">
      <alignment vertical="center"/>
    </xf>
    <xf numFmtId="0" fontId="10" fillId="28" borderId="18" xfId="4" applyFill="1" applyBorder="1" applyAlignment="1">
      <alignment vertical="center" wrapText="1"/>
    </xf>
    <xf numFmtId="3" fontId="10" fillId="38" borderId="56" xfId="4" applyNumberFormat="1" applyFill="1" applyBorder="1" applyAlignment="1">
      <alignment vertical="center"/>
    </xf>
    <xf numFmtId="165" fontId="10" fillId="38" borderId="33" xfId="9" applyNumberFormat="1" applyFill="1" applyBorder="1" applyAlignment="1" applyProtection="1">
      <alignment vertical="center"/>
    </xf>
    <xf numFmtId="165" fontId="10" fillId="38" borderId="18" xfId="9" applyNumberFormat="1" applyFill="1" applyBorder="1" applyAlignment="1" applyProtection="1">
      <alignment vertical="center"/>
    </xf>
    <xf numFmtId="167" fontId="10" fillId="39" borderId="56" xfId="9" applyNumberFormat="1" applyFill="1" applyBorder="1" applyAlignment="1" applyProtection="1">
      <alignment vertical="center"/>
    </xf>
    <xf numFmtId="3" fontId="10" fillId="39" borderId="33" xfId="4" applyNumberFormat="1" applyFill="1" applyBorder="1" applyAlignment="1">
      <alignment vertical="center"/>
    </xf>
    <xf numFmtId="167" fontId="10" fillId="39" borderId="33" xfId="9" applyNumberFormat="1" applyFill="1" applyBorder="1" applyAlignment="1" applyProtection="1">
      <alignment vertical="center"/>
    </xf>
    <xf numFmtId="3" fontId="10" fillId="39" borderId="59" xfId="4" applyNumberFormat="1" applyFill="1" applyBorder="1" applyAlignment="1">
      <alignment vertical="center"/>
    </xf>
    <xf numFmtId="3" fontId="10" fillId="40" borderId="22" xfId="4" applyNumberFormat="1" applyFill="1" applyBorder="1" applyAlignment="1">
      <alignment vertical="center"/>
    </xf>
    <xf numFmtId="3" fontId="10" fillId="44" borderId="56" xfId="4" applyNumberFormat="1" applyFill="1" applyBorder="1" applyAlignment="1">
      <alignment vertical="center"/>
    </xf>
    <xf numFmtId="3" fontId="10" fillId="45" borderId="33" xfId="4" applyNumberFormat="1" applyFill="1" applyBorder="1" applyAlignment="1">
      <alignment vertical="center"/>
    </xf>
    <xf numFmtId="3" fontId="10" fillId="38" borderId="26" xfId="4" applyNumberFormat="1" applyFill="1" applyBorder="1" applyAlignment="1">
      <alignment vertical="center"/>
    </xf>
    <xf numFmtId="3" fontId="10" fillId="41" borderId="33" xfId="4" applyNumberFormat="1" applyFill="1" applyBorder="1" applyAlignment="1">
      <alignment vertical="center"/>
    </xf>
    <xf numFmtId="3" fontId="10" fillId="42" borderId="33" xfId="4" applyNumberFormat="1" applyFill="1" applyBorder="1" applyAlignment="1">
      <alignment vertical="center"/>
    </xf>
    <xf numFmtId="3" fontId="10" fillId="46" borderId="33" xfId="4" applyNumberFormat="1" applyFill="1" applyBorder="1" applyAlignment="1">
      <alignment vertical="center"/>
    </xf>
    <xf numFmtId="3" fontId="10" fillId="47" borderId="33" xfId="4" applyNumberFormat="1" applyFill="1" applyBorder="1" applyAlignment="1">
      <alignment vertical="center"/>
    </xf>
    <xf numFmtId="3" fontId="10" fillId="48" borderId="33" xfId="4" applyNumberFormat="1" applyFill="1" applyBorder="1" applyAlignment="1">
      <alignment vertical="center"/>
    </xf>
    <xf numFmtId="3" fontId="10" fillId="44" borderId="33" xfId="4" applyNumberFormat="1" applyFill="1" applyBorder="1" applyAlignment="1">
      <alignment vertical="center"/>
    </xf>
    <xf numFmtId="3" fontId="10" fillId="37" borderId="33" xfId="4" applyNumberFormat="1" applyFill="1" applyBorder="1" applyAlignment="1">
      <alignment vertical="center"/>
    </xf>
    <xf numFmtId="165" fontId="10" fillId="38" borderId="26" xfId="9" applyNumberFormat="1" applyFill="1" applyBorder="1" applyAlignment="1" applyProtection="1">
      <alignment vertical="center"/>
    </xf>
    <xf numFmtId="165" fontId="10" fillId="41" borderId="33" xfId="9" applyNumberFormat="1" applyFill="1" applyBorder="1" applyAlignment="1" applyProtection="1">
      <alignment vertical="center"/>
    </xf>
    <xf numFmtId="165" fontId="10" fillId="42" borderId="33" xfId="9" applyNumberFormat="1" applyFill="1" applyBorder="1" applyAlignment="1" applyProtection="1">
      <alignment vertical="center"/>
    </xf>
    <xf numFmtId="165" fontId="10" fillId="46" borderId="33" xfId="9" applyNumberFormat="1" applyFill="1" applyBorder="1" applyAlignment="1" applyProtection="1">
      <alignment vertical="center"/>
    </xf>
    <xf numFmtId="165" fontId="10" fillId="47" borderId="33" xfId="9" applyNumberFormat="1" applyFill="1" applyBorder="1" applyAlignment="1" applyProtection="1">
      <alignment vertical="center"/>
    </xf>
    <xf numFmtId="165" fontId="10" fillId="48" borderId="33" xfId="9" applyNumberFormat="1" applyFill="1" applyBorder="1" applyAlignment="1" applyProtection="1">
      <alignment vertical="center"/>
    </xf>
    <xf numFmtId="165" fontId="10" fillId="44" borderId="33" xfId="9" applyNumberFormat="1" applyFill="1" applyBorder="1" applyAlignment="1" applyProtection="1">
      <alignment vertical="center"/>
    </xf>
    <xf numFmtId="165" fontId="10" fillId="37" borderId="59" xfId="9" applyNumberFormat="1" applyFill="1" applyBorder="1" applyAlignment="1" applyProtection="1">
      <alignment vertical="center"/>
    </xf>
    <xf numFmtId="3" fontId="10" fillId="0" borderId="0" xfId="4" applyNumberFormat="1" applyAlignment="1">
      <alignment vertical="center"/>
    </xf>
    <xf numFmtId="3" fontId="10" fillId="38" borderId="33" xfId="9" applyNumberFormat="1" applyFill="1" applyBorder="1" applyAlignment="1" applyProtection="1">
      <alignment vertical="center"/>
    </xf>
    <xf numFmtId="3" fontId="10" fillId="38" borderId="62" xfId="4" applyNumberFormat="1" applyFill="1" applyBorder="1"/>
    <xf numFmtId="165" fontId="0" fillId="38" borderId="63" xfId="9" applyNumberFormat="1" applyFont="1" applyFill="1" applyBorder="1" applyProtection="1"/>
    <xf numFmtId="3" fontId="0" fillId="38" borderId="63" xfId="9" applyNumberFormat="1" applyFont="1" applyFill="1" applyBorder="1" applyProtection="1"/>
    <xf numFmtId="165" fontId="0" fillId="38" borderId="64" xfId="9" applyNumberFormat="1" applyFont="1" applyFill="1" applyBorder="1" applyProtection="1"/>
    <xf numFmtId="167" fontId="0" fillId="39" borderId="62" xfId="9" applyNumberFormat="1" applyFont="1" applyFill="1" applyBorder="1" applyProtection="1"/>
    <xf numFmtId="3" fontId="10" fillId="39" borderId="63" xfId="4" applyNumberFormat="1" applyFill="1" applyBorder="1"/>
    <xf numFmtId="167" fontId="0" fillId="39" borderId="63" xfId="9" applyNumberFormat="1" applyFont="1" applyFill="1" applyBorder="1" applyProtection="1"/>
    <xf numFmtId="3" fontId="10" fillId="39" borderId="5" xfId="4" applyNumberFormat="1" applyFill="1" applyBorder="1"/>
    <xf numFmtId="3" fontId="10" fillId="40" borderId="65" xfId="4" applyNumberFormat="1" applyFill="1" applyBorder="1"/>
    <xf numFmtId="3" fontId="10" fillId="38" borderId="47" xfId="4" applyNumberFormat="1" applyFill="1" applyBorder="1"/>
    <xf numFmtId="3" fontId="10" fillId="41" borderId="5" xfId="4" applyNumberFormat="1" applyFill="1" applyBorder="1"/>
    <xf numFmtId="3" fontId="10" fillId="42" borderId="66" xfId="4" applyNumberFormat="1" applyFill="1" applyBorder="1"/>
    <xf numFmtId="3" fontId="10" fillId="42" borderId="47" xfId="4" applyNumberFormat="1" applyFill="1" applyBorder="1"/>
    <xf numFmtId="3" fontId="10" fillId="43" borderId="63" xfId="4" applyNumberFormat="1" applyFill="1" applyBorder="1"/>
    <xf numFmtId="3" fontId="10" fillId="44" borderId="62" xfId="4" applyNumberFormat="1" applyFill="1" applyBorder="1"/>
    <xf numFmtId="3" fontId="10" fillId="44" borderId="5" xfId="4" applyNumberFormat="1" applyFill="1" applyBorder="1"/>
    <xf numFmtId="3" fontId="10" fillId="45" borderId="63" xfId="4" applyNumberFormat="1" applyFill="1" applyBorder="1"/>
    <xf numFmtId="0" fontId="38" fillId="0" borderId="0" xfId="2" applyFont="1"/>
    <xf numFmtId="0" fontId="10" fillId="0" borderId="33" xfId="4" applyBorder="1" applyAlignment="1">
      <alignment wrapText="1"/>
    </xf>
    <xf numFmtId="0" fontId="10" fillId="0" borderId="0" xfId="4" applyAlignment="1">
      <alignment horizontal="center" vertical="center" wrapText="1"/>
    </xf>
    <xf numFmtId="0" fontId="10" fillId="0" borderId="0" xfId="4" applyAlignment="1">
      <alignment horizontal="center" vertical="center"/>
    </xf>
    <xf numFmtId="0" fontId="10" fillId="38" borderId="6" xfId="4" applyFill="1" applyBorder="1" applyAlignment="1">
      <alignment wrapText="1"/>
    </xf>
    <xf numFmtId="0" fontId="10" fillId="38" borderId="69" xfId="4" applyFill="1" applyBorder="1" applyAlignment="1">
      <alignment wrapText="1"/>
    </xf>
    <xf numFmtId="0" fontId="10" fillId="38" borderId="7" xfId="4" applyFill="1" applyBorder="1" applyAlignment="1">
      <alignment wrapText="1"/>
    </xf>
    <xf numFmtId="0" fontId="10" fillId="39" borderId="6" xfId="4" applyFill="1" applyBorder="1" applyAlignment="1">
      <alignment wrapText="1"/>
    </xf>
    <xf numFmtId="0" fontId="10" fillId="39" borderId="69" xfId="4" applyFill="1" applyBorder="1" applyAlignment="1">
      <alignment wrapText="1"/>
    </xf>
    <xf numFmtId="0" fontId="10" fillId="39" borderId="7" xfId="4" applyFill="1" applyBorder="1" applyAlignment="1">
      <alignment wrapText="1"/>
    </xf>
    <xf numFmtId="0" fontId="10" fillId="40" borderId="32" xfId="4" applyFill="1" applyBorder="1" applyAlignment="1">
      <alignment wrapText="1"/>
    </xf>
    <xf numFmtId="0" fontId="34" fillId="38" borderId="32" xfId="4" applyFont="1" applyFill="1" applyBorder="1" applyAlignment="1">
      <alignment vertical="center" wrapText="1"/>
    </xf>
    <xf numFmtId="0" fontId="34" fillId="41" borderId="53" xfId="4" applyFont="1" applyFill="1" applyBorder="1" applyAlignment="1">
      <alignment vertical="center"/>
    </xf>
    <xf numFmtId="3" fontId="10" fillId="43" borderId="1" xfId="4" applyNumberFormat="1" applyFill="1" applyBorder="1" applyAlignment="1">
      <alignment vertical="center"/>
    </xf>
    <xf numFmtId="0" fontId="10" fillId="43" borderId="52" xfId="4" applyFill="1" applyBorder="1" applyAlignment="1">
      <alignment vertical="center" wrapText="1"/>
    </xf>
    <xf numFmtId="0" fontId="10" fillId="43" borderId="53" xfId="4" applyFill="1" applyBorder="1" applyAlignment="1">
      <alignment vertical="center" wrapText="1"/>
    </xf>
    <xf numFmtId="0" fontId="10" fillId="44" borderId="9" xfId="4" applyFill="1" applyBorder="1" applyAlignment="1">
      <alignment wrapText="1"/>
    </xf>
    <xf numFmtId="0" fontId="10" fillId="45" borderId="49" xfId="4" applyFill="1" applyBorder="1" applyAlignment="1">
      <alignment wrapText="1"/>
    </xf>
    <xf numFmtId="0" fontId="10" fillId="49" borderId="9" xfId="4" applyFill="1" applyBorder="1" applyAlignment="1">
      <alignment wrapText="1"/>
    </xf>
    <xf numFmtId="0" fontId="10" fillId="45" borderId="2" xfId="4" applyFill="1" applyBorder="1" applyAlignment="1">
      <alignment wrapText="1"/>
    </xf>
    <xf numFmtId="0" fontId="10" fillId="39" borderId="46" xfId="4" applyFill="1" applyBorder="1" applyAlignment="1">
      <alignment wrapText="1"/>
    </xf>
    <xf numFmtId="0" fontId="34" fillId="38" borderId="49" xfId="4" applyFont="1" applyFill="1" applyBorder="1" applyAlignment="1">
      <alignment wrapText="1"/>
    </xf>
    <xf numFmtId="0" fontId="34" fillId="37" borderId="50" xfId="4" applyFont="1" applyFill="1" applyBorder="1" applyAlignment="1">
      <alignment wrapText="1"/>
    </xf>
    <xf numFmtId="0" fontId="34" fillId="50" borderId="2" xfId="4" applyFont="1" applyFill="1" applyBorder="1" applyAlignment="1">
      <alignment wrapText="1"/>
    </xf>
    <xf numFmtId="0" fontId="34" fillId="38" borderId="51" xfId="4" applyFont="1" applyFill="1" applyBorder="1" applyAlignment="1">
      <alignment wrapText="1"/>
    </xf>
    <xf numFmtId="0" fontId="34" fillId="41" borderId="52" xfId="4" applyFont="1" applyFill="1" applyBorder="1"/>
    <xf numFmtId="0" fontId="34" fillId="42" borderId="52" xfId="4" applyFont="1" applyFill="1" applyBorder="1" applyAlignment="1">
      <alignment wrapText="1"/>
    </xf>
    <xf numFmtId="0" fontId="34" fillId="46" borderId="52" xfId="4" applyFont="1" applyFill="1" applyBorder="1" applyAlignment="1">
      <alignment wrapText="1"/>
    </xf>
    <xf numFmtId="0" fontId="34" fillId="47" borderId="52" xfId="4" applyFont="1" applyFill="1" applyBorder="1" applyAlignment="1">
      <alignment wrapText="1"/>
    </xf>
    <xf numFmtId="165" fontId="34" fillId="48" borderId="52" xfId="9" applyNumberFormat="1" applyFont="1" applyFill="1" applyBorder="1" applyAlignment="1" applyProtection="1">
      <alignment wrapText="1"/>
    </xf>
    <xf numFmtId="0" fontId="34" fillId="44" borderId="52" xfId="4" applyFont="1" applyFill="1" applyBorder="1" applyAlignment="1">
      <alignment wrapText="1"/>
    </xf>
    <xf numFmtId="0" fontId="34" fillId="37" borderId="53" xfId="4" applyFont="1" applyFill="1" applyBorder="1" applyAlignment="1">
      <alignment wrapText="1"/>
    </xf>
    <xf numFmtId="0" fontId="34" fillId="50" borderId="53" xfId="4" applyFont="1" applyFill="1" applyBorder="1" applyAlignment="1">
      <alignment wrapText="1"/>
    </xf>
    <xf numFmtId="165" fontId="0" fillId="38" borderId="59" xfId="9" applyNumberFormat="1" applyFont="1" applyFill="1" applyBorder="1" applyProtection="1"/>
    <xf numFmtId="0" fontId="10" fillId="39" borderId="33" xfId="4" applyFill="1" applyBorder="1"/>
    <xf numFmtId="3" fontId="10" fillId="40" borderId="60" xfId="4" applyNumberFormat="1" applyFill="1" applyBorder="1"/>
    <xf numFmtId="3" fontId="10" fillId="41" borderId="61" xfId="4" applyNumberFormat="1" applyFill="1" applyBorder="1"/>
    <xf numFmtId="3" fontId="10" fillId="41" borderId="18" xfId="4" applyNumberFormat="1" applyFill="1" applyBorder="1"/>
    <xf numFmtId="3" fontId="10" fillId="43" borderId="49" xfId="4" applyNumberFormat="1" applyFill="1" applyBorder="1"/>
    <xf numFmtId="4" fontId="10" fillId="43" borderId="50" xfId="4" applyNumberFormat="1" applyFill="1" applyBorder="1"/>
    <xf numFmtId="0" fontId="10" fillId="43" borderId="2" xfId="4" applyFill="1" applyBorder="1"/>
    <xf numFmtId="3" fontId="10" fillId="45" borderId="26" xfId="4" applyNumberFormat="1" applyFill="1" applyBorder="1"/>
    <xf numFmtId="3" fontId="10" fillId="49" borderId="56" xfId="4" applyNumberFormat="1" applyFill="1" applyBorder="1"/>
    <xf numFmtId="3" fontId="10" fillId="39" borderId="60" xfId="4" applyNumberFormat="1" applyFill="1" applyBorder="1"/>
    <xf numFmtId="3" fontId="10" fillId="50" borderId="18" xfId="4" applyNumberFormat="1" applyFill="1" applyBorder="1"/>
    <xf numFmtId="165" fontId="0" fillId="38" borderId="56" xfId="9" applyNumberFormat="1" applyFont="1" applyFill="1" applyBorder="1" applyProtection="1"/>
    <xf numFmtId="165" fontId="0" fillId="37" borderId="33" xfId="9" applyNumberFormat="1" applyFont="1" applyFill="1" applyBorder="1" applyProtection="1"/>
    <xf numFmtId="165" fontId="0" fillId="50" borderId="59" xfId="9" applyNumberFormat="1" applyFont="1" applyFill="1" applyBorder="1" applyProtection="1"/>
    <xf numFmtId="4" fontId="10" fillId="0" borderId="0" xfId="4" applyNumberFormat="1"/>
    <xf numFmtId="169" fontId="10" fillId="43" borderId="56" xfId="4" applyNumberFormat="1" applyFill="1" applyBorder="1"/>
    <xf numFmtId="169" fontId="10" fillId="43" borderId="33" xfId="4" applyNumberFormat="1" applyFill="1" applyBorder="1"/>
    <xf numFmtId="169" fontId="10" fillId="43" borderId="59" xfId="4" applyNumberFormat="1" applyFill="1" applyBorder="1"/>
    <xf numFmtId="3" fontId="10" fillId="43" borderId="56" xfId="4" applyNumberFormat="1" applyFill="1" applyBorder="1"/>
    <xf numFmtId="4" fontId="10" fillId="43" borderId="33" xfId="4" applyNumberFormat="1" applyFill="1" applyBorder="1"/>
    <xf numFmtId="0" fontId="10" fillId="43" borderId="59" xfId="4" applyFill="1" applyBorder="1"/>
    <xf numFmtId="3" fontId="10" fillId="49" borderId="33" xfId="4" applyNumberFormat="1" applyFill="1" applyBorder="1"/>
    <xf numFmtId="3" fontId="10" fillId="45" borderId="70" xfId="4" applyNumberFormat="1" applyFill="1" applyBorder="1"/>
    <xf numFmtId="0" fontId="10" fillId="43" borderId="33" xfId="4" applyFill="1" applyBorder="1"/>
    <xf numFmtId="3" fontId="10" fillId="43" borderId="59" xfId="4" applyNumberFormat="1" applyFill="1" applyBorder="1"/>
    <xf numFmtId="0" fontId="34" fillId="0" borderId="18" xfId="4" applyFont="1" applyBorder="1" applyAlignment="1">
      <alignment wrapText="1"/>
    </xf>
    <xf numFmtId="169" fontId="10" fillId="39" borderId="59" xfId="4" applyNumberFormat="1" applyFill="1" applyBorder="1"/>
    <xf numFmtId="169" fontId="10" fillId="40" borderId="60" xfId="4" applyNumberFormat="1" applyFill="1" applyBorder="1"/>
    <xf numFmtId="169" fontId="10" fillId="38" borderId="60" xfId="4" applyNumberFormat="1" applyFill="1" applyBorder="1"/>
    <xf numFmtId="169" fontId="10" fillId="41" borderId="61" xfId="4" applyNumberFormat="1" applyFill="1" applyBorder="1"/>
    <xf numFmtId="169" fontId="10" fillId="41" borderId="33" xfId="4" applyNumberFormat="1" applyFill="1" applyBorder="1"/>
    <xf numFmtId="169" fontId="10" fillId="41" borderId="18" xfId="4" applyNumberFormat="1" applyFill="1" applyBorder="1"/>
    <xf numFmtId="169" fontId="10" fillId="41" borderId="59" xfId="4" applyNumberFormat="1" applyFill="1" applyBorder="1"/>
    <xf numFmtId="169" fontId="10" fillId="44" borderId="56" xfId="4" applyNumberFormat="1" applyFill="1" applyBorder="1"/>
    <xf numFmtId="169" fontId="10" fillId="44" borderId="33" xfId="4" applyNumberFormat="1" applyFill="1" applyBorder="1"/>
    <xf numFmtId="169" fontId="10" fillId="44" borderId="59" xfId="4" applyNumberFormat="1" applyFill="1" applyBorder="1"/>
    <xf numFmtId="169" fontId="10" fillId="45" borderId="26" xfId="4" applyNumberFormat="1" applyFill="1" applyBorder="1"/>
    <xf numFmtId="169" fontId="10" fillId="49" borderId="33" xfId="4" applyNumberFormat="1" applyFill="1" applyBorder="1"/>
    <xf numFmtId="169" fontId="10" fillId="45" borderId="59" xfId="4" applyNumberFormat="1" applyFill="1" applyBorder="1"/>
    <xf numFmtId="169" fontId="10" fillId="39" borderId="60" xfId="4" applyNumberFormat="1" applyFill="1" applyBorder="1"/>
    <xf numFmtId="0" fontId="34" fillId="50" borderId="59" xfId="4" applyFont="1" applyFill="1" applyBorder="1" applyAlignment="1">
      <alignment wrapText="1"/>
    </xf>
    <xf numFmtId="0" fontId="34" fillId="28" borderId="18" xfId="4" applyFont="1" applyFill="1" applyBorder="1" applyAlignment="1">
      <alignment wrapText="1"/>
    </xf>
    <xf numFmtId="3" fontId="10" fillId="38" borderId="33" xfId="4" applyNumberFormat="1" applyFill="1" applyBorder="1"/>
    <xf numFmtId="2" fontId="10" fillId="43" borderId="33" xfId="4" applyNumberFormat="1" applyFill="1" applyBorder="1"/>
    <xf numFmtId="3" fontId="0" fillId="43" borderId="33" xfId="9" applyNumberFormat="1" applyFont="1" applyFill="1" applyBorder="1" applyProtection="1"/>
    <xf numFmtId="167" fontId="0" fillId="43" borderId="33" xfId="9" applyNumberFormat="1" applyFont="1" applyFill="1" applyBorder="1" applyProtection="1"/>
    <xf numFmtId="165" fontId="0" fillId="38" borderId="5" xfId="9" applyNumberFormat="1" applyFont="1" applyFill="1" applyBorder="1" applyProtection="1"/>
    <xf numFmtId="3" fontId="10" fillId="40" borderId="47" xfId="4" applyNumberFormat="1" applyFill="1" applyBorder="1"/>
    <xf numFmtId="3" fontId="10" fillId="41" borderId="66" xfId="4" applyNumberFormat="1" applyFill="1" applyBorder="1"/>
    <xf numFmtId="3" fontId="10" fillId="41" borderId="63" xfId="4" applyNumberFormat="1" applyFill="1" applyBorder="1"/>
    <xf numFmtId="3" fontId="10" fillId="41" borderId="64" xfId="4" applyNumberFormat="1" applyFill="1" applyBorder="1"/>
    <xf numFmtId="3" fontId="10" fillId="43" borderId="62" xfId="4" applyNumberFormat="1" applyFill="1" applyBorder="1"/>
    <xf numFmtId="0" fontId="10" fillId="43" borderId="63" xfId="4" applyFill="1" applyBorder="1"/>
    <xf numFmtId="0" fontId="10" fillId="43" borderId="5" xfId="4" applyFill="1" applyBorder="1"/>
    <xf numFmtId="3" fontId="10" fillId="44" borderId="63" xfId="4" applyNumberFormat="1" applyFill="1" applyBorder="1"/>
    <xf numFmtId="3" fontId="10" fillId="45" borderId="67" xfId="4" applyNumberFormat="1" applyFill="1" applyBorder="1"/>
    <xf numFmtId="3" fontId="10" fillId="49" borderId="63" xfId="4" applyNumberFormat="1" applyFill="1" applyBorder="1"/>
    <xf numFmtId="3" fontId="10" fillId="45" borderId="5" xfId="4" applyNumberFormat="1" applyFill="1" applyBorder="1"/>
    <xf numFmtId="3" fontId="10" fillId="39" borderId="47" xfId="4" applyNumberFormat="1" applyFill="1" applyBorder="1"/>
    <xf numFmtId="165" fontId="0" fillId="38" borderId="62" xfId="9" applyNumberFormat="1" applyFont="1" applyFill="1" applyBorder="1" applyProtection="1"/>
    <xf numFmtId="165" fontId="0" fillId="41" borderId="63" xfId="9" applyNumberFormat="1" applyFont="1" applyFill="1" applyBorder="1" applyProtection="1"/>
    <xf numFmtId="165" fontId="0" fillId="42" borderId="63" xfId="9" applyNumberFormat="1" applyFont="1" applyFill="1" applyBorder="1" applyProtection="1"/>
    <xf numFmtId="165" fontId="0" fillId="46" borderId="63" xfId="9" applyNumberFormat="1" applyFont="1" applyFill="1" applyBorder="1" applyProtection="1"/>
    <xf numFmtId="165" fontId="0" fillId="47" borderId="63" xfId="9" applyNumberFormat="1" applyFont="1" applyFill="1" applyBorder="1" applyProtection="1"/>
    <xf numFmtId="165" fontId="0" fillId="48" borderId="63" xfId="9" applyNumberFormat="1" applyFont="1" applyFill="1" applyBorder="1" applyProtection="1"/>
    <xf numFmtId="165" fontId="0" fillId="44" borderId="63" xfId="9" applyNumberFormat="1" applyFont="1" applyFill="1" applyBorder="1" applyProtection="1"/>
    <xf numFmtId="165" fontId="0" fillId="37" borderId="63" xfId="9" applyNumberFormat="1" applyFont="1" applyFill="1" applyBorder="1" applyProtection="1"/>
    <xf numFmtId="0" fontId="34" fillId="50" borderId="5" xfId="4" applyFont="1" applyFill="1" applyBorder="1" applyAlignment="1">
      <alignment wrapText="1"/>
    </xf>
    <xf numFmtId="0" fontId="10" fillId="0" borderId="0" xfId="4" applyAlignment="1">
      <alignment horizontal="center"/>
    </xf>
    <xf numFmtId="0" fontId="10" fillId="0" borderId="33" xfId="4" applyBorder="1" applyAlignment="1">
      <alignment horizontal="left" vertical="center" wrapText="1"/>
    </xf>
    <xf numFmtId="0" fontId="10" fillId="0" borderId="33" xfId="4" applyBorder="1"/>
    <xf numFmtId="0" fontId="10" fillId="0" borderId="6" xfId="4" applyBorder="1" applyAlignment="1">
      <alignment horizontal="right" vertical="center" wrapText="1"/>
    </xf>
    <xf numFmtId="3" fontId="10" fillId="0" borderId="7" xfId="4" applyNumberFormat="1" applyBorder="1" applyAlignment="1">
      <alignment horizontal="right" vertical="center" wrapText="1"/>
    </xf>
    <xf numFmtId="0" fontId="10" fillId="0" borderId="8" xfId="4" applyBorder="1" applyAlignment="1">
      <alignment horizontal="right" vertical="center" wrapText="1"/>
    </xf>
    <xf numFmtId="3" fontId="10" fillId="0" borderId="8" xfId="4" applyNumberFormat="1" applyBorder="1" applyAlignment="1">
      <alignment horizontal="right" vertical="center" wrapText="1"/>
    </xf>
    <xf numFmtId="3" fontId="10" fillId="51" borderId="56" xfId="2" applyNumberFormat="1" applyFont="1" applyFill="1" applyBorder="1"/>
    <xf numFmtId="0" fontId="10" fillId="52" borderId="0" xfId="4" applyFill="1"/>
    <xf numFmtId="0" fontId="34" fillId="53" borderId="48" xfId="4" applyFont="1" applyFill="1" applyBorder="1" applyAlignment="1">
      <alignment horizontal="center"/>
    </xf>
    <xf numFmtId="0" fontId="10" fillId="37" borderId="48" xfId="4" applyFill="1" applyBorder="1" applyAlignment="1">
      <alignment horizontal="center" wrapText="1"/>
    </xf>
    <xf numFmtId="3" fontId="34" fillId="0" borderId="0" xfId="4" applyNumberFormat="1" applyFont="1" applyAlignment="1">
      <alignment horizontal="center"/>
    </xf>
    <xf numFmtId="0" fontId="10" fillId="38" borderId="58" xfId="4" applyFill="1" applyBorder="1" applyAlignment="1">
      <alignment wrapText="1"/>
    </xf>
    <xf numFmtId="0" fontId="10" fillId="39" borderId="1" xfId="4" applyFill="1" applyBorder="1" applyAlignment="1">
      <alignment wrapText="1"/>
    </xf>
    <xf numFmtId="0" fontId="10" fillId="40" borderId="72" xfId="4" applyFill="1" applyBorder="1" applyAlignment="1">
      <alignment wrapText="1"/>
    </xf>
    <xf numFmtId="0" fontId="34" fillId="38" borderId="6" xfId="4" applyFont="1" applyFill="1" applyBorder="1" applyAlignment="1">
      <alignment wrapText="1"/>
    </xf>
    <xf numFmtId="0" fontId="34" fillId="41" borderId="69" xfId="4" applyFont="1" applyFill="1" applyBorder="1"/>
    <xf numFmtId="0" fontId="34" fillId="42" borderId="69" xfId="4" applyFont="1" applyFill="1" applyBorder="1" applyAlignment="1">
      <alignment wrapText="1"/>
    </xf>
    <xf numFmtId="0" fontId="34" fillId="42" borderId="7" xfId="4" applyFont="1" applyFill="1" applyBorder="1" applyAlignment="1">
      <alignment wrapText="1"/>
    </xf>
    <xf numFmtId="0" fontId="39" fillId="54" borderId="9" xfId="4" applyFont="1" applyFill="1" applyBorder="1" applyAlignment="1">
      <alignment horizontal="center" wrapText="1"/>
    </xf>
    <xf numFmtId="0" fontId="39" fillId="55" borderId="9" xfId="4" applyFont="1" applyFill="1" applyBorder="1" applyAlignment="1">
      <alignment horizontal="center" wrapText="1"/>
    </xf>
    <xf numFmtId="0" fontId="34" fillId="42" borderId="9" xfId="4" applyFont="1" applyFill="1" applyBorder="1" applyAlignment="1">
      <alignment wrapText="1"/>
    </xf>
    <xf numFmtId="0" fontId="10" fillId="43" borderId="51" xfId="4" applyFill="1" applyBorder="1" applyAlignment="1">
      <alignment wrapText="1"/>
    </xf>
    <xf numFmtId="0" fontId="10" fillId="43" borderId="52" xfId="4" applyFill="1" applyBorder="1" applyAlignment="1">
      <alignment wrapText="1"/>
    </xf>
    <xf numFmtId="0" fontId="10" fillId="43" borderId="54" xfId="4" applyFill="1" applyBorder="1" applyAlignment="1">
      <alignment wrapText="1"/>
    </xf>
    <xf numFmtId="0" fontId="10" fillId="43" borderId="53" xfId="4" applyFill="1" applyBorder="1" applyAlignment="1">
      <alignment wrapText="1"/>
    </xf>
    <xf numFmtId="0" fontId="10" fillId="44" borderId="1" xfId="4" applyFill="1" applyBorder="1" applyAlignment="1">
      <alignment wrapText="1"/>
    </xf>
    <xf numFmtId="0" fontId="10" fillId="45" borderId="72" xfId="4" applyFill="1" applyBorder="1" applyAlignment="1">
      <alignment wrapText="1"/>
    </xf>
    <xf numFmtId="0" fontId="34" fillId="56" borderId="58" xfId="4" applyFont="1" applyFill="1" applyBorder="1" applyAlignment="1">
      <alignment wrapText="1"/>
    </xf>
    <xf numFmtId="0" fontId="34" fillId="37" borderId="58" xfId="4" applyFont="1" applyFill="1" applyBorder="1" applyAlignment="1">
      <alignment wrapText="1"/>
    </xf>
    <xf numFmtId="0" fontId="34" fillId="56" borderId="50" xfId="4" applyFont="1" applyFill="1" applyBorder="1" applyAlignment="1">
      <alignment wrapText="1"/>
    </xf>
    <xf numFmtId="0" fontId="10" fillId="39" borderId="50" xfId="4" applyFill="1" applyBorder="1"/>
    <xf numFmtId="3" fontId="10" fillId="38" borderId="49" xfId="4" applyNumberFormat="1" applyFill="1" applyBorder="1"/>
    <xf numFmtId="3" fontId="10" fillId="41" borderId="50" xfId="4" applyNumberFormat="1" applyFill="1" applyBorder="1"/>
    <xf numFmtId="3" fontId="10" fillId="42" borderId="50" xfId="4" applyNumberFormat="1" applyFill="1" applyBorder="1"/>
    <xf numFmtId="3" fontId="10" fillId="42" borderId="58" xfId="4" applyNumberFormat="1" applyFill="1" applyBorder="1"/>
    <xf numFmtId="3" fontId="39" fillId="54" borderId="22" xfId="4" applyNumberFormat="1" applyFont="1" applyFill="1" applyBorder="1" applyAlignment="1">
      <alignment horizontal="center"/>
    </xf>
    <xf numFmtId="3" fontId="39" fillId="55" borderId="22" xfId="4" applyNumberFormat="1" applyFont="1" applyFill="1" applyBorder="1" applyAlignment="1">
      <alignment horizontal="center"/>
    </xf>
    <xf numFmtId="3" fontId="10" fillId="57" borderId="22" xfId="4" applyNumberFormat="1" applyFill="1" applyBorder="1"/>
    <xf numFmtId="3" fontId="10" fillId="51" borderId="49" xfId="2" applyNumberFormat="1" applyFont="1" applyFill="1" applyBorder="1"/>
    <xf numFmtId="3" fontId="10" fillId="51" borderId="50" xfId="2" applyNumberFormat="1" applyFont="1" applyFill="1" applyBorder="1"/>
    <xf numFmtId="3" fontId="10" fillId="43" borderId="2" xfId="4" applyNumberFormat="1" applyFill="1" applyBorder="1"/>
    <xf numFmtId="3" fontId="10" fillId="44" borderId="55" xfId="4" applyNumberFormat="1" applyFill="1" applyBorder="1"/>
    <xf numFmtId="3" fontId="10" fillId="44" borderId="72" xfId="4" applyNumberFormat="1" applyFill="1" applyBorder="1"/>
    <xf numFmtId="3" fontId="10" fillId="45" borderId="22" xfId="4" applyNumberFormat="1" applyFill="1" applyBorder="1"/>
    <xf numFmtId="3" fontId="10" fillId="56" borderId="18" xfId="4" applyNumberFormat="1" applyFill="1" applyBorder="1"/>
    <xf numFmtId="3" fontId="10" fillId="37" borderId="18" xfId="4" applyNumberFormat="1" applyFill="1" applyBorder="1"/>
    <xf numFmtId="165" fontId="0" fillId="58" borderId="33" xfId="9" applyNumberFormat="1" applyFont="1" applyFill="1" applyBorder="1" applyProtection="1"/>
    <xf numFmtId="3" fontId="10" fillId="42" borderId="18" xfId="4" applyNumberFormat="1" applyFill="1" applyBorder="1"/>
    <xf numFmtId="3" fontId="10" fillId="51" borderId="33" xfId="2" applyNumberFormat="1" applyFont="1" applyFill="1" applyBorder="1"/>
    <xf numFmtId="4" fontId="10" fillId="51" borderId="33" xfId="2" applyNumberFormat="1" applyFont="1" applyFill="1" applyBorder="1"/>
    <xf numFmtId="4" fontId="10" fillId="59" borderId="33" xfId="2" applyNumberFormat="1" applyFont="1" applyFill="1" applyBorder="1"/>
    <xf numFmtId="3" fontId="10" fillId="59" borderId="33" xfId="2" applyNumberFormat="1" applyFont="1" applyFill="1" applyBorder="1"/>
    <xf numFmtId="3" fontId="10" fillId="51" borderId="59" xfId="2" applyNumberFormat="1" applyFont="1" applyFill="1" applyBorder="1"/>
    <xf numFmtId="3" fontId="10" fillId="60" borderId="26" xfId="2" applyNumberFormat="1" applyFont="1" applyFill="1" applyBorder="1"/>
    <xf numFmtId="3" fontId="10" fillId="60" borderId="22" xfId="2" applyNumberFormat="1" applyFont="1" applyFill="1" applyBorder="1"/>
    <xf numFmtId="0" fontId="10" fillId="42" borderId="33" xfId="4" applyFill="1" applyBorder="1"/>
    <xf numFmtId="3" fontId="37" fillId="38" borderId="56" xfId="4" applyNumberFormat="1" applyFont="1" applyFill="1" applyBorder="1"/>
    <xf numFmtId="165" fontId="37" fillId="38" borderId="33" xfId="9" applyNumberFormat="1" applyFont="1" applyFill="1" applyBorder="1" applyProtection="1"/>
    <xf numFmtId="3" fontId="37" fillId="38" borderId="33" xfId="9" applyNumberFormat="1" applyFont="1" applyFill="1" applyBorder="1" applyProtection="1"/>
    <xf numFmtId="165" fontId="37" fillId="38" borderId="18" xfId="9" applyNumberFormat="1" applyFont="1" applyFill="1" applyBorder="1" applyProtection="1"/>
    <xf numFmtId="167" fontId="37" fillId="39" borderId="56" xfId="9" applyNumberFormat="1" applyFont="1" applyFill="1" applyBorder="1" applyProtection="1"/>
    <xf numFmtId="3" fontId="37" fillId="39" borderId="33" xfId="4" applyNumberFormat="1" applyFont="1" applyFill="1" applyBorder="1"/>
    <xf numFmtId="167" fontId="37" fillId="39" borderId="33" xfId="9" applyNumberFormat="1" applyFont="1" applyFill="1" applyBorder="1" applyProtection="1"/>
    <xf numFmtId="0" fontId="37" fillId="39" borderId="33" xfId="4" applyFont="1" applyFill="1" applyBorder="1"/>
    <xf numFmtId="3" fontId="37" fillId="40" borderId="22" xfId="4" applyNumberFormat="1" applyFont="1" applyFill="1" applyBorder="1"/>
    <xf numFmtId="3" fontId="37" fillId="41" borderId="33" xfId="4" applyNumberFormat="1" applyFont="1" applyFill="1" applyBorder="1"/>
    <xf numFmtId="0" fontId="37" fillId="42" borderId="33" xfId="4" applyFont="1" applyFill="1" applyBorder="1"/>
    <xf numFmtId="3" fontId="37" fillId="42" borderId="33" xfId="4" applyNumberFormat="1" applyFont="1" applyFill="1" applyBorder="1"/>
    <xf numFmtId="3" fontId="37" fillId="42" borderId="18" xfId="4" applyNumberFormat="1" applyFont="1" applyFill="1" applyBorder="1"/>
    <xf numFmtId="3" fontId="40" fillId="54" borderId="22" xfId="4" applyNumberFormat="1" applyFont="1" applyFill="1" applyBorder="1" applyAlignment="1">
      <alignment horizontal="center"/>
    </xf>
    <xf numFmtId="3" fontId="40" fillId="55" borderId="22" xfId="4" applyNumberFormat="1" applyFont="1" applyFill="1" applyBorder="1" applyAlignment="1">
      <alignment horizontal="center"/>
    </xf>
    <xf numFmtId="3" fontId="37" fillId="57" borderId="22" xfId="4" applyNumberFormat="1" applyFont="1" applyFill="1" applyBorder="1"/>
    <xf numFmtId="3" fontId="37" fillId="51" borderId="33" xfId="2" applyNumberFormat="1" applyFont="1" applyFill="1" applyBorder="1"/>
    <xf numFmtId="3" fontId="37" fillId="51" borderId="59" xfId="2" applyNumberFormat="1" applyFont="1" applyFill="1" applyBorder="1"/>
    <xf numFmtId="3" fontId="37" fillId="60" borderId="26" xfId="2" applyNumberFormat="1" applyFont="1" applyFill="1" applyBorder="1"/>
    <xf numFmtId="3" fontId="37" fillId="60" borderId="22" xfId="2" applyNumberFormat="1" applyFont="1" applyFill="1" applyBorder="1"/>
    <xf numFmtId="3" fontId="37" fillId="44" borderId="59" xfId="4" applyNumberFormat="1" applyFont="1" applyFill="1" applyBorder="1"/>
    <xf numFmtId="3" fontId="37" fillId="45" borderId="26" xfId="4" applyNumberFormat="1" applyFont="1" applyFill="1" applyBorder="1"/>
    <xf numFmtId="3" fontId="37" fillId="46" borderId="33" xfId="4" applyNumberFormat="1" applyFont="1" applyFill="1" applyBorder="1"/>
    <xf numFmtId="3" fontId="37" fillId="47" borderId="33" xfId="4" applyNumberFormat="1" applyFont="1" applyFill="1" applyBorder="1"/>
    <xf numFmtId="3" fontId="37" fillId="48" borderId="33" xfId="4" applyNumberFormat="1" applyFont="1" applyFill="1" applyBorder="1"/>
    <xf numFmtId="3" fontId="37" fillId="56" borderId="18" xfId="4" applyNumberFormat="1" applyFont="1" applyFill="1" applyBorder="1"/>
    <xf numFmtId="165" fontId="37" fillId="38" borderId="56" xfId="9" applyNumberFormat="1" applyFont="1" applyFill="1" applyBorder="1" applyProtection="1"/>
    <xf numFmtId="165" fontId="37" fillId="41" borderId="33" xfId="9" applyNumberFormat="1" applyFont="1" applyFill="1" applyBorder="1" applyProtection="1"/>
    <xf numFmtId="165" fontId="37" fillId="42" borderId="33" xfId="9" applyNumberFormat="1" applyFont="1" applyFill="1" applyBorder="1" applyProtection="1"/>
    <xf numFmtId="165" fontId="37" fillId="46" borderId="33" xfId="9" applyNumberFormat="1" applyFont="1" applyFill="1" applyBorder="1" applyProtection="1"/>
    <xf numFmtId="165" fontId="37" fillId="47" borderId="33" xfId="9" applyNumberFormat="1" applyFont="1" applyFill="1" applyBorder="1" applyProtection="1"/>
    <xf numFmtId="165" fontId="37" fillId="48" borderId="33" xfId="9" applyNumberFormat="1" applyFont="1" applyFill="1" applyBorder="1" applyProtection="1"/>
    <xf numFmtId="165" fontId="37" fillId="44" borderId="33" xfId="9" applyNumberFormat="1" applyFont="1" applyFill="1" applyBorder="1" applyProtection="1"/>
    <xf numFmtId="165" fontId="37" fillId="58" borderId="33" xfId="9" applyNumberFormat="1" applyFont="1" applyFill="1" applyBorder="1" applyProtection="1"/>
    <xf numFmtId="165" fontId="37" fillId="37" borderId="59" xfId="9" applyNumberFormat="1" applyFont="1" applyFill="1" applyBorder="1" applyProtection="1"/>
    <xf numFmtId="0" fontId="37" fillId="0" borderId="0" xfId="4" applyFont="1"/>
    <xf numFmtId="3" fontId="37" fillId="0" borderId="0" xfId="4" applyNumberFormat="1" applyFont="1"/>
    <xf numFmtId="3" fontId="7" fillId="54" borderId="22" xfId="4" applyNumberFormat="1" applyFont="1" applyFill="1" applyBorder="1" applyAlignment="1">
      <alignment horizontal="center"/>
    </xf>
    <xf numFmtId="3" fontId="7" fillId="55" borderId="22" xfId="4" applyNumberFormat="1" applyFont="1" applyFill="1" applyBorder="1" applyAlignment="1">
      <alignment horizontal="center"/>
    </xf>
    <xf numFmtId="165" fontId="10" fillId="38" borderId="56" xfId="9" applyNumberFormat="1" applyFill="1" applyBorder="1" applyProtection="1"/>
    <xf numFmtId="165" fontId="10" fillId="58" borderId="33" xfId="9" applyNumberFormat="1" applyFill="1" applyBorder="1" applyProtection="1"/>
    <xf numFmtId="0" fontId="10" fillId="51" borderId="59" xfId="2" applyFont="1" applyFill="1" applyBorder="1"/>
    <xf numFmtId="0" fontId="37" fillId="51" borderId="59" xfId="2" applyFont="1" applyFill="1" applyBorder="1"/>
    <xf numFmtId="2" fontId="37" fillId="43" borderId="33" xfId="4" applyNumberFormat="1" applyFont="1" applyFill="1" applyBorder="1"/>
    <xf numFmtId="0" fontId="37" fillId="43" borderId="59" xfId="4" applyFont="1" applyFill="1" applyBorder="1"/>
    <xf numFmtId="3" fontId="37" fillId="44" borderId="26" xfId="4" applyNumberFormat="1" applyFont="1" applyFill="1" applyBorder="1"/>
    <xf numFmtId="3" fontId="37" fillId="44" borderId="22" xfId="4" applyNumberFormat="1" applyFont="1" applyFill="1" applyBorder="1"/>
    <xf numFmtId="0" fontId="10" fillId="39" borderId="63" xfId="4" applyFill="1" applyBorder="1"/>
    <xf numFmtId="0" fontId="10" fillId="42" borderId="63" xfId="4" applyFill="1" applyBorder="1"/>
    <xf numFmtId="3" fontId="10" fillId="42" borderId="63" xfId="4" applyNumberFormat="1" applyFill="1" applyBorder="1"/>
    <xf numFmtId="3" fontId="10" fillId="42" borderId="64" xfId="4" applyNumberFormat="1" applyFill="1" applyBorder="1"/>
    <xf numFmtId="3" fontId="10" fillId="51" borderId="62" xfId="2" applyNumberFormat="1" applyFont="1" applyFill="1" applyBorder="1"/>
    <xf numFmtId="3" fontId="10" fillId="51" borderId="63" xfId="2" applyNumberFormat="1" applyFont="1" applyFill="1" applyBorder="1"/>
    <xf numFmtId="3" fontId="10" fillId="44" borderId="67" xfId="4" applyNumberFormat="1" applyFill="1" applyBorder="1"/>
    <xf numFmtId="3" fontId="10" fillId="44" borderId="65" xfId="4" applyNumberFormat="1" applyFill="1" applyBorder="1"/>
    <xf numFmtId="3" fontId="10" fillId="46" borderId="63" xfId="4" applyNumberFormat="1" applyFill="1" applyBorder="1"/>
    <xf numFmtId="3" fontId="10" fillId="47" borderId="63" xfId="4" applyNumberFormat="1" applyFill="1" applyBorder="1"/>
    <xf numFmtId="3" fontId="10" fillId="48" borderId="63" xfId="4" applyNumberFormat="1" applyFill="1" applyBorder="1"/>
    <xf numFmtId="165" fontId="0" fillId="58" borderId="63" xfId="9" applyNumberFormat="1" applyFont="1" applyFill="1" applyBorder="1" applyProtection="1"/>
    <xf numFmtId="165" fontId="0" fillId="37" borderId="5" xfId="9" applyNumberFormat="1" applyFont="1" applyFill="1" applyBorder="1" applyProtection="1"/>
    <xf numFmtId="10" fontId="10" fillId="0" borderId="0" xfId="4" applyNumberFormat="1"/>
    <xf numFmtId="0" fontId="10" fillId="0" borderId="0" xfId="15" applyAlignment="1">
      <alignment wrapText="1"/>
    </xf>
    <xf numFmtId="0" fontId="10" fillId="61" borderId="33" xfId="4" applyFill="1" applyBorder="1" applyAlignment="1">
      <alignment vertical="center" wrapText="1"/>
    </xf>
    <xf numFmtId="3" fontId="10" fillId="61" borderId="18" xfId="4" applyNumberFormat="1" applyFill="1" applyBorder="1" applyAlignment="1">
      <alignment vertical="center" wrapText="1"/>
    </xf>
    <xf numFmtId="0" fontId="10" fillId="61" borderId="33" xfId="4" applyFill="1" applyBorder="1" applyAlignment="1">
      <alignment horizontal="center"/>
    </xf>
    <xf numFmtId="10" fontId="10" fillId="0" borderId="0" xfId="6" applyNumberFormat="1" applyFont="1"/>
    <xf numFmtId="0" fontId="10" fillId="62" borderId="33" xfId="4" applyFill="1" applyBorder="1" applyAlignment="1">
      <alignment vertical="center" wrapText="1"/>
    </xf>
    <xf numFmtId="3" fontId="10" fillId="62" borderId="33" xfId="4" applyNumberFormat="1" applyFill="1" applyBorder="1" applyAlignment="1">
      <alignment vertical="center" wrapText="1"/>
    </xf>
    <xf numFmtId="3" fontId="10" fillId="62" borderId="18" xfId="4" applyNumberFormat="1" applyFill="1" applyBorder="1" applyAlignment="1">
      <alignment vertical="center" wrapText="1"/>
    </xf>
    <xf numFmtId="2" fontId="10" fillId="62" borderId="18" xfId="4" applyNumberFormat="1" applyFill="1" applyBorder="1" applyAlignment="1">
      <alignment horizontal="center"/>
    </xf>
    <xf numFmtId="0" fontId="10" fillId="0" borderId="33" xfId="4" applyBorder="1" applyAlignment="1">
      <alignment vertical="center" wrapText="1"/>
    </xf>
    <xf numFmtId="3" fontId="10" fillId="0" borderId="33" xfId="4" applyNumberFormat="1" applyBorder="1" applyAlignment="1">
      <alignment vertical="center" wrapText="1"/>
    </xf>
    <xf numFmtId="3" fontId="10" fillId="0" borderId="0" xfId="4" applyNumberFormat="1" applyAlignment="1">
      <alignment vertical="center" wrapText="1"/>
    </xf>
    <xf numFmtId="2" fontId="10" fillId="0" borderId="0" xfId="4" applyNumberFormat="1" applyAlignment="1">
      <alignment horizontal="center"/>
    </xf>
    <xf numFmtId="0" fontId="10" fillId="63" borderId="33" xfId="4" applyFill="1" applyBorder="1" applyAlignment="1">
      <alignment horizontal="left" vertical="center" wrapText="1"/>
    </xf>
    <xf numFmtId="3" fontId="10" fillId="63" borderId="33" xfId="4" applyNumberFormat="1" applyFill="1" applyBorder="1" applyAlignment="1">
      <alignment vertical="center" wrapText="1"/>
    </xf>
    <xf numFmtId="0" fontId="10" fillId="64" borderId="33" xfId="4" applyFill="1" applyBorder="1" applyAlignment="1">
      <alignment vertical="center" wrapText="1"/>
    </xf>
    <xf numFmtId="3" fontId="10" fillId="64" borderId="33" xfId="4" applyNumberFormat="1" applyFill="1" applyBorder="1" applyAlignment="1">
      <alignment vertical="center" wrapText="1"/>
    </xf>
    <xf numFmtId="2" fontId="10" fillId="64" borderId="33" xfId="4" applyNumberFormat="1" applyFill="1" applyBorder="1" applyAlignment="1">
      <alignment horizontal="center"/>
    </xf>
    <xf numFmtId="174" fontId="10" fillId="0" borderId="0" xfId="4" applyNumberFormat="1"/>
    <xf numFmtId="0" fontId="10" fillId="63" borderId="33" xfId="4" applyFill="1" applyBorder="1" applyAlignment="1">
      <alignment wrapText="1"/>
    </xf>
    <xf numFmtId="3" fontId="10" fillId="63" borderId="33" xfId="4" applyNumberFormat="1" applyFill="1" applyBorder="1"/>
    <xf numFmtId="0" fontId="10" fillId="63" borderId="33" xfId="4" applyFill="1" applyBorder="1" applyAlignment="1">
      <alignment horizontal="right" wrapText="1"/>
    </xf>
    <xf numFmtId="172" fontId="10" fillId="0" borderId="33" xfId="4" applyNumberFormat="1" applyBorder="1"/>
    <xf numFmtId="3" fontId="10" fillId="0" borderId="33" xfId="4" applyNumberFormat="1" applyBorder="1"/>
    <xf numFmtId="0" fontId="10" fillId="0" borderId="33" xfId="4" applyBorder="1" applyAlignment="1">
      <alignment horizontal="right"/>
    </xf>
    <xf numFmtId="1" fontId="10" fillId="0" borderId="0" xfId="4" applyNumberFormat="1"/>
    <xf numFmtId="3" fontId="6" fillId="0" borderId="0" xfId="2" applyNumberFormat="1"/>
    <xf numFmtId="175" fontId="6" fillId="0" borderId="0" xfId="2" applyNumberFormat="1"/>
    <xf numFmtId="3" fontId="10" fillId="0" borderId="0" xfId="2" quotePrefix="1" applyNumberFormat="1" applyFont="1"/>
    <xf numFmtId="0" fontId="6" fillId="65" borderId="33" xfId="2" applyFill="1" applyBorder="1"/>
    <xf numFmtId="10" fontId="10" fillId="66" borderId="33" xfId="4" applyNumberFormat="1" applyFill="1" applyBorder="1"/>
    <xf numFmtId="10" fontId="6" fillId="65" borderId="33" xfId="2" applyNumberFormat="1" applyFill="1" applyBorder="1"/>
    <xf numFmtId="0" fontId="10" fillId="0" borderId="18" xfId="15" applyBorder="1" applyAlignment="1">
      <alignment wrapText="1"/>
    </xf>
    <xf numFmtId="0" fontId="1" fillId="0" borderId="0" xfId="19"/>
    <xf numFmtId="0" fontId="1" fillId="0" borderId="8" xfId="19" applyBorder="1" applyAlignment="1">
      <alignment horizontal="center" vertical="center" wrapText="1"/>
    </xf>
    <xf numFmtId="10" fontId="6" fillId="0" borderId="0" xfId="2" applyNumberFormat="1"/>
    <xf numFmtId="0" fontId="1" fillId="0" borderId="17" xfId="19" applyBorder="1"/>
    <xf numFmtId="0" fontId="1" fillId="0" borderId="48" xfId="19" applyBorder="1"/>
    <xf numFmtId="0" fontId="44" fillId="0" borderId="32" xfId="19" applyFont="1" applyBorder="1"/>
    <xf numFmtId="0" fontId="1" fillId="0" borderId="31" xfId="19" applyBorder="1"/>
    <xf numFmtId="0" fontId="44" fillId="0" borderId="74" xfId="19" applyFont="1" applyBorder="1"/>
    <xf numFmtId="0" fontId="9" fillId="0" borderId="41" xfId="5" applyFont="1" applyBorder="1" applyAlignment="1">
      <alignment vertical="center" wrapText="1"/>
    </xf>
    <xf numFmtId="0" fontId="1" fillId="0" borderId="9" xfId="19" applyBorder="1"/>
    <xf numFmtId="0" fontId="1" fillId="0" borderId="0" xfId="19" applyAlignment="1">
      <alignment horizontal="justify" vertical="center" wrapText="1"/>
    </xf>
    <xf numFmtId="0" fontId="1" fillId="0" borderId="16" xfId="19" applyBorder="1"/>
    <xf numFmtId="0" fontId="44" fillId="0" borderId="34" xfId="19" applyFont="1" applyBorder="1"/>
    <xf numFmtId="0" fontId="45" fillId="26" borderId="74" xfId="19" applyFont="1" applyFill="1" applyBorder="1"/>
    <xf numFmtId="0" fontId="44" fillId="0" borderId="31" xfId="19" applyFont="1" applyBorder="1"/>
    <xf numFmtId="0" fontId="45" fillId="74" borderId="8" xfId="19" applyFont="1" applyFill="1" applyBorder="1"/>
    <xf numFmtId="165" fontId="9" fillId="0" borderId="0" xfId="6" applyNumberFormat="1" applyFont="1" applyAlignment="1">
      <alignment vertical="center"/>
    </xf>
    <xf numFmtId="0" fontId="9" fillId="0" borderId="33" xfId="5" applyFont="1" applyBorder="1" applyAlignment="1">
      <alignment vertical="center" wrapText="1"/>
    </xf>
    <xf numFmtId="0" fontId="45" fillId="0" borderId="0" xfId="19" applyFont="1" applyAlignment="1">
      <alignment vertical="center"/>
    </xf>
    <xf numFmtId="0" fontId="1" fillId="0" borderId="13" xfId="19" applyBorder="1" applyAlignment="1">
      <alignment horizontal="center" vertical="center" wrapText="1"/>
    </xf>
    <xf numFmtId="0" fontId="44" fillId="0" borderId="48" xfId="19" applyFont="1" applyBorder="1"/>
    <xf numFmtId="0" fontId="31" fillId="0" borderId="41" xfId="20" applyFont="1" applyBorder="1" applyAlignment="1">
      <alignment vertical="center" wrapText="1"/>
    </xf>
    <xf numFmtId="0" fontId="31" fillId="0" borderId="41" xfId="20" applyFont="1" applyBorder="1" applyAlignment="1">
      <alignment horizontal="center" vertical="center" wrapText="1"/>
    </xf>
    <xf numFmtId="10" fontId="1" fillId="0" borderId="33" xfId="6" applyNumberFormat="1" applyFont="1" applyBorder="1" applyAlignment="1">
      <alignment horizontal="center"/>
    </xf>
    <xf numFmtId="0" fontId="45" fillId="75" borderId="34" xfId="19" applyFont="1" applyFill="1" applyBorder="1"/>
    <xf numFmtId="0" fontId="45" fillId="75" borderId="75" xfId="19" applyFont="1" applyFill="1" applyBorder="1"/>
    <xf numFmtId="0" fontId="45" fillId="19" borderId="34" xfId="19" applyFont="1" applyFill="1" applyBorder="1"/>
    <xf numFmtId="0" fontId="45" fillId="19" borderId="75" xfId="19" applyFont="1" applyFill="1" applyBorder="1"/>
    <xf numFmtId="0" fontId="45" fillId="62" borderId="34" xfId="19" applyFont="1" applyFill="1" applyBorder="1"/>
    <xf numFmtId="0" fontId="45" fillId="62" borderId="75" xfId="19" applyFont="1" applyFill="1" applyBorder="1"/>
    <xf numFmtId="0" fontId="5" fillId="0" borderId="31" xfId="19" applyFont="1" applyBorder="1"/>
    <xf numFmtId="0" fontId="45" fillId="0" borderId="34" xfId="19" applyFont="1" applyBorder="1"/>
    <xf numFmtId="0" fontId="5" fillId="0" borderId="75" xfId="19" applyFont="1" applyBorder="1"/>
    <xf numFmtId="2" fontId="45" fillId="0" borderId="34" xfId="19" applyNumberFormat="1" applyFont="1" applyBorder="1"/>
    <xf numFmtId="1" fontId="46" fillId="78" borderId="41" xfId="19" applyNumberFormat="1" applyFont="1" applyFill="1" applyBorder="1" applyAlignment="1">
      <alignment horizontal="center" vertical="center"/>
    </xf>
    <xf numFmtId="0" fontId="47" fillId="0" borderId="41" xfId="20" applyFont="1" applyBorder="1" applyAlignment="1">
      <alignment horizontal="center" vertical="center" wrapText="1"/>
    </xf>
    <xf numFmtId="0" fontId="45" fillId="0" borderId="74" xfId="19" applyFont="1" applyBorder="1"/>
    <xf numFmtId="2" fontId="45" fillId="0" borderId="74" xfId="19" applyNumberFormat="1" applyFont="1" applyBorder="1"/>
    <xf numFmtId="2" fontId="45" fillId="26" borderId="74" xfId="19" applyNumberFormat="1" applyFont="1" applyFill="1" applyBorder="1"/>
    <xf numFmtId="0" fontId="45" fillId="76" borderId="34" xfId="19" applyFont="1" applyFill="1" applyBorder="1"/>
    <xf numFmtId="0" fontId="45" fillId="64" borderId="34" xfId="19" applyFont="1" applyFill="1" applyBorder="1"/>
    <xf numFmtId="0" fontId="45" fillId="64" borderId="75" xfId="19" applyFont="1" applyFill="1" applyBorder="1"/>
    <xf numFmtId="0" fontId="45" fillId="79" borderId="34" xfId="19" applyFont="1" applyFill="1" applyBorder="1"/>
    <xf numFmtId="0" fontId="45" fillId="79" borderId="75" xfId="19" applyFont="1" applyFill="1" applyBorder="1"/>
    <xf numFmtId="0" fontId="45" fillId="77" borderId="34" xfId="19" applyFont="1" applyFill="1" applyBorder="1"/>
    <xf numFmtId="2" fontId="45" fillId="77" borderId="75" xfId="19" applyNumberFormat="1" applyFont="1" applyFill="1" applyBorder="1"/>
    <xf numFmtId="0" fontId="5" fillId="0" borderId="17" xfId="19" applyFont="1" applyBorder="1"/>
    <xf numFmtId="0" fontId="5" fillId="0" borderId="0" xfId="19" applyFont="1"/>
    <xf numFmtId="0" fontId="45" fillId="0" borderId="75" xfId="19" applyFont="1" applyBorder="1"/>
    <xf numFmtId="0" fontId="45" fillId="0" borderId="31" xfId="19" applyFont="1" applyBorder="1"/>
    <xf numFmtId="0" fontId="45" fillId="67" borderId="34" xfId="19" applyFont="1" applyFill="1" applyBorder="1"/>
    <xf numFmtId="0" fontId="45" fillId="80" borderId="34" xfId="19" applyFont="1" applyFill="1" applyBorder="1"/>
    <xf numFmtId="0" fontId="45" fillId="80" borderId="75" xfId="19" applyFont="1" applyFill="1" applyBorder="1"/>
    <xf numFmtId="0" fontId="45" fillId="70" borderId="34" xfId="19" applyFont="1" applyFill="1" applyBorder="1"/>
    <xf numFmtId="0" fontId="45" fillId="70" borderId="75" xfId="19" applyFont="1" applyFill="1" applyBorder="1"/>
    <xf numFmtId="0" fontId="45" fillId="81" borderId="34" xfId="19" applyFont="1" applyFill="1" applyBorder="1"/>
    <xf numFmtId="0" fontId="45" fillId="81" borderId="75" xfId="19" applyFont="1" applyFill="1" applyBorder="1"/>
    <xf numFmtId="0" fontId="45" fillId="82" borderId="34" xfId="19" applyFont="1" applyFill="1" applyBorder="1"/>
    <xf numFmtId="0" fontId="45" fillId="82" borderId="75" xfId="19" applyFont="1" applyFill="1" applyBorder="1"/>
    <xf numFmtId="2" fontId="45" fillId="74" borderId="8" xfId="19" applyNumberFormat="1" applyFont="1" applyFill="1" applyBorder="1"/>
    <xf numFmtId="0" fontId="1" fillId="0" borderId="0" xfId="21"/>
    <xf numFmtId="2" fontId="1" fillId="0" borderId="0" xfId="21" applyNumberFormat="1"/>
    <xf numFmtId="10" fontId="1" fillId="0" borderId="0" xfId="21" applyNumberFormat="1"/>
    <xf numFmtId="4" fontId="1" fillId="0" borderId="0" xfId="21" applyNumberFormat="1"/>
    <xf numFmtId="3" fontId="1" fillId="0" borderId="0" xfId="21" applyNumberFormat="1"/>
    <xf numFmtId="3" fontId="6" fillId="0" borderId="16" xfId="2" applyNumberFormat="1" applyBorder="1"/>
    <xf numFmtId="0" fontId="6" fillId="0" borderId="6" xfId="2" applyBorder="1" applyAlignment="1">
      <alignment horizontal="centerContinuous"/>
    </xf>
    <xf numFmtId="0" fontId="6" fillId="0" borderId="69" xfId="2" applyBorder="1" applyAlignment="1">
      <alignment horizontal="centerContinuous"/>
    </xf>
    <xf numFmtId="0" fontId="6" fillId="0" borderId="7" xfId="2" applyBorder="1" applyAlignment="1">
      <alignment horizontal="centerContinuous"/>
    </xf>
    <xf numFmtId="0" fontId="10" fillId="0" borderId="82" xfId="2" applyFont="1" applyBorder="1" applyAlignment="1">
      <alignment horizontal="centerContinuous"/>
    </xf>
    <xf numFmtId="0" fontId="6" fillId="0" borderId="68" xfId="2" applyBorder="1" applyAlignment="1">
      <alignment horizontal="centerContinuous"/>
    </xf>
    <xf numFmtId="0" fontId="10" fillId="0" borderId="6" xfId="2" applyFont="1" applyBorder="1" applyAlignment="1">
      <alignment horizontal="centerContinuous"/>
    </xf>
    <xf numFmtId="0" fontId="10" fillId="0" borderId="7" xfId="2" applyFont="1" applyBorder="1" applyAlignment="1">
      <alignment horizontal="centerContinuous"/>
    </xf>
    <xf numFmtId="0" fontId="6" fillId="0" borderId="82" xfId="2" applyBorder="1" applyAlignment="1">
      <alignment horizontal="centerContinuous"/>
    </xf>
    <xf numFmtId="0" fontId="10" fillId="0" borderId="13" xfId="2" applyFont="1" applyBorder="1"/>
    <xf numFmtId="0" fontId="6" fillId="0" borderId="46" xfId="2" applyBorder="1"/>
    <xf numFmtId="0" fontId="6" fillId="0" borderId="4" xfId="2" applyBorder="1"/>
    <xf numFmtId="0" fontId="6" fillId="0" borderId="83" xfId="2" applyBorder="1"/>
    <xf numFmtId="0" fontId="6" fillId="0" borderId="84" xfId="2" applyBorder="1"/>
    <xf numFmtId="0" fontId="6" fillId="0" borderId="85" xfId="2" applyBorder="1"/>
    <xf numFmtId="0" fontId="6" fillId="0" borderId="86" xfId="2" applyBorder="1"/>
    <xf numFmtId="0" fontId="6" fillId="0" borderId="75" xfId="2" applyBorder="1"/>
    <xf numFmtId="0" fontId="10" fillId="0" borderId="60" xfId="4" applyBorder="1" applyAlignment="1">
      <alignment wrapText="1"/>
    </xf>
    <xf numFmtId="3" fontId="10" fillId="0" borderId="80" xfId="2" quotePrefix="1" applyNumberFormat="1" applyFont="1" applyBorder="1"/>
    <xf numFmtId="3" fontId="6" fillId="0" borderId="20" xfId="2" applyNumberFormat="1" applyBorder="1"/>
    <xf numFmtId="9" fontId="10" fillId="0" borderId="81" xfId="6" applyFont="1" applyBorder="1"/>
    <xf numFmtId="165" fontId="10" fillId="0" borderId="28" xfId="6" quotePrefix="1" applyNumberFormat="1" applyFont="1" applyBorder="1"/>
    <xf numFmtId="165" fontId="0" fillId="0" borderId="20" xfId="6" applyNumberFormat="1" applyFont="1" applyBorder="1"/>
    <xf numFmtId="9" fontId="10" fillId="0" borderId="27" xfId="6" applyFont="1" applyBorder="1"/>
    <xf numFmtId="3" fontId="10" fillId="0" borderId="49" xfId="2" quotePrefix="1" applyNumberFormat="1" applyFont="1" applyBorder="1"/>
    <xf numFmtId="3" fontId="6" fillId="0" borderId="50" xfId="2" applyNumberFormat="1" applyBorder="1"/>
    <xf numFmtId="9" fontId="10" fillId="0" borderId="50" xfId="6" applyFont="1" applyBorder="1"/>
    <xf numFmtId="3" fontId="10" fillId="0" borderId="2" xfId="2" quotePrefix="1" applyNumberFormat="1" applyFont="1" applyBorder="1"/>
    <xf numFmtId="3" fontId="6" fillId="0" borderId="28" xfId="2" applyNumberFormat="1" applyBorder="1"/>
    <xf numFmtId="9" fontId="10" fillId="0" borderId="2" xfId="6" applyFont="1" applyBorder="1"/>
    <xf numFmtId="3" fontId="10" fillId="0" borderId="28" xfId="2" quotePrefix="1" applyNumberFormat="1" applyFont="1" applyBorder="1"/>
    <xf numFmtId="3" fontId="6" fillId="0" borderId="33" xfId="2" applyNumberFormat="1" applyBorder="1"/>
    <xf numFmtId="3" fontId="6" fillId="0" borderId="78" xfId="2" applyNumberFormat="1" applyBorder="1"/>
    <xf numFmtId="3" fontId="10" fillId="0" borderId="56" xfId="2" quotePrefix="1" applyNumberFormat="1" applyFont="1" applyBorder="1"/>
    <xf numFmtId="9" fontId="10" fillId="0" borderId="59" xfId="6" applyFont="1" applyBorder="1"/>
    <xf numFmtId="165" fontId="10" fillId="0" borderId="26" xfId="6" quotePrefix="1" applyNumberFormat="1" applyFont="1" applyBorder="1"/>
    <xf numFmtId="165" fontId="0" fillId="0" borderId="33" xfId="6" applyNumberFormat="1" applyFont="1" applyBorder="1"/>
    <xf numFmtId="9" fontId="10" fillId="0" borderId="18" xfId="6" applyFont="1" applyBorder="1"/>
    <xf numFmtId="9" fontId="10" fillId="0" borderId="33" xfId="6" applyFont="1" applyBorder="1"/>
    <xf numFmtId="3" fontId="10" fillId="0" borderId="59" xfId="2" quotePrefix="1" applyNumberFormat="1" applyFont="1" applyBorder="1"/>
    <xf numFmtId="3" fontId="6" fillId="0" borderId="26" xfId="2" applyNumberFormat="1" applyBorder="1"/>
    <xf numFmtId="3" fontId="10" fillId="0" borderId="26" xfId="2" quotePrefix="1" applyNumberFormat="1" applyFont="1" applyBorder="1"/>
    <xf numFmtId="3" fontId="6" fillId="0" borderId="70" xfId="2" applyNumberFormat="1" applyBorder="1"/>
    <xf numFmtId="0" fontId="34" fillId="0" borderId="60" xfId="4" applyFont="1" applyBorder="1" applyAlignment="1">
      <alignment wrapText="1"/>
    </xf>
    <xf numFmtId="0" fontId="10" fillId="19" borderId="47" xfId="4" applyFill="1" applyBorder="1" applyAlignment="1">
      <alignment wrapText="1"/>
    </xf>
    <xf numFmtId="3" fontId="10" fillId="0" borderId="62" xfId="2" quotePrefix="1" applyNumberFormat="1" applyFont="1" applyBorder="1"/>
    <xf numFmtId="9" fontId="10" fillId="0" borderId="5" xfId="6" applyFont="1" applyBorder="1"/>
    <xf numFmtId="165" fontId="10" fillId="0" borderId="67" xfId="6" quotePrefix="1" applyNumberFormat="1" applyFont="1" applyBorder="1"/>
    <xf numFmtId="165" fontId="0" fillId="0" borderId="63" xfId="6" applyNumberFormat="1" applyFont="1" applyBorder="1"/>
    <xf numFmtId="9" fontId="10" fillId="0" borderId="64" xfId="6" applyFont="1" applyBorder="1"/>
    <xf numFmtId="3" fontId="6" fillId="0" borderId="63" xfId="2" applyNumberFormat="1" applyBorder="1"/>
    <xf numFmtId="9" fontId="10" fillId="0" borderId="63" xfId="6" applyFont="1" applyBorder="1"/>
    <xf numFmtId="3" fontId="10" fillId="0" borderId="5" xfId="2" quotePrefix="1" applyNumberFormat="1" applyFont="1" applyBorder="1"/>
    <xf numFmtId="3" fontId="10" fillId="0" borderId="67" xfId="2" quotePrefix="1" applyNumberFormat="1" applyFont="1" applyBorder="1"/>
    <xf numFmtId="0" fontId="10" fillId="0" borderId="0" xfId="2" applyFont="1" applyAlignment="1">
      <alignment horizontal="centerContinuous"/>
    </xf>
    <xf numFmtId="0" fontId="6" fillId="0" borderId="0" xfId="2" applyAlignment="1">
      <alignment horizontal="centerContinuous"/>
    </xf>
    <xf numFmtId="3" fontId="10" fillId="0" borderId="33" xfId="2" applyNumberFormat="1" applyFont="1" applyBorder="1"/>
    <xf numFmtId="0" fontId="6" fillId="0" borderId="33" xfId="2" applyBorder="1" applyAlignment="1">
      <alignment horizontal="centerContinuous"/>
    </xf>
    <xf numFmtId="0" fontId="10" fillId="0" borderId="33" xfId="2" applyFont="1" applyBorder="1" applyAlignment="1">
      <alignment horizontal="centerContinuous"/>
    </xf>
    <xf numFmtId="0" fontId="6" fillId="0" borderId="33" xfId="2" applyBorder="1"/>
    <xf numFmtId="0" fontId="10" fillId="0" borderId="33" xfId="2" applyFont="1" applyBorder="1"/>
    <xf numFmtId="3" fontId="10" fillId="0" borderId="33" xfId="2" quotePrefix="1" applyNumberFormat="1" applyFont="1" applyBorder="1"/>
    <xf numFmtId="165" fontId="10" fillId="0" borderId="33" xfId="6" quotePrefix="1" applyNumberFormat="1" applyFont="1" applyBorder="1"/>
    <xf numFmtId="9" fontId="10" fillId="0" borderId="33" xfId="6" applyFont="1" applyFill="1" applyBorder="1"/>
    <xf numFmtId="165" fontId="10" fillId="0" borderId="33" xfId="6" quotePrefix="1" applyNumberFormat="1" applyFont="1" applyFill="1" applyBorder="1"/>
    <xf numFmtId="165" fontId="0" fillId="0" borderId="33" xfId="6" applyNumberFormat="1" applyFont="1" applyFill="1" applyBorder="1"/>
    <xf numFmtId="166" fontId="10" fillId="0" borderId="33" xfId="2" quotePrefix="1" applyNumberFormat="1" applyFont="1" applyBorder="1"/>
    <xf numFmtId="166" fontId="6" fillId="0" borderId="33" xfId="2" applyNumberFormat="1" applyBorder="1"/>
    <xf numFmtId="3" fontId="10" fillId="0" borderId="0" xfId="2" applyNumberFormat="1" applyFont="1"/>
    <xf numFmtId="0" fontId="33" fillId="0" borderId="33" xfId="2" applyFont="1" applyBorder="1"/>
    <xf numFmtId="9" fontId="10" fillId="0" borderId="0" xfId="6" applyFont="1"/>
    <xf numFmtId="0" fontId="10" fillId="0" borderId="0" xfId="2" applyFont="1"/>
    <xf numFmtId="0" fontId="12" fillId="6" borderId="41" xfId="5" applyFont="1" applyFill="1" applyBorder="1" applyAlignment="1">
      <alignment vertical="center" wrapText="1"/>
    </xf>
    <xf numFmtId="0" fontId="9" fillId="0" borderId="41" xfId="2" applyFont="1" applyBorder="1"/>
    <xf numFmtId="0" fontId="9" fillId="0" borderId="0" xfId="2" applyFont="1" applyAlignment="1">
      <alignment horizontal="left" vertical="center"/>
    </xf>
    <xf numFmtId="9" fontId="9" fillId="0" borderId="41" xfId="2" applyNumberFormat="1" applyFont="1" applyBorder="1" applyAlignment="1">
      <alignment vertical="center"/>
    </xf>
    <xf numFmtId="165" fontId="9" fillId="0" borderId="41" xfId="2" applyNumberFormat="1" applyFont="1" applyBorder="1" applyAlignment="1">
      <alignment vertical="center"/>
    </xf>
    <xf numFmtId="0" fontId="19" fillId="0" borderId="0" xfId="2" applyFont="1" applyAlignment="1">
      <alignment vertical="center"/>
    </xf>
    <xf numFmtId="0" fontId="9" fillId="3" borderId="35" xfId="2" applyFont="1" applyFill="1" applyBorder="1" applyAlignment="1">
      <alignment horizontal="center" vertical="center"/>
    </xf>
    <xf numFmtId="165" fontId="9" fillId="0" borderId="35" xfId="2" applyNumberFormat="1" applyFont="1" applyBorder="1" applyAlignment="1">
      <alignment vertical="center"/>
    </xf>
    <xf numFmtId="0" fontId="50" fillId="0" borderId="0" xfId="2" applyFont="1" applyAlignment="1">
      <alignment vertical="center"/>
    </xf>
    <xf numFmtId="9" fontId="9" fillId="0" borderId="35" xfId="2" applyNumberFormat="1" applyFont="1" applyBorder="1" applyAlignment="1">
      <alignment vertical="center"/>
    </xf>
    <xf numFmtId="10" fontId="50" fillId="0" borderId="0" xfId="2" applyNumberFormat="1" applyFont="1" applyAlignment="1">
      <alignment vertical="center"/>
    </xf>
    <xf numFmtId="3" fontId="50" fillId="0" borderId="0" xfId="2" applyNumberFormat="1" applyFont="1" applyAlignment="1">
      <alignment vertical="center"/>
    </xf>
    <xf numFmtId="0" fontId="12" fillId="0" borderId="0" xfId="2" applyFont="1" applyAlignment="1">
      <alignment horizontal="center" vertical="center" wrapText="1"/>
    </xf>
    <xf numFmtId="0" fontId="10" fillId="0" borderId="87" xfId="27" applyBorder="1"/>
    <xf numFmtId="0" fontId="51" fillId="2" borderId="88" xfId="27" applyFont="1" applyFill="1" applyBorder="1"/>
    <xf numFmtId="0" fontId="52" fillId="0" borderId="89" xfId="3" applyFont="1" applyBorder="1" applyAlignment="1" applyProtection="1"/>
    <xf numFmtId="0" fontId="54" fillId="2" borderId="0" xfId="27" applyFont="1" applyFill="1" applyAlignment="1">
      <alignment horizontal="center" vertical="center" wrapText="1"/>
    </xf>
    <xf numFmtId="0" fontId="55" fillId="2" borderId="0" xfId="27" applyFont="1" applyFill="1" applyAlignment="1">
      <alignment horizontal="center" vertical="center" wrapText="1"/>
    </xf>
    <xf numFmtId="166" fontId="62" fillId="0" borderId="87" xfId="27" applyNumberFormat="1" applyFont="1" applyBorder="1"/>
    <xf numFmtId="3" fontId="10" fillId="0" borderId="87" xfId="27" applyNumberFormat="1" applyBorder="1"/>
    <xf numFmtId="0" fontId="10" fillId="0" borderId="93" xfId="27" applyBorder="1"/>
    <xf numFmtId="0" fontId="56" fillId="0" borderId="88" xfId="27" applyFont="1" applyBorder="1"/>
    <xf numFmtId="0" fontId="63" fillId="0" borderId="93" xfId="27" applyFont="1" applyBorder="1"/>
    <xf numFmtId="0" fontId="63" fillId="0" borderId="87" xfId="27" applyFont="1" applyBorder="1"/>
    <xf numFmtId="3" fontId="63" fillId="0" borderId="87" xfId="27" applyNumberFormat="1" applyFont="1" applyBorder="1"/>
    <xf numFmtId="166" fontId="10" fillId="0" borderId="87" xfId="27" applyNumberFormat="1" applyBorder="1"/>
    <xf numFmtId="0" fontId="33" fillId="0" borderId="87" xfId="27" applyFont="1" applyBorder="1"/>
    <xf numFmtId="0" fontId="65" fillId="0" borderId="93" xfId="27" applyFont="1" applyBorder="1" applyAlignment="1">
      <alignment horizontal="center"/>
    </xf>
    <xf numFmtId="0" fontId="33" fillId="0" borderId="93" xfId="27" applyFont="1" applyBorder="1" applyAlignment="1">
      <alignment horizontal="center"/>
    </xf>
    <xf numFmtId="2" fontId="59" fillId="0" borderId="92" xfId="27" applyNumberFormat="1" applyFont="1" applyBorder="1" applyAlignment="1">
      <alignment horizontal="center" vertical="center"/>
    </xf>
    <xf numFmtId="2" fontId="59" fillId="0" borderId="94" xfId="27" applyNumberFormat="1" applyFont="1" applyBorder="1" applyAlignment="1">
      <alignment horizontal="center" vertical="center"/>
    </xf>
    <xf numFmtId="3" fontId="68" fillId="0" borderId="92" xfId="27" applyNumberFormat="1" applyFont="1" applyBorder="1" applyAlignment="1">
      <alignment horizontal="center" vertical="center"/>
    </xf>
    <xf numFmtId="2" fontId="58" fillId="0" borderId="88" xfId="27" applyNumberFormat="1" applyFont="1" applyBorder="1" applyAlignment="1">
      <alignment horizontal="center" vertical="center" wrapText="1"/>
    </xf>
    <xf numFmtId="2" fontId="69" fillId="0" borderId="88" xfId="27" applyNumberFormat="1" applyFont="1" applyBorder="1" applyAlignment="1">
      <alignment horizontal="center" vertical="center" wrapText="1"/>
    </xf>
    <xf numFmtId="3" fontId="67" fillId="0" borderId="88" xfId="6" applyNumberFormat="1" applyFont="1" applyFill="1" applyBorder="1" applyAlignment="1">
      <alignment vertical="center"/>
    </xf>
    <xf numFmtId="3" fontId="67" fillId="0" borderId="88" xfId="27" applyNumberFormat="1" applyFont="1" applyBorder="1" applyAlignment="1">
      <alignment vertical="center"/>
    </xf>
    <xf numFmtId="3" fontId="70" fillId="0" borderId="88" xfId="27" applyNumberFormat="1" applyFont="1" applyBorder="1" applyAlignment="1">
      <alignment vertical="center"/>
    </xf>
    <xf numFmtId="0" fontId="71" fillId="0" borderId="87" xfId="27" applyFont="1" applyBorder="1" applyAlignment="1">
      <alignment horizontal="left" vertical="center"/>
    </xf>
    <xf numFmtId="0" fontId="10" fillId="0" borderId="87" xfId="15" applyBorder="1"/>
    <xf numFmtId="3" fontId="10" fillId="0" borderId="87" xfId="15" applyNumberFormat="1" applyBorder="1"/>
    <xf numFmtId="4" fontId="10" fillId="0" borderId="87" xfId="15" applyNumberFormat="1" applyBorder="1"/>
    <xf numFmtId="0" fontId="9" fillId="3" borderId="42" xfId="2" applyFont="1" applyFill="1" applyBorder="1" applyAlignment="1">
      <alignment horizontal="center" vertical="center"/>
    </xf>
    <xf numFmtId="0" fontId="9" fillId="3" borderId="102" xfId="2" applyFont="1" applyFill="1" applyBorder="1" applyAlignment="1">
      <alignment horizontal="center" vertical="center"/>
    </xf>
    <xf numFmtId="0" fontId="9" fillId="3" borderId="103" xfId="2" applyFont="1" applyFill="1" applyBorder="1" applyAlignment="1">
      <alignment horizontal="center" vertical="center"/>
    </xf>
    <xf numFmtId="0" fontId="11" fillId="3" borderId="102" xfId="2" applyFont="1" applyFill="1" applyBorder="1" applyAlignment="1">
      <alignment horizontal="center" vertical="center"/>
    </xf>
    <xf numFmtId="0" fontId="11" fillId="3" borderId="35" xfId="2" applyFont="1" applyFill="1" applyBorder="1" applyAlignment="1">
      <alignment horizontal="center" vertical="center"/>
    </xf>
    <xf numFmtId="0" fontId="11" fillId="3" borderId="103" xfId="2" applyFont="1" applyFill="1" applyBorder="1" applyAlignment="1">
      <alignment horizontal="center" vertical="center"/>
    </xf>
    <xf numFmtId="0" fontId="9" fillId="0" borderId="35" xfId="2" applyFont="1" applyBorder="1" applyAlignment="1">
      <alignment horizontal="left" vertical="center"/>
    </xf>
    <xf numFmtId="3" fontId="9" fillId="22" borderId="18" xfId="2" applyNumberFormat="1" applyFont="1" applyFill="1" applyBorder="1" applyAlignment="1">
      <alignment vertical="center"/>
    </xf>
    <xf numFmtId="3" fontId="9" fillId="0" borderId="56" xfId="2" applyNumberFormat="1" applyFont="1" applyBorder="1" applyAlignment="1">
      <alignment vertical="center"/>
    </xf>
    <xf numFmtId="3" fontId="9" fillId="0" borderId="59" xfId="2" applyNumberFormat="1" applyFont="1" applyBorder="1" applyAlignment="1">
      <alignment vertical="center"/>
    </xf>
    <xf numFmtId="3" fontId="11" fillId="0" borderId="56" xfId="2" applyNumberFormat="1" applyFont="1" applyBorder="1" applyAlignment="1">
      <alignment vertical="center"/>
    </xf>
    <xf numFmtId="3" fontId="11" fillId="0" borderId="33" xfId="2" applyNumberFormat="1" applyFont="1" applyBorder="1" applyAlignment="1">
      <alignment vertical="center"/>
    </xf>
    <xf numFmtId="3" fontId="11" fillId="0" borderId="59" xfId="2" applyNumberFormat="1" applyFont="1" applyBorder="1" applyAlignment="1">
      <alignment vertical="center"/>
    </xf>
    <xf numFmtId="3" fontId="9" fillId="0" borderId="18" xfId="2" applyNumberFormat="1" applyFont="1" applyBorder="1" applyAlignment="1">
      <alignment vertical="center"/>
    </xf>
    <xf numFmtId="3" fontId="9" fillId="22" borderId="56" xfId="2" applyNumberFormat="1" applyFont="1" applyFill="1" applyBorder="1" applyAlignment="1">
      <alignment vertical="center"/>
    </xf>
    <xf numFmtId="3" fontId="9" fillId="22" borderId="33" xfId="2" applyNumberFormat="1" applyFont="1" applyFill="1" applyBorder="1" applyAlignment="1">
      <alignment horizontal="center" vertical="center"/>
    </xf>
    <xf numFmtId="3" fontId="9" fillId="22" borderId="59" xfId="2" applyNumberFormat="1" applyFont="1" applyFill="1" applyBorder="1" applyAlignment="1">
      <alignment vertical="center"/>
    </xf>
    <xf numFmtId="0" fontId="12" fillId="6" borderId="96" xfId="2" applyFont="1" applyFill="1" applyBorder="1" applyAlignment="1">
      <alignment vertical="center"/>
    </xf>
    <xf numFmtId="3" fontId="12" fillId="6" borderId="96" xfId="2" applyNumberFormat="1" applyFont="1" applyFill="1" applyBorder="1" applyAlignment="1">
      <alignment vertical="center"/>
    </xf>
    <xf numFmtId="3" fontId="12" fillId="6" borderId="104" xfId="2" applyNumberFormat="1" applyFont="1" applyFill="1" applyBorder="1" applyAlignment="1">
      <alignment vertical="center"/>
    </xf>
    <xf numFmtId="3" fontId="12" fillId="6" borderId="105" xfId="2" applyNumberFormat="1" applyFont="1" applyFill="1" applyBorder="1" applyAlignment="1">
      <alignment horizontal="center" vertical="center"/>
    </xf>
    <xf numFmtId="3" fontId="12" fillId="6" borderId="105" xfId="2" applyNumberFormat="1" applyFont="1" applyFill="1" applyBorder="1" applyAlignment="1">
      <alignment vertical="center"/>
    </xf>
    <xf numFmtId="3" fontId="12" fillId="6" borderId="106" xfId="2" applyNumberFormat="1" applyFont="1" applyFill="1" applyBorder="1" applyAlignment="1">
      <alignment vertical="center"/>
    </xf>
    <xf numFmtId="3" fontId="13" fillId="6" borderId="105" xfId="2" applyNumberFormat="1" applyFont="1" applyFill="1" applyBorder="1" applyAlignment="1">
      <alignment vertical="center"/>
    </xf>
    <xf numFmtId="3" fontId="13" fillId="6" borderId="106" xfId="2" applyNumberFormat="1" applyFont="1" applyFill="1" applyBorder="1" applyAlignment="1">
      <alignment vertical="center"/>
    </xf>
    <xf numFmtId="0" fontId="12" fillId="6" borderId="12" xfId="2" applyFont="1" applyFill="1" applyBorder="1" applyAlignment="1">
      <alignment horizontal="center" vertical="center" wrapText="1"/>
    </xf>
    <xf numFmtId="0" fontId="12" fillId="6" borderId="107" xfId="2" applyFont="1" applyFill="1" applyBorder="1" applyAlignment="1">
      <alignment horizontal="center" vertical="center" wrapText="1"/>
    </xf>
    <xf numFmtId="0" fontId="12" fillId="6" borderId="13" xfId="2" applyFont="1" applyFill="1" applyBorder="1" applyAlignment="1">
      <alignment horizontal="center" vertical="center" wrapText="1"/>
    </xf>
    <xf numFmtId="0" fontId="12" fillId="6" borderId="32" xfId="2" applyFont="1" applyFill="1" applyBorder="1" applyAlignment="1">
      <alignment vertical="center"/>
    </xf>
    <xf numFmtId="0" fontId="9" fillId="3" borderId="108" xfId="2" applyFont="1" applyFill="1" applyBorder="1" applyAlignment="1">
      <alignment horizontal="center" vertical="center"/>
    </xf>
    <xf numFmtId="3" fontId="9" fillId="22" borderId="109" xfId="2" applyNumberFormat="1" applyFont="1" applyFill="1" applyBorder="1" applyAlignment="1">
      <alignment horizontal="right" vertical="center"/>
    </xf>
    <xf numFmtId="3" fontId="9" fillId="0" borderId="109" xfId="2" applyNumberFormat="1" applyFont="1" applyBorder="1" applyAlignment="1">
      <alignment horizontal="right" vertical="center"/>
    </xf>
    <xf numFmtId="3" fontId="9" fillId="0" borderId="110" xfId="2" applyNumberFormat="1" applyFont="1" applyBorder="1" applyAlignment="1">
      <alignment horizontal="right" vertical="center"/>
    </xf>
    <xf numFmtId="0" fontId="12" fillId="6" borderId="74" xfId="2" applyFont="1" applyFill="1" applyBorder="1" applyAlignment="1">
      <alignment vertical="center"/>
    </xf>
    <xf numFmtId="0" fontId="9" fillId="3" borderId="43" xfId="2" applyFont="1" applyFill="1" applyBorder="1" applyAlignment="1">
      <alignment horizontal="center" vertical="center"/>
    </xf>
    <xf numFmtId="3" fontId="9" fillId="22" borderId="33" xfId="2" applyNumberFormat="1" applyFont="1" applyFill="1" applyBorder="1" applyAlignment="1">
      <alignment horizontal="right" vertical="center"/>
    </xf>
    <xf numFmtId="3" fontId="9" fillId="0" borderId="59" xfId="2" applyNumberFormat="1" applyFont="1" applyBorder="1" applyAlignment="1">
      <alignment horizontal="right" vertical="center"/>
    </xf>
    <xf numFmtId="3" fontId="16" fillId="0" borderId="0" xfId="2" applyNumberFormat="1" applyFont="1" applyAlignment="1">
      <alignment horizontal="right" vertical="center"/>
    </xf>
    <xf numFmtId="0" fontId="11" fillId="98" borderId="32" xfId="2" applyFont="1" applyFill="1" applyBorder="1" applyAlignment="1">
      <alignment vertical="center"/>
    </xf>
    <xf numFmtId="0" fontId="11" fillId="98" borderId="74" xfId="2" applyFont="1" applyFill="1" applyBorder="1" applyAlignment="1">
      <alignment vertical="center"/>
    </xf>
    <xf numFmtId="0" fontId="11" fillId="98" borderId="74" xfId="2" applyFont="1" applyFill="1" applyBorder="1" applyAlignment="1">
      <alignment horizontal="center" vertical="center"/>
    </xf>
    <xf numFmtId="3" fontId="30" fillId="0" borderId="0" xfId="2" applyNumberFormat="1" applyFont="1" applyAlignment="1">
      <alignment horizontal="right" vertical="center"/>
    </xf>
    <xf numFmtId="0" fontId="11" fillId="98" borderId="34" xfId="2" applyFont="1" applyFill="1" applyBorder="1" applyAlignment="1">
      <alignment vertical="center"/>
    </xf>
    <xf numFmtId="3" fontId="9" fillId="0" borderId="0" xfId="5" applyNumberFormat="1" applyFont="1" applyAlignment="1">
      <alignment vertical="center" wrapText="1"/>
    </xf>
    <xf numFmtId="10" fontId="9" fillId="0" borderId="0" xfId="5" applyNumberFormat="1" applyFont="1" applyAlignment="1">
      <alignment vertical="center" wrapText="1"/>
    </xf>
    <xf numFmtId="166" fontId="9" fillId="0" borderId="0" xfId="5" applyNumberFormat="1" applyFont="1" applyAlignment="1">
      <alignment vertical="center" wrapText="1"/>
    </xf>
    <xf numFmtId="0" fontId="11" fillId="0" borderId="29" xfId="5" applyFont="1" applyBorder="1" applyAlignment="1">
      <alignment horizontal="center" vertical="center" wrapText="1"/>
    </xf>
    <xf numFmtId="0" fontId="11" fillId="0" borderId="0" xfId="5" applyFont="1" applyAlignment="1">
      <alignment horizontal="center" vertical="center" wrapText="1"/>
    </xf>
    <xf numFmtId="0" fontId="11" fillId="0" borderId="63" xfId="5" applyFont="1" applyBorder="1" applyAlignment="1">
      <alignment horizontal="center" vertical="center" wrapText="1"/>
    </xf>
    <xf numFmtId="0" fontId="11" fillId="0" borderId="5" xfId="5" applyFont="1" applyBorder="1" applyAlignment="1">
      <alignment horizontal="center" vertical="center" wrapText="1"/>
    </xf>
    <xf numFmtId="0" fontId="11" fillId="0" borderId="80" xfId="5" applyFont="1" applyBorder="1" applyAlignment="1">
      <alignment vertical="center" wrapText="1"/>
    </xf>
    <xf numFmtId="3" fontId="11" fillId="0" borderId="20" xfId="5" applyNumberFormat="1" applyFont="1" applyBorder="1" applyAlignment="1">
      <alignment vertical="center" wrapText="1"/>
    </xf>
    <xf numFmtId="3" fontId="11" fillId="0" borderId="81" xfId="5" applyNumberFormat="1" applyFont="1" applyBorder="1" applyAlignment="1">
      <alignment vertical="center" wrapText="1"/>
    </xf>
    <xf numFmtId="3" fontId="11" fillId="0" borderId="29" xfId="5" applyNumberFormat="1" applyFont="1" applyBorder="1" applyAlignment="1">
      <alignment vertical="center" wrapText="1"/>
    </xf>
    <xf numFmtId="0" fontId="9" fillId="0" borderId="80" xfId="5" applyFont="1" applyBorder="1" applyAlignment="1">
      <alignment vertical="center" wrapText="1"/>
    </xf>
    <xf numFmtId="10" fontId="9" fillId="0" borderId="20" xfId="5" applyNumberFormat="1" applyFont="1" applyBorder="1" applyAlignment="1">
      <alignment vertical="center" wrapText="1"/>
    </xf>
    <xf numFmtId="3" fontId="9" fillId="0" borderId="20" xfId="5" applyNumberFormat="1" applyFont="1" applyBorder="1" applyAlignment="1">
      <alignment vertical="center" wrapText="1"/>
    </xf>
    <xf numFmtId="10" fontId="9" fillId="0" borderId="81" xfId="5" applyNumberFormat="1" applyFont="1" applyBorder="1" applyAlignment="1">
      <alignment vertical="center" wrapText="1"/>
    </xf>
    <xf numFmtId="0" fontId="9" fillId="0" borderId="33" xfId="5" applyFont="1" applyBorder="1" applyAlignment="1">
      <alignment horizontal="center" vertical="center" wrapText="1"/>
    </xf>
    <xf numFmtId="0" fontId="9" fillId="0" borderId="56" xfId="5" applyFont="1" applyBorder="1" applyAlignment="1">
      <alignment vertical="center" wrapText="1"/>
    </xf>
    <xf numFmtId="3" fontId="9" fillId="0" borderId="33" xfId="5" applyNumberFormat="1" applyFont="1" applyBorder="1" applyAlignment="1">
      <alignment vertical="center" wrapText="1"/>
    </xf>
    <xf numFmtId="3" fontId="9" fillId="0" borderId="59" xfId="5" applyNumberFormat="1" applyFont="1" applyBorder="1" applyAlignment="1">
      <alignment vertical="center" wrapText="1"/>
    </xf>
    <xf numFmtId="3" fontId="9" fillId="0" borderId="29" xfId="5" applyNumberFormat="1" applyFont="1" applyBorder="1" applyAlignment="1">
      <alignment vertical="center" wrapText="1"/>
    </xf>
    <xf numFmtId="0" fontId="9" fillId="0" borderId="62" xfId="5" applyFont="1" applyBorder="1" applyAlignment="1">
      <alignment vertical="center" wrapText="1"/>
    </xf>
    <xf numFmtId="3" fontId="9" fillId="0" borderId="63" xfId="5" applyNumberFormat="1" applyFont="1" applyBorder="1" applyAlignment="1">
      <alignment vertical="center" wrapText="1"/>
    </xf>
    <xf numFmtId="0" fontId="9" fillId="0" borderId="63" xfId="5" applyFont="1" applyBorder="1" applyAlignment="1">
      <alignment vertical="center" wrapText="1"/>
    </xf>
    <xf numFmtId="3" fontId="9" fillId="0" borderId="5" xfId="5" applyNumberFormat="1" applyFont="1" applyBorder="1" applyAlignment="1">
      <alignment vertical="center" wrapText="1"/>
    </xf>
    <xf numFmtId="0" fontId="11" fillId="0" borderId="111" xfId="5" applyFont="1" applyBorder="1" applyAlignment="1">
      <alignment vertical="center" wrapText="1"/>
    </xf>
    <xf numFmtId="3" fontId="11" fillId="0" borderId="109" xfId="5" applyNumberFormat="1" applyFont="1" applyBorder="1" applyAlignment="1">
      <alignment vertical="center" wrapText="1"/>
    </xf>
    <xf numFmtId="3" fontId="11" fillId="0" borderId="110" xfId="5" applyNumberFormat="1" applyFont="1" applyBorder="1" applyAlignment="1">
      <alignment vertical="center" wrapText="1"/>
    </xf>
    <xf numFmtId="3" fontId="18" fillId="0" borderId="29" xfId="5" applyNumberFormat="1" applyFont="1" applyBorder="1" applyAlignment="1">
      <alignment vertical="center" wrapText="1"/>
    </xf>
    <xf numFmtId="0" fontId="72" fillId="0" borderId="33" xfId="5" applyFont="1" applyBorder="1" applyAlignment="1">
      <alignment vertical="center" wrapText="1"/>
    </xf>
    <xf numFmtId="3" fontId="72" fillId="0" borderId="33" xfId="5" applyNumberFormat="1" applyFont="1" applyBorder="1" applyAlignment="1">
      <alignment vertical="center" wrapText="1"/>
    </xf>
    <xf numFmtId="3" fontId="19" fillId="0" borderId="20" xfId="5" applyNumberFormat="1" applyFont="1" applyBorder="1" applyAlignment="1">
      <alignment vertical="center" wrapText="1"/>
    </xf>
    <xf numFmtId="3" fontId="9" fillId="0" borderId="81" xfId="5" applyNumberFormat="1" applyFont="1" applyBorder="1" applyAlignment="1">
      <alignment vertical="center" wrapText="1"/>
    </xf>
    <xf numFmtId="3" fontId="19" fillId="0" borderId="29" xfId="5" applyNumberFormat="1" applyFont="1" applyBorder="1" applyAlignment="1">
      <alignment horizontal="left" vertical="center" wrapText="1"/>
    </xf>
    <xf numFmtId="0" fontId="9" fillId="0" borderId="77" xfId="5" applyFont="1" applyBorder="1" applyAlignment="1">
      <alignment vertical="center" wrapText="1"/>
    </xf>
    <xf numFmtId="0" fontId="11" fillId="0" borderId="62" xfId="5" applyFont="1" applyBorder="1" applyAlignment="1">
      <alignment vertical="center" wrapText="1"/>
    </xf>
    <xf numFmtId="10" fontId="11" fillId="0" borderId="63" xfId="5" applyNumberFormat="1" applyFont="1" applyBorder="1" applyAlignment="1">
      <alignment vertical="center" wrapText="1"/>
    </xf>
    <xf numFmtId="3" fontId="11" fillId="0" borderId="63" xfId="5" applyNumberFormat="1" applyFont="1" applyBorder="1" applyAlignment="1">
      <alignment vertical="center" wrapText="1"/>
    </xf>
    <xf numFmtId="10" fontId="11" fillId="0" borderId="5" xfId="5" applyNumberFormat="1" applyFont="1" applyBorder="1" applyAlignment="1">
      <alignment vertical="center" wrapText="1"/>
    </xf>
    <xf numFmtId="3" fontId="11" fillId="0" borderId="0" xfId="5" applyNumberFormat="1" applyFont="1" applyAlignment="1">
      <alignment vertical="center" wrapText="1"/>
    </xf>
    <xf numFmtId="10" fontId="11" fillId="0" borderId="0" xfId="5" applyNumberFormat="1" applyFont="1" applyAlignment="1">
      <alignment vertical="center" wrapText="1"/>
    </xf>
    <xf numFmtId="3" fontId="19" fillId="0" borderId="0" xfId="5" applyNumberFormat="1" applyFont="1" applyAlignment="1">
      <alignment horizontal="left" vertical="center" wrapText="1"/>
    </xf>
    <xf numFmtId="0" fontId="11" fillId="0" borderId="9" xfId="5" applyFont="1" applyBorder="1" applyAlignment="1">
      <alignment vertical="center" wrapText="1"/>
    </xf>
    <xf numFmtId="10" fontId="11" fillId="0" borderId="9" xfId="5" applyNumberFormat="1" applyFont="1" applyBorder="1" applyAlignment="1">
      <alignment vertical="center" wrapText="1"/>
    </xf>
    <xf numFmtId="3" fontId="11" fillId="0" borderId="9" xfId="5" applyNumberFormat="1" applyFont="1" applyBorder="1" applyAlignment="1">
      <alignment vertical="center" wrapText="1"/>
    </xf>
    <xf numFmtId="0" fontId="73" fillId="0" borderId="0" xfId="5" applyFont="1" applyAlignment="1">
      <alignment vertical="center" wrapText="1"/>
    </xf>
    <xf numFmtId="10" fontId="73" fillId="0" borderId="0" xfId="5" applyNumberFormat="1" applyFont="1" applyAlignment="1">
      <alignment vertical="center" wrapText="1"/>
    </xf>
    <xf numFmtId="3" fontId="73" fillId="0" borderId="0" xfId="5" applyNumberFormat="1" applyFont="1" applyAlignment="1">
      <alignment vertical="center" wrapText="1"/>
    </xf>
    <xf numFmtId="3" fontId="9" fillId="0" borderId="15" xfId="5" applyNumberFormat="1" applyFont="1" applyBorder="1" applyAlignment="1">
      <alignment vertical="center" wrapText="1"/>
    </xf>
    <xf numFmtId="0" fontId="11" fillId="0" borderId="0" xfId="5" applyFont="1" applyAlignment="1">
      <alignment vertical="center" wrapText="1"/>
    </xf>
    <xf numFmtId="166" fontId="50" fillId="0" borderId="0" xfId="5" applyNumberFormat="1" applyFont="1" applyAlignment="1">
      <alignment vertical="center" wrapText="1"/>
    </xf>
    <xf numFmtId="3" fontId="11" fillId="0" borderId="5" xfId="5" applyNumberFormat="1" applyFont="1" applyBorder="1" applyAlignment="1">
      <alignment vertical="center" wrapText="1"/>
    </xf>
    <xf numFmtId="0" fontId="26" fillId="0" borderId="0" xfId="5" applyFont="1" applyAlignment="1">
      <alignment vertical="center" wrapText="1"/>
    </xf>
    <xf numFmtId="10" fontId="26" fillId="0" borderId="0" xfId="5" applyNumberFormat="1" applyFont="1" applyAlignment="1">
      <alignment vertical="center" wrapText="1"/>
    </xf>
    <xf numFmtId="3" fontId="26" fillId="0" borderId="0" xfId="5" applyNumberFormat="1" applyFont="1" applyAlignment="1">
      <alignment vertical="center" wrapText="1"/>
    </xf>
    <xf numFmtId="10" fontId="50" fillId="0" borderId="0" xfId="5" applyNumberFormat="1" applyFont="1" applyAlignment="1">
      <alignment vertical="center" wrapText="1"/>
    </xf>
    <xf numFmtId="0" fontId="74" fillId="0" borderId="0" xfId="5" applyFont="1" applyAlignment="1">
      <alignment vertical="center" wrapText="1"/>
    </xf>
    <xf numFmtId="3" fontId="74" fillId="0" borderId="0" xfId="5" applyNumberFormat="1" applyFont="1" applyAlignment="1">
      <alignment vertical="center"/>
    </xf>
    <xf numFmtId="166" fontId="74" fillId="0" borderId="0" xfId="5" applyNumberFormat="1" applyFont="1" applyAlignment="1">
      <alignment vertical="center" wrapText="1"/>
    </xf>
    <xf numFmtId="10" fontId="74" fillId="0" borderId="0" xfId="5" applyNumberFormat="1" applyFont="1" applyAlignment="1">
      <alignment vertical="center" wrapText="1"/>
    </xf>
    <xf numFmtId="10" fontId="75" fillId="0" borderId="0" xfId="5" applyNumberFormat="1" applyFont="1" applyAlignment="1">
      <alignment vertical="center" wrapText="1"/>
    </xf>
    <xf numFmtId="3" fontId="75" fillId="0" borderId="0" xfId="5" applyNumberFormat="1" applyFont="1" applyAlignment="1">
      <alignment vertical="center" wrapText="1"/>
    </xf>
    <xf numFmtId="10" fontId="76" fillId="0" borderId="0" xfId="5" applyNumberFormat="1" applyFont="1" applyAlignment="1">
      <alignment vertical="center" wrapText="1"/>
    </xf>
    <xf numFmtId="3" fontId="76" fillId="0" borderId="0" xfId="5" applyNumberFormat="1" applyFont="1" applyAlignment="1">
      <alignment vertical="center" wrapText="1"/>
    </xf>
    <xf numFmtId="10" fontId="11" fillId="0" borderId="63" xfId="5" applyNumberFormat="1" applyFont="1" applyBorder="1" applyAlignment="1">
      <alignment horizontal="center" vertical="center" wrapText="1"/>
    </xf>
    <xf numFmtId="10" fontId="11" fillId="0" borderId="5" xfId="5" applyNumberFormat="1" applyFont="1" applyBorder="1" applyAlignment="1">
      <alignment horizontal="center" vertical="center" wrapText="1"/>
    </xf>
    <xf numFmtId="3" fontId="9" fillId="0" borderId="20" xfId="2" applyNumberFormat="1" applyFont="1" applyBorder="1" applyAlignment="1">
      <alignment vertical="center" wrapText="1"/>
    </xf>
    <xf numFmtId="10" fontId="9" fillId="0" borderId="20" xfId="2" applyNumberFormat="1" applyFont="1" applyBorder="1" applyAlignment="1">
      <alignment vertical="center" wrapText="1"/>
    </xf>
    <xf numFmtId="3" fontId="9" fillId="0" borderId="11" xfId="2" applyNumberFormat="1" applyFont="1" applyBorder="1" applyAlignment="1">
      <alignment vertical="center" wrapText="1"/>
    </xf>
    <xf numFmtId="10" fontId="9" fillId="0" borderId="81" xfId="2" applyNumberFormat="1" applyFont="1" applyBorder="1" applyAlignment="1">
      <alignment vertical="center" wrapText="1"/>
    </xf>
    <xf numFmtId="3" fontId="9" fillId="0" borderId="33" xfId="2" applyNumberFormat="1" applyFont="1" applyBorder="1" applyAlignment="1">
      <alignment vertical="center" wrapText="1"/>
    </xf>
    <xf numFmtId="10" fontId="9" fillId="0" borderId="33" xfId="2" applyNumberFormat="1" applyFont="1" applyBorder="1" applyAlignment="1">
      <alignment vertical="center" wrapText="1"/>
    </xf>
    <xf numFmtId="169" fontId="9" fillId="0" borderId="20" xfId="2" applyNumberFormat="1" applyFont="1" applyBorder="1" applyAlignment="1">
      <alignment vertical="center" wrapText="1"/>
    </xf>
    <xf numFmtId="169" fontId="9" fillId="0" borderId="33" xfId="2" applyNumberFormat="1" applyFont="1" applyBorder="1" applyAlignment="1">
      <alignment vertical="center" wrapText="1"/>
    </xf>
    <xf numFmtId="177" fontId="9" fillId="0" borderId="20" xfId="2" applyNumberFormat="1" applyFont="1" applyBorder="1" applyAlignment="1">
      <alignment vertical="center" wrapText="1"/>
    </xf>
    <xf numFmtId="178" fontId="9" fillId="0" borderId="20" xfId="2" applyNumberFormat="1" applyFont="1" applyBorder="1" applyAlignment="1">
      <alignment vertical="center" wrapText="1"/>
    </xf>
    <xf numFmtId="4" fontId="9" fillId="0" borderId="20" xfId="2" applyNumberFormat="1" applyFont="1" applyBorder="1" applyAlignment="1">
      <alignment vertical="center" wrapText="1"/>
    </xf>
    <xf numFmtId="10" fontId="9" fillId="0" borderId="11" xfId="2" applyNumberFormat="1" applyFont="1" applyBorder="1" applyAlignment="1">
      <alignment vertical="center" wrapText="1"/>
    </xf>
    <xf numFmtId="166" fontId="9" fillId="0" borderId="0" xfId="2" applyNumberFormat="1" applyFont="1" applyAlignment="1">
      <alignment vertical="center" wrapText="1"/>
    </xf>
    <xf numFmtId="3" fontId="11" fillId="0" borderId="63" xfId="2" applyNumberFormat="1" applyFont="1" applyBorder="1" applyAlignment="1">
      <alignment vertical="center" wrapText="1"/>
    </xf>
    <xf numFmtId="10" fontId="11" fillId="0" borderId="63" xfId="2" applyNumberFormat="1" applyFont="1" applyBorder="1" applyAlignment="1">
      <alignment vertical="center" wrapText="1"/>
    </xf>
    <xf numFmtId="3" fontId="11" fillId="0" borderId="67" xfId="2" applyNumberFormat="1" applyFont="1" applyBorder="1" applyAlignment="1">
      <alignment vertical="center" wrapText="1"/>
    </xf>
    <xf numFmtId="10" fontId="11" fillId="0" borderId="5" xfId="2" applyNumberFormat="1" applyFont="1" applyBorder="1" applyAlignment="1">
      <alignment vertical="center" wrapText="1"/>
    </xf>
    <xf numFmtId="3" fontId="20" fillId="0" borderId="0" xfId="5" applyNumberFormat="1" applyFont="1" applyAlignment="1">
      <alignment vertical="center" wrapText="1"/>
    </xf>
    <xf numFmtId="0" fontId="77" fillId="0" borderId="0" xfId="5" applyFont="1" applyAlignment="1">
      <alignment vertical="center" wrapText="1"/>
    </xf>
    <xf numFmtId="3" fontId="77" fillId="0" borderId="0" xfId="5" applyNumberFormat="1" applyFont="1" applyAlignment="1">
      <alignment vertical="center" wrapText="1"/>
    </xf>
    <xf numFmtId="10" fontId="77" fillId="0" borderId="0" xfId="5" applyNumberFormat="1" applyFont="1" applyAlignment="1">
      <alignment vertical="center" wrapText="1"/>
    </xf>
    <xf numFmtId="166" fontId="77" fillId="0" borderId="0" xfId="5" applyNumberFormat="1" applyFont="1" applyAlignment="1">
      <alignment vertical="center" wrapText="1"/>
    </xf>
    <xf numFmtId="10" fontId="9" fillId="0" borderId="0" xfId="2" applyNumberFormat="1" applyFont="1" applyAlignment="1">
      <alignment vertical="center" wrapText="1"/>
    </xf>
    <xf numFmtId="3" fontId="9" fillId="0" borderId="0" xfId="2" applyNumberFormat="1" applyFont="1" applyAlignment="1">
      <alignment vertical="center" wrapText="1"/>
    </xf>
    <xf numFmtId="0" fontId="78" fillId="0" borderId="0" xfId="2" applyFont="1" applyAlignment="1">
      <alignment vertical="center" wrapText="1"/>
    </xf>
    <xf numFmtId="3" fontId="78" fillId="0" borderId="0" xfId="2" applyNumberFormat="1" applyFont="1" applyAlignment="1">
      <alignment vertical="center" wrapText="1"/>
    </xf>
    <xf numFmtId="10" fontId="78" fillId="0" borderId="0" xfId="2" applyNumberFormat="1" applyFont="1" applyAlignment="1">
      <alignment vertical="center" wrapText="1"/>
    </xf>
    <xf numFmtId="0" fontId="79" fillId="0" borderId="0" xfId="2" applyFont="1" applyAlignment="1">
      <alignment vertical="center" wrapText="1"/>
    </xf>
    <xf numFmtId="10" fontId="79" fillId="0" borderId="0" xfId="2" applyNumberFormat="1" applyFont="1" applyAlignment="1">
      <alignment vertical="center" wrapText="1"/>
    </xf>
    <xf numFmtId="166" fontId="79" fillId="0" borderId="0" xfId="2" applyNumberFormat="1" applyFont="1" applyAlignment="1">
      <alignment vertical="center" wrapText="1"/>
    </xf>
    <xf numFmtId="3" fontId="26" fillId="0" borderId="0" xfId="2" applyNumberFormat="1" applyFont="1" applyAlignment="1">
      <alignment vertical="center" wrapText="1"/>
    </xf>
    <xf numFmtId="10" fontId="26" fillId="0" borderId="0" xfId="2" applyNumberFormat="1" applyFont="1" applyAlignment="1">
      <alignment vertical="center" wrapText="1"/>
    </xf>
    <xf numFmtId="0" fontId="26" fillId="0" borderId="0" xfId="2" applyFont="1" applyAlignment="1">
      <alignment vertical="center" wrapText="1"/>
    </xf>
    <xf numFmtId="1" fontId="26" fillId="0" borderId="0" xfId="2" applyNumberFormat="1" applyFont="1" applyAlignment="1">
      <alignment vertical="center" wrapText="1"/>
    </xf>
    <xf numFmtId="166" fontId="26" fillId="0" borderId="0" xfId="2" applyNumberFormat="1" applyFont="1" applyAlignment="1">
      <alignment vertical="center" wrapText="1"/>
    </xf>
    <xf numFmtId="3" fontId="50" fillId="0" borderId="0" xfId="5" applyNumberFormat="1" applyFont="1" applyAlignment="1">
      <alignment vertical="center" wrapText="1"/>
    </xf>
    <xf numFmtId="10" fontId="50" fillId="0" borderId="0" xfId="2" applyNumberFormat="1" applyFont="1" applyAlignment="1">
      <alignment vertical="center" wrapText="1"/>
    </xf>
    <xf numFmtId="3" fontId="75" fillId="0" borderId="0" xfId="2" applyNumberFormat="1" applyFont="1" applyAlignment="1">
      <alignment vertical="center" wrapText="1"/>
    </xf>
    <xf numFmtId="10" fontId="75" fillId="0" borderId="0" xfId="2" applyNumberFormat="1" applyFont="1" applyAlignment="1">
      <alignment vertical="center" wrapText="1"/>
    </xf>
    <xf numFmtId="0" fontId="75" fillId="0" borderId="0" xfId="2" applyFont="1" applyAlignment="1">
      <alignment vertical="center" wrapText="1"/>
    </xf>
    <xf numFmtId="166" fontId="75" fillId="0" borderId="0" xfId="2" applyNumberFormat="1" applyFont="1" applyAlignment="1">
      <alignment vertical="center" wrapText="1"/>
    </xf>
    <xf numFmtId="3" fontId="50" fillId="0" borderId="0" xfId="2" applyNumberFormat="1" applyFont="1" applyAlignment="1">
      <alignment vertical="center" wrapText="1"/>
    </xf>
    <xf numFmtId="10" fontId="11" fillId="3" borderId="35" xfId="5" applyNumberFormat="1" applyFont="1" applyFill="1" applyBorder="1" applyAlignment="1">
      <alignment horizontal="center" vertical="center" wrapText="1"/>
    </xf>
    <xf numFmtId="0" fontId="9" fillId="0" borderId="35" xfId="5" applyFont="1" applyBorder="1" applyAlignment="1">
      <alignment vertical="center" wrapText="1"/>
    </xf>
    <xf numFmtId="3" fontId="9" fillId="0" borderId="35" xfId="2" applyNumberFormat="1" applyFont="1" applyBorder="1" applyAlignment="1">
      <alignment vertical="center" wrapText="1"/>
    </xf>
    <xf numFmtId="169" fontId="9" fillId="0" borderId="35" xfId="2" applyNumberFormat="1" applyFont="1" applyBorder="1" applyAlignment="1">
      <alignment vertical="center" wrapText="1"/>
    </xf>
    <xf numFmtId="0" fontId="12" fillId="6" borderId="35" xfId="5" applyFont="1" applyFill="1" applyBorder="1" applyAlignment="1">
      <alignment vertical="center" wrapText="1"/>
    </xf>
    <xf numFmtId="3" fontId="12" fillId="6" borderId="35" xfId="2" applyNumberFormat="1" applyFont="1" applyFill="1" applyBorder="1" applyAlignment="1">
      <alignment vertical="center" wrapText="1"/>
    </xf>
    <xf numFmtId="165" fontId="12" fillId="6" borderId="35" xfId="2" applyNumberFormat="1" applyFont="1" applyFill="1" applyBorder="1" applyAlignment="1">
      <alignment vertical="center" wrapText="1"/>
    </xf>
    <xf numFmtId="0" fontId="9" fillId="0" borderId="35" xfId="2" applyFont="1" applyBorder="1"/>
    <xf numFmtId="3" fontId="80" fillId="0" borderId="35" xfId="2" applyNumberFormat="1" applyFont="1" applyBorder="1"/>
    <xf numFmtId="165" fontId="80" fillId="0" borderId="35" xfId="2" applyNumberFormat="1" applyFont="1" applyBorder="1"/>
    <xf numFmtId="0" fontId="9" fillId="0" borderId="113" xfId="5" applyFont="1" applyBorder="1" applyAlignment="1">
      <alignment vertical="center" wrapText="1"/>
    </xf>
    <xf numFmtId="3" fontId="9" fillId="0" borderId="113" xfId="2" applyNumberFormat="1" applyFont="1" applyBorder="1" applyAlignment="1">
      <alignment vertical="center" wrapText="1"/>
    </xf>
    <xf numFmtId="165" fontId="9" fillId="0" borderId="113" xfId="2" applyNumberFormat="1" applyFont="1" applyBorder="1" applyAlignment="1">
      <alignment vertical="center" wrapText="1"/>
    </xf>
    <xf numFmtId="0" fontId="76" fillId="0" borderId="0" xfId="5" applyFont="1" applyAlignment="1">
      <alignment vertical="center" wrapText="1"/>
    </xf>
    <xf numFmtId="166" fontId="76" fillId="0" borderId="0" xfId="5" applyNumberFormat="1" applyFont="1" applyAlignment="1">
      <alignment vertical="center" wrapText="1"/>
    </xf>
    <xf numFmtId="0" fontId="12" fillId="6" borderId="114" xfId="5" applyFont="1" applyFill="1" applyBorder="1" applyAlignment="1">
      <alignment horizontal="center" vertical="center" wrapText="1"/>
    </xf>
    <xf numFmtId="0" fontId="81" fillId="6" borderId="35" xfId="2" applyFont="1" applyFill="1" applyBorder="1" applyAlignment="1">
      <alignment horizontal="center" vertical="center" wrapText="1"/>
    </xf>
    <xf numFmtId="10" fontId="50" fillId="0" borderId="0" xfId="2" applyNumberFormat="1" applyFont="1" applyAlignment="1">
      <alignment horizontal="center" vertical="center" wrapText="1"/>
    </xf>
    <xf numFmtId="0" fontId="12" fillId="6" borderId="115" xfId="5" applyFont="1" applyFill="1" applyBorder="1" applyAlignment="1">
      <alignment horizontal="center" vertical="center" wrapText="1"/>
    </xf>
    <xf numFmtId="9" fontId="50" fillId="0" borderId="0" xfId="2" applyNumberFormat="1" applyFont="1" applyAlignment="1">
      <alignment vertical="center"/>
    </xf>
    <xf numFmtId="165" fontId="9" fillId="0" borderId="35" xfId="2" applyNumberFormat="1" applyFont="1" applyBorder="1" applyAlignment="1">
      <alignment vertical="center" wrapText="1"/>
    </xf>
    <xf numFmtId="2" fontId="9" fillId="0" borderId="0" xfId="5" applyNumberFormat="1" applyFont="1" applyAlignment="1">
      <alignment vertical="center" wrapText="1"/>
    </xf>
    <xf numFmtId="3" fontId="11" fillId="0" borderId="29" xfId="5" applyNumberFormat="1" applyFont="1" applyBorder="1" applyAlignment="1">
      <alignment horizontal="center" vertical="center" wrapText="1"/>
    </xf>
    <xf numFmtId="3" fontId="9" fillId="98" borderId="63" xfId="5" applyNumberFormat="1" applyFont="1" applyFill="1" applyBorder="1" applyAlignment="1">
      <alignment vertical="center" wrapText="1"/>
    </xf>
    <xf numFmtId="172" fontId="11" fillId="0" borderId="0" xfId="5" applyNumberFormat="1" applyFont="1" applyAlignment="1">
      <alignment vertical="center" wrapText="1"/>
    </xf>
    <xf numFmtId="172" fontId="79" fillId="0" borderId="0" xfId="5" applyNumberFormat="1" applyFont="1" applyAlignment="1">
      <alignment vertical="center" wrapText="1"/>
    </xf>
    <xf numFmtId="172" fontId="9" fillId="0" borderId="0" xfId="5" applyNumberFormat="1" applyFont="1" applyAlignment="1">
      <alignment vertical="center" wrapText="1"/>
    </xf>
    <xf numFmtId="166" fontId="11" fillId="0" borderId="0" xfId="5" applyNumberFormat="1" applyFont="1" applyAlignment="1">
      <alignment vertical="center" wrapText="1"/>
    </xf>
    <xf numFmtId="3" fontId="74" fillId="0" borderId="0" xfId="5" applyNumberFormat="1" applyFont="1" applyAlignment="1">
      <alignment vertical="center" wrapText="1"/>
    </xf>
    <xf numFmtId="0" fontId="82" fillId="0" borderId="0" xfId="2" applyFont="1" applyAlignment="1">
      <alignment vertical="center" wrapText="1"/>
    </xf>
    <xf numFmtId="10" fontId="82" fillId="0" borderId="0" xfId="2" applyNumberFormat="1" applyFont="1" applyAlignment="1">
      <alignment vertical="center" wrapText="1"/>
    </xf>
    <xf numFmtId="3" fontId="82" fillId="0" borderId="0" xfId="2" applyNumberFormat="1" applyFont="1" applyAlignment="1">
      <alignment vertical="center" wrapText="1"/>
    </xf>
    <xf numFmtId="166" fontId="82" fillId="0" borderId="0" xfId="2" applyNumberFormat="1" applyFont="1" applyAlignment="1">
      <alignment vertical="center" wrapText="1"/>
    </xf>
    <xf numFmtId="3" fontId="79" fillId="0" borderId="0" xfId="2" applyNumberFormat="1" applyFont="1" applyAlignment="1">
      <alignment vertical="center" wrapText="1"/>
    </xf>
    <xf numFmtId="0" fontId="83" fillId="0" borderId="0" xfId="2" applyFont="1" applyAlignment="1">
      <alignment vertical="center" wrapText="1"/>
    </xf>
    <xf numFmtId="10" fontId="83" fillId="0" borderId="0" xfId="2" applyNumberFormat="1" applyFont="1" applyAlignment="1">
      <alignment vertical="center" wrapText="1"/>
    </xf>
    <xf numFmtId="3" fontId="83" fillId="0" borderId="0" xfId="2" applyNumberFormat="1" applyFont="1" applyAlignment="1">
      <alignment vertical="center" wrapText="1"/>
    </xf>
    <xf numFmtId="166" fontId="83" fillId="0" borderId="0" xfId="2" applyNumberFormat="1" applyFont="1" applyAlignment="1">
      <alignment vertical="center" wrapText="1"/>
    </xf>
    <xf numFmtId="3" fontId="9" fillId="0" borderId="109" xfId="2" applyNumberFormat="1" applyFont="1" applyBorder="1" applyAlignment="1">
      <alignment vertical="center" wrapText="1"/>
    </xf>
    <xf numFmtId="10" fontId="9" fillId="0" borderId="109" xfId="2" applyNumberFormat="1" applyFont="1" applyBorder="1" applyAlignment="1">
      <alignment vertical="center" wrapText="1"/>
    </xf>
    <xf numFmtId="166" fontId="9" fillId="0" borderId="33" xfId="2" applyNumberFormat="1" applyFont="1" applyBorder="1" applyAlignment="1">
      <alignment vertical="center" wrapText="1"/>
    </xf>
    <xf numFmtId="4" fontId="9" fillId="0" borderId="35" xfId="2" applyNumberFormat="1" applyFont="1" applyBorder="1" applyAlignment="1">
      <alignment vertical="center" wrapText="1"/>
    </xf>
    <xf numFmtId="9" fontId="9" fillId="0" borderId="0" xfId="6" applyFont="1" applyFill="1" applyAlignment="1">
      <alignment vertical="center" wrapText="1"/>
    </xf>
    <xf numFmtId="10" fontId="9" fillId="0" borderId="35" xfId="2" applyNumberFormat="1" applyFont="1" applyBorder="1" applyAlignment="1">
      <alignment vertical="center" wrapText="1"/>
    </xf>
    <xf numFmtId="0" fontId="13" fillId="6" borderId="35" xfId="5" applyFont="1" applyFill="1" applyBorder="1" applyAlignment="1">
      <alignment vertical="center" wrapText="1"/>
    </xf>
    <xf numFmtId="3" fontId="13" fillId="6" borderId="35" xfId="2" applyNumberFormat="1" applyFont="1" applyFill="1" applyBorder="1" applyAlignment="1">
      <alignment vertical="center" wrapText="1"/>
    </xf>
    <xf numFmtId="165" fontId="13" fillId="6" borderId="35" xfId="2" applyNumberFormat="1" applyFont="1" applyFill="1" applyBorder="1" applyAlignment="1">
      <alignment vertical="center" wrapText="1"/>
    </xf>
    <xf numFmtId="3" fontId="80" fillId="0" borderId="35" xfId="2" applyNumberFormat="1" applyFont="1" applyBorder="1" applyAlignment="1">
      <alignment vertical="center"/>
    </xf>
    <xf numFmtId="165" fontId="80" fillId="0" borderId="35" xfId="2" applyNumberFormat="1" applyFont="1" applyBorder="1" applyAlignment="1">
      <alignment vertical="center"/>
    </xf>
    <xf numFmtId="3" fontId="9" fillId="29" borderId="0" xfId="2" applyNumberFormat="1" applyFont="1" applyFill="1" applyAlignment="1">
      <alignment vertical="center"/>
    </xf>
    <xf numFmtId="0" fontId="84" fillId="0" borderId="0" xfId="2" applyFont="1" applyAlignment="1">
      <alignment vertical="center"/>
    </xf>
    <xf numFmtId="3" fontId="84" fillId="0" borderId="0" xfId="2" applyNumberFormat="1" applyFont="1" applyAlignment="1">
      <alignment vertical="center"/>
    </xf>
    <xf numFmtId="10" fontId="84" fillId="0" borderId="0" xfId="2" applyNumberFormat="1" applyFont="1" applyAlignment="1">
      <alignment vertical="center"/>
    </xf>
    <xf numFmtId="169" fontId="84" fillId="0" borderId="0" xfId="2" applyNumberFormat="1" applyFont="1" applyAlignment="1">
      <alignment vertical="center"/>
    </xf>
    <xf numFmtId="0" fontId="85" fillId="0" borderId="0" xfId="2" applyFont="1" applyAlignment="1">
      <alignment vertical="center"/>
    </xf>
    <xf numFmtId="3" fontId="85" fillId="0" borderId="0" xfId="2" applyNumberFormat="1" applyFont="1" applyAlignment="1">
      <alignment vertical="center"/>
    </xf>
    <xf numFmtId="10" fontId="85" fillId="0" borderId="0" xfId="2" applyNumberFormat="1" applyFont="1" applyAlignment="1">
      <alignment vertical="center"/>
    </xf>
    <xf numFmtId="0" fontId="86" fillId="0" borderId="0" xfId="2" applyFont="1" applyAlignment="1">
      <alignment vertical="center"/>
    </xf>
    <xf numFmtId="3" fontId="86" fillId="0" borderId="0" xfId="2" applyNumberFormat="1" applyFont="1" applyAlignment="1">
      <alignment vertical="center"/>
    </xf>
    <xf numFmtId="10" fontId="86" fillId="0" borderId="0" xfId="2" applyNumberFormat="1" applyFont="1" applyAlignment="1">
      <alignment vertical="center"/>
    </xf>
    <xf numFmtId="3" fontId="26" fillId="0" borderId="0" xfId="2" applyNumberFormat="1" applyFont="1" applyAlignment="1">
      <alignment vertical="center"/>
    </xf>
    <xf numFmtId="10" fontId="26" fillId="0" borderId="0" xfId="2" applyNumberFormat="1" applyFont="1" applyAlignment="1">
      <alignment vertical="center"/>
    </xf>
    <xf numFmtId="0" fontId="26" fillId="0" borderId="0" xfId="2" applyFont="1" applyAlignment="1">
      <alignment vertical="center"/>
    </xf>
    <xf numFmtId="3" fontId="75" fillId="0" borderId="0" xfId="2" applyNumberFormat="1" applyFont="1" applyAlignment="1">
      <alignment vertical="center"/>
    </xf>
    <xf numFmtId="10" fontId="75" fillId="0" borderId="0" xfId="2" applyNumberFormat="1" applyFont="1" applyAlignment="1">
      <alignment vertical="center"/>
    </xf>
    <xf numFmtId="0" fontId="75" fillId="0" borderId="0" xfId="2" applyFont="1" applyAlignment="1">
      <alignment vertical="center"/>
    </xf>
    <xf numFmtId="165" fontId="87" fillId="0" borderId="116" xfId="2" applyNumberFormat="1" applyFont="1" applyBorder="1" applyAlignment="1">
      <alignment vertical="center"/>
    </xf>
    <xf numFmtId="166" fontId="84" fillId="0" borderId="0" xfId="2" applyNumberFormat="1" applyFont="1" applyAlignment="1">
      <alignment vertical="center"/>
    </xf>
    <xf numFmtId="165" fontId="50" fillId="0" borderId="0" xfId="2" applyNumberFormat="1" applyFont="1" applyAlignment="1">
      <alignment vertical="center"/>
    </xf>
    <xf numFmtId="166" fontId="50" fillId="0" borderId="0" xfId="2" applyNumberFormat="1" applyFont="1" applyAlignment="1">
      <alignment vertical="center"/>
    </xf>
    <xf numFmtId="166" fontId="85" fillId="0" borderId="0" xfId="2" applyNumberFormat="1" applyFont="1" applyAlignment="1">
      <alignment vertical="center"/>
    </xf>
    <xf numFmtId="166" fontId="86" fillId="0" borderId="0" xfId="2" applyNumberFormat="1" applyFont="1" applyAlignment="1">
      <alignment vertical="center"/>
    </xf>
    <xf numFmtId="166" fontId="26" fillId="0" borderId="0" xfId="2" applyNumberFormat="1" applyFont="1" applyAlignment="1">
      <alignment vertical="center"/>
    </xf>
    <xf numFmtId="166" fontId="75" fillId="0" borderId="0" xfId="2" applyNumberFormat="1" applyFont="1" applyAlignment="1">
      <alignment vertical="center"/>
    </xf>
    <xf numFmtId="0" fontId="13" fillId="6" borderId="115" xfId="5" applyFont="1" applyFill="1" applyBorder="1" applyAlignment="1">
      <alignment horizontal="center" vertical="center" wrapText="1"/>
    </xf>
    <xf numFmtId="0" fontId="12" fillId="6" borderId="36" xfId="5" applyFont="1" applyFill="1" applyBorder="1" applyAlignment="1">
      <alignment horizontal="center" vertical="center" wrapText="1"/>
    </xf>
    <xf numFmtId="0" fontId="12" fillId="6" borderId="117" xfId="5" applyFont="1" applyFill="1" applyBorder="1" applyAlignment="1">
      <alignment horizontal="center" vertical="center" wrapText="1"/>
    </xf>
    <xf numFmtId="165" fontId="9" fillId="27" borderId="35" xfId="2" applyNumberFormat="1" applyFont="1" applyFill="1" applyBorder="1" applyAlignment="1">
      <alignment vertical="center"/>
    </xf>
    <xf numFmtId="9" fontId="9" fillId="27" borderId="35" xfId="2" applyNumberFormat="1" applyFont="1" applyFill="1" applyBorder="1" applyAlignment="1">
      <alignment vertical="center"/>
    </xf>
    <xf numFmtId="10" fontId="76" fillId="0" borderId="0" xfId="2" applyNumberFormat="1" applyFont="1" applyAlignment="1">
      <alignment vertical="center"/>
    </xf>
    <xf numFmtId="0" fontId="80" fillId="0" borderId="0" xfId="2" applyFont="1" applyAlignment="1">
      <alignment vertical="center"/>
    </xf>
    <xf numFmtId="0" fontId="11" fillId="0" borderId="35" xfId="2" applyFont="1" applyBorder="1" applyAlignment="1">
      <alignment horizontal="center" vertical="center" wrapText="1"/>
    </xf>
    <xf numFmtId="0" fontId="11" fillId="0" borderId="0" xfId="2" applyFont="1" applyAlignment="1">
      <alignment horizontal="center" vertical="center" wrapText="1"/>
    </xf>
    <xf numFmtId="0" fontId="88" fillId="0" borderId="0" xfId="2" applyFont="1" applyAlignment="1">
      <alignment horizontal="center" vertical="center" wrapText="1"/>
    </xf>
    <xf numFmtId="3" fontId="76" fillId="0" borderId="0" xfId="2" applyNumberFormat="1" applyFont="1" applyAlignment="1">
      <alignment vertical="center" wrapText="1"/>
    </xf>
    <xf numFmtId="166" fontId="76" fillId="0" borderId="0" xfId="2" applyNumberFormat="1" applyFont="1" applyAlignment="1">
      <alignment vertical="center" wrapText="1"/>
    </xf>
    <xf numFmtId="3" fontId="89" fillId="0" borderId="0" xfId="2" applyNumberFormat="1" applyFont="1" applyAlignment="1">
      <alignment vertical="center" wrapText="1"/>
    </xf>
    <xf numFmtId="10" fontId="13" fillId="6" borderId="35" xfId="2" applyNumberFormat="1" applyFont="1" applyFill="1" applyBorder="1" applyAlignment="1">
      <alignment vertical="center" wrapText="1"/>
    </xf>
    <xf numFmtId="3" fontId="11" fillId="0" borderId="35" xfId="2" applyNumberFormat="1" applyFont="1" applyBorder="1" applyAlignment="1">
      <alignment vertical="center"/>
    </xf>
    <xf numFmtId="10" fontId="11" fillId="0" borderId="35" xfId="2" applyNumberFormat="1" applyFont="1" applyBorder="1" applyAlignment="1">
      <alignment vertical="center"/>
    </xf>
    <xf numFmtId="3" fontId="90" fillId="0" borderId="0" xfId="2" applyNumberFormat="1" applyFont="1" applyAlignment="1">
      <alignment vertical="center" wrapText="1"/>
    </xf>
    <xf numFmtId="166" fontId="90" fillId="0" borderId="0" xfId="2" applyNumberFormat="1" applyFont="1" applyAlignment="1">
      <alignment vertical="center" wrapText="1"/>
    </xf>
    <xf numFmtId="3" fontId="88" fillId="0" borderId="0" xfId="2" applyNumberFormat="1" applyFont="1" applyAlignment="1">
      <alignment vertical="center"/>
    </xf>
    <xf numFmtId="0" fontId="9" fillId="29" borderId="0" xfId="2" applyFont="1" applyFill="1" applyAlignment="1">
      <alignment vertical="center"/>
    </xf>
    <xf numFmtId="0" fontId="13" fillId="6" borderId="114" xfId="5" applyFont="1" applyFill="1" applyBorder="1" applyAlignment="1">
      <alignment horizontal="center" vertical="center" wrapText="1"/>
    </xf>
    <xf numFmtId="0" fontId="91" fillId="6" borderId="35" xfId="2" applyFont="1" applyFill="1" applyBorder="1" applyAlignment="1">
      <alignment horizontal="center" vertical="center" wrapText="1"/>
    </xf>
    <xf numFmtId="9" fontId="9" fillId="0" borderId="35" xfId="6" applyFont="1" applyBorder="1" applyAlignment="1">
      <alignment vertical="center"/>
    </xf>
    <xf numFmtId="165" fontId="9" fillId="0" borderId="35" xfId="6" applyNumberFormat="1" applyFont="1" applyBorder="1" applyAlignment="1">
      <alignment vertical="center"/>
    </xf>
    <xf numFmtId="0" fontId="11" fillId="27" borderId="33" xfId="2" applyFont="1" applyFill="1" applyBorder="1" applyAlignment="1">
      <alignment horizontal="left" vertical="center"/>
    </xf>
    <xf numFmtId="3" fontId="9" fillId="0" borderId="22" xfId="2" applyNumberFormat="1" applyFont="1" applyBorder="1" applyAlignment="1">
      <alignment vertical="center"/>
    </xf>
    <xf numFmtId="3" fontId="9" fillId="0" borderId="30" xfId="2" applyNumberFormat="1" applyFont="1" applyBorder="1" applyAlignment="1">
      <alignment vertical="center"/>
    </xf>
    <xf numFmtId="3" fontId="9" fillId="0" borderId="29" xfId="2" applyNumberFormat="1" applyFont="1" applyBorder="1" applyAlignment="1">
      <alignment vertical="center"/>
    </xf>
    <xf numFmtId="3" fontId="9" fillId="0" borderId="15" xfId="2" applyNumberFormat="1" applyFont="1" applyBorder="1" applyAlignment="1">
      <alignment vertical="center"/>
    </xf>
    <xf numFmtId="3" fontId="9" fillId="0" borderId="27" xfId="2" applyNumberFormat="1" applyFont="1" applyBorder="1" applyAlignment="1">
      <alignment vertical="center"/>
    </xf>
    <xf numFmtId="3" fontId="9" fillId="0" borderId="118" xfId="2" applyNumberFormat="1" applyFont="1" applyBorder="1" applyAlignment="1">
      <alignment vertical="center"/>
    </xf>
    <xf numFmtId="3" fontId="11" fillId="0" borderId="28" xfId="2" applyNumberFormat="1" applyFont="1" applyBorder="1" applyAlignment="1">
      <alignment vertical="center"/>
    </xf>
    <xf numFmtId="3" fontId="11" fillId="0" borderId="20" xfId="2" applyNumberFormat="1" applyFont="1" applyBorder="1" applyAlignment="1">
      <alignment vertical="center"/>
    </xf>
    <xf numFmtId="165" fontId="9" fillId="0" borderId="6" xfId="6" applyNumberFormat="1" applyFont="1" applyBorder="1" applyAlignment="1">
      <alignment vertical="center"/>
    </xf>
    <xf numFmtId="165" fontId="9" fillId="0" borderId="69" xfId="6" applyNumberFormat="1" applyFont="1" applyBorder="1" applyAlignment="1">
      <alignment vertical="center"/>
    </xf>
    <xf numFmtId="165" fontId="9" fillId="0" borderId="7" xfId="6" applyNumberFormat="1" applyFont="1" applyBorder="1" applyAlignment="1">
      <alignment vertical="center"/>
    </xf>
    <xf numFmtId="10" fontId="9" fillId="20" borderId="0" xfId="2" applyNumberFormat="1" applyFont="1" applyFill="1" applyAlignment="1">
      <alignment vertical="center"/>
    </xf>
    <xf numFmtId="0" fontId="92" fillId="0" borderId="0" xfId="2" applyFont="1" applyAlignment="1">
      <alignment vertical="center"/>
    </xf>
    <xf numFmtId="0" fontId="93" fillId="0" borderId="0" xfId="2" applyFont="1" applyAlignment="1">
      <alignment vertical="center"/>
    </xf>
    <xf numFmtId="0" fontId="92" fillId="2" borderId="109" xfId="5" applyFont="1" applyFill="1" applyBorder="1" applyAlignment="1">
      <alignment horizontal="center" vertical="center"/>
    </xf>
    <xf numFmtId="0" fontId="92" fillId="2" borderId="110" xfId="5" applyFont="1" applyFill="1" applyBorder="1" applyAlignment="1">
      <alignment horizontal="center" vertical="center"/>
    </xf>
    <xf numFmtId="0" fontId="66" fillId="101" borderId="66" xfId="1" applyNumberFormat="1" applyFont="1" applyFill="1" applyBorder="1" applyAlignment="1" applyProtection="1">
      <alignment horizontal="center" vertical="center"/>
    </xf>
    <xf numFmtId="0" fontId="66" fillId="101" borderId="47" xfId="1" applyNumberFormat="1" applyFont="1" applyFill="1" applyBorder="1" applyAlignment="1" applyProtection="1">
      <alignment horizontal="center" vertical="center"/>
    </xf>
    <xf numFmtId="0" fontId="66" fillId="101" borderId="30" xfId="1" applyNumberFormat="1" applyFont="1" applyFill="1" applyBorder="1" applyAlignment="1" applyProtection="1">
      <alignment horizontal="center" vertical="center"/>
    </xf>
    <xf numFmtId="0" fontId="66" fillId="101" borderId="33" xfId="1" applyFont="1" applyFill="1" applyBorder="1" applyAlignment="1">
      <alignment horizontal="center" vertical="center"/>
    </xf>
    <xf numFmtId="0" fontId="66" fillId="101" borderId="33" xfId="1" applyNumberFormat="1" applyFont="1" applyFill="1" applyBorder="1" applyAlignment="1" applyProtection="1">
      <alignment horizontal="center" vertical="center"/>
    </xf>
    <xf numFmtId="0" fontId="92" fillId="2" borderId="33" xfId="5" applyFont="1" applyFill="1" applyBorder="1" applyAlignment="1">
      <alignment horizontal="center" vertical="center" wrapText="1"/>
    </xf>
    <xf numFmtId="0" fontId="92" fillId="2" borderId="59" xfId="5" applyFont="1" applyFill="1" applyBorder="1" applyAlignment="1">
      <alignment horizontal="center" vertical="center" wrapText="1"/>
    </xf>
    <xf numFmtId="0" fontId="95" fillId="101" borderId="22" xfId="2" applyFont="1" applyFill="1" applyBorder="1" applyAlignment="1">
      <alignment horizontal="left" vertical="center" wrapText="1"/>
    </xf>
    <xf numFmtId="0" fontId="95" fillId="101" borderId="18" xfId="2" applyFont="1" applyFill="1" applyBorder="1" applyAlignment="1">
      <alignment horizontal="left" vertical="center" wrapText="1"/>
    </xf>
    <xf numFmtId="166" fontId="95" fillId="103" borderId="20" xfId="2" applyNumberFormat="1" applyFont="1" applyFill="1" applyBorder="1" applyAlignment="1" applyProtection="1">
      <alignment horizontal="center" vertical="center" wrapText="1"/>
      <protection locked="0"/>
    </xf>
    <xf numFmtId="166" fontId="95" fillId="101" borderId="33" xfId="2" applyNumberFormat="1" applyFont="1" applyFill="1" applyBorder="1" applyAlignment="1" applyProtection="1">
      <alignment horizontal="center" vertical="center" wrapText="1"/>
      <protection locked="0"/>
    </xf>
    <xf numFmtId="0" fontId="93" fillId="2" borderId="33" xfId="5" applyFont="1" applyFill="1" applyBorder="1" applyAlignment="1">
      <alignment horizontal="center" vertical="center"/>
    </xf>
    <xf numFmtId="0" fontId="93" fillId="2" borderId="11" xfId="5" applyFont="1" applyFill="1" applyBorder="1" applyAlignment="1">
      <alignment horizontal="center" vertical="center"/>
    </xf>
    <xf numFmtId="0" fontId="93" fillId="2" borderId="79" xfId="5" applyFont="1" applyFill="1" applyBorder="1" applyAlignment="1">
      <alignment horizontal="center" vertical="center"/>
    </xf>
    <xf numFmtId="166" fontId="95" fillId="103" borderId="33" xfId="2" applyNumberFormat="1" applyFont="1" applyFill="1" applyBorder="1" applyAlignment="1" applyProtection="1">
      <alignment horizontal="center" vertical="center" wrapText="1"/>
      <protection locked="0"/>
    </xf>
    <xf numFmtId="0" fontId="93" fillId="0" borderId="119" xfId="5" applyFont="1" applyBorder="1" applyAlignment="1">
      <alignment horizontal="left" vertical="center" wrapText="1"/>
    </xf>
    <xf numFmtId="164" fontId="96" fillId="2" borderId="33" xfId="12" applyFont="1" applyFill="1" applyBorder="1" applyAlignment="1">
      <alignment vertical="center"/>
    </xf>
    <xf numFmtId="164" fontId="92" fillId="2" borderId="59" xfId="11" applyFont="1" applyFill="1" applyBorder="1" applyAlignment="1">
      <alignment vertical="center"/>
    </xf>
    <xf numFmtId="0" fontId="93" fillId="0" borderId="61" xfId="5" applyFont="1" applyBorder="1" applyAlignment="1">
      <alignment horizontal="left" vertical="center" wrapText="1"/>
    </xf>
    <xf numFmtId="0" fontId="95" fillId="104" borderId="18" xfId="2" applyFont="1" applyFill="1" applyBorder="1" applyAlignment="1">
      <alignment horizontal="left" vertical="center" wrapText="1"/>
    </xf>
    <xf numFmtId="166" fontId="95" fillId="103" borderId="33" xfId="2" applyNumberFormat="1" applyFont="1" applyFill="1" applyBorder="1" applyAlignment="1">
      <alignment horizontal="center" vertical="center" wrapText="1"/>
    </xf>
    <xf numFmtId="0" fontId="9" fillId="0" borderId="31" xfId="2" applyFont="1" applyBorder="1" applyAlignment="1">
      <alignment horizontal="center" vertical="center"/>
    </xf>
    <xf numFmtId="0" fontId="9" fillId="80" borderId="0" xfId="2" applyFont="1" applyFill="1" applyAlignment="1">
      <alignment vertical="center"/>
    </xf>
    <xf numFmtId="165" fontId="9" fillId="80" borderId="0" xfId="6" applyNumberFormat="1" applyFont="1" applyFill="1" applyAlignment="1">
      <alignment vertical="center"/>
    </xf>
    <xf numFmtId="0" fontId="95" fillId="101" borderId="121" xfId="2" applyFont="1" applyFill="1" applyBorder="1" applyAlignment="1">
      <alignment horizontal="left" vertical="center" wrapText="1"/>
    </xf>
    <xf numFmtId="0" fontId="10" fillId="0" borderId="0" xfId="2" applyFont="1" applyAlignment="1">
      <alignment horizontal="left" vertical="center" wrapText="1"/>
    </xf>
    <xf numFmtId="0" fontId="6" fillId="0" borderId="0" xfId="2" applyAlignment="1">
      <alignment horizontal="left" vertical="center" wrapText="1"/>
    </xf>
    <xf numFmtId="0" fontId="6" fillId="0" borderId="28" xfId="2" applyBorder="1" applyAlignment="1">
      <alignment horizontal="left" vertical="center" wrapText="1"/>
    </xf>
    <xf numFmtId="0" fontId="93" fillId="0" borderId="122" xfId="5" applyFont="1" applyBorder="1" applyAlignment="1">
      <alignment horizontal="left" vertical="center" wrapText="1"/>
    </xf>
    <xf numFmtId="164" fontId="96" fillId="2" borderId="73" xfId="12" applyFont="1" applyFill="1" applyBorder="1" applyAlignment="1">
      <alignment vertical="center"/>
    </xf>
    <xf numFmtId="0" fontId="92" fillId="0" borderId="123" xfId="5" applyFont="1" applyBorder="1" applyAlignment="1">
      <alignment horizontal="left" vertical="center"/>
    </xf>
    <xf numFmtId="164" fontId="92" fillId="2" borderId="124" xfId="11" applyFont="1" applyFill="1" applyBorder="1" applyAlignment="1">
      <alignment vertical="center"/>
    </xf>
    <xf numFmtId="164" fontId="92" fillId="0" borderId="125" xfId="11" applyFont="1" applyFill="1" applyBorder="1" applyAlignment="1">
      <alignment vertical="center"/>
    </xf>
    <xf numFmtId="0" fontId="11" fillId="0" borderId="0" xfId="5" applyFont="1" applyAlignment="1">
      <alignment horizontal="left" vertical="center"/>
    </xf>
    <xf numFmtId="164" fontId="11" fillId="0" borderId="0" xfId="11" applyFont="1" applyFill="1" applyBorder="1" applyAlignment="1">
      <alignment vertical="center"/>
    </xf>
    <xf numFmtId="0" fontId="97" fillId="101" borderId="18" xfId="2" applyFont="1" applyFill="1" applyBorder="1" applyAlignment="1">
      <alignment horizontal="left" vertical="center" wrapText="1"/>
    </xf>
    <xf numFmtId="0" fontId="6" fillId="0" borderId="118" xfId="2" applyBorder="1" applyAlignment="1">
      <alignment horizontal="left" vertical="center" wrapText="1"/>
    </xf>
    <xf numFmtId="0" fontId="97" fillId="104" borderId="18" xfId="2" applyFont="1" applyFill="1" applyBorder="1" applyAlignment="1">
      <alignment horizontal="left" vertical="center" wrapText="1"/>
    </xf>
    <xf numFmtId="0" fontId="98" fillId="101" borderId="66" xfId="2" applyFont="1" applyFill="1" applyBorder="1" applyAlignment="1">
      <alignment vertical="center" wrapText="1"/>
    </xf>
    <xf numFmtId="166" fontId="95" fillId="105" borderId="63" xfId="2" applyNumberFormat="1" applyFont="1" applyFill="1" applyBorder="1" applyAlignment="1">
      <alignment horizontal="center" vertical="center" wrapText="1"/>
    </xf>
    <xf numFmtId="166" fontId="95" fillId="105" borderId="33" xfId="2" applyNumberFormat="1" applyFont="1" applyFill="1" applyBorder="1" applyAlignment="1">
      <alignment horizontal="center" vertical="center" wrapText="1"/>
    </xf>
    <xf numFmtId="0" fontId="9" fillId="0" borderId="126" xfId="2" applyFont="1" applyBorder="1" applyAlignment="1">
      <alignment vertical="center"/>
    </xf>
    <xf numFmtId="0" fontId="9" fillId="0" borderId="109" xfId="2" applyFont="1" applyBorder="1" applyAlignment="1">
      <alignment vertical="center"/>
    </xf>
    <xf numFmtId="0" fontId="9" fillId="0" borderId="110" xfId="2" applyFont="1" applyBorder="1" applyAlignment="1">
      <alignment vertical="center"/>
    </xf>
    <xf numFmtId="0" fontId="9" fillId="0" borderId="80" xfId="2" applyFont="1" applyBorder="1" applyAlignment="1">
      <alignment vertical="center"/>
    </xf>
    <xf numFmtId="166" fontId="9" fillId="0" borderId="33" xfId="2" applyNumberFormat="1" applyFont="1" applyBorder="1" applyAlignment="1">
      <alignment vertical="center"/>
    </xf>
    <xf numFmtId="166" fontId="9" fillId="0" borderId="59" xfId="2" applyNumberFormat="1" applyFont="1" applyBorder="1" applyAlignment="1">
      <alignment vertical="center"/>
    </xf>
    <xf numFmtId="0" fontId="9" fillId="0" borderId="111" xfId="2" applyFont="1" applyBorder="1" applyAlignment="1">
      <alignment vertical="center"/>
    </xf>
    <xf numFmtId="166" fontId="9" fillId="0" borderId="110" xfId="2" applyNumberFormat="1" applyFont="1" applyBorder="1" applyAlignment="1">
      <alignment vertical="center"/>
    </xf>
    <xf numFmtId="0" fontId="9" fillId="0" borderId="56" xfId="2" applyFont="1" applyBorder="1" applyAlignment="1">
      <alignment vertical="center"/>
    </xf>
    <xf numFmtId="0" fontId="9" fillId="0" borderId="59" xfId="2" applyFont="1" applyBorder="1" applyAlignment="1">
      <alignment vertical="center"/>
    </xf>
    <xf numFmtId="0" fontId="9" fillId="0" borderId="62" xfId="2" applyFont="1" applyBorder="1" applyAlignment="1">
      <alignment vertical="center"/>
    </xf>
    <xf numFmtId="0" fontId="9" fillId="0" borderId="63" xfId="2" applyFont="1" applyBorder="1" applyAlignment="1">
      <alignment vertical="center"/>
    </xf>
    <xf numFmtId="0" fontId="9" fillId="0" borderId="5" xfId="2" applyFont="1" applyBorder="1" applyAlignment="1">
      <alignment vertical="center"/>
    </xf>
    <xf numFmtId="166" fontId="9" fillId="0" borderId="63" xfId="2" applyNumberFormat="1" applyFont="1" applyBorder="1" applyAlignment="1">
      <alignment vertical="center"/>
    </xf>
    <xf numFmtId="166" fontId="9" fillId="0" borderId="5" xfId="2" applyNumberFormat="1" applyFont="1" applyBorder="1" applyAlignment="1">
      <alignment vertical="center"/>
    </xf>
    <xf numFmtId="166" fontId="9" fillId="0" borderId="20" xfId="2" applyNumberFormat="1" applyFont="1" applyBorder="1" applyAlignment="1">
      <alignment vertical="center"/>
    </xf>
    <xf numFmtId="166" fontId="9" fillId="0" borderId="109" xfId="2" applyNumberFormat="1" applyFont="1" applyBorder="1" applyAlignment="1">
      <alignment vertical="center"/>
    </xf>
    <xf numFmtId="0" fontId="11" fillId="27" borderId="18" xfId="2" applyFont="1" applyFill="1" applyBorder="1" applyAlignment="1">
      <alignment vertical="center"/>
    </xf>
    <xf numFmtId="3" fontId="9" fillId="80" borderId="33" xfId="2" applyNumberFormat="1" applyFont="1" applyFill="1" applyBorder="1" applyAlignment="1">
      <alignment vertical="center"/>
    </xf>
    <xf numFmtId="4" fontId="9" fillId="80" borderId="33" xfId="2" applyNumberFormat="1" applyFont="1" applyFill="1" applyBorder="1" applyAlignment="1">
      <alignment vertical="center"/>
    </xf>
    <xf numFmtId="3" fontId="9" fillId="80" borderId="0" xfId="2" applyNumberFormat="1" applyFont="1" applyFill="1" applyAlignment="1">
      <alignment vertical="center"/>
    </xf>
    <xf numFmtId="0" fontId="11" fillId="0" borderId="33" xfId="2" applyFont="1" applyBorder="1" applyAlignment="1">
      <alignment vertical="center"/>
    </xf>
    <xf numFmtId="3" fontId="11" fillId="80" borderId="33" xfId="2" applyNumberFormat="1" applyFont="1" applyFill="1" applyBorder="1" applyAlignment="1">
      <alignment vertical="center"/>
    </xf>
    <xf numFmtId="4" fontId="11" fillId="80" borderId="33" xfId="2" applyNumberFormat="1" applyFont="1" applyFill="1" applyBorder="1" applyAlignment="1">
      <alignment vertical="center"/>
    </xf>
    <xf numFmtId="0" fontId="32" fillId="0" borderId="33" xfId="2" applyFont="1" applyBorder="1" applyAlignment="1">
      <alignment vertical="center"/>
    </xf>
    <xf numFmtId="3" fontId="32" fillId="80" borderId="33" xfId="2" applyNumberFormat="1" applyFont="1" applyFill="1" applyBorder="1" applyAlignment="1">
      <alignment vertical="center"/>
    </xf>
    <xf numFmtId="10" fontId="9" fillId="80" borderId="0" xfId="6" applyNumberFormat="1" applyFont="1" applyFill="1" applyAlignment="1">
      <alignment vertical="center"/>
    </xf>
    <xf numFmtId="0" fontId="99" fillId="0" borderId="0" xfId="2" applyFont="1" applyAlignment="1">
      <alignment vertical="center"/>
    </xf>
    <xf numFmtId="10" fontId="99" fillId="0" borderId="0" xfId="2" applyNumberFormat="1" applyFont="1" applyAlignment="1">
      <alignment vertical="center"/>
    </xf>
    <xf numFmtId="0" fontId="99" fillId="0" borderId="33" xfId="2" applyFont="1" applyBorder="1" applyAlignment="1">
      <alignment vertical="center"/>
    </xf>
    <xf numFmtId="0" fontId="99" fillId="0" borderId="33" xfId="2" applyFont="1" applyBorder="1" applyAlignment="1">
      <alignment horizontal="center" vertical="center"/>
    </xf>
    <xf numFmtId="3" fontId="99" fillId="0" borderId="33" xfId="2" applyNumberFormat="1" applyFont="1" applyBorder="1" applyAlignment="1">
      <alignment vertical="center"/>
    </xf>
    <xf numFmtId="164" fontId="99" fillId="0" borderId="0" xfId="2" applyNumberFormat="1" applyFont="1" applyAlignment="1">
      <alignment vertical="center"/>
    </xf>
    <xf numFmtId="0" fontId="100" fillId="0" borderId="33" xfId="2" applyFont="1" applyBorder="1" applyAlignment="1">
      <alignment vertical="center"/>
    </xf>
    <xf numFmtId="3" fontId="100" fillId="0" borderId="33" xfId="2" applyNumberFormat="1" applyFont="1" applyBorder="1" applyAlignment="1">
      <alignment vertical="center"/>
    </xf>
    <xf numFmtId="164" fontId="99" fillId="0" borderId="33" xfId="2" applyNumberFormat="1" applyFont="1" applyBorder="1" applyAlignment="1">
      <alignment vertical="center"/>
    </xf>
    <xf numFmtId="0" fontId="101" fillId="0" borderId="33" xfId="2" applyFont="1" applyBorder="1" applyAlignment="1">
      <alignment vertical="center"/>
    </xf>
    <xf numFmtId="3" fontId="101" fillId="0" borderId="33" xfId="2" applyNumberFormat="1" applyFont="1" applyBorder="1" applyAlignment="1">
      <alignment vertical="center"/>
    </xf>
    <xf numFmtId="164" fontId="101" fillId="0" borderId="33" xfId="2" applyNumberFormat="1" applyFont="1" applyBorder="1" applyAlignment="1">
      <alignment vertical="center"/>
    </xf>
    <xf numFmtId="3" fontId="99" fillId="0" borderId="0" xfId="2" applyNumberFormat="1" applyFont="1" applyAlignment="1">
      <alignment vertical="center"/>
    </xf>
    <xf numFmtId="2" fontId="99" fillId="0" borderId="0" xfId="2" applyNumberFormat="1" applyFont="1" applyAlignment="1">
      <alignment vertical="center"/>
    </xf>
    <xf numFmtId="4" fontId="99" fillId="0" borderId="0" xfId="2" applyNumberFormat="1" applyFont="1" applyAlignment="1">
      <alignment vertical="center"/>
    </xf>
    <xf numFmtId="0" fontId="104" fillId="0" borderId="127" xfId="29" applyFont="1" applyBorder="1" applyAlignment="1">
      <alignment vertical="center"/>
    </xf>
    <xf numFmtId="0" fontId="105" fillId="0" borderId="127" xfId="29" applyFont="1" applyBorder="1" applyAlignment="1">
      <alignment vertical="center"/>
    </xf>
    <xf numFmtId="0" fontId="104" fillId="0" borderId="128" xfId="29" applyFont="1" applyBorder="1" applyAlignment="1">
      <alignment vertical="center"/>
    </xf>
    <xf numFmtId="0" fontId="104" fillId="0" borderId="129" xfId="29" applyFont="1" applyBorder="1" applyAlignment="1">
      <alignment vertical="center"/>
    </xf>
    <xf numFmtId="0" fontId="106" fillId="106" borderId="76" xfId="29" applyFont="1" applyFill="1" applyBorder="1" applyAlignment="1">
      <alignment horizontal="center" vertical="center" wrapText="1"/>
    </xf>
    <xf numFmtId="0" fontId="104" fillId="0" borderId="130" xfId="29" applyFont="1" applyBorder="1" applyAlignment="1">
      <alignment vertical="center"/>
    </xf>
    <xf numFmtId="10" fontId="104" fillId="0" borderId="127" xfId="22" applyNumberFormat="1" applyFont="1" applyBorder="1" applyAlignment="1">
      <alignment vertical="center"/>
    </xf>
    <xf numFmtId="0" fontId="105" fillId="108" borderId="76" xfId="29" applyFont="1" applyFill="1" applyBorder="1" applyAlignment="1">
      <alignment vertical="center"/>
    </xf>
    <xf numFmtId="4" fontId="107" fillId="109" borderId="76" xfId="29" applyNumberFormat="1" applyFont="1" applyFill="1" applyBorder="1" applyAlignment="1">
      <alignment horizontal="right" vertical="center"/>
    </xf>
    <xf numFmtId="3" fontId="104" fillId="0" borderId="127" xfId="29" applyNumberFormat="1" applyFont="1" applyBorder="1" applyAlignment="1">
      <alignment vertical="center"/>
    </xf>
    <xf numFmtId="0" fontId="104" fillId="110" borderId="76" xfId="29" applyFont="1" applyFill="1" applyBorder="1" applyAlignment="1">
      <alignment vertical="center"/>
    </xf>
    <xf numFmtId="4" fontId="108" fillId="110" borderId="76" xfId="29" applyNumberFormat="1" applyFont="1" applyFill="1" applyBorder="1" applyAlignment="1">
      <alignment horizontal="right" vertical="center"/>
    </xf>
    <xf numFmtId="0" fontId="109" fillId="110" borderId="76" xfId="29" applyFont="1" applyFill="1" applyBorder="1" applyAlignment="1">
      <alignment horizontal="right" vertical="center"/>
    </xf>
    <xf numFmtId="4" fontId="110" fillId="110" borderId="76" xfId="29" applyNumberFormat="1" applyFont="1" applyFill="1" applyBorder="1" applyAlignment="1">
      <alignment horizontal="left" vertical="center"/>
    </xf>
    <xf numFmtId="165" fontId="104" fillId="0" borderId="127" xfId="22" applyNumberFormat="1" applyFont="1" applyBorder="1" applyAlignment="1">
      <alignment vertical="center"/>
    </xf>
    <xf numFmtId="0" fontId="104" fillId="110" borderId="76" xfId="29" applyFont="1" applyFill="1" applyBorder="1" applyAlignment="1">
      <alignment vertical="center" wrapText="1"/>
    </xf>
    <xf numFmtId="0" fontId="106" fillId="111" borderId="76" xfId="29" applyFont="1" applyFill="1" applyBorder="1" applyAlignment="1">
      <alignment vertical="center"/>
    </xf>
    <xf numFmtId="3" fontId="111" fillId="111" borderId="76" xfId="29" applyNumberFormat="1" applyFont="1" applyFill="1" applyBorder="1" applyAlignment="1">
      <alignment horizontal="right" vertical="center"/>
    </xf>
    <xf numFmtId="3" fontId="104" fillId="0" borderId="127" xfId="29" applyNumberFormat="1" applyFont="1" applyBorder="1" applyAlignment="1">
      <alignment horizontal="center" vertical="center"/>
    </xf>
    <xf numFmtId="0" fontId="105" fillId="112" borderId="76" xfId="29" applyFont="1" applyFill="1" applyBorder="1" applyAlignment="1">
      <alignment vertical="center"/>
    </xf>
    <xf numFmtId="3" fontId="107" fillId="96" borderId="76" xfId="29" applyNumberFormat="1" applyFont="1" applyFill="1" applyBorder="1" applyAlignment="1">
      <alignment horizontal="right" vertical="center"/>
    </xf>
    <xf numFmtId="3" fontId="107" fillId="109" borderId="76" xfId="29" applyNumberFormat="1" applyFont="1" applyFill="1" applyBorder="1" applyAlignment="1">
      <alignment horizontal="right" vertical="center"/>
    </xf>
    <xf numFmtId="9" fontId="104" fillId="0" borderId="127" xfId="22" applyFont="1" applyBorder="1" applyAlignment="1">
      <alignment vertical="center"/>
    </xf>
    <xf numFmtId="3" fontId="108" fillId="110" borderId="76" xfId="29" applyNumberFormat="1" applyFont="1" applyFill="1" applyBorder="1" applyAlignment="1">
      <alignment horizontal="right" vertical="center"/>
    </xf>
    <xf numFmtId="3" fontId="110" fillId="110" borderId="76" xfId="29" applyNumberFormat="1" applyFont="1" applyFill="1" applyBorder="1" applyAlignment="1">
      <alignment horizontal="left" vertical="center"/>
    </xf>
    <xf numFmtId="0" fontId="104" fillId="0" borderId="131" xfId="29" applyFont="1" applyBorder="1" applyAlignment="1">
      <alignment vertical="center"/>
    </xf>
    <xf numFmtId="3" fontId="104" fillId="0" borderId="131" xfId="29" applyNumberFormat="1" applyFont="1" applyBorder="1" applyAlignment="1">
      <alignment vertical="center"/>
    </xf>
    <xf numFmtId="3" fontId="104" fillId="0" borderId="76" xfId="29" applyNumberFormat="1" applyFont="1" applyBorder="1" applyAlignment="1">
      <alignment vertical="center"/>
    </xf>
    <xf numFmtId="165" fontId="104" fillId="0" borderId="76" xfId="22" applyNumberFormat="1" applyFont="1" applyFill="1" applyBorder="1" applyAlignment="1">
      <alignment vertical="center"/>
    </xf>
    <xf numFmtId="165" fontId="105" fillId="108" borderId="76" xfId="22" applyNumberFormat="1" applyFont="1" applyFill="1" applyBorder="1" applyAlignment="1">
      <alignment vertical="center"/>
    </xf>
    <xf numFmtId="169" fontId="104" fillId="0" borderId="76" xfId="29" applyNumberFormat="1" applyFont="1" applyBorder="1" applyAlignment="1">
      <alignment vertical="center"/>
    </xf>
    <xf numFmtId="0" fontId="112" fillId="0" borderId="127" xfId="29" applyFont="1" applyBorder="1" applyAlignment="1">
      <alignment vertical="center"/>
    </xf>
    <xf numFmtId="0" fontId="112" fillId="0" borderId="131" xfId="29" applyFont="1" applyBorder="1" applyAlignment="1">
      <alignment vertical="center"/>
    </xf>
    <xf numFmtId="0" fontId="113" fillId="0" borderId="127" xfId="29" applyFont="1" applyBorder="1" applyAlignment="1">
      <alignment vertical="center"/>
    </xf>
    <xf numFmtId="3" fontId="113" fillId="0" borderId="127" xfId="29" applyNumberFormat="1" applyFont="1" applyBorder="1" applyAlignment="1">
      <alignment vertical="center"/>
    </xf>
    <xf numFmtId="4" fontId="10" fillId="0" borderId="0" xfId="2" applyNumberFormat="1" applyFont="1" applyAlignment="1">
      <alignment wrapText="1"/>
    </xf>
    <xf numFmtId="4" fontId="6" fillId="0" borderId="0" xfId="2" applyNumberFormat="1"/>
    <xf numFmtId="4" fontId="7" fillId="0" borderId="0" xfId="2" applyNumberFormat="1" applyFont="1" applyAlignment="1">
      <alignment wrapText="1"/>
    </xf>
    <xf numFmtId="4" fontId="7" fillId="0" borderId="0" xfId="2" applyNumberFormat="1" applyFont="1"/>
    <xf numFmtId="0" fontId="114" fillId="113" borderId="132" xfId="30" applyFont="1" applyFill="1" applyBorder="1" applyAlignment="1">
      <alignment horizontal="center" vertical="center"/>
    </xf>
    <xf numFmtId="4" fontId="114" fillId="113" borderId="132" xfId="30" applyNumberFormat="1" applyFont="1" applyFill="1" applyBorder="1" applyAlignment="1">
      <alignment horizontal="center" vertical="center"/>
    </xf>
    <xf numFmtId="4" fontId="114" fillId="113" borderId="133" xfId="30" applyNumberFormat="1" applyFont="1" applyFill="1" applyBorder="1" applyAlignment="1">
      <alignment horizontal="center" vertical="center"/>
    </xf>
    <xf numFmtId="0" fontId="60" fillId="114" borderId="132" xfId="30" applyFont="1" applyFill="1" applyBorder="1" applyAlignment="1">
      <alignment horizontal="center"/>
    </xf>
    <xf numFmtId="4" fontId="60" fillId="114" borderId="134" xfId="30" applyNumberFormat="1" applyFont="1" applyFill="1" applyBorder="1" applyAlignment="1">
      <alignment horizontal="center"/>
    </xf>
    <xf numFmtId="4" fontId="60" fillId="0" borderId="0" xfId="30" applyNumberFormat="1" applyFont="1" applyAlignment="1">
      <alignment horizontal="center"/>
    </xf>
    <xf numFmtId="4" fontId="60" fillId="114" borderId="135" xfId="30" applyNumberFormat="1" applyFont="1" applyFill="1" applyBorder="1" applyAlignment="1">
      <alignment horizontal="center"/>
    </xf>
    <xf numFmtId="4" fontId="60" fillId="114" borderId="132" xfId="30" applyNumberFormat="1" applyFont="1" applyFill="1" applyBorder="1" applyAlignment="1">
      <alignment horizontal="center"/>
    </xf>
    <xf numFmtId="0" fontId="7" fillId="115" borderId="132" xfId="30" applyFont="1" applyFill="1" applyBorder="1" applyAlignment="1">
      <alignment horizontal="center"/>
    </xf>
    <xf numFmtId="4" fontId="7" fillId="115" borderId="134" xfId="30" applyNumberFormat="1" applyFont="1" applyFill="1" applyBorder="1" applyAlignment="1">
      <alignment horizontal="center"/>
    </xf>
    <xf numFmtId="4" fontId="7" fillId="0" borderId="0" xfId="30" applyNumberFormat="1" applyFont="1" applyAlignment="1">
      <alignment horizontal="center"/>
    </xf>
    <xf numFmtId="4" fontId="7" fillId="115" borderId="135" xfId="30" applyNumberFormat="1" applyFont="1" applyFill="1" applyBorder="1" applyAlignment="1">
      <alignment horizontal="center"/>
    </xf>
    <xf numFmtId="4" fontId="7" fillId="115" borderId="132" xfId="30" applyNumberFormat="1" applyFont="1" applyFill="1" applyBorder="1" applyAlignment="1">
      <alignment horizontal="center"/>
    </xf>
    <xf numFmtId="0" fontId="115" fillId="116" borderId="132" xfId="30" applyFont="1" applyFill="1" applyBorder="1" applyAlignment="1">
      <alignment horizontal="center"/>
    </xf>
    <xf numFmtId="4" fontId="115" fillId="116" borderId="134" xfId="30" applyNumberFormat="1" applyFont="1" applyFill="1" applyBorder="1" applyAlignment="1">
      <alignment horizontal="center"/>
    </xf>
    <xf numFmtId="4" fontId="115" fillId="0" borderId="0" xfId="30" applyNumberFormat="1" applyFont="1" applyAlignment="1">
      <alignment horizontal="center"/>
    </xf>
    <xf numFmtId="4" fontId="115" fillId="116" borderId="135" xfId="30" applyNumberFormat="1" applyFont="1" applyFill="1" applyBorder="1" applyAlignment="1">
      <alignment horizontal="center"/>
    </xf>
    <xf numFmtId="4" fontId="115" fillId="116" borderId="132" xfId="30" applyNumberFormat="1" applyFont="1" applyFill="1" applyBorder="1" applyAlignment="1">
      <alignment horizontal="center"/>
    </xf>
    <xf numFmtId="0" fontId="116" fillId="116" borderId="132" xfId="30" applyFont="1" applyFill="1" applyBorder="1"/>
    <xf numFmtId="4" fontId="116" fillId="116" borderId="134" xfId="30" applyNumberFormat="1" applyFont="1" applyFill="1" applyBorder="1"/>
    <xf numFmtId="4" fontId="116" fillId="0" borderId="0" xfId="30" applyNumberFormat="1" applyFont="1"/>
    <xf numFmtId="4" fontId="116" fillId="116" borderId="135" xfId="30" applyNumberFormat="1" applyFont="1" applyFill="1" applyBorder="1"/>
    <xf numFmtId="4" fontId="116" fillId="116" borderId="132" xfId="30" applyNumberFormat="1" applyFont="1" applyFill="1" applyBorder="1"/>
    <xf numFmtId="0" fontId="115" fillId="117" borderId="132" xfId="30" applyFont="1" applyFill="1" applyBorder="1" applyAlignment="1">
      <alignment horizontal="center"/>
    </xf>
    <xf numFmtId="4" fontId="115" fillId="117" borderId="134" xfId="30" applyNumberFormat="1" applyFont="1" applyFill="1" applyBorder="1" applyAlignment="1">
      <alignment horizontal="center"/>
    </xf>
    <xf numFmtId="4" fontId="115" fillId="117" borderId="135" xfId="30" applyNumberFormat="1" applyFont="1" applyFill="1" applyBorder="1" applyAlignment="1">
      <alignment horizontal="center"/>
    </xf>
    <xf numFmtId="4" fontId="115" fillId="117" borderId="132" xfId="30" applyNumberFormat="1" applyFont="1" applyFill="1" applyBorder="1" applyAlignment="1">
      <alignment horizontal="center"/>
    </xf>
    <xf numFmtId="0" fontId="117" fillId="118" borderId="132" xfId="30" applyFont="1" applyFill="1" applyBorder="1"/>
    <xf numFmtId="4" fontId="117" fillId="118" borderId="134" xfId="30" applyNumberFormat="1" applyFont="1" applyFill="1" applyBorder="1"/>
    <xf numFmtId="4" fontId="117" fillId="0" borderId="0" xfId="30" applyNumberFormat="1" applyFont="1"/>
    <xf numFmtId="4" fontId="117" fillId="118" borderId="135" xfId="30" applyNumberFormat="1" applyFont="1" applyFill="1" applyBorder="1"/>
    <xf numFmtId="4" fontId="117" fillId="118" borderId="132" xfId="30" applyNumberFormat="1" applyFont="1" applyFill="1" applyBorder="1"/>
    <xf numFmtId="0" fontId="61" fillId="117" borderId="132" xfId="30" applyFont="1" applyFill="1" applyBorder="1"/>
    <xf numFmtId="4" fontId="61" fillId="117" borderId="134" xfId="30" applyNumberFormat="1" applyFont="1" applyFill="1" applyBorder="1"/>
    <xf numFmtId="4" fontId="61" fillId="0" borderId="0" xfId="30" applyNumberFormat="1" applyFont="1"/>
    <xf numFmtId="4" fontId="61" fillId="117" borderId="135" xfId="30" applyNumberFormat="1" applyFont="1" applyFill="1" applyBorder="1"/>
    <xf numFmtId="4" fontId="61" fillId="117" borderId="132" xfId="30" applyNumberFormat="1" applyFont="1" applyFill="1" applyBorder="1"/>
    <xf numFmtId="0" fontId="61" fillId="117" borderId="132" xfId="30" applyFont="1" applyFill="1" applyBorder="1" applyAlignment="1">
      <alignment horizontal="left"/>
    </xf>
    <xf numFmtId="4" fontId="117" fillId="117" borderId="134" xfId="30" applyNumberFormat="1" applyFont="1" applyFill="1" applyBorder="1" applyAlignment="1">
      <alignment horizontal="right"/>
    </xf>
    <xf numFmtId="4" fontId="117" fillId="0" borderId="0" xfId="30" applyNumberFormat="1" applyFont="1" applyAlignment="1">
      <alignment horizontal="left"/>
    </xf>
    <xf numFmtId="4" fontId="117" fillId="117" borderId="135" xfId="30" applyNumberFormat="1" applyFont="1" applyFill="1" applyBorder="1" applyAlignment="1">
      <alignment horizontal="right"/>
    </xf>
    <xf numFmtId="4" fontId="117" fillId="117" borderId="132" xfId="30" applyNumberFormat="1" applyFont="1" applyFill="1" applyBorder="1" applyAlignment="1">
      <alignment horizontal="right"/>
    </xf>
    <xf numFmtId="0" fontId="117" fillId="117" borderId="132" xfId="30" applyFont="1" applyFill="1" applyBorder="1" applyAlignment="1">
      <alignment horizontal="left"/>
    </xf>
    <xf numFmtId="0" fontId="115" fillId="119" borderId="132" xfId="30" applyFont="1" applyFill="1" applyBorder="1" applyAlignment="1">
      <alignment horizontal="center"/>
    </xf>
    <xf numFmtId="4" fontId="115" fillId="119" borderId="134" xfId="30" applyNumberFormat="1" applyFont="1" applyFill="1" applyBorder="1" applyAlignment="1">
      <alignment horizontal="center"/>
    </xf>
    <xf numFmtId="4" fontId="115" fillId="119" borderId="135" xfId="30" applyNumberFormat="1" applyFont="1" applyFill="1" applyBorder="1" applyAlignment="1">
      <alignment horizontal="center"/>
    </xf>
    <xf numFmtId="4" fontId="115" fillId="119" borderId="132" xfId="30" applyNumberFormat="1" applyFont="1" applyFill="1" applyBorder="1" applyAlignment="1">
      <alignment horizontal="center"/>
    </xf>
    <xf numFmtId="0" fontId="118" fillId="119" borderId="132" xfId="30" applyFont="1" applyFill="1" applyBorder="1" applyAlignment="1">
      <alignment horizontal="center"/>
    </xf>
    <xf numFmtId="4" fontId="118" fillId="119" borderId="134" xfId="30" applyNumberFormat="1" applyFont="1" applyFill="1" applyBorder="1" applyAlignment="1">
      <alignment horizontal="center"/>
    </xf>
    <xf numFmtId="4" fontId="118" fillId="0" borderId="0" xfId="30" applyNumberFormat="1" applyFont="1" applyAlignment="1">
      <alignment horizontal="center"/>
    </xf>
    <xf numFmtId="4" fontId="118" fillId="119" borderId="135" xfId="30" applyNumberFormat="1" applyFont="1" applyFill="1" applyBorder="1" applyAlignment="1">
      <alignment horizontal="center"/>
    </xf>
    <xf numFmtId="4" fontId="118" fillId="119" borderId="132" xfId="30" applyNumberFormat="1" applyFont="1" applyFill="1" applyBorder="1" applyAlignment="1">
      <alignment horizontal="center"/>
    </xf>
    <xf numFmtId="0" fontId="115" fillId="120" borderId="132" xfId="30" applyFont="1" applyFill="1" applyBorder="1" applyAlignment="1">
      <alignment horizontal="center"/>
    </xf>
    <xf numFmtId="4" fontId="115" fillId="120" borderId="134" xfId="30" applyNumberFormat="1" applyFont="1" applyFill="1" applyBorder="1" applyAlignment="1">
      <alignment horizontal="center"/>
    </xf>
    <xf numFmtId="4" fontId="115" fillId="120" borderId="135" xfId="30" applyNumberFormat="1" applyFont="1" applyFill="1" applyBorder="1" applyAlignment="1">
      <alignment horizontal="center"/>
    </xf>
    <xf numFmtId="4" fontId="115" fillId="120" borderId="132" xfId="30" applyNumberFormat="1" applyFont="1" applyFill="1" applyBorder="1" applyAlignment="1">
      <alignment horizontal="center"/>
    </xf>
    <xf numFmtId="0" fontId="116" fillId="120" borderId="132" xfId="30" applyFont="1" applyFill="1" applyBorder="1"/>
    <xf numFmtId="4" fontId="116" fillId="120" borderId="134" xfId="30" applyNumberFormat="1" applyFont="1" applyFill="1" applyBorder="1"/>
    <xf numFmtId="4" fontId="116" fillId="120" borderId="135" xfId="30" applyNumberFormat="1" applyFont="1" applyFill="1" applyBorder="1"/>
    <xf numFmtId="4" fontId="116" fillId="120" borderId="132" xfId="30" applyNumberFormat="1" applyFont="1" applyFill="1" applyBorder="1"/>
    <xf numFmtId="0" fontId="118" fillId="121" borderId="132" xfId="30" applyFont="1" applyFill="1" applyBorder="1" applyAlignment="1">
      <alignment horizontal="center"/>
    </xf>
    <xf numFmtId="4" fontId="118" fillId="121" borderId="134" xfId="30" applyNumberFormat="1" applyFont="1" applyFill="1" applyBorder="1" applyAlignment="1">
      <alignment horizontal="center"/>
    </xf>
    <xf numFmtId="4" fontId="118" fillId="121" borderId="135" xfId="30" applyNumberFormat="1" applyFont="1" applyFill="1" applyBorder="1" applyAlignment="1">
      <alignment horizontal="center"/>
    </xf>
    <xf numFmtId="4" fontId="118" fillId="121" borderId="132" xfId="30" applyNumberFormat="1" applyFont="1" applyFill="1" applyBorder="1" applyAlignment="1">
      <alignment horizontal="center"/>
    </xf>
    <xf numFmtId="0" fontId="60" fillId="113" borderId="132" xfId="30" applyFont="1" applyFill="1" applyBorder="1" applyAlignment="1">
      <alignment horizontal="center"/>
    </xf>
    <xf numFmtId="4" fontId="60" fillId="113" borderId="134" xfId="30" applyNumberFormat="1" applyFont="1" applyFill="1" applyBorder="1" applyAlignment="1">
      <alignment horizontal="center"/>
    </xf>
    <xf numFmtId="4" fontId="60" fillId="113" borderId="135" xfId="30" applyNumberFormat="1" applyFont="1" applyFill="1" applyBorder="1" applyAlignment="1">
      <alignment horizontal="center"/>
    </xf>
    <xf numFmtId="4" fontId="60" fillId="113" borderId="132" xfId="30" applyNumberFormat="1" applyFont="1" applyFill="1" applyBorder="1" applyAlignment="1">
      <alignment horizontal="center"/>
    </xf>
    <xf numFmtId="0" fontId="117" fillId="113" borderId="132" xfId="30" applyFont="1" applyFill="1" applyBorder="1"/>
    <xf numFmtId="4" fontId="117" fillId="113" borderId="134" xfId="30" applyNumberFormat="1" applyFont="1" applyFill="1" applyBorder="1"/>
    <xf numFmtId="4" fontId="117" fillId="113" borderId="135" xfId="30" applyNumberFormat="1" applyFont="1" applyFill="1" applyBorder="1"/>
    <xf numFmtId="4" fontId="117" fillId="113" borderId="132" xfId="30" applyNumberFormat="1" applyFont="1" applyFill="1" applyBorder="1"/>
    <xf numFmtId="0" fontId="7" fillId="113" borderId="132" xfId="30" applyFont="1" applyFill="1" applyBorder="1" applyAlignment="1">
      <alignment horizontal="center"/>
    </xf>
    <xf numFmtId="4" fontId="7" fillId="113" borderId="134" xfId="30" applyNumberFormat="1" applyFont="1" applyFill="1" applyBorder="1" applyAlignment="1">
      <alignment horizontal="center"/>
    </xf>
    <xf numFmtId="4" fontId="7" fillId="113" borderId="135" xfId="30" applyNumberFormat="1" applyFont="1" applyFill="1" applyBorder="1" applyAlignment="1">
      <alignment horizontal="center"/>
    </xf>
    <xf numFmtId="4" fontId="7" fillId="113" borderId="132" xfId="30" applyNumberFormat="1" applyFont="1" applyFill="1" applyBorder="1" applyAlignment="1">
      <alignment horizontal="center"/>
    </xf>
    <xf numFmtId="0" fontId="60" fillId="122" borderId="132" xfId="30" applyFont="1" applyFill="1" applyBorder="1" applyAlignment="1">
      <alignment horizontal="center"/>
    </xf>
    <xf numFmtId="4" fontId="60" fillId="122" borderId="134" xfId="30" applyNumberFormat="1" applyFont="1" applyFill="1" applyBorder="1" applyAlignment="1">
      <alignment horizontal="center"/>
    </xf>
    <xf numFmtId="4" fontId="60" fillId="122" borderId="135" xfId="30" applyNumberFormat="1" applyFont="1" applyFill="1" applyBorder="1" applyAlignment="1">
      <alignment horizontal="center"/>
    </xf>
    <xf numFmtId="4" fontId="60" fillId="122" borderId="132" xfId="30" applyNumberFormat="1" applyFont="1" applyFill="1" applyBorder="1" applyAlignment="1">
      <alignment horizontal="center"/>
    </xf>
    <xf numFmtId="0" fontId="117" fillId="122" borderId="132" xfId="30" applyFont="1" applyFill="1" applyBorder="1"/>
    <xf numFmtId="4" fontId="117" fillId="122" borderId="134" xfId="30" applyNumberFormat="1" applyFont="1" applyFill="1" applyBorder="1"/>
    <xf numFmtId="4" fontId="117" fillId="122" borderId="135" xfId="30" applyNumberFormat="1" applyFont="1" applyFill="1" applyBorder="1"/>
    <xf numFmtId="4" fontId="117" fillId="122" borderId="132" xfId="30" applyNumberFormat="1" applyFont="1" applyFill="1" applyBorder="1"/>
    <xf numFmtId="0" fontId="119" fillId="122" borderId="132" xfId="30" applyFont="1" applyFill="1" applyBorder="1" applyAlignment="1">
      <alignment horizontal="center"/>
    </xf>
    <xf numFmtId="4" fontId="119" fillId="122" borderId="134" xfId="30" applyNumberFormat="1" applyFont="1" applyFill="1" applyBorder="1" applyAlignment="1">
      <alignment horizontal="center"/>
    </xf>
    <xf numFmtId="4" fontId="119" fillId="0" borderId="0" xfId="30" applyNumberFormat="1" applyFont="1" applyAlignment="1">
      <alignment horizontal="center"/>
    </xf>
    <xf numFmtId="4" fontId="119" fillId="122" borderId="135" xfId="30" applyNumberFormat="1" applyFont="1" applyFill="1" applyBorder="1" applyAlignment="1">
      <alignment horizontal="center"/>
    </xf>
    <xf numFmtId="4" fontId="119" fillId="122" borderId="132" xfId="30" applyNumberFormat="1" applyFont="1" applyFill="1" applyBorder="1" applyAlignment="1">
      <alignment horizontal="center"/>
    </xf>
    <xf numFmtId="0" fontId="119" fillId="114" borderId="132" xfId="30" applyFont="1" applyFill="1" applyBorder="1" applyAlignment="1">
      <alignment horizontal="center"/>
    </xf>
    <xf numFmtId="4" fontId="119" fillId="114" borderId="134" xfId="30" applyNumberFormat="1" applyFont="1" applyFill="1" applyBorder="1" applyAlignment="1">
      <alignment horizontal="center"/>
    </xf>
    <xf numFmtId="4" fontId="119" fillId="114" borderId="135" xfId="30" applyNumberFormat="1" applyFont="1" applyFill="1" applyBorder="1" applyAlignment="1">
      <alignment horizontal="center"/>
    </xf>
    <xf numFmtId="4" fontId="119" fillId="114" borderId="132" xfId="30" applyNumberFormat="1" applyFont="1" applyFill="1" applyBorder="1" applyAlignment="1">
      <alignment horizontal="center"/>
    </xf>
    <xf numFmtId="0" fontId="60" fillId="123" borderId="132" xfId="30" applyFont="1" applyFill="1" applyBorder="1" applyAlignment="1">
      <alignment horizontal="center"/>
    </xf>
    <xf numFmtId="4" fontId="60" fillId="123" borderId="134" xfId="30" applyNumberFormat="1" applyFont="1" applyFill="1" applyBorder="1" applyAlignment="1">
      <alignment horizontal="center"/>
    </xf>
    <xf numFmtId="4" fontId="60" fillId="123" borderId="135" xfId="30" applyNumberFormat="1" applyFont="1" applyFill="1" applyBorder="1" applyAlignment="1">
      <alignment horizontal="center"/>
    </xf>
    <xf numFmtId="4" fontId="60" fillId="123" borderId="132" xfId="30" applyNumberFormat="1" applyFont="1" applyFill="1" applyBorder="1" applyAlignment="1">
      <alignment horizontal="center"/>
    </xf>
    <xf numFmtId="0" fontId="117" fillId="123" borderId="132" xfId="30" applyFont="1" applyFill="1" applyBorder="1"/>
    <xf numFmtId="4" fontId="117" fillId="123" borderId="134" xfId="30" applyNumberFormat="1" applyFont="1" applyFill="1" applyBorder="1"/>
    <xf numFmtId="4" fontId="117" fillId="123" borderId="135" xfId="30" applyNumberFormat="1" applyFont="1" applyFill="1" applyBorder="1"/>
    <xf numFmtId="4" fontId="117" fillId="123" borderId="132" xfId="30" applyNumberFormat="1" applyFont="1" applyFill="1" applyBorder="1"/>
    <xf numFmtId="0" fontId="7" fillId="123" borderId="132" xfId="30" applyFont="1" applyFill="1" applyBorder="1" applyAlignment="1">
      <alignment horizontal="center"/>
    </xf>
    <xf numFmtId="4" fontId="117" fillId="123" borderId="134" xfId="30" applyNumberFormat="1" applyFont="1" applyFill="1" applyBorder="1" applyAlignment="1">
      <alignment horizontal="right"/>
    </xf>
    <xf numFmtId="4" fontId="117" fillId="0" borderId="0" xfId="30" applyNumberFormat="1" applyFont="1" applyAlignment="1">
      <alignment horizontal="right"/>
    </xf>
    <xf numFmtId="4" fontId="117" fillId="123" borderId="135" xfId="30" applyNumberFormat="1" applyFont="1" applyFill="1" applyBorder="1" applyAlignment="1">
      <alignment horizontal="right"/>
    </xf>
    <xf numFmtId="4" fontId="117" fillId="123" borderId="132" xfId="30" applyNumberFormat="1" applyFont="1" applyFill="1" applyBorder="1" applyAlignment="1">
      <alignment horizontal="right"/>
    </xf>
    <xf numFmtId="4" fontId="7" fillId="123" borderId="134" xfId="30" applyNumberFormat="1" applyFont="1" applyFill="1" applyBorder="1" applyAlignment="1">
      <alignment horizontal="center"/>
    </xf>
    <xf numFmtId="4" fontId="7" fillId="123" borderId="135" xfId="30" applyNumberFormat="1" applyFont="1" applyFill="1" applyBorder="1" applyAlignment="1">
      <alignment horizontal="center"/>
    </xf>
    <xf numFmtId="4" fontId="7" fillId="123" borderId="132" xfId="30" applyNumberFormat="1" applyFont="1" applyFill="1" applyBorder="1" applyAlignment="1">
      <alignment horizontal="center"/>
    </xf>
    <xf numFmtId="0" fontId="60" fillId="118" borderId="132" xfId="30" applyFont="1" applyFill="1" applyBorder="1" applyAlignment="1">
      <alignment horizontal="center"/>
    </xf>
    <xf numFmtId="4" fontId="60" fillId="118" borderId="134" xfId="30" applyNumberFormat="1" applyFont="1" applyFill="1" applyBorder="1" applyAlignment="1">
      <alignment horizontal="center"/>
    </xf>
    <xf numFmtId="4" fontId="60" fillId="118" borderId="135" xfId="30" applyNumberFormat="1" applyFont="1" applyFill="1" applyBorder="1" applyAlignment="1">
      <alignment horizontal="center"/>
    </xf>
    <xf numFmtId="4" fontId="60" fillId="118" borderId="132" xfId="30" applyNumberFormat="1" applyFont="1" applyFill="1" applyBorder="1" applyAlignment="1">
      <alignment horizontal="center"/>
    </xf>
    <xf numFmtId="0" fontId="7" fillId="118" borderId="132" xfId="30" applyFont="1" applyFill="1" applyBorder="1" applyAlignment="1">
      <alignment horizontal="center"/>
    </xf>
    <xf numFmtId="4" fontId="7" fillId="118" borderId="134" xfId="30" applyNumberFormat="1" applyFont="1" applyFill="1" applyBorder="1" applyAlignment="1">
      <alignment horizontal="center"/>
    </xf>
    <xf numFmtId="4" fontId="7" fillId="118" borderId="135" xfId="30" applyNumberFormat="1" applyFont="1" applyFill="1" applyBorder="1" applyAlignment="1">
      <alignment horizontal="center"/>
    </xf>
    <xf numFmtId="4" fontId="7" fillId="118" borderId="132" xfId="30" applyNumberFormat="1" applyFont="1" applyFill="1" applyBorder="1" applyAlignment="1">
      <alignment horizontal="center"/>
    </xf>
    <xf numFmtId="0" fontId="60" fillId="124" borderId="132" xfId="30" applyFont="1" applyFill="1" applyBorder="1" applyAlignment="1">
      <alignment horizontal="center"/>
    </xf>
    <xf numFmtId="4" fontId="60" fillId="124" borderId="134" xfId="30" applyNumberFormat="1" applyFont="1" applyFill="1" applyBorder="1" applyAlignment="1">
      <alignment horizontal="center"/>
    </xf>
    <xf numFmtId="4" fontId="60" fillId="124" borderId="135" xfId="30" applyNumberFormat="1" applyFont="1" applyFill="1" applyBorder="1" applyAlignment="1">
      <alignment horizontal="center"/>
    </xf>
    <xf numFmtId="4" fontId="60" fillId="124" borderId="132" xfId="30" applyNumberFormat="1" applyFont="1" applyFill="1" applyBorder="1" applyAlignment="1">
      <alignment horizontal="center"/>
    </xf>
    <xf numFmtId="0" fontId="117" fillId="124" borderId="132" xfId="30" applyFont="1" applyFill="1" applyBorder="1"/>
    <xf numFmtId="4" fontId="117" fillId="124" borderId="134" xfId="30" applyNumberFormat="1" applyFont="1" applyFill="1" applyBorder="1" applyAlignment="1">
      <alignment horizontal="right"/>
    </xf>
    <xf numFmtId="4" fontId="117" fillId="124" borderId="135" xfId="30" applyNumberFormat="1" applyFont="1" applyFill="1" applyBorder="1" applyAlignment="1">
      <alignment horizontal="right"/>
    </xf>
    <xf numFmtId="4" fontId="117" fillId="124" borderId="132" xfId="30" applyNumberFormat="1" applyFont="1" applyFill="1" applyBorder="1" applyAlignment="1">
      <alignment horizontal="right"/>
    </xf>
    <xf numFmtId="0" fontId="117" fillId="124" borderId="132" xfId="30" applyFont="1" applyFill="1" applyBorder="1" applyAlignment="1">
      <alignment horizontal="left"/>
    </xf>
    <xf numFmtId="0" fontId="7" fillId="124" borderId="132" xfId="30" applyFont="1" applyFill="1" applyBorder="1" applyAlignment="1">
      <alignment horizontal="center"/>
    </xf>
    <xf numFmtId="4" fontId="7" fillId="124" borderId="134" xfId="30" applyNumberFormat="1" applyFont="1" applyFill="1" applyBorder="1" applyAlignment="1">
      <alignment horizontal="center"/>
    </xf>
    <xf numFmtId="4" fontId="7" fillId="124" borderId="135" xfId="30" applyNumberFormat="1" applyFont="1" applyFill="1" applyBorder="1" applyAlignment="1">
      <alignment horizontal="center"/>
    </xf>
    <xf numFmtId="4" fontId="7" fillId="124" borderId="132" xfId="30" applyNumberFormat="1" applyFont="1" applyFill="1" applyBorder="1" applyAlignment="1">
      <alignment horizontal="center"/>
    </xf>
    <xf numFmtId="0" fontId="60" fillId="125" borderId="132" xfId="30" applyFont="1" applyFill="1" applyBorder="1" applyAlignment="1">
      <alignment horizontal="center"/>
    </xf>
    <xf numFmtId="4" fontId="60" fillId="125" borderId="134" xfId="30" applyNumberFormat="1" applyFont="1" applyFill="1" applyBorder="1" applyAlignment="1">
      <alignment horizontal="center"/>
    </xf>
    <xf numFmtId="4" fontId="60" fillId="125" borderId="135" xfId="30" applyNumberFormat="1" applyFont="1" applyFill="1" applyBorder="1" applyAlignment="1">
      <alignment horizontal="center"/>
    </xf>
    <xf numFmtId="4" fontId="60" fillId="125" borderId="132" xfId="30" applyNumberFormat="1" applyFont="1" applyFill="1" applyBorder="1" applyAlignment="1">
      <alignment horizontal="center"/>
    </xf>
    <xf numFmtId="0" fontId="61" fillId="125" borderId="132" xfId="30" applyFont="1" applyFill="1" applyBorder="1" applyAlignment="1">
      <alignment horizontal="left"/>
    </xf>
    <xf numFmtId="4" fontId="117" fillId="125" borderId="134" xfId="30" applyNumberFormat="1" applyFont="1" applyFill="1" applyBorder="1" applyAlignment="1">
      <alignment horizontal="right"/>
    </xf>
    <xf numFmtId="4" fontId="117" fillId="125" borderId="135" xfId="30" applyNumberFormat="1" applyFont="1" applyFill="1" applyBorder="1" applyAlignment="1">
      <alignment horizontal="right"/>
    </xf>
    <xf numFmtId="4" fontId="117" fillId="125" borderId="132" xfId="30" applyNumberFormat="1" applyFont="1" applyFill="1" applyBorder="1" applyAlignment="1">
      <alignment horizontal="right"/>
    </xf>
    <xf numFmtId="0" fontId="117" fillId="125" borderId="132" xfId="30" applyFont="1" applyFill="1" applyBorder="1"/>
    <xf numFmtId="0" fontId="7" fillId="125" borderId="132" xfId="30" applyFont="1" applyFill="1" applyBorder="1" applyAlignment="1">
      <alignment horizontal="center"/>
    </xf>
    <xf numFmtId="4" fontId="7" fillId="125" borderId="134" xfId="30" applyNumberFormat="1" applyFont="1" applyFill="1" applyBorder="1" applyAlignment="1">
      <alignment horizontal="center"/>
    </xf>
    <xf numFmtId="4" fontId="7" fillId="125" borderId="135" xfId="30" applyNumberFormat="1" applyFont="1" applyFill="1" applyBorder="1" applyAlignment="1">
      <alignment horizontal="center"/>
    </xf>
    <xf numFmtId="4" fontId="7" fillId="125" borderId="132" xfId="30" applyNumberFormat="1" applyFont="1" applyFill="1" applyBorder="1" applyAlignment="1">
      <alignment horizontal="center"/>
    </xf>
    <xf numFmtId="0" fontId="60" fillId="126" borderId="132" xfId="30" applyFont="1" applyFill="1" applyBorder="1" applyAlignment="1">
      <alignment horizontal="center"/>
    </xf>
    <xf numFmtId="4" fontId="60" fillId="126" borderId="134" xfId="30" applyNumberFormat="1" applyFont="1" applyFill="1" applyBorder="1" applyAlignment="1">
      <alignment horizontal="center"/>
    </xf>
    <xf numFmtId="4" fontId="60" fillId="126" borderId="135" xfId="30" applyNumberFormat="1" applyFont="1" applyFill="1" applyBorder="1" applyAlignment="1">
      <alignment horizontal="center"/>
    </xf>
    <xf numFmtId="4" fontId="60" fillId="126" borderId="132" xfId="30" applyNumberFormat="1" applyFont="1" applyFill="1" applyBorder="1" applyAlignment="1">
      <alignment horizontal="center"/>
    </xf>
    <xf numFmtId="0" fontId="117" fillId="126" borderId="132" xfId="30" applyFont="1" applyFill="1" applyBorder="1"/>
    <xf numFmtId="4" fontId="117" fillId="126" borderId="134" xfId="30" applyNumberFormat="1" applyFont="1" applyFill="1" applyBorder="1"/>
    <xf numFmtId="4" fontId="117" fillId="126" borderId="135" xfId="30" applyNumberFormat="1" applyFont="1" applyFill="1" applyBorder="1"/>
    <xf numFmtId="4" fontId="117" fillId="126" borderId="132" xfId="30" applyNumberFormat="1" applyFont="1" applyFill="1" applyBorder="1"/>
    <xf numFmtId="0" fontId="7" fillId="126" borderId="132" xfId="30" applyFont="1" applyFill="1" applyBorder="1" applyAlignment="1">
      <alignment horizontal="center"/>
    </xf>
    <xf numFmtId="4" fontId="7" fillId="126" borderId="134" xfId="30" applyNumberFormat="1" applyFont="1" applyFill="1" applyBorder="1" applyAlignment="1">
      <alignment horizontal="center"/>
    </xf>
    <xf numFmtId="4" fontId="7" fillId="126" borderId="135" xfId="30" applyNumberFormat="1" applyFont="1" applyFill="1" applyBorder="1" applyAlignment="1">
      <alignment horizontal="center"/>
    </xf>
    <xf numFmtId="4" fontId="7" fillId="126" borderId="132" xfId="30" applyNumberFormat="1" applyFont="1" applyFill="1" applyBorder="1" applyAlignment="1">
      <alignment horizontal="center"/>
    </xf>
    <xf numFmtId="0" fontId="60" fillId="117" borderId="132" xfId="30" applyFont="1" applyFill="1" applyBorder="1" applyAlignment="1">
      <alignment horizontal="center"/>
    </xf>
    <xf numFmtId="4" fontId="60" fillId="117" borderId="134" xfId="30" applyNumberFormat="1" applyFont="1" applyFill="1" applyBorder="1" applyAlignment="1">
      <alignment horizontal="center"/>
    </xf>
    <xf numFmtId="4" fontId="60" fillId="117" borderId="135" xfId="30" applyNumberFormat="1" applyFont="1" applyFill="1" applyBorder="1" applyAlignment="1">
      <alignment horizontal="center"/>
    </xf>
    <xf numFmtId="4" fontId="60" fillId="117" borderId="132" xfId="30" applyNumberFormat="1" applyFont="1" applyFill="1" applyBorder="1" applyAlignment="1">
      <alignment horizontal="center"/>
    </xf>
    <xf numFmtId="0" fontId="117" fillId="117" borderId="132" xfId="30" applyFont="1" applyFill="1" applyBorder="1"/>
    <xf numFmtId="4" fontId="117" fillId="117" borderId="134" xfId="30" applyNumberFormat="1" applyFont="1" applyFill="1" applyBorder="1"/>
    <xf numFmtId="4" fontId="117" fillId="117" borderId="135" xfId="30" applyNumberFormat="1" applyFont="1" applyFill="1" applyBorder="1"/>
    <xf numFmtId="4" fontId="117" fillId="117" borderId="132" xfId="30" applyNumberFormat="1" applyFont="1" applyFill="1" applyBorder="1"/>
    <xf numFmtId="0" fontId="7" fillId="117" borderId="132" xfId="30" applyFont="1" applyFill="1" applyBorder="1" applyAlignment="1">
      <alignment horizontal="center"/>
    </xf>
    <xf numFmtId="4" fontId="7" fillId="117" borderId="134" xfId="30" applyNumberFormat="1" applyFont="1" applyFill="1" applyBorder="1" applyAlignment="1">
      <alignment horizontal="center"/>
    </xf>
    <xf numFmtId="4" fontId="7" fillId="117" borderId="135" xfId="30" applyNumberFormat="1" applyFont="1" applyFill="1" applyBorder="1" applyAlignment="1">
      <alignment horizontal="center"/>
    </xf>
    <xf numFmtId="4" fontId="7" fillId="117" borderId="132" xfId="30" applyNumberFormat="1" applyFont="1" applyFill="1" applyBorder="1" applyAlignment="1">
      <alignment horizontal="center"/>
    </xf>
    <xf numFmtId="0" fontId="60" fillId="127" borderId="132" xfId="30" applyFont="1" applyFill="1" applyBorder="1" applyAlignment="1">
      <alignment horizontal="center"/>
    </xf>
    <xf numFmtId="4" fontId="60" fillId="127" borderId="134" xfId="30" applyNumberFormat="1" applyFont="1" applyFill="1" applyBorder="1" applyAlignment="1">
      <alignment horizontal="center"/>
    </xf>
    <xf numFmtId="4" fontId="60" fillId="127" borderId="135" xfId="30" applyNumberFormat="1" applyFont="1" applyFill="1" applyBorder="1" applyAlignment="1">
      <alignment horizontal="center"/>
    </xf>
    <xf numFmtId="4" fontId="60" fillId="127" borderId="132" xfId="30" applyNumberFormat="1" applyFont="1" applyFill="1" applyBorder="1" applyAlignment="1">
      <alignment horizontal="center"/>
    </xf>
    <xf numFmtId="0" fontId="117" fillId="127" borderId="132" xfId="30" applyFont="1" applyFill="1" applyBorder="1"/>
    <xf numFmtId="4" fontId="117" fillId="127" borderId="134" xfId="30" applyNumberFormat="1" applyFont="1" applyFill="1" applyBorder="1"/>
    <xf numFmtId="4" fontId="117" fillId="127" borderId="135" xfId="30" applyNumberFormat="1" applyFont="1" applyFill="1" applyBorder="1"/>
    <xf numFmtId="4" fontId="117" fillId="127" borderId="132" xfId="30" applyNumberFormat="1" applyFont="1" applyFill="1" applyBorder="1"/>
    <xf numFmtId="0" fontId="7" fillId="127" borderId="132" xfId="30" applyFont="1" applyFill="1" applyBorder="1" applyAlignment="1">
      <alignment horizontal="center"/>
    </xf>
    <xf numFmtId="4" fontId="7" fillId="127" borderId="134" xfId="30" applyNumberFormat="1" applyFont="1" applyFill="1" applyBorder="1" applyAlignment="1">
      <alignment horizontal="center"/>
    </xf>
    <xf numFmtId="4" fontId="7" fillId="127" borderId="135" xfId="30" applyNumberFormat="1" applyFont="1" applyFill="1" applyBorder="1" applyAlignment="1">
      <alignment horizontal="center"/>
    </xf>
    <xf numFmtId="4" fontId="7" fillId="127" borderId="132" xfId="30" applyNumberFormat="1" applyFont="1" applyFill="1" applyBorder="1" applyAlignment="1">
      <alignment horizontal="center"/>
    </xf>
    <xf numFmtId="0" fontId="60" fillId="128" borderId="132" xfId="30" applyFont="1" applyFill="1" applyBorder="1" applyAlignment="1">
      <alignment horizontal="center"/>
    </xf>
    <xf numFmtId="4" fontId="60" fillId="128" borderId="134" xfId="30" applyNumberFormat="1" applyFont="1" applyFill="1" applyBorder="1" applyAlignment="1">
      <alignment horizontal="center"/>
    </xf>
    <xf numFmtId="4" fontId="60" fillId="128" borderId="135" xfId="30" applyNumberFormat="1" applyFont="1" applyFill="1" applyBorder="1" applyAlignment="1">
      <alignment horizontal="center"/>
    </xf>
    <xf numFmtId="4" fontId="60" fillId="128" borderId="132" xfId="30" applyNumberFormat="1" applyFont="1" applyFill="1" applyBorder="1" applyAlignment="1">
      <alignment horizontal="center"/>
    </xf>
    <xf numFmtId="0" fontId="61" fillId="128" borderId="132" xfId="30" applyFont="1" applyFill="1" applyBorder="1"/>
    <xf numFmtId="4" fontId="117" fillId="128" borderId="134" xfId="30" applyNumberFormat="1" applyFont="1" applyFill="1" applyBorder="1"/>
    <xf numFmtId="4" fontId="117" fillId="128" borderId="135" xfId="30" applyNumberFormat="1" applyFont="1" applyFill="1" applyBorder="1"/>
    <xf numFmtId="4" fontId="117" fillId="128" borderId="132" xfId="30" applyNumberFormat="1" applyFont="1" applyFill="1" applyBorder="1"/>
    <xf numFmtId="0" fontId="117" fillId="126" borderId="132" xfId="30" applyFont="1" applyFill="1" applyBorder="1" applyAlignment="1">
      <alignment horizontal="left"/>
    </xf>
    <xf numFmtId="4" fontId="117" fillId="126" borderId="134" xfId="30" applyNumberFormat="1" applyFont="1" applyFill="1" applyBorder="1" applyAlignment="1">
      <alignment horizontal="right"/>
    </xf>
    <xf numFmtId="4" fontId="117" fillId="126" borderId="135" xfId="30" applyNumberFormat="1" applyFont="1" applyFill="1" applyBorder="1" applyAlignment="1">
      <alignment horizontal="right"/>
    </xf>
    <xf numFmtId="4" fontId="117" fillId="126" borderId="132" xfId="30" applyNumberFormat="1" applyFont="1" applyFill="1" applyBorder="1" applyAlignment="1">
      <alignment horizontal="right"/>
    </xf>
    <xf numFmtId="0" fontId="117" fillId="113" borderId="132" xfId="30" applyFont="1" applyFill="1" applyBorder="1" applyAlignment="1">
      <alignment horizontal="left"/>
    </xf>
    <xf numFmtId="4" fontId="117" fillId="113" borderId="134" xfId="30" applyNumberFormat="1" applyFont="1" applyFill="1" applyBorder="1" applyAlignment="1">
      <alignment horizontal="right"/>
    </xf>
    <xf numFmtId="4" fontId="117" fillId="113" borderId="135" xfId="30" applyNumberFormat="1" applyFont="1" applyFill="1" applyBorder="1" applyAlignment="1">
      <alignment horizontal="right"/>
    </xf>
    <xf numFmtId="4" fontId="117" fillId="113" borderId="132" xfId="30" applyNumberFormat="1" applyFont="1" applyFill="1" applyBorder="1" applyAlignment="1">
      <alignment horizontal="right"/>
    </xf>
    <xf numFmtId="0" fontId="60" fillId="129" borderId="132" xfId="30" applyFont="1" applyFill="1" applyBorder="1" applyAlignment="1">
      <alignment horizontal="center"/>
    </xf>
    <xf numFmtId="4" fontId="60" fillId="129" borderId="134" xfId="30" applyNumberFormat="1" applyFont="1" applyFill="1" applyBorder="1" applyAlignment="1">
      <alignment horizontal="center"/>
    </xf>
    <xf numFmtId="4" fontId="60" fillId="129" borderId="135" xfId="30" applyNumberFormat="1" applyFont="1" applyFill="1" applyBorder="1" applyAlignment="1">
      <alignment horizontal="center"/>
    </xf>
    <xf numFmtId="4" fontId="60" fillId="129" borderId="132" xfId="30" applyNumberFormat="1" applyFont="1" applyFill="1" applyBorder="1" applyAlignment="1">
      <alignment horizontal="center"/>
    </xf>
    <xf numFmtId="0" fontId="117" fillId="129" borderId="132" xfId="30" applyFont="1" applyFill="1" applyBorder="1" applyAlignment="1">
      <alignment horizontal="left"/>
    </xf>
    <xf numFmtId="4" fontId="117" fillId="129" borderId="134" xfId="30" applyNumberFormat="1" applyFont="1" applyFill="1" applyBorder="1" applyAlignment="1">
      <alignment horizontal="right"/>
    </xf>
    <xf numFmtId="4" fontId="117" fillId="129" borderId="135" xfId="30" applyNumberFormat="1" applyFont="1" applyFill="1" applyBorder="1" applyAlignment="1">
      <alignment horizontal="right"/>
    </xf>
    <xf numFmtId="4" fontId="117" fillId="129" borderId="132" xfId="30" applyNumberFormat="1" applyFont="1" applyFill="1" applyBorder="1" applyAlignment="1">
      <alignment horizontal="right"/>
    </xf>
    <xf numFmtId="0" fontId="7" fillId="129" borderId="132" xfId="30" applyFont="1" applyFill="1" applyBorder="1" applyAlignment="1">
      <alignment horizontal="center"/>
    </xf>
    <xf numFmtId="4" fontId="7" fillId="129" borderId="134" xfId="30" applyNumberFormat="1" applyFont="1" applyFill="1" applyBorder="1" applyAlignment="1">
      <alignment horizontal="center"/>
    </xf>
    <xf numFmtId="4" fontId="7" fillId="129" borderId="135" xfId="30" applyNumberFormat="1" applyFont="1" applyFill="1" applyBorder="1" applyAlignment="1">
      <alignment horizontal="center"/>
    </xf>
    <xf numFmtId="4" fontId="7" fillId="129" borderId="132" xfId="30" applyNumberFormat="1" applyFont="1" applyFill="1" applyBorder="1" applyAlignment="1">
      <alignment horizontal="center"/>
    </xf>
    <xf numFmtId="0" fontId="60" fillId="130" borderId="132" xfId="30" applyFont="1" applyFill="1" applyBorder="1" applyAlignment="1">
      <alignment horizontal="center"/>
    </xf>
    <xf numFmtId="4" fontId="60" fillId="130" borderId="134" xfId="30" applyNumberFormat="1" applyFont="1" applyFill="1" applyBorder="1" applyAlignment="1">
      <alignment horizontal="center"/>
    </xf>
    <xf numFmtId="4" fontId="60" fillId="130" borderId="135" xfId="30" applyNumberFormat="1" applyFont="1" applyFill="1" applyBorder="1" applyAlignment="1">
      <alignment horizontal="center"/>
    </xf>
    <xf numFmtId="4" fontId="60" fillId="130" borderId="132" xfId="30" applyNumberFormat="1" applyFont="1" applyFill="1" applyBorder="1" applyAlignment="1">
      <alignment horizontal="center"/>
    </xf>
    <xf numFmtId="0" fontId="117" fillId="130" borderId="132" xfId="30" applyFont="1" applyFill="1" applyBorder="1"/>
    <xf numFmtId="4" fontId="117" fillId="130" borderId="134" xfId="30" applyNumberFormat="1" applyFont="1" applyFill="1" applyBorder="1"/>
    <xf numFmtId="4" fontId="120" fillId="130" borderId="135" xfId="30" applyNumberFormat="1" applyFont="1" applyFill="1" applyBorder="1"/>
    <xf numFmtId="4" fontId="117" fillId="130" borderId="132" xfId="30" applyNumberFormat="1" applyFont="1" applyFill="1" applyBorder="1"/>
    <xf numFmtId="4" fontId="117" fillId="130" borderId="135" xfId="30" applyNumberFormat="1" applyFont="1" applyFill="1" applyBorder="1"/>
    <xf numFmtId="0" fontId="117" fillId="130" borderId="132" xfId="30" applyFont="1" applyFill="1" applyBorder="1" applyProtection="1">
      <protection locked="0"/>
    </xf>
    <xf numFmtId="4" fontId="117" fillId="130" borderId="134" xfId="30" applyNumberFormat="1" applyFont="1" applyFill="1" applyBorder="1" applyProtection="1">
      <protection locked="0"/>
    </xf>
    <xf numFmtId="4" fontId="117" fillId="0" borderId="0" xfId="30" applyNumberFormat="1" applyFont="1" applyProtection="1">
      <protection locked="0"/>
    </xf>
    <xf numFmtId="4" fontId="117" fillId="130" borderId="135" xfId="30" applyNumberFormat="1" applyFont="1" applyFill="1" applyBorder="1" applyProtection="1">
      <protection locked="0"/>
    </xf>
    <xf numFmtId="4" fontId="117" fillId="130" borderId="132" xfId="30" applyNumberFormat="1" applyFont="1" applyFill="1" applyBorder="1" applyProtection="1">
      <protection locked="0"/>
    </xf>
    <xf numFmtId="4" fontId="7" fillId="130" borderId="136" xfId="30" applyNumberFormat="1" applyFont="1" applyFill="1" applyBorder="1" applyAlignment="1">
      <alignment horizontal="center"/>
    </xf>
    <xf numFmtId="4" fontId="7" fillId="130" borderId="137" xfId="30" applyNumberFormat="1" applyFont="1" applyFill="1" applyBorder="1" applyAlignment="1">
      <alignment horizontal="center"/>
    </xf>
    <xf numFmtId="4" fontId="7" fillId="130" borderId="138" xfId="30" applyNumberFormat="1" applyFont="1" applyFill="1" applyBorder="1" applyAlignment="1">
      <alignment horizontal="center"/>
    </xf>
    <xf numFmtId="0" fontId="7" fillId="29" borderId="139" xfId="2" applyFont="1" applyFill="1" applyBorder="1" applyAlignment="1">
      <alignment wrapText="1"/>
    </xf>
    <xf numFmtId="4" fontId="7" fillId="29" borderId="140" xfId="2" applyNumberFormat="1" applyFont="1" applyFill="1" applyBorder="1" applyAlignment="1">
      <alignment horizontal="center"/>
    </xf>
    <xf numFmtId="4" fontId="6" fillId="0" borderId="0" xfId="2" applyNumberFormat="1" applyAlignment="1">
      <alignment horizontal="center"/>
    </xf>
    <xf numFmtId="4" fontId="7" fillId="29" borderId="141" xfId="2" applyNumberFormat="1" applyFont="1" applyFill="1" applyBorder="1" applyAlignment="1">
      <alignment horizontal="center"/>
    </xf>
    <xf numFmtId="4" fontId="7" fillId="29" borderId="139" xfId="2" applyNumberFormat="1" applyFont="1" applyFill="1" applyBorder="1" applyAlignment="1">
      <alignment horizontal="center"/>
    </xf>
    <xf numFmtId="0" fontId="7" fillId="124" borderId="142" xfId="30" applyFont="1" applyFill="1" applyBorder="1" applyAlignment="1">
      <alignment horizontal="center"/>
    </xf>
    <xf numFmtId="4" fontId="7" fillId="124" borderId="143" xfId="30" applyNumberFormat="1" applyFont="1" applyFill="1" applyBorder="1" applyAlignment="1">
      <alignment horizontal="center"/>
    </xf>
    <xf numFmtId="4" fontId="7" fillId="124" borderId="142" xfId="30" applyNumberFormat="1" applyFont="1" applyFill="1" applyBorder="1" applyAlignment="1">
      <alignment horizontal="center"/>
    </xf>
    <xf numFmtId="10" fontId="0" fillId="0" borderId="0" xfId="31" applyNumberFormat="1" applyFont="1"/>
    <xf numFmtId="0" fontId="117" fillId="125" borderId="132" xfId="30" applyFont="1" applyFill="1" applyBorder="1" applyAlignment="1">
      <alignment horizontal="left"/>
    </xf>
    <xf numFmtId="0" fontId="121" fillId="0" borderId="0" xfId="2" applyFont="1" applyAlignment="1">
      <alignment wrapText="1"/>
    </xf>
    <xf numFmtId="2" fontId="60" fillId="113" borderId="132" xfId="30" applyNumberFormat="1" applyFont="1" applyFill="1" applyBorder="1" applyAlignment="1">
      <alignment horizontal="center" vertical="center"/>
    </xf>
    <xf numFmtId="0" fontId="60" fillId="113" borderId="132" xfId="30" applyFont="1" applyFill="1" applyBorder="1" applyAlignment="1">
      <alignment horizontal="center" vertical="center"/>
    </xf>
    <xf numFmtId="0" fontId="122" fillId="113" borderId="132" xfId="30" applyFont="1" applyFill="1" applyBorder="1" applyAlignment="1">
      <alignment horizontal="center" vertical="center"/>
    </xf>
    <xf numFmtId="0" fontId="122" fillId="113" borderId="144" xfId="30" applyFont="1" applyFill="1" applyBorder="1" applyAlignment="1">
      <alignment horizontal="center" vertical="center"/>
    </xf>
    <xf numFmtId="0" fontId="10" fillId="2" borderId="0" xfId="30" applyFill="1"/>
    <xf numFmtId="0" fontId="10" fillId="0" borderId="0" xfId="30"/>
    <xf numFmtId="4" fontId="60" fillId="113" borderId="132" xfId="30" applyNumberFormat="1" applyFont="1" applyFill="1" applyBorder="1" applyAlignment="1">
      <alignment horizontal="center" vertical="center" textRotation="90"/>
    </xf>
    <xf numFmtId="0" fontId="60" fillId="113" borderId="132" xfId="30" applyFont="1" applyFill="1" applyBorder="1" applyAlignment="1">
      <alignment horizontal="center" vertical="center" textRotation="90"/>
    </xf>
    <xf numFmtId="0" fontId="122" fillId="113" borderId="144" xfId="30" applyFont="1" applyFill="1" applyBorder="1" applyAlignment="1">
      <alignment horizontal="center" vertical="center" textRotation="90"/>
    </xf>
    <xf numFmtId="3" fontId="60" fillId="114" borderId="132" xfId="30" applyNumberFormat="1" applyFont="1" applyFill="1" applyBorder="1" applyAlignment="1">
      <alignment horizontal="center" vertical="center"/>
    </xf>
    <xf numFmtId="3" fontId="122" fillId="114" borderId="132" xfId="30" applyNumberFormat="1" applyFont="1" applyFill="1" applyBorder="1" applyAlignment="1">
      <alignment horizontal="center" vertical="center"/>
    </xf>
    <xf numFmtId="3" fontId="122" fillId="114" borderId="144" xfId="30" applyNumberFormat="1" applyFont="1" applyFill="1" applyBorder="1" applyAlignment="1">
      <alignment horizontal="center" vertical="center"/>
    </xf>
    <xf numFmtId="0" fontId="123" fillId="115" borderId="132" xfId="30" applyFont="1" applyFill="1" applyBorder="1" applyAlignment="1">
      <alignment horizontal="center"/>
    </xf>
    <xf numFmtId="0" fontId="123" fillId="115" borderId="144" xfId="30" applyFont="1" applyFill="1" applyBorder="1" applyAlignment="1">
      <alignment horizontal="center"/>
    </xf>
    <xf numFmtId="4" fontId="122" fillId="116" borderId="132" xfId="30" applyNumberFormat="1" applyFont="1" applyFill="1" applyBorder="1" applyAlignment="1">
      <alignment horizontal="center"/>
    </xf>
    <xf numFmtId="4" fontId="122" fillId="116" borderId="144" xfId="30" applyNumberFormat="1" applyFont="1" applyFill="1" applyBorder="1" applyAlignment="1">
      <alignment horizontal="center"/>
    </xf>
    <xf numFmtId="164" fontId="10" fillId="2" borderId="0" xfId="30" applyNumberFormat="1" applyFill="1"/>
    <xf numFmtId="3" fontId="116" fillId="116" borderId="132" xfId="30" applyNumberFormat="1" applyFont="1" applyFill="1" applyBorder="1"/>
    <xf numFmtId="4" fontId="124" fillId="116" borderId="132" xfId="30" applyNumberFormat="1" applyFont="1" applyFill="1" applyBorder="1"/>
    <xf numFmtId="3" fontId="124" fillId="116" borderId="132" xfId="30" applyNumberFormat="1" applyFont="1" applyFill="1" applyBorder="1"/>
    <xf numFmtId="4" fontId="124" fillId="116" borderId="144" xfId="30" applyNumberFormat="1" applyFont="1" applyFill="1" applyBorder="1"/>
    <xf numFmtId="0" fontId="124" fillId="116" borderId="132" xfId="30" applyFont="1" applyFill="1" applyBorder="1"/>
    <xf numFmtId="0" fontId="122" fillId="117" borderId="132" xfId="30" applyFont="1" applyFill="1" applyBorder="1" applyAlignment="1">
      <alignment horizontal="center"/>
    </xf>
    <xf numFmtId="4" fontId="122" fillId="117" borderId="132" xfId="30" applyNumberFormat="1" applyFont="1" applyFill="1" applyBorder="1" applyAlignment="1">
      <alignment horizontal="center"/>
    </xf>
    <xf numFmtId="2" fontId="122" fillId="117" borderId="144" xfId="30" applyNumberFormat="1" applyFont="1" applyFill="1" applyBorder="1" applyAlignment="1">
      <alignment horizontal="center"/>
    </xf>
    <xf numFmtId="4" fontId="124" fillId="118" borderId="132" xfId="30" applyNumberFormat="1" applyFont="1" applyFill="1" applyBorder="1"/>
    <xf numFmtId="4" fontId="124" fillId="118" borderId="144" xfId="30" applyNumberFormat="1" applyFont="1" applyFill="1" applyBorder="1"/>
    <xf numFmtId="4" fontId="60" fillId="131" borderId="0" xfId="30" applyNumberFormat="1" applyFont="1" applyFill="1" applyAlignment="1" applyProtection="1">
      <alignment horizontal="center"/>
      <protection locked="0"/>
    </xf>
    <xf numFmtId="4" fontId="124" fillId="117" borderId="132" xfId="30" applyNumberFormat="1" applyFont="1" applyFill="1" applyBorder="1"/>
    <xf numFmtId="4" fontId="124" fillId="117" borderId="144" xfId="30" applyNumberFormat="1" applyFont="1" applyFill="1" applyBorder="1"/>
    <xf numFmtId="0" fontId="10" fillId="2" borderId="0" xfId="30" applyFill="1" applyProtection="1">
      <protection locked="0"/>
    </xf>
    <xf numFmtId="4" fontId="117" fillId="117" borderId="132" xfId="30" applyNumberFormat="1" applyFont="1" applyFill="1" applyBorder="1" applyAlignment="1">
      <alignment horizontal="center"/>
    </xf>
    <xf numFmtId="4" fontId="124" fillId="117" borderId="132" xfId="30" applyNumberFormat="1" applyFont="1" applyFill="1" applyBorder="1" applyAlignment="1">
      <alignment horizontal="center"/>
    </xf>
    <xf numFmtId="4" fontId="122" fillId="119" borderId="132" xfId="30" applyNumberFormat="1" applyFont="1" applyFill="1" applyBorder="1" applyAlignment="1">
      <alignment horizontal="center"/>
    </xf>
    <xf numFmtId="4" fontId="122" fillId="119" borderId="144" xfId="30" applyNumberFormat="1" applyFont="1" applyFill="1" applyBorder="1" applyAlignment="1">
      <alignment horizontal="center"/>
    </xf>
    <xf numFmtId="4" fontId="123" fillId="119" borderId="132" xfId="30" applyNumberFormat="1" applyFont="1" applyFill="1" applyBorder="1" applyAlignment="1">
      <alignment horizontal="center"/>
    </xf>
    <xf numFmtId="4" fontId="123" fillId="119" borderId="144" xfId="30" applyNumberFormat="1" applyFont="1" applyFill="1" applyBorder="1" applyAlignment="1">
      <alignment horizontal="center"/>
    </xf>
    <xf numFmtId="4" fontId="7" fillId="131" borderId="0" xfId="30" applyNumberFormat="1" applyFont="1" applyFill="1" applyAlignment="1" applyProtection="1">
      <alignment horizontal="center"/>
      <protection locked="0"/>
    </xf>
    <xf numFmtId="4" fontId="122" fillId="120" borderId="132" xfId="30" applyNumberFormat="1" applyFont="1" applyFill="1" applyBorder="1" applyAlignment="1">
      <alignment horizontal="center"/>
    </xf>
    <xf numFmtId="4" fontId="122" fillId="120" borderId="144" xfId="30" applyNumberFormat="1" applyFont="1" applyFill="1" applyBorder="1" applyAlignment="1">
      <alignment horizontal="center"/>
    </xf>
    <xf numFmtId="4" fontId="124" fillId="120" borderId="132" xfId="30" applyNumberFormat="1" applyFont="1" applyFill="1" applyBorder="1"/>
    <xf numFmtId="4" fontId="124" fillId="120" borderId="144" xfId="30" applyNumberFormat="1" applyFont="1" applyFill="1" applyBorder="1"/>
    <xf numFmtId="4" fontId="123" fillId="121" borderId="132" xfId="30" applyNumberFormat="1" applyFont="1" applyFill="1" applyBorder="1" applyAlignment="1">
      <alignment horizontal="center"/>
    </xf>
    <xf numFmtId="4" fontId="123" fillId="121" borderId="144" xfId="30" applyNumberFormat="1" applyFont="1" applyFill="1" applyBorder="1" applyAlignment="1">
      <alignment horizontal="center"/>
    </xf>
    <xf numFmtId="0" fontId="122" fillId="113" borderId="132" xfId="30" applyFont="1" applyFill="1" applyBorder="1" applyAlignment="1">
      <alignment horizontal="center"/>
    </xf>
    <xf numFmtId="0" fontId="122" fillId="113" borderId="144" xfId="30" applyFont="1" applyFill="1" applyBorder="1" applyAlignment="1">
      <alignment horizontal="center"/>
    </xf>
    <xf numFmtId="4" fontId="124" fillId="113" borderId="132" xfId="30" applyNumberFormat="1" applyFont="1" applyFill="1" applyBorder="1"/>
    <xf numFmtId="4" fontId="124" fillId="113" borderId="144" xfId="30" applyNumberFormat="1" applyFont="1" applyFill="1" applyBorder="1"/>
    <xf numFmtId="4" fontId="123" fillId="113" borderId="132" xfId="30" applyNumberFormat="1" applyFont="1" applyFill="1" applyBorder="1" applyAlignment="1">
      <alignment horizontal="center"/>
    </xf>
    <xf numFmtId="4" fontId="123" fillId="113" borderId="144" xfId="30" applyNumberFormat="1" applyFont="1" applyFill="1" applyBorder="1" applyAlignment="1">
      <alignment horizontal="center"/>
    </xf>
    <xf numFmtId="0" fontId="122" fillId="122" borderId="132" xfId="30" applyFont="1" applyFill="1" applyBorder="1" applyAlignment="1">
      <alignment horizontal="center"/>
    </xf>
    <xf numFmtId="0" fontId="122" fillId="122" borderId="144" xfId="30" applyFont="1" applyFill="1" applyBorder="1" applyAlignment="1">
      <alignment horizontal="center"/>
    </xf>
    <xf numFmtId="4" fontId="124" fillId="122" borderId="132" xfId="30" applyNumberFormat="1" applyFont="1" applyFill="1" applyBorder="1"/>
    <xf numFmtId="4" fontId="124" fillId="122" borderId="144" xfId="30" applyNumberFormat="1" applyFont="1" applyFill="1" applyBorder="1"/>
    <xf numFmtId="4" fontId="123" fillId="122" borderId="132" xfId="30" applyNumberFormat="1" applyFont="1" applyFill="1" applyBorder="1" applyAlignment="1">
      <alignment horizontal="center"/>
    </xf>
    <xf numFmtId="4" fontId="123" fillId="122" borderId="144" xfId="30" applyNumberFormat="1" applyFont="1" applyFill="1" applyBorder="1" applyAlignment="1">
      <alignment horizontal="center"/>
    </xf>
    <xf numFmtId="4" fontId="123" fillId="114" borderId="132" xfId="30" applyNumberFormat="1" applyFont="1" applyFill="1" applyBorder="1" applyAlignment="1">
      <alignment horizontal="center"/>
    </xf>
    <xf numFmtId="4" fontId="123" fillId="114" borderId="144" xfId="30" applyNumberFormat="1" applyFont="1" applyFill="1" applyBorder="1" applyAlignment="1">
      <alignment horizontal="center"/>
    </xf>
    <xf numFmtId="4" fontId="125" fillId="126" borderId="132" xfId="30" applyNumberFormat="1" applyFont="1" applyFill="1" applyBorder="1" applyAlignment="1">
      <alignment horizontal="center"/>
    </xf>
    <xf numFmtId="4" fontId="123" fillId="126" borderId="132" xfId="30" applyNumberFormat="1" applyFont="1" applyFill="1" applyBorder="1" applyAlignment="1">
      <alignment horizontal="center"/>
    </xf>
    <xf numFmtId="4" fontId="123" fillId="126" borderId="144" xfId="30" applyNumberFormat="1" applyFont="1" applyFill="1" applyBorder="1" applyAlignment="1">
      <alignment horizontal="center"/>
    </xf>
    <xf numFmtId="0" fontId="122" fillId="123" borderId="132" xfId="30" applyFont="1" applyFill="1" applyBorder="1" applyAlignment="1">
      <alignment horizontal="center"/>
    </xf>
    <xf numFmtId="0" fontId="122" fillId="123" borderId="144" xfId="30" applyFont="1" applyFill="1" applyBorder="1" applyAlignment="1">
      <alignment horizontal="center"/>
    </xf>
    <xf numFmtId="4" fontId="124" fillId="123" borderId="132" xfId="30" applyNumberFormat="1" applyFont="1" applyFill="1" applyBorder="1"/>
    <xf numFmtId="4" fontId="124" fillId="123" borderId="144" xfId="30" applyNumberFormat="1" applyFont="1" applyFill="1" applyBorder="1"/>
    <xf numFmtId="4" fontId="123" fillId="123" borderId="132" xfId="30" applyNumberFormat="1" applyFont="1" applyFill="1" applyBorder="1" applyAlignment="1">
      <alignment horizontal="center"/>
    </xf>
    <xf numFmtId="4" fontId="123" fillId="123" borderId="144" xfId="30" applyNumberFormat="1" applyFont="1" applyFill="1" applyBorder="1" applyAlignment="1">
      <alignment horizontal="center"/>
    </xf>
    <xf numFmtId="0" fontId="122" fillId="118" borderId="132" xfId="30" applyFont="1" applyFill="1" applyBorder="1" applyAlignment="1">
      <alignment horizontal="center"/>
    </xf>
    <xf numFmtId="0" fontId="122" fillId="118" borderId="144" xfId="30" applyFont="1" applyFill="1" applyBorder="1" applyAlignment="1">
      <alignment horizontal="center"/>
    </xf>
    <xf numFmtId="4" fontId="123" fillId="118" borderId="132" xfId="30" applyNumberFormat="1" applyFont="1" applyFill="1" applyBorder="1" applyAlignment="1">
      <alignment horizontal="center"/>
    </xf>
    <xf numFmtId="4" fontId="123" fillId="118" borderId="144" xfId="30" applyNumberFormat="1" applyFont="1" applyFill="1" applyBorder="1" applyAlignment="1">
      <alignment horizontal="center"/>
    </xf>
    <xf numFmtId="0" fontId="122" fillId="124" borderId="132" xfId="30" applyFont="1" applyFill="1" applyBorder="1" applyAlignment="1">
      <alignment horizontal="center"/>
    </xf>
    <xf numFmtId="0" fontId="122" fillId="124" borderId="144" xfId="30" applyFont="1" applyFill="1" applyBorder="1" applyAlignment="1">
      <alignment horizontal="center"/>
    </xf>
    <xf numFmtId="4" fontId="117" fillId="124" borderId="132" xfId="30" applyNumberFormat="1" applyFont="1" applyFill="1" applyBorder="1"/>
    <xf numFmtId="4" fontId="124" fillId="124" borderId="132" xfId="30" applyNumberFormat="1" applyFont="1" applyFill="1" applyBorder="1"/>
    <xf numFmtId="4" fontId="124" fillId="124" borderId="144" xfId="30" applyNumberFormat="1" applyFont="1" applyFill="1" applyBorder="1"/>
    <xf numFmtId="4" fontId="123" fillId="124" borderId="132" xfId="30" applyNumberFormat="1" applyFont="1" applyFill="1" applyBorder="1" applyAlignment="1">
      <alignment horizontal="center"/>
    </xf>
    <xf numFmtId="4" fontId="123" fillId="124" borderId="144" xfId="30" applyNumberFormat="1" applyFont="1" applyFill="1" applyBorder="1" applyAlignment="1">
      <alignment horizontal="center"/>
    </xf>
    <xf numFmtId="0" fontId="122" fillId="125" borderId="132" xfId="30" applyFont="1" applyFill="1" applyBorder="1" applyAlignment="1">
      <alignment horizontal="center"/>
    </xf>
    <xf numFmtId="0" fontId="122" fillId="125" borderId="144" xfId="30" applyFont="1" applyFill="1" applyBorder="1" applyAlignment="1">
      <alignment horizontal="center"/>
    </xf>
    <xf numFmtId="4" fontId="124" fillId="125" borderId="132" xfId="30" applyNumberFormat="1" applyFont="1" applyFill="1" applyBorder="1" applyAlignment="1">
      <alignment horizontal="right"/>
    </xf>
    <xf numFmtId="4" fontId="124" fillId="125" borderId="144" xfId="30" applyNumberFormat="1" applyFont="1" applyFill="1" applyBorder="1" applyAlignment="1">
      <alignment horizontal="right"/>
    </xf>
    <xf numFmtId="4" fontId="123" fillId="125" borderId="132" xfId="30" applyNumberFormat="1" applyFont="1" applyFill="1" applyBorder="1" applyAlignment="1">
      <alignment horizontal="center"/>
    </xf>
    <xf numFmtId="4" fontId="123" fillId="125" borderId="144" xfId="30" applyNumberFormat="1" applyFont="1" applyFill="1" applyBorder="1" applyAlignment="1">
      <alignment horizontal="center"/>
    </xf>
    <xf numFmtId="0" fontId="122" fillId="126" borderId="132" xfId="30" applyFont="1" applyFill="1" applyBorder="1" applyAlignment="1">
      <alignment horizontal="center"/>
    </xf>
    <xf numFmtId="0" fontId="122" fillId="126" borderId="144" xfId="30" applyFont="1" applyFill="1" applyBorder="1" applyAlignment="1">
      <alignment horizontal="center"/>
    </xf>
    <xf numFmtId="4" fontId="124" fillId="126" borderId="132" xfId="30" applyNumberFormat="1" applyFont="1" applyFill="1" applyBorder="1"/>
    <xf numFmtId="4" fontId="124" fillId="126" borderId="144" xfId="30" applyNumberFormat="1" applyFont="1" applyFill="1" applyBorder="1"/>
    <xf numFmtId="0" fontId="122" fillId="117" borderId="144" xfId="30" applyFont="1" applyFill="1" applyBorder="1" applyAlignment="1">
      <alignment horizontal="center"/>
    </xf>
    <xf numFmtId="4" fontId="123" fillId="117" borderId="132" xfId="30" applyNumberFormat="1" applyFont="1" applyFill="1" applyBorder="1" applyAlignment="1">
      <alignment horizontal="center"/>
    </xf>
    <xf numFmtId="4" fontId="123" fillId="117" borderId="144" xfId="30" applyNumberFormat="1" applyFont="1" applyFill="1" applyBorder="1" applyAlignment="1">
      <alignment horizontal="center"/>
    </xf>
    <xf numFmtId="0" fontId="122" fillId="127" borderId="132" xfId="30" applyFont="1" applyFill="1" applyBorder="1" applyAlignment="1">
      <alignment horizontal="center"/>
    </xf>
    <xf numFmtId="4" fontId="122" fillId="127" borderId="132" xfId="30" applyNumberFormat="1" applyFont="1" applyFill="1" applyBorder="1" applyAlignment="1">
      <alignment horizontal="center"/>
    </xf>
    <xf numFmtId="0" fontId="122" fillId="127" borderId="144" xfId="30" applyFont="1" applyFill="1" applyBorder="1" applyAlignment="1">
      <alignment horizontal="center"/>
    </xf>
    <xf numFmtId="4" fontId="124" fillId="127" borderId="132" xfId="30" applyNumberFormat="1" applyFont="1" applyFill="1" applyBorder="1"/>
    <xf numFmtId="4" fontId="124" fillId="127" borderId="144" xfId="30" applyNumberFormat="1" applyFont="1" applyFill="1" applyBorder="1"/>
    <xf numFmtId="4" fontId="123" fillId="127" borderId="132" xfId="30" applyNumberFormat="1" applyFont="1" applyFill="1" applyBorder="1" applyAlignment="1">
      <alignment horizontal="center"/>
    </xf>
    <xf numFmtId="4" fontId="123" fillId="127" borderId="144" xfId="30" applyNumberFormat="1" applyFont="1" applyFill="1" applyBorder="1" applyAlignment="1">
      <alignment horizontal="center"/>
    </xf>
    <xf numFmtId="0" fontId="122" fillId="128" borderId="132" xfId="30" applyFont="1" applyFill="1" applyBorder="1" applyAlignment="1">
      <alignment horizontal="center"/>
    </xf>
    <xf numFmtId="4" fontId="122" fillId="128" borderId="132" xfId="30" applyNumberFormat="1" applyFont="1" applyFill="1" applyBorder="1" applyAlignment="1">
      <alignment horizontal="center"/>
    </xf>
    <xf numFmtId="0" fontId="122" fillId="128" borderId="144" xfId="30" applyFont="1" applyFill="1" applyBorder="1" applyAlignment="1">
      <alignment horizontal="center"/>
    </xf>
    <xf numFmtId="4" fontId="124" fillId="128" borderId="132" xfId="30" applyNumberFormat="1" applyFont="1" applyFill="1" applyBorder="1"/>
    <xf numFmtId="4" fontId="124" fillId="128" borderId="144" xfId="30" applyNumberFormat="1" applyFont="1" applyFill="1" applyBorder="1"/>
    <xf numFmtId="4" fontId="122" fillId="128" borderId="144" xfId="30" applyNumberFormat="1" applyFont="1" applyFill="1" applyBorder="1" applyAlignment="1">
      <alignment horizontal="center"/>
    </xf>
    <xf numFmtId="0" fontId="7" fillId="128" borderId="132" xfId="30" applyFont="1" applyFill="1" applyBorder="1" applyAlignment="1">
      <alignment horizontal="center"/>
    </xf>
    <xf numFmtId="4" fontId="7" fillId="128" borderId="132" xfId="30" applyNumberFormat="1" applyFont="1" applyFill="1" applyBorder="1" applyAlignment="1">
      <alignment horizontal="center"/>
    </xf>
    <xf numFmtId="4" fontId="123" fillId="128" borderId="132" xfId="30" applyNumberFormat="1" applyFont="1" applyFill="1" applyBorder="1" applyAlignment="1">
      <alignment horizontal="center"/>
    </xf>
    <xf numFmtId="4" fontId="123" fillId="128" borderId="144" xfId="30" applyNumberFormat="1" applyFont="1" applyFill="1" applyBorder="1" applyAlignment="1">
      <alignment horizontal="center"/>
    </xf>
    <xf numFmtId="4" fontId="122" fillId="126" borderId="132" xfId="30" applyNumberFormat="1" applyFont="1" applyFill="1" applyBorder="1" applyAlignment="1">
      <alignment horizontal="center"/>
    </xf>
    <xf numFmtId="4" fontId="124" fillId="126" borderId="132" xfId="30" applyNumberFormat="1" applyFont="1" applyFill="1" applyBorder="1" applyAlignment="1">
      <alignment horizontal="right"/>
    </xf>
    <xf numFmtId="4" fontId="124" fillId="126" borderId="144" xfId="30" applyNumberFormat="1" applyFont="1" applyFill="1" applyBorder="1" applyAlignment="1">
      <alignment horizontal="right"/>
    </xf>
    <xf numFmtId="0" fontId="122" fillId="119" borderId="132" xfId="30" applyFont="1" applyFill="1" applyBorder="1" applyAlignment="1">
      <alignment horizontal="center"/>
    </xf>
    <xf numFmtId="0" fontId="122" fillId="119" borderId="144" xfId="30" applyFont="1" applyFill="1" applyBorder="1" applyAlignment="1">
      <alignment horizontal="center"/>
    </xf>
    <xf numFmtId="0" fontId="116" fillId="119" borderId="132" xfId="30" applyFont="1" applyFill="1" applyBorder="1"/>
    <xf numFmtId="4" fontId="116" fillId="119" borderId="132" xfId="30" applyNumberFormat="1" applyFont="1" applyFill="1" applyBorder="1"/>
    <xf numFmtId="4" fontId="124" fillId="119" borderId="132" xfId="30" applyNumberFormat="1" applyFont="1" applyFill="1" applyBorder="1"/>
    <xf numFmtId="4" fontId="124" fillId="119" borderId="144" xfId="30" applyNumberFormat="1" applyFont="1" applyFill="1" applyBorder="1"/>
    <xf numFmtId="4" fontId="122" fillId="113" borderId="132" xfId="30" applyNumberFormat="1" applyFont="1" applyFill="1" applyBorder="1" applyAlignment="1">
      <alignment horizontal="center"/>
    </xf>
    <xf numFmtId="4" fontId="124" fillId="113" borderId="132" xfId="30" applyNumberFormat="1" applyFont="1" applyFill="1" applyBorder="1" applyAlignment="1">
      <alignment horizontal="right"/>
    </xf>
    <xf numFmtId="4" fontId="124" fillId="113" borderId="144" xfId="30" applyNumberFormat="1" applyFont="1" applyFill="1" applyBorder="1" applyAlignment="1">
      <alignment horizontal="right"/>
    </xf>
    <xf numFmtId="0" fontId="122" fillId="129" borderId="132" xfId="30" applyFont="1" applyFill="1" applyBorder="1" applyAlignment="1">
      <alignment horizontal="center"/>
    </xf>
    <xf numFmtId="4" fontId="122" fillId="129" borderId="132" xfId="30" applyNumberFormat="1" applyFont="1" applyFill="1" applyBorder="1" applyAlignment="1">
      <alignment horizontal="center"/>
    </xf>
    <xf numFmtId="0" fontId="122" fillId="129" borderId="144" xfId="30" applyFont="1" applyFill="1" applyBorder="1" applyAlignment="1">
      <alignment horizontal="center"/>
    </xf>
    <xf numFmtId="0" fontId="10" fillId="129" borderId="0" xfId="30" applyFill="1"/>
    <xf numFmtId="4" fontId="124" fillId="129" borderId="132" xfId="30" applyNumberFormat="1" applyFont="1" applyFill="1" applyBorder="1" applyAlignment="1">
      <alignment horizontal="right"/>
    </xf>
    <xf numFmtId="4" fontId="124" fillId="129" borderId="144" xfId="30" applyNumberFormat="1" applyFont="1" applyFill="1" applyBorder="1" applyAlignment="1">
      <alignment horizontal="right"/>
    </xf>
    <xf numFmtId="4" fontId="123" fillId="129" borderId="132" xfId="30" applyNumberFormat="1" applyFont="1" applyFill="1" applyBorder="1" applyAlignment="1">
      <alignment horizontal="center"/>
    </xf>
    <xf numFmtId="4" fontId="123" fillId="129" borderId="144" xfId="30" applyNumberFormat="1" applyFont="1" applyFill="1" applyBorder="1" applyAlignment="1">
      <alignment horizontal="center"/>
    </xf>
    <xf numFmtId="0" fontId="122" fillId="130" borderId="132" xfId="30" applyFont="1" applyFill="1" applyBorder="1" applyAlignment="1">
      <alignment horizontal="center"/>
    </xf>
    <xf numFmtId="4" fontId="122" fillId="130" borderId="132" xfId="30" applyNumberFormat="1" applyFont="1" applyFill="1" applyBorder="1" applyAlignment="1">
      <alignment horizontal="center"/>
    </xf>
    <xf numFmtId="0" fontId="122" fillId="130" borderId="144" xfId="30" applyFont="1" applyFill="1" applyBorder="1" applyAlignment="1">
      <alignment horizontal="center"/>
    </xf>
    <xf numFmtId="4" fontId="117" fillId="130" borderId="132" xfId="30" applyNumberFormat="1" applyFont="1" applyFill="1" applyBorder="1" applyAlignment="1">
      <alignment horizontal="right"/>
    </xf>
    <xf numFmtId="4" fontId="124" fillId="130" borderId="132" xfId="30" applyNumberFormat="1" applyFont="1" applyFill="1" applyBorder="1" applyAlignment="1">
      <alignment horizontal="right"/>
    </xf>
    <xf numFmtId="4" fontId="124" fillId="130" borderId="144" xfId="30" applyNumberFormat="1" applyFont="1" applyFill="1" applyBorder="1" applyAlignment="1">
      <alignment horizontal="right"/>
    </xf>
    <xf numFmtId="4" fontId="10" fillId="2" borderId="0" xfId="30" applyNumberFormat="1" applyFill="1" applyProtection="1">
      <protection locked="0"/>
    </xf>
    <xf numFmtId="4" fontId="10" fillId="2" borderId="0" xfId="30" applyNumberFormat="1" applyFill="1"/>
    <xf numFmtId="0" fontId="117" fillId="130" borderId="132" xfId="30" applyFont="1" applyFill="1" applyBorder="1" applyAlignment="1">
      <alignment horizontal="left"/>
    </xf>
    <xf numFmtId="0" fontId="117" fillId="130" borderId="132" xfId="30" applyFont="1" applyFill="1" applyBorder="1" applyAlignment="1" applyProtection="1">
      <alignment horizontal="left"/>
      <protection locked="0"/>
    </xf>
    <xf numFmtId="4" fontId="122" fillId="130" borderId="144" xfId="30" applyNumberFormat="1" applyFont="1" applyFill="1" applyBorder="1" applyAlignment="1">
      <alignment horizontal="center"/>
    </xf>
    <xf numFmtId="4" fontId="60" fillId="130" borderId="145" xfId="30" applyNumberFormat="1" applyFont="1" applyFill="1" applyBorder="1" applyAlignment="1">
      <alignment horizontal="center"/>
    </xf>
    <xf numFmtId="4" fontId="122" fillId="130" borderId="146" xfId="30" applyNumberFormat="1" applyFont="1" applyFill="1" applyBorder="1" applyAlignment="1">
      <alignment horizontal="center"/>
    </xf>
    <xf numFmtId="0" fontId="7" fillId="115" borderId="147" xfId="30" applyFont="1" applyFill="1" applyBorder="1" applyAlignment="1">
      <alignment horizontal="center"/>
    </xf>
    <xf numFmtId="4" fontId="7" fillId="115" borderId="148" xfId="30" applyNumberFormat="1" applyFont="1" applyFill="1" applyBorder="1" applyAlignment="1">
      <alignment horizontal="center"/>
    </xf>
    <xf numFmtId="4" fontId="123" fillId="115" borderId="148" xfId="30" applyNumberFormat="1" applyFont="1" applyFill="1" applyBorder="1" applyAlignment="1">
      <alignment horizontal="center"/>
    </xf>
    <xf numFmtId="4" fontId="123" fillId="115" borderId="149" xfId="30" applyNumberFormat="1" applyFont="1" applyFill="1" applyBorder="1" applyAlignment="1">
      <alignment horizontal="center"/>
    </xf>
    <xf numFmtId="0" fontId="7" fillId="115" borderId="142" xfId="30" applyFont="1" applyFill="1" applyBorder="1" applyAlignment="1">
      <alignment horizontal="center"/>
    </xf>
    <xf numFmtId="4" fontId="123" fillId="115" borderId="132" xfId="30" applyNumberFormat="1" applyFont="1" applyFill="1" applyBorder="1" applyAlignment="1">
      <alignment horizontal="center"/>
    </xf>
    <xf numFmtId="4" fontId="123" fillId="115" borderId="144" xfId="30" applyNumberFormat="1" applyFont="1" applyFill="1" applyBorder="1" applyAlignment="1">
      <alignment horizontal="center"/>
    </xf>
    <xf numFmtId="0" fontId="7" fillId="114" borderId="150" xfId="30" applyFont="1" applyFill="1" applyBorder="1" applyAlignment="1">
      <alignment horizontal="center"/>
    </xf>
    <xf numFmtId="10" fontId="7" fillId="114" borderId="151" xfId="30" applyNumberFormat="1" applyFont="1" applyFill="1" applyBorder="1" applyAlignment="1">
      <alignment horizontal="center"/>
    </xf>
    <xf numFmtId="165" fontId="7" fillId="0" borderId="151" xfId="30" applyNumberFormat="1" applyFont="1" applyBorder="1" applyAlignment="1">
      <alignment horizontal="center"/>
    </xf>
    <xf numFmtId="165" fontId="123" fillId="0" borderId="151" xfId="30" applyNumberFormat="1" applyFont="1" applyBorder="1" applyAlignment="1">
      <alignment horizontal="center"/>
    </xf>
    <xf numFmtId="10" fontId="123" fillId="114" borderId="151" xfId="30" applyNumberFormat="1" applyFont="1" applyFill="1" applyBorder="1" applyAlignment="1">
      <alignment horizontal="center"/>
    </xf>
    <xf numFmtId="4" fontId="123" fillId="0" borderId="152" xfId="30" applyNumberFormat="1" applyFont="1" applyBorder="1" applyAlignment="1">
      <alignment horizontal="center"/>
    </xf>
    <xf numFmtId="0" fontId="126" fillId="118" borderId="153" xfId="30" applyFont="1" applyFill="1" applyBorder="1" applyAlignment="1" applyProtection="1">
      <alignment horizontal="center"/>
      <protection locked="0"/>
    </xf>
    <xf numFmtId="4" fontId="7" fillId="118" borderId="153" xfId="30" applyNumberFormat="1" applyFont="1" applyFill="1" applyBorder="1" applyAlignment="1">
      <alignment horizontal="center"/>
    </xf>
    <xf numFmtId="4" fontId="123" fillId="118" borderId="153" xfId="30" applyNumberFormat="1" applyFont="1" applyFill="1" applyBorder="1" applyAlignment="1">
      <alignment horizontal="center"/>
    </xf>
    <xf numFmtId="4" fontId="123" fillId="118" borderId="154" xfId="30" applyNumberFormat="1" applyFont="1" applyFill="1" applyBorder="1" applyAlignment="1">
      <alignment horizontal="center"/>
    </xf>
    <xf numFmtId="0" fontId="127" fillId="118" borderId="132" xfId="30" applyFont="1" applyFill="1" applyBorder="1" applyAlignment="1" applyProtection="1">
      <alignment horizontal="left"/>
      <protection locked="0"/>
    </xf>
    <xf numFmtId="4" fontId="127" fillId="118" borderId="132" xfId="30" applyNumberFormat="1" applyFont="1" applyFill="1" applyBorder="1" applyAlignment="1">
      <alignment horizontal="right"/>
    </xf>
    <xf numFmtId="4" fontId="117" fillId="118" borderId="132" xfId="30" applyNumberFormat="1" applyFont="1" applyFill="1" applyBorder="1" applyAlignment="1">
      <alignment horizontal="right"/>
    </xf>
    <xf numFmtId="4" fontId="127" fillId="118" borderId="132" xfId="30" applyNumberFormat="1" applyFont="1" applyFill="1" applyBorder="1" applyAlignment="1" applyProtection="1">
      <alignment horizontal="right"/>
      <protection locked="0"/>
    </xf>
    <xf numFmtId="4" fontId="128" fillId="118" borderId="132" xfId="30" applyNumberFormat="1" applyFont="1" applyFill="1" applyBorder="1" applyAlignment="1" applyProtection="1">
      <alignment horizontal="right"/>
      <protection locked="0"/>
    </xf>
    <xf numFmtId="4" fontId="128" fillId="118" borderId="144" xfId="30" applyNumberFormat="1" applyFont="1" applyFill="1" applyBorder="1" applyAlignment="1" applyProtection="1">
      <alignment horizontal="right"/>
      <protection locked="0"/>
    </xf>
    <xf numFmtId="0" fontId="127" fillId="118" borderId="132" xfId="30" applyFont="1" applyFill="1" applyBorder="1" applyProtection="1">
      <protection locked="0"/>
    </xf>
    <xf numFmtId="4" fontId="127" fillId="118" borderId="145" xfId="30" applyNumberFormat="1" applyFont="1" applyFill="1" applyBorder="1" applyAlignment="1">
      <alignment horizontal="right"/>
    </xf>
    <xf numFmtId="4" fontId="127" fillId="118" borderId="145" xfId="30" applyNumberFormat="1" applyFont="1" applyFill="1" applyBorder="1" applyAlignment="1" applyProtection="1">
      <alignment horizontal="right"/>
      <protection locked="0"/>
    </xf>
    <xf numFmtId="4" fontId="128" fillId="118" borderId="145" xfId="30" applyNumberFormat="1" applyFont="1" applyFill="1" applyBorder="1" applyAlignment="1" applyProtection="1">
      <alignment horizontal="right"/>
      <protection locked="0"/>
    </xf>
    <xf numFmtId="0" fontId="126" fillId="118" borderId="145" xfId="30" applyFont="1" applyFill="1" applyBorder="1" applyAlignment="1" applyProtection="1">
      <alignment horizontal="center"/>
      <protection locked="0"/>
    </xf>
    <xf numFmtId="4" fontId="126" fillId="118" borderId="145" xfId="30" applyNumberFormat="1" applyFont="1" applyFill="1" applyBorder="1" applyAlignment="1">
      <alignment horizontal="center"/>
    </xf>
    <xf numFmtId="4" fontId="126" fillId="118" borderId="145" xfId="30" applyNumberFormat="1" applyFont="1" applyFill="1" applyBorder="1" applyAlignment="1" applyProtection="1">
      <alignment horizontal="center"/>
      <protection locked="0"/>
    </xf>
    <xf numFmtId="4" fontId="129" fillId="118" borderId="145" xfId="30" applyNumberFormat="1" applyFont="1" applyFill="1" applyBorder="1" applyAlignment="1" applyProtection="1">
      <alignment horizontal="center"/>
      <protection locked="0"/>
    </xf>
    <xf numFmtId="4" fontId="129" fillId="118" borderId="146" xfId="30" applyNumberFormat="1" applyFont="1" applyFill="1" applyBorder="1" applyAlignment="1" applyProtection="1">
      <alignment horizontal="center"/>
      <protection locked="0"/>
    </xf>
    <xf numFmtId="0" fontId="126" fillId="124" borderId="132" xfId="30" applyFont="1" applyFill="1" applyBorder="1" applyAlignment="1" applyProtection="1">
      <alignment horizontal="center"/>
      <protection locked="0"/>
    </xf>
    <xf numFmtId="4" fontId="126" fillId="124" borderId="132" xfId="30" applyNumberFormat="1" applyFont="1" applyFill="1" applyBorder="1" applyAlignment="1">
      <alignment horizontal="center"/>
    </xf>
    <xf numFmtId="4" fontId="126" fillId="124" borderId="132" xfId="30" applyNumberFormat="1" applyFont="1" applyFill="1" applyBorder="1" applyAlignment="1" applyProtection="1">
      <alignment horizontal="center"/>
      <protection locked="0"/>
    </xf>
    <xf numFmtId="4" fontId="129" fillId="124" borderId="132" xfId="30" applyNumberFormat="1" applyFont="1" applyFill="1" applyBorder="1" applyAlignment="1" applyProtection="1">
      <alignment horizontal="center"/>
      <protection locked="0"/>
    </xf>
    <xf numFmtId="4" fontId="129" fillId="124" borderId="144" xfId="30" applyNumberFormat="1" applyFont="1" applyFill="1" applyBorder="1" applyAlignment="1" applyProtection="1">
      <alignment horizontal="center"/>
      <protection locked="0"/>
    </xf>
    <xf numFmtId="0" fontId="126" fillId="130" borderId="145" xfId="30" applyFont="1" applyFill="1" applyBorder="1" applyAlignment="1" applyProtection="1">
      <alignment horizontal="center"/>
      <protection locked="0"/>
    </xf>
    <xf numFmtId="4" fontId="126" fillId="130" borderId="145" xfId="30" applyNumberFormat="1" applyFont="1" applyFill="1" applyBorder="1" applyAlignment="1">
      <alignment horizontal="center"/>
    </xf>
    <xf numFmtId="4" fontId="126" fillId="130" borderId="145" xfId="30" applyNumberFormat="1" applyFont="1" applyFill="1" applyBorder="1" applyAlignment="1" applyProtection="1">
      <alignment horizontal="center"/>
      <protection locked="0"/>
    </xf>
    <xf numFmtId="4" fontId="129" fillId="130" borderId="145" xfId="30" applyNumberFormat="1" applyFont="1" applyFill="1" applyBorder="1" applyAlignment="1" applyProtection="1">
      <alignment horizontal="center"/>
      <protection locked="0"/>
    </xf>
    <xf numFmtId="4" fontId="129" fillId="130" borderId="146" xfId="30" applyNumberFormat="1" applyFont="1" applyFill="1" applyBorder="1" applyAlignment="1" applyProtection="1">
      <alignment horizontal="center"/>
      <protection locked="0"/>
    </xf>
    <xf numFmtId="0" fontId="7" fillId="115" borderId="147" xfId="30" applyFont="1" applyFill="1" applyBorder="1" applyAlignment="1" applyProtection="1">
      <alignment horizontal="center"/>
      <protection locked="0"/>
    </xf>
    <xf numFmtId="0" fontId="7" fillId="115" borderId="142" xfId="30" applyFont="1" applyFill="1" applyBorder="1" applyAlignment="1" applyProtection="1">
      <alignment horizontal="center"/>
      <protection locked="0"/>
    </xf>
    <xf numFmtId="0" fontId="7" fillId="124" borderId="142" xfId="30" applyFont="1" applyFill="1" applyBorder="1" applyAlignment="1" applyProtection="1">
      <alignment horizontal="center"/>
      <protection locked="0"/>
    </xf>
    <xf numFmtId="0" fontId="7" fillId="114" borderId="150" xfId="30" applyFont="1" applyFill="1" applyBorder="1" applyAlignment="1" applyProtection="1">
      <alignment horizontal="center"/>
      <protection locked="0"/>
    </xf>
    <xf numFmtId="4" fontId="130" fillId="0" borderId="153" xfId="30" applyNumberFormat="1" applyFont="1" applyBorder="1" applyAlignment="1">
      <alignment horizontal="left"/>
    </xf>
    <xf numFmtId="3" fontId="131" fillId="0" borderId="153" xfId="30" applyNumberFormat="1" applyFont="1" applyBorder="1"/>
    <xf numFmtId="3" fontId="131" fillId="0" borderId="153" xfId="30" applyNumberFormat="1" applyFont="1" applyBorder="1" applyAlignment="1">
      <alignment horizontal="center"/>
    </xf>
    <xf numFmtId="3" fontId="131" fillId="0" borderId="153" xfId="30" applyNumberFormat="1" applyFont="1" applyBorder="1" applyProtection="1">
      <protection locked="0"/>
    </xf>
    <xf numFmtId="3" fontId="132" fillId="0" borderId="153" xfId="30" applyNumberFormat="1" applyFont="1" applyBorder="1" applyProtection="1">
      <protection locked="0"/>
    </xf>
    <xf numFmtId="3" fontId="132" fillId="0" borderId="154" xfId="30" applyNumberFormat="1" applyFont="1" applyBorder="1" applyProtection="1">
      <protection locked="0"/>
    </xf>
    <xf numFmtId="0" fontId="60" fillId="125" borderId="132" xfId="30" applyFont="1" applyFill="1" applyBorder="1" applyAlignment="1" applyProtection="1">
      <alignment horizontal="center"/>
      <protection locked="0"/>
    </xf>
    <xf numFmtId="0" fontId="122" fillId="125" borderId="132" xfId="30" applyFont="1" applyFill="1" applyBorder="1" applyAlignment="1" applyProtection="1">
      <alignment horizontal="center"/>
      <protection locked="0"/>
    </xf>
    <xf numFmtId="0" fontId="122" fillId="125" borderId="144" xfId="30" applyFont="1" applyFill="1" applyBorder="1" applyAlignment="1" applyProtection="1">
      <alignment horizontal="center"/>
      <protection locked="0"/>
    </xf>
    <xf numFmtId="4" fontId="117" fillId="125" borderId="132" xfId="30" applyNumberFormat="1" applyFont="1" applyFill="1" applyBorder="1" applyAlignment="1" applyProtection="1">
      <alignment horizontal="right"/>
      <protection locked="0"/>
    </xf>
    <xf numFmtId="4" fontId="117" fillId="125" borderId="132" xfId="32" applyNumberFormat="1" applyFont="1" applyFill="1" applyBorder="1" applyAlignment="1" applyProtection="1">
      <alignment horizontal="right"/>
      <protection locked="0"/>
    </xf>
    <xf numFmtId="4" fontId="124" fillId="125" borderId="132" xfId="30" applyNumberFormat="1" applyFont="1" applyFill="1" applyBorder="1" applyAlignment="1" applyProtection="1">
      <alignment horizontal="right"/>
      <protection locked="0"/>
    </xf>
    <xf numFmtId="4" fontId="124" fillId="125" borderId="144" xfId="30" applyNumberFormat="1" applyFont="1" applyFill="1" applyBorder="1" applyAlignment="1" applyProtection="1">
      <alignment horizontal="right"/>
      <protection locked="0"/>
    </xf>
    <xf numFmtId="4" fontId="60" fillId="125" borderId="132" xfId="30" applyNumberFormat="1" applyFont="1" applyFill="1" applyBorder="1" applyAlignment="1" applyProtection="1">
      <alignment horizontal="center"/>
      <protection locked="0"/>
    </xf>
    <xf numFmtId="4" fontId="122" fillId="125" borderId="132" xfId="30" applyNumberFormat="1" applyFont="1" applyFill="1" applyBorder="1" applyAlignment="1" applyProtection="1">
      <alignment horizontal="center"/>
      <protection locked="0"/>
    </xf>
    <xf numFmtId="4" fontId="122" fillId="125" borderId="144" xfId="30" applyNumberFormat="1" applyFont="1" applyFill="1" applyBorder="1" applyAlignment="1" applyProtection="1">
      <alignment horizontal="center"/>
      <protection locked="0"/>
    </xf>
    <xf numFmtId="4" fontId="7" fillId="125" borderId="132" xfId="30" applyNumberFormat="1" applyFont="1" applyFill="1" applyBorder="1" applyAlignment="1" applyProtection="1">
      <alignment horizontal="center"/>
      <protection locked="0"/>
    </xf>
    <xf numFmtId="4" fontId="123" fillId="125" borderId="145" xfId="30" applyNumberFormat="1" applyFont="1" applyFill="1" applyBorder="1" applyAlignment="1" applyProtection="1">
      <alignment horizontal="center"/>
      <protection locked="0"/>
    </xf>
    <xf numFmtId="4" fontId="7" fillId="125" borderId="145" xfId="30" applyNumberFormat="1" applyFont="1" applyFill="1" applyBorder="1" applyAlignment="1" applyProtection="1">
      <alignment horizontal="center"/>
      <protection locked="0"/>
    </xf>
    <xf numFmtId="4" fontId="123" fillId="125" borderId="146" xfId="30" applyNumberFormat="1" applyFont="1" applyFill="1" applyBorder="1" applyAlignment="1" applyProtection="1">
      <alignment horizontal="center"/>
      <protection locked="0"/>
    </xf>
    <xf numFmtId="0" fontId="133" fillId="0" borderId="155" xfId="30" applyFont="1" applyBorder="1" applyAlignment="1">
      <alignment horizontal="left"/>
    </xf>
    <xf numFmtId="4" fontId="130" fillId="125" borderId="155" xfId="30" applyNumberFormat="1" applyFont="1" applyFill="1" applyBorder="1" applyAlignment="1">
      <alignment horizontal="center"/>
    </xf>
    <xf numFmtId="0" fontId="133" fillId="5" borderId="155" xfId="33" applyFont="1" applyFill="1" applyBorder="1" applyAlignment="1">
      <alignment horizontal="left"/>
    </xf>
    <xf numFmtId="0" fontId="133" fillId="5" borderId="155" xfId="33" applyFont="1" applyFill="1" applyBorder="1" applyAlignment="1">
      <alignment horizontal="center"/>
    </xf>
    <xf numFmtId="0" fontId="133" fillId="5" borderId="156" xfId="33" applyFont="1" applyFill="1" applyBorder="1" applyAlignment="1">
      <alignment horizontal="left"/>
    </xf>
    <xf numFmtId="0" fontId="124" fillId="0" borderId="45" xfId="33" applyFont="1" applyBorder="1" applyAlignment="1">
      <alignment horizontal="left"/>
    </xf>
    <xf numFmtId="4" fontId="124" fillId="0" borderId="45" xfId="33" applyNumberFormat="1" applyFont="1" applyBorder="1" applyAlignment="1">
      <alignment horizontal="center"/>
    </xf>
    <xf numFmtId="0" fontId="130" fillId="0" borderId="157" xfId="34" applyFont="1" applyBorder="1" applyAlignment="1">
      <alignment horizontal="center"/>
    </xf>
    <xf numFmtId="4" fontId="7" fillId="125" borderId="155" xfId="30" applyNumberFormat="1" applyFont="1" applyFill="1" applyBorder="1" applyAlignment="1">
      <alignment horizontal="center"/>
    </xf>
    <xf numFmtId="4" fontId="7" fillId="125" borderId="155" xfId="30" applyNumberFormat="1" applyFont="1" applyFill="1" applyBorder="1" applyAlignment="1" applyProtection="1">
      <alignment horizontal="center"/>
      <protection locked="0"/>
    </xf>
    <xf numFmtId="164" fontId="118" fillId="125" borderId="157" xfId="34" applyNumberFormat="1" applyFont="1" applyFill="1" applyBorder="1" applyAlignment="1">
      <alignment horizontal="center"/>
    </xf>
    <xf numFmtId="4" fontId="7" fillId="125" borderId="156" xfId="30" applyNumberFormat="1" applyFont="1" applyFill="1" applyBorder="1" applyAlignment="1" applyProtection="1">
      <alignment horizontal="center"/>
      <protection locked="0"/>
    </xf>
    <xf numFmtId="4" fontId="123" fillId="0" borderId="33" xfId="30" applyNumberFormat="1" applyFont="1" applyBorder="1" applyAlignment="1" applyProtection="1">
      <alignment horizontal="center"/>
      <protection locked="0"/>
    </xf>
    <xf numFmtId="164" fontId="123" fillId="0" borderId="33" xfId="34" applyNumberFormat="1" applyFont="1" applyBorder="1" applyAlignment="1">
      <alignment horizontal="center"/>
    </xf>
    <xf numFmtId="0" fontId="117" fillId="0" borderId="155" xfId="30" applyFont="1" applyBorder="1" applyAlignment="1">
      <alignment horizontal="left"/>
    </xf>
    <xf numFmtId="0" fontId="124" fillId="0" borderId="155" xfId="30" applyFont="1" applyBorder="1" applyAlignment="1">
      <alignment horizontal="left"/>
    </xf>
    <xf numFmtId="4" fontId="117" fillId="0" borderId="157" xfId="30" applyNumberFormat="1" applyFont="1" applyBorder="1" applyAlignment="1">
      <alignment horizontal="right"/>
    </xf>
    <xf numFmtId="0" fontId="65" fillId="2" borderId="0" xfId="30" applyFont="1" applyFill="1"/>
    <xf numFmtId="2" fontId="65" fillId="2" borderId="0" xfId="30" applyNumberFormat="1" applyFont="1" applyFill="1"/>
    <xf numFmtId="0" fontId="115" fillId="116" borderId="157" xfId="30" applyFont="1" applyFill="1" applyBorder="1" applyAlignment="1">
      <alignment horizontal="center"/>
    </xf>
    <xf numFmtId="0" fontId="43" fillId="0" borderId="0" xfId="30" applyFont="1"/>
    <xf numFmtId="2" fontId="43" fillId="0" borderId="0" xfId="30" applyNumberFormat="1" applyFont="1"/>
    <xf numFmtId="0" fontId="134" fillId="0" borderId="0" xfId="30" applyFont="1"/>
    <xf numFmtId="4" fontId="10" fillId="0" borderId="0" xfId="30" applyNumberFormat="1"/>
    <xf numFmtId="4" fontId="10" fillId="0" borderId="158" xfId="30" applyNumberFormat="1" applyBorder="1" applyAlignment="1">
      <alignment horizontal="center"/>
    </xf>
    <xf numFmtId="4" fontId="135" fillId="0" borderId="158" xfId="30" applyNumberFormat="1" applyFont="1" applyBorder="1" applyAlignment="1">
      <alignment horizontal="center"/>
    </xf>
    <xf numFmtId="0" fontId="10" fillId="0" borderId="159" xfId="30" applyBorder="1"/>
    <xf numFmtId="0" fontId="7" fillId="0" borderId="159" xfId="30" applyFont="1" applyBorder="1"/>
    <xf numFmtId="0" fontId="7" fillId="0" borderId="159" xfId="30" applyFont="1" applyBorder="1" applyAlignment="1">
      <alignment horizontal="center"/>
    </xf>
    <xf numFmtId="0" fontId="10" fillId="0" borderId="159" xfId="30" applyBorder="1" applyAlignment="1">
      <alignment horizontal="center"/>
    </xf>
    <xf numFmtId="4" fontId="10" fillId="0" borderId="159" xfId="30" applyNumberFormat="1" applyBorder="1"/>
    <xf numFmtId="4" fontId="10" fillId="0" borderId="159" xfId="30" applyNumberFormat="1" applyBorder="1" applyAlignment="1">
      <alignment horizontal="center"/>
    </xf>
    <xf numFmtId="4" fontId="135" fillId="0" borderId="159" xfId="30" applyNumberFormat="1" applyFont="1" applyBorder="1" applyAlignment="1">
      <alignment horizontal="center"/>
    </xf>
    <xf numFmtId="0" fontId="10" fillId="0" borderId="159" xfId="30" applyBorder="1" applyAlignment="1">
      <alignment horizontal="left"/>
    </xf>
    <xf numFmtId="4" fontId="10" fillId="0" borderId="160" xfId="30" applyNumberFormat="1" applyBorder="1" applyAlignment="1">
      <alignment horizontal="center"/>
    </xf>
    <xf numFmtId="0" fontId="60" fillId="113" borderId="157" xfId="30" applyFont="1" applyFill="1" applyBorder="1" applyAlignment="1">
      <alignment horizontal="left"/>
    </xf>
    <xf numFmtId="164" fontId="60" fillId="113" borderId="157" xfId="35" applyFont="1" applyFill="1" applyBorder="1" applyAlignment="1">
      <alignment horizontal="left"/>
    </xf>
    <xf numFmtId="164" fontId="60" fillId="113" borderId="0" xfId="35" applyFont="1" applyFill="1" applyBorder="1" applyAlignment="1">
      <alignment horizontal="left"/>
    </xf>
    <xf numFmtId="0" fontId="44" fillId="0" borderId="0" xfId="36" applyFont="1" applyAlignment="1">
      <alignment horizontal="right"/>
    </xf>
    <xf numFmtId="0" fontId="1" fillId="20" borderId="0" xfId="36" applyFill="1" applyAlignment="1">
      <alignment horizontal="left"/>
    </xf>
    <xf numFmtId="164" fontId="7" fillId="2" borderId="161" xfId="35" applyFont="1" applyFill="1" applyBorder="1" applyAlignment="1">
      <alignment horizontal="center" vertical="center"/>
    </xf>
    <xf numFmtId="0" fontId="1" fillId="0" borderId="0" xfId="36"/>
    <xf numFmtId="0" fontId="114" fillId="113" borderId="157" xfId="30" applyFont="1" applyFill="1" applyBorder="1" applyAlignment="1">
      <alignment horizontal="left" vertical="center"/>
    </xf>
    <xf numFmtId="164" fontId="60" fillId="113" borderId="157" xfId="35" applyFont="1" applyFill="1" applyBorder="1" applyAlignment="1">
      <alignment horizontal="left" vertical="center"/>
    </xf>
    <xf numFmtId="164" fontId="60" fillId="113" borderId="0" xfId="35" applyFont="1" applyFill="1" applyBorder="1" applyAlignment="1">
      <alignment horizontal="left" vertical="center"/>
    </xf>
    <xf numFmtId="0" fontId="136" fillId="0" borderId="0" xfId="36" applyFont="1" applyAlignment="1">
      <alignment horizontal="center" vertical="center"/>
    </xf>
    <xf numFmtId="0" fontId="7" fillId="20" borderId="161" xfId="36" applyFont="1" applyFill="1" applyBorder="1" applyAlignment="1">
      <alignment horizontal="left" vertical="center"/>
    </xf>
    <xf numFmtId="164" fontId="7" fillId="7" borderId="161" xfId="35" applyFont="1" applyFill="1" applyBorder="1" applyAlignment="1">
      <alignment horizontal="center" vertical="center"/>
    </xf>
    <xf numFmtId="0" fontId="60" fillId="114" borderId="157" xfId="30" applyFont="1" applyFill="1" applyBorder="1" applyAlignment="1">
      <alignment horizontal="left"/>
    </xf>
    <xf numFmtId="164" fontId="60" fillId="114" borderId="157" xfId="35" applyFont="1" applyFill="1" applyBorder="1" applyAlignment="1">
      <alignment horizontal="left"/>
    </xf>
    <xf numFmtId="164" fontId="60" fillId="114" borderId="0" xfId="35" applyFont="1" applyFill="1" applyBorder="1" applyAlignment="1">
      <alignment horizontal="left"/>
    </xf>
    <xf numFmtId="2" fontId="44" fillId="0" borderId="0" xfId="36" applyNumberFormat="1" applyFont="1" applyAlignment="1">
      <alignment horizontal="right"/>
    </xf>
    <xf numFmtId="164" fontId="7" fillId="114" borderId="157" xfId="35" applyFont="1" applyFill="1" applyBorder="1" applyAlignment="1">
      <alignment horizontal="left"/>
    </xf>
    <xf numFmtId="0" fontId="7" fillId="115" borderId="157" xfId="30" applyFont="1" applyFill="1" applyBorder="1" applyAlignment="1">
      <alignment horizontal="left"/>
    </xf>
    <xf numFmtId="164" fontId="7" fillId="115" borderId="157" xfId="35" applyFont="1" applyFill="1" applyBorder="1" applyAlignment="1">
      <alignment horizontal="left"/>
    </xf>
    <xf numFmtId="164" fontId="7" fillId="115" borderId="0" xfId="35" applyFont="1" applyFill="1" applyBorder="1" applyAlignment="1">
      <alignment horizontal="left"/>
    </xf>
    <xf numFmtId="0" fontId="7" fillId="0" borderId="157" xfId="30" applyFont="1" applyBorder="1" applyAlignment="1">
      <alignment horizontal="left"/>
    </xf>
    <xf numFmtId="164" fontId="7" fillId="0" borderId="157" xfId="35" applyFont="1" applyFill="1" applyBorder="1" applyAlignment="1">
      <alignment horizontal="left"/>
    </xf>
    <xf numFmtId="164" fontId="7" fillId="0" borderId="0" xfId="35" applyFont="1" applyFill="1" applyBorder="1" applyAlignment="1">
      <alignment horizontal="left"/>
    </xf>
    <xf numFmtId="0" fontId="7" fillId="0" borderId="161" xfId="36" applyFont="1" applyBorder="1" applyAlignment="1">
      <alignment horizontal="left"/>
    </xf>
    <xf numFmtId="164" fontId="7" fillId="0" borderId="161" xfId="35" applyFont="1" applyFill="1" applyBorder="1" applyAlignment="1">
      <alignment horizontal="left"/>
    </xf>
    <xf numFmtId="0" fontId="115" fillId="116" borderId="157" xfId="30" applyFont="1" applyFill="1" applyBorder="1" applyAlignment="1">
      <alignment horizontal="left"/>
    </xf>
    <xf numFmtId="164" fontId="115" fillId="116" borderId="157" xfId="35" applyFont="1" applyFill="1" applyBorder="1" applyAlignment="1">
      <alignment horizontal="left"/>
    </xf>
    <xf numFmtId="164" fontId="115" fillId="116" borderId="0" xfId="35" applyFont="1" applyFill="1" applyBorder="1" applyAlignment="1">
      <alignment horizontal="left"/>
    </xf>
    <xf numFmtId="164" fontId="44" fillId="0" borderId="0" xfId="36" applyNumberFormat="1" applyFont="1" applyAlignment="1">
      <alignment horizontal="right"/>
    </xf>
    <xf numFmtId="0" fontId="121" fillId="77" borderId="161" xfId="36" applyFont="1" applyFill="1" applyBorder="1" applyAlignment="1">
      <alignment horizontal="left"/>
    </xf>
    <xf numFmtId="164" fontId="121" fillId="77" borderId="161" xfId="35" applyFont="1" applyFill="1" applyBorder="1"/>
    <xf numFmtId="0" fontId="116" fillId="116" borderId="157" xfId="30" applyFont="1" applyFill="1" applyBorder="1" applyAlignment="1">
      <alignment horizontal="left"/>
    </xf>
    <xf numFmtId="164" fontId="116" fillId="116" borderId="157" xfId="35" applyFont="1" applyFill="1" applyBorder="1" applyAlignment="1">
      <alignment horizontal="left"/>
    </xf>
    <xf numFmtId="164" fontId="116" fillId="116" borderId="0" xfId="35" applyFont="1" applyFill="1" applyBorder="1" applyAlignment="1">
      <alignment horizontal="left"/>
    </xf>
    <xf numFmtId="0" fontId="115" fillId="117" borderId="157" xfId="30" applyFont="1" applyFill="1" applyBorder="1" applyAlignment="1">
      <alignment horizontal="left"/>
    </xf>
    <xf numFmtId="164" fontId="115" fillId="117" borderId="157" xfId="35" applyFont="1" applyFill="1" applyBorder="1" applyAlignment="1">
      <alignment horizontal="left"/>
    </xf>
    <xf numFmtId="164" fontId="115" fillId="117" borderId="0" xfId="35" applyFont="1" applyFill="1" applyBorder="1" applyAlignment="1">
      <alignment horizontal="left"/>
    </xf>
    <xf numFmtId="0" fontId="7" fillId="98" borderId="161" xfId="36" applyFont="1" applyFill="1" applyBorder="1" applyAlignment="1">
      <alignment horizontal="left"/>
    </xf>
    <xf numFmtId="164" fontId="121" fillId="98" borderId="161" xfId="35" applyFont="1" applyFill="1" applyBorder="1"/>
    <xf numFmtId="0" fontId="115" fillId="0" borderId="157" xfId="30" applyFont="1" applyBorder="1" applyAlignment="1">
      <alignment horizontal="left"/>
    </xf>
    <xf numFmtId="164" fontId="115" fillId="0" borderId="157" xfId="35" applyFont="1" applyFill="1" applyBorder="1" applyAlignment="1">
      <alignment horizontal="left"/>
    </xf>
    <xf numFmtId="164" fontId="115" fillId="0" borderId="0" xfId="35" applyFont="1" applyFill="1" applyBorder="1" applyAlignment="1">
      <alignment horizontal="left"/>
    </xf>
    <xf numFmtId="0" fontId="7" fillId="132" borderId="161" xfId="36" applyFont="1" applyFill="1" applyBorder="1" applyAlignment="1">
      <alignment horizontal="left"/>
    </xf>
    <xf numFmtId="164" fontId="7" fillId="132" borderId="161" xfId="35" applyFont="1" applyFill="1" applyBorder="1" applyAlignment="1">
      <alignment horizontal="left"/>
    </xf>
    <xf numFmtId="0" fontId="117" fillId="118" borderId="157" xfId="30" applyFont="1" applyFill="1" applyBorder="1" applyAlignment="1">
      <alignment horizontal="left"/>
    </xf>
    <xf numFmtId="164" fontId="117" fillId="118" borderId="157" xfId="35" applyFont="1" applyFill="1" applyBorder="1" applyAlignment="1">
      <alignment horizontal="left"/>
    </xf>
    <xf numFmtId="164" fontId="117" fillId="118" borderId="0" xfId="35" applyFont="1" applyFill="1" applyBorder="1" applyAlignment="1">
      <alignment horizontal="left"/>
    </xf>
    <xf numFmtId="0" fontId="137" fillId="132" borderId="161" xfId="36" applyFont="1" applyFill="1" applyBorder="1" applyAlignment="1">
      <alignment horizontal="left"/>
    </xf>
    <xf numFmtId="164" fontId="137" fillId="132" borderId="161" xfId="35" applyFont="1" applyFill="1" applyBorder="1" applyAlignment="1">
      <alignment horizontal="left"/>
    </xf>
    <xf numFmtId="0" fontId="44" fillId="20" borderId="0" xfId="36" applyFont="1" applyFill="1" applyAlignment="1">
      <alignment horizontal="right"/>
    </xf>
    <xf numFmtId="0" fontId="39" fillId="132" borderId="161" xfId="36" applyFont="1" applyFill="1" applyBorder="1" applyAlignment="1">
      <alignment horizontal="left"/>
    </xf>
    <xf numFmtId="164" fontId="39" fillId="132" borderId="161" xfId="35" applyFont="1" applyFill="1" applyBorder="1"/>
    <xf numFmtId="0" fontId="7" fillId="19" borderId="161" xfId="36" applyFont="1" applyFill="1" applyBorder="1" applyAlignment="1">
      <alignment horizontal="left"/>
    </xf>
    <xf numFmtId="164" fontId="121" fillId="19" borderId="161" xfId="35" applyFont="1" applyFill="1" applyBorder="1"/>
    <xf numFmtId="0" fontId="61" fillId="117" borderId="157" xfId="30" applyFont="1" applyFill="1" applyBorder="1" applyAlignment="1">
      <alignment horizontal="left"/>
    </xf>
    <xf numFmtId="164" fontId="61" fillId="117" borderId="157" xfId="35" applyFont="1" applyFill="1" applyBorder="1" applyAlignment="1">
      <alignment horizontal="left"/>
    </xf>
    <xf numFmtId="9" fontId="61" fillId="117" borderId="0" xfId="37" applyFont="1" applyFill="1" applyBorder="1" applyAlignment="1">
      <alignment horizontal="left"/>
    </xf>
    <xf numFmtId="9" fontId="61" fillId="117" borderId="0" xfId="37" applyFont="1" applyFill="1" applyBorder="1" applyAlignment="1">
      <alignment horizontal="right"/>
    </xf>
    <xf numFmtId="0" fontId="117" fillId="117" borderId="157" xfId="30" applyFont="1" applyFill="1" applyBorder="1" applyAlignment="1">
      <alignment horizontal="left"/>
    </xf>
    <xf numFmtId="164" fontId="117" fillId="117" borderId="157" xfId="35" applyFont="1" applyFill="1" applyBorder="1" applyAlignment="1">
      <alignment horizontal="left"/>
    </xf>
    <xf numFmtId="164" fontId="117" fillId="117" borderId="0" xfId="35" applyFont="1" applyFill="1" applyBorder="1" applyAlignment="1">
      <alignment horizontal="left"/>
    </xf>
    <xf numFmtId="0" fontId="1" fillId="0" borderId="0" xfId="36" applyAlignment="1">
      <alignment horizontal="left"/>
    </xf>
    <xf numFmtId="164" fontId="0" fillId="0" borderId="0" xfId="35" applyFont="1"/>
    <xf numFmtId="0" fontId="39" fillId="0" borderId="161" xfId="36" applyFont="1" applyBorder="1" applyAlignment="1">
      <alignment horizontal="left"/>
    </xf>
    <xf numFmtId="164" fontId="39" fillId="0" borderId="161" xfId="35" applyFont="1" applyFill="1" applyBorder="1" applyAlignment="1">
      <alignment horizontal="left"/>
    </xf>
    <xf numFmtId="164" fontId="39" fillId="132" borderId="161" xfId="35" applyFont="1" applyFill="1" applyBorder="1" applyAlignment="1">
      <alignment horizontal="left"/>
    </xf>
    <xf numFmtId="0" fontId="115" fillId="119" borderId="157" xfId="30" applyFont="1" applyFill="1" applyBorder="1" applyAlignment="1">
      <alignment horizontal="left"/>
    </xf>
    <xf numFmtId="164" fontId="115" fillId="119" borderId="157" xfId="35" applyFont="1" applyFill="1" applyBorder="1" applyAlignment="1">
      <alignment horizontal="left"/>
    </xf>
    <xf numFmtId="164" fontId="118" fillId="119" borderId="0" xfId="35" applyFont="1" applyFill="1" applyBorder="1" applyAlignment="1">
      <alignment horizontal="left"/>
    </xf>
    <xf numFmtId="0" fontId="118" fillId="119" borderId="157" xfId="30" applyFont="1" applyFill="1" applyBorder="1" applyAlignment="1">
      <alignment horizontal="left"/>
    </xf>
    <xf numFmtId="164" fontId="118" fillId="119" borderId="157" xfId="35" applyFont="1" applyFill="1" applyBorder="1" applyAlignment="1">
      <alignment horizontal="left"/>
    </xf>
    <xf numFmtId="0" fontId="115" fillId="120" borderId="157" xfId="30" applyFont="1" applyFill="1" applyBorder="1" applyAlignment="1">
      <alignment horizontal="left"/>
    </xf>
    <xf numFmtId="164" fontId="115" fillId="120" borderId="157" xfId="35" applyFont="1" applyFill="1" applyBorder="1" applyAlignment="1">
      <alignment horizontal="left"/>
    </xf>
    <xf numFmtId="164" fontId="115" fillId="120" borderId="0" xfId="35" applyFont="1" applyFill="1" applyBorder="1" applyAlignment="1">
      <alignment horizontal="left"/>
    </xf>
    <xf numFmtId="0" fontId="116" fillId="120" borderId="157" xfId="30" applyFont="1" applyFill="1" applyBorder="1" applyAlignment="1">
      <alignment horizontal="left"/>
    </xf>
    <xf numFmtId="164" fontId="116" fillId="120" borderId="157" xfId="35" applyFont="1" applyFill="1" applyBorder="1" applyAlignment="1">
      <alignment horizontal="left"/>
    </xf>
    <xf numFmtId="164" fontId="116" fillId="120" borderId="0" xfId="35" applyFont="1" applyFill="1" applyBorder="1" applyAlignment="1">
      <alignment horizontal="left"/>
    </xf>
    <xf numFmtId="0" fontId="137" fillId="133" borderId="161" xfId="36" applyFont="1" applyFill="1" applyBorder="1" applyAlignment="1">
      <alignment horizontal="left"/>
    </xf>
    <xf numFmtId="164" fontId="137" fillId="133" borderId="161" xfId="35" applyFont="1" applyFill="1" applyBorder="1"/>
    <xf numFmtId="0" fontId="116" fillId="0" borderId="157" xfId="30" applyFont="1" applyBorder="1" applyAlignment="1">
      <alignment horizontal="left"/>
    </xf>
    <xf numFmtId="164" fontId="116" fillId="0" borderId="157" xfId="35" applyFont="1" applyFill="1" applyBorder="1" applyAlignment="1">
      <alignment horizontal="left"/>
    </xf>
    <xf numFmtId="164" fontId="116" fillId="0" borderId="0" xfId="35" applyFont="1" applyFill="1" applyBorder="1" applyAlignment="1">
      <alignment horizontal="left"/>
    </xf>
    <xf numFmtId="0" fontId="118" fillId="121" borderId="157" xfId="30" applyFont="1" applyFill="1" applyBorder="1" applyAlignment="1">
      <alignment horizontal="left"/>
    </xf>
    <xf numFmtId="164" fontId="118" fillId="121" borderId="157" xfId="35" applyFont="1" applyFill="1" applyBorder="1" applyAlignment="1">
      <alignment horizontal="left"/>
    </xf>
    <xf numFmtId="164" fontId="118" fillId="121" borderId="0" xfId="35" applyFont="1" applyFill="1" applyBorder="1" applyAlignment="1">
      <alignment horizontal="left"/>
    </xf>
    <xf numFmtId="0" fontId="39" fillId="133" borderId="161" xfId="36" applyFont="1" applyFill="1" applyBorder="1" applyAlignment="1">
      <alignment horizontal="left"/>
    </xf>
    <xf numFmtId="164" fontId="39" fillId="133" borderId="161" xfId="35" applyFont="1" applyFill="1" applyBorder="1"/>
    <xf numFmtId="0" fontId="117" fillId="113" borderId="157" xfId="30" applyFont="1" applyFill="1" applyBorder="1" applyAlignment="1">
      <alignment horizontal="left"/>
    </xf>
    <xf numFmtId="164" fontId="117" fillId="113" borderId="157" xfId="35" applyFont="1" applyFill="1" applyBorder="1" applyAlignment="1">
      <alignment horizontal="left"/>
    </xf>
    <xf numFmtId="164" fontId="117" fillId="113" borderId="0" xfId="35" applyFont="1" applyFill="1" applyBorder="1" applyAlignment="1">
      <alignment horizontal="left"/>
    </xf>
    <xf numFmtId="164" fontId="121" fillId="20" borderId="161" xfId="35" applyFont="1" applyFill="1" applyBorder="1"/>
    <xf numFmtId="0" fontId="117" fillId="0" borderId="157" xfId="30" applyFont="1" applyBorder="1" applyAlignment="1">
      <alignment horizontal="left"/>
    </xf>
    <xf numFmtId="164" fontId="117" fillId="0" borderId="157" xfId="35" applyFont="1" applyFill="1" applyBorder="1" applyAlignment="1">
      <alignment horizontal="left"/>
    </xf>
    <xf numFmtId="164" fontId="117" fillId="0" borderId="0" xfId="35" applyFont="1" applyFill="1" applyBorder="1" applyAlignment="1">
      <alignment horizontal="left"/>
    </xf>
    <xf numFmtId="0" fontId="7" fillId="113" borderId="157" xfId="30" applyFont="1" applyFill="1" applyBorder="1" applyAlignment="1">
      <alignment horizontal="left"/>
    </xf>
    <xf numFmtId="164" fontId="7" fillId="113" borderId="157" xfId="35" applyFont="1" applyFill="1" applyBorder="1" applyAlignment="1">
      <alignment horizontal="left"/>
    </xf>
    <xf numFmtId="164" fontId="7" fillId="113" borderId="0" xfId="35" applyFont="1" applyFill="1" applyBorder="1" applyAlignment="1">
      <alignment horizontal="left"/>
    </xf>
    <xf numFmtId="0" fontId="7" fillId="20" borderId="161" xfId="36" applyFont="1" applyFill="1" applyBorder="1" applyAlignment="1">
      <alignment horizontal="left"/>
    </xf>
    <xf numFmtId="164" fontId="7" fillId="20" borderId="161" xfId="35" applyFont="1" applyFill="1" applyBorder="1"/>
    <xf numFmtId="0" fontId="60" fillId="122" borderId="157" xfId="30" applyFont="1" applyFill="1" applyBorder="1" applyAlignment="1">
      <alignment horizontal="left"/>
    </xf>
    <xf numFmtId="164" fontId="60" fillId="122" borderId="157" xfId="35" applyFont="1" applyFill="1" applyBorder="1" applyAlignment="1">
      <alignment horizontal="left"/>
    </xf>
    <xf numFmtId="164" fontId="60" fillId="122" borderId="0" xfId="35" applyFont="1" applyFill="1" applyBorder="1" applyAlignment="1">
      <alignment horizontal="left"/>
    </xf>
    <xf numFmtId="164" fontId="121" fillId="134" borderId="161" xfId="35" applyFont="1" applyFill="1" applyBorder="1"/>
    <xf numFmtId="0" fontId="117" fillId="122" borderId="157" xfId="30" applyFont="1" applyFill="1" applyBorder="1" applyAlignment="1">
      <alignment horizontal="left"/>
    </xf>
    <xf numFmtId="164" fontId="117" fillId="122" borderId="157" xfId="35" applyFont="1" applyFill="1" applyBorder="1" applyAlignment="1">
      <alignment horizontal="left"/>
    </xf>
    <xf numFmtId="164" fontId="117" fillId="122" borderId="0" xfId="35" applyFont="1" applyFill="1" applyBorder="1" applyAlignment="1">
      <alignment horizontal="left"/>
    </xf>
    <xf numFmtId="0" fontId="121" fillId="61" borderId="161" xfId="36" applyFont="1" applyFill="1" applyBorder="1" applyAlignment="1">
      <alignment horizontal="left"/>
    </xf>
    <xf numFmtId="164" fontId="121" fillId="61" borderId="161" xfId="35" applyFont="1" applyFill="1" applyBorder="1"/>
    <xf numFmtId="0" fontId="119" fillId="122" borderId="157" xfId="30" applyFont="1" applyFill="1" applyBorder="1" applyAlignment="1">
      <alignment horizontal="left"/>
    </xf>
    <xf numFmtId="164" fontId="119" fillId="122" borderId="157" xfId="35" applyFont="1" applyFill="1" applyBorder="1" applyAlignment="1">
      <alignment horizontal="left"/>
    </xf>
    <xf numFmtId="164" fontId="119" fillId="122" borderId="0" xfId="35" applyFont="1" applyFill="1" applyBorder="1" applyAlignment="1">
      <alignment horizontal="left"/>
    </xf>
    <xf numFmtId="0" fontId="7" fillId="61" borderId="161" xfId="36" applyFont="1" applyFill="1" applyBorder="1" applyAlignment="1">
      <alignment horizontal="left"/>
    </xf>
    <xf numFmtId="164" fontId="7" fillId="61" borderId="161" xfId="35" applyFont="1" applyFill="1" applyBorder="1"/>
    <xf numFmtId="0" fontId="119" fillId="114" borderId="157" xfId="30" applyFont="1" applyFill="1" applyBorder="1" applyAlignment="1">
      <alignment horizontal="left"/>
    </xf>
    <xf numFmtId="164" fontId="119" fillId="114" borderId="157" xfId="35" applyFont="1" applyFill="1" applyBorder="1" applyAlignment="1">
      <alignment horizontal="left"/>
    </xf>
    <xf numFmtId="164" fontId="119" fillId="114" borderId="0" xfId="35" applyFont="1" applyFill="1" applyBorder="1" applyAlignment="1">
      <alignment horizontal="left"/>
    </xf>
    <xf numFmtId="0" fontId="7" fillId="135" borderId="161" xfId="36" applyFont="1" applyFill="1" applyBorder="1" applyAlignment="1">
      <alignment horizontal="left"/>
    </xf>
    <xf numFmtId="164" fontId="121" fillId="135" borderId="161" xfId="35" applyFont="1" applyFill="1" applyBorder="1"/>
    <xf numFmtId="0" fontId="7" fillId="126" borderId="157" xfId="30" applyFont="1" applyFill="1" applyBorder="1" applyAlignment="1">
      <alignment horizontal="left"/>
    </xf>
    <xf numFmtId="164" fontId="7" fillId="126" borderId="157" xfId="35" applyFont="1" applyFill="1" applyBorder="1" applyAlignment="1">
      <alignment horizontal="left"/>
    </xf>
    <xf numFmtId="164" fontId="7" fillId="126" borderId="0" xfId="35" applyFont="1" applyFill="1" applyBorder="1" applyAlignment="1">
      <alignment horizontal="left"/>
    </xf>
    <xf numFmtId="0" fontId="44" fillId="20" borderId="0" xfId="36" applyFont="1" applyFill="1" applyAlignment="1">
      <alignment horizontal="center"/>
    </xf>
    <xf numFmtId="0" fontId="121" fillId="80" borderId="161" xfId="36" applyFont="1" applyFill="1" applyBorder="1" applyAlignment="1">
      <alignment horizontal="left"/>
    </xf>
    <xf numFmtId="164" fontId="121" fillId="80" borderId="161" xfId="35" applyFont="1" applyFill="1" applyBorder="1"/>
    <xf numFmtId="0" fontId="7" fillId="136" borderId="157" xfId="30" applyFont="1" applyFill="1" applyBorder="1" applyAlignment="1">
      <alignment horizontal="left"/>
    </xf>
    <xf numFmtId="164" fontId="7" fillId="136" borderId="157" xfId="35" applyFont="1" applyFill="1" applyBorder="1" applyAlignment="1">
      <alignment horizontal="left"/>
    </xf>
    <xf numFmtId="164" fontId="7" fillId="136" borderId="0" xfId="35" applyFont="1" applyFill="1" applyBorder="1" applyAlignment="1">
      <alignment horizontal="left"/>
    </xf>
    <xf numFmtId="0" fontId="7" fillId="80" borderId="161" xfId="36" applyFont="1" applyFill="1" applyBorder="1" applyAlignment="1">
      <alignment horizontal="left"/>
    </xf>
    <xf numFmtId="164" fontId="7" fillId="80" borderId="161" xfId="35" applyFont="1" applyFill="1" applyBorder="1"/>
    <xf numFmtId="0" fontId="60" fillId="123" borderId="157" xfId="30" applyFont="1" applyFill="1" applyBorder="1" applyAlignment="1">
      <alignment horizontal="left"/>
    </xf>
    <xf numFmtId="164" fontId="60" fillId="123" borderId="157" xfId="35" applyFont="1" applyFill="1" applyBorder="1" applyAlignment="1">
      <alignment horizontal="left"/>
    </xf>
    <xf numFmtId="164" fontId="60" fillId="123" borderId="0" xfId="35" applyFont="1" applyFill="1" applyBorder="1" applyAlignment="1">
      <alignment horizontal="left"/>
    </xf>
    <xf numFmtId="0" fontId="117" fillId="123" borderId="157" xfId="30" applyFont="1" applyFill="1" applyBorder="1" applyAlignment="1">
      <alignment horizontal="left"/>
    </xf>
    <xf numFmtId="164" fontId="117" fillId="123" borderId="157" xfId="35" applyFont="1" applyFill="1" applyBorder="1" applyAlignment="1">
      <alignment horizontal="left"/>
    </xf>
    <xf numFmtId="164" fontId="117" fillId="123" borderId="0" xfId="35" applyFont="1" applyFill="1" applyBorder="1" applyAlignment="1">
      <alignment horizontal="left"/>
    </xf>
    <xf numFmtId="0" fontId="117" fillId="137" borderId="157" xfId="30" applyFont="1" applyFill="1" applyBorder="1" applyAlignment="1">
      <alignment horizontal="left"/>
    </xf>
    <xf numFmtId="164" fontId="117" fillId="137" borderId="157" xfId="35" applyFont="1" applyFill="1" applyBorder="1" applyAlignment="1">
      <alignment horizontal="left"/>
    </xf>
    <xf numFmtId="164" fontId="117" fillId="137" borderId="0" xfId="35" applyFont="1" applyFill="1" applyBorder="1" applyAlignment="1">
      <alignment horizontal="left"/>
    </xf>
    <xf numFmtId="0" fontId="7" fillId="123" borderId="157" xfId="30" applyFont="1" applyFill="1" applyBorder="1" applyAlignment="1">
      <alignment horizontal="left"/>
    </xf>
    <xf numFmtId="164" fontId="7" fillId="123" borderId="157" xfId="35" applyFont="1" applyFill="1" applyBorder="1" applyAlignment="1">
      <alignment horizontal="left"/>
    </xf>
    <xf numFmtId="164" fontId="7" fillId="123" borderId="0" xfId="35" applyFont="1" applyFill="1" applyBorder="1" applyAlignment="1">
      <alignment horizontal="left"/>
    </xf>
    <xf numFmtId="164" fontId="7" fillId="98" borderId="161" xfId="35" applyFont="1" applyFill="1" applyBorder="1"/>
    <xf numFmtId="0" fontId="60" fillId="118" borderId="157" xfId="30" applyFont="1" applyFill="1" applyBorder="1" applyAlignment="1">
      <alignment horizontal="left"/>
    </xf>
    <xf numFmtId="164" fontId="60" fillId="118" borderId="157" xfId="35" applyFont="1" applyFill="1" applyBorder="1" applyAlignment="1">
      <alignment horizontal="left"/>
    </xf>
    <xf numFmtId="164" fontId="60" fillId="118" borderId="0" xfId="35" applyFont="1" applyFill="1" applyBorder="1" applyAlignment="1">
      <alignment horizontal="left"/>
    </xf>
    <xf numFmtId="0" fontId="121" fillId="19" borderId="161" xfId="36" applyFont="1" applyFill="1" applyBorder="1" applyAlignment="1">
      <alignment horizontal="left"/>
    </xf>
    <xf numFmtId="0" fontId="121" fillId="98" borderId="161" xfId="36" applyFont="1" applyFill="1" applyBorder="1" applyAlignment="1">
      <alignment horizontal="left"/>
    </xf>
    <xf numFmtId="0" fontId="7" fillId="118" borderId="157" xfId="30" applyFont="1" applyFill="1" applyBorder="1" applyAlignment="1">
      <alignment horizontal="left"/>
    </xf>
    <xf numFmtId="164" fontId="7" fillId="118" borderId="157" xfId="35" applyFont="1" applyFill="1" applyBorder="1" applyAlignment="1">
      <alignment horizontal="left"/>
    </xf>
    <xf numFmtId="164" fontId="7" fillId="118" borderId="0" xfId="35" applyFont="1" applyFill="1" applyBorder="1" applyAlignment="1">
      <alignment horizontal="left"/>
    </xf>
    <xf numFmtId="164" fontId="7" fillId="19" borderId="161" xfId="35" applyFont="1" applyFill="1" applyBorder="1"/>
    <xf numFmtId="0" fontId="60" fillId="124" borderId="157" xfId="30" applyFont="1" applyFill="1" applyBorder="1" applyAlignment="1">
      <alignment horizontal="left"/>
    </xf>
    <xf numFmtId="164" fontId="60" fillId="124" borderId="157" xfId="35" applyFont="1" applyFill="1" applyBorder="1" applyAlignment="1">
      <alignment horizontal="left"/>
    </xf>
    <xf numFmtId="164" fontId="60" fillId="124" borderId="0" xfId="35" applyFont="1" applyFill="1" applyBorder="1" applyAlignment="1">
      <alignment horizontal="left"/>
    </xf>
    <xf numFmtId="164" fontId="121" fillId="0" borderId="161" xfId="35" applyFont="1" applyFill="1" applyBorder="1"/>
    <xf numFmtId="0" fontId="117" fillId="124" borderId="157" xfId="30" applyFont="1" applyFill="1" applyBorder="1" applyAlignment="1">
      <alignment horizontal="left"/>
    </xf>
    <xf numFmtId="164" fontId="117" fillId="124" borderId="157" xfId="35" applyFont="1" applyFill="1" applyBorder="1" applyAlignment="1">
      <alignment horizontal="left"/>
    </xf>
    <xf numFmtId="164" fontId="117" fillId="124" borderId="0" xfId="35" applyFont="1" applyFill="1" applyBorder="1" applyAlignment="1">
      <alignment horizontal="left"/>
    </xf>
    <xf numFmtId="0" fontId="121" fillId="138" borderId="161" xfId="36" applyFont="1" applyFill="1" applyBorder="1" applyAlignment="1">
      <alignment horizontal="left"/>
    </xf>
    <xf numFmtId="164" fontId="121" fillId="138" borderId="161" xfId="35" applyFont="1" applyFill="1" applyBorder="1"/>
    <xf numFmtId="0" fontId="7" fillId="124" borderId="157" xfId="30" applyFont="1" applyFill="1" applyBorder="1" applyAlignment="1">
      <alignment horizontal="left"/>
    </xf>
    <xf numFmtId="164" fontId="7" fillId="124" borderId="157" xfId="35" applyFont="1" applyFill="1" applyBorder="1" applyAlignment="1">
      <alignment horizontal="left"/>
    </xf>
    <xf numFmtId="164" fontId="7" fillId="124" borderId="0" xfId="35" applyFont="1" applyFill="1" applyBorder="1" applyAlignment="1">
      <alignment horizontal="left"/>
    </xf>
    <xf numFmtId="0" fontId="7" fillId="138" borderId="161" xfId="36" applyFont="1" applyFill="1" applyBorder="1" applyAlignment="1">
      <alignment horizontal="left"/>
    </xf>
    <xf numFmtId="164" fontId="7" fillId="138" borderId="161" xfId="35" applyFont="1" applyFill="1" applyBorder="1"/>
    <xf numFmtId="0" fontId="60" fillId="125" borderId="157" xfId="30" applyFont="1" applyFill="1" applyBorder="1" applyAlignment="1">
      <alignment horizontal="left"/>
    </xf>
    <xf numFmtId="164" fontId="60" fillId="125" borderId="157" xfId="35" applyFont="1" applyFill="1" applyBorder="1" applyAlignment="1">
      <alignment horizontal="left"/>
    </xf>
    <xf numFmtId="164" fontId="60" fillId="125" borderId="0" xfId="35" applyFont="1" applyFill="1" applyBorder="1" applyAlignment="1">
      <alignment horizontal="left"/>
    </xf>
    <xf numFmtId="0" fontId="61" fillId="125" borderId="157" xfId="30" applyFont="1" applyFill="1" applyBorder="1" applyAlignment="1">
      <alignment horizontal="left"/>
    </xf>
    <xf numFmtId="164" fontId="61" fillId="125" borderId="157" xfId="35" applyFont="1" applyFill="1" applyBorder="1" applyAlignment="1">
      <alignment horizontal="left"/>
    </xf>
    <xf numFmtId="164" fontId="61" fillId="125" borderId="0" xfId="35" applyFont="1" applyFill="1" applyBorder="1" applyAlignment="1">
      <alignment horizontal="left"/>
    </xf>
    <xf numFmtId="0" fontId="121" fillId="10" borderId="161" xfId="36" applyFont="1" applyFill="1" applyBorder="1" applyAlignment="1">
      <alignment horizontal="left"/>
    </xf>
    <xf numFmtId="164" fontId="121" fillId="10" borderId="161" xfId="35" applyFont="1" applyFill="1" applyBorder="1"/>
    <xf numFmtId="0" fontId="117" fillId="125" borderId="157" xfId="30" applyFont="1" applyFill="1" applyBorder="1" applyAlignment="1">
      <alignment horizontal="left"/>
    </xf>
    <xf numFmtId="164" fontId="117" fillId="125" borderId="157" xfId="35" applyFont="1" applyFill="1" applyBorder="1" applyAlignment="1">
      <alignment horizontal="left"/>
    </xf>
    <xf numFmtId="164" fontId="117" fillId="125" borderId="0" xfId="35" applyFont="1" applyFill="1" applyBorder="1" applyAlignment="1">
      <alignment horizontal="left"/>
    </xf>
    <xf numFmtId="0" fontId="7" fillId="125" borderId="157" xfId="30" applyFont="1" applyFill="1" applyBorder="1" applyAlignment="1">
      <alignment horizontal="left"/>
    </xf>
    <xf numFmtId="164" fontId="7" fillId="125" borderId="157" xfId="35" applyFont="1" applyFill="1" applyBorder="1" applyAlignment="1">
      <alignment horizontal="left"/>
    </xf>
    <xf numFmtId="164" fontId="7" fillId="125" borderId="0" xfId="35" applyFont="1" applyFill="1" applyBorder="1" applyAlignment="1">
      <alignment horizontal="left"/>
    </xf>
    <xf numFmtId="0" fontId="7" fillId="10" borderId="161" xfId="36" applyFont="1" applyFill="1" applyBorder="1" applyAlignment="1">
      <alignment horizontal="left"/>
    </xf>
    <xf numFmtId="164" fontId="7" fillId="10" borderId="161" xfId="35" applyFont="1" applyFill="1" applyBorder="1"/>
    <xf numFmtId="0" fontId="60" fillId="126" borderId="157" xfId="30" applyFont="1" applyFill="1" applyBorder="1" applyAlignment="1">
      <alignment horizontal="left"/>
    </xf>
    <xf numFmtId="164" fontId="60" fillId="126" borderId="157" xfId="35" applyFont="1" applyFill="1" applyBorder="1" applyAlignment="1">
      <alignment horizontal="left"/>
    </xf>
    <xf numFmtId="164" fontId="60" fillId="126" borderId="0" xfId="35" applyFont="1" applyFill="1" applyBorder="1" applyAlignment="1">
      <alignment horizontal="left"/>
    </xf>
    <xf numFmtId="0" fontId="117" fillId="126" borderId="157" xfId="30" applyFont="1" applyFill="1" applyBorder="1" applyAlignment="1">
      <alignment horizontal="left"/>
    </xf>
    <xf numFmtId="164" fontId="117" fillId="126" borderId="157" xfId="35" applyFont="1" applyFill="1" applyBorder="1" applyAlignment="1">
      <alignment horizontal="left"/>
    </xf>
    <xf numFmtId="164" fontId="117" fillId="126" borderId="0" xfId="35" applyFont="1" applyFill="1" applyBorder="1" applyAlignment="1">
      <alignment horizontal="left"/>
    </xf>
    <xf numFmtId="0" fontId="121" fillId="139" borderId="161" xfId="36" applyFont="1" applyFill="1" applyBorder="1" applyAlignment="1">
      <alignment horizontal="left"/>
    </xf>
    <xf numFmtId="164" fontId="121" fillId="139" borderId="161" xfId="35" applyFont="1" applyFill="1" applyBorder="1"/>
    <xf numFmtId="0" fontId="7" fillId="139" borderId="161" xfId="36" applyFont="1" applyFill="1" applyBorder="1" applyAlignment="1">
      <alignment horizontal="left"/>
    </xf>
    <xf numFmtId="164" fontId="7" fillId="139" borderId="161" xfId="35" applyFont="1" applyFill="1" applyBorder="1"/>
    <xf numFmtId="0" fontId="60" fillId="117" borderId="157" xfId="30" applyFont="1" applyFill="1" applyBorder="1" applyAlignment="1">
      <alignment horizontal="left"/>
    </xf>
    <xf numFmtId="164" fontId="60" fillId="117" borderId="157" xfId="35" applyFont="1" applyFill="1" applyBorder="1" applyAlignment="1">
      <alignment horizontal="left"/>
    </xf>
    <xf numFmtId="164" fontId="60" fillId="117" borderId="0" xfId="35" applyFont="1" applyFill="1" applyBorder="1" applyAlignment="1">
      <alignment horizontal="left"/>
    </xf>
    <xf numFmtId="0" fontId="121" fillId="140" borderId="161" xfId="36" applyFont="1" applyFill="1" applyBorder="1" applyAlignment="1">
      <alignment horizontal="left"/>
    </xf>
    <xf numFmtId="164" fontId="121" fillId="140" borderId="161" xfId="35" applyFont="1" applyFill="1" applyBorder="1"/>
    <xf numFmtId="165" fontId="117" fillId="117" borderId="0" xfId="37" applyNumberFormat="1" applyFont="1" applyFill="1" applyBorder="1" applyAlignment="1">
      <alignment horizontal="left"/>
    </xf>
    <xf numFmtId="0" fontId="7" fillId="117" borderId="157" xfId="30" applyFont="1" applyFill="1" applyBorder="1" applyAlignment="1">
      <alignment horizontal="left"/>
    </xf>
    <xf numFmtId="164" fontId="7" fillId="117" borderId="157" xfId="35" applyFont="1" applyFill="1" applyBorder="1" applyAlignment="1">
      <alignment horizontal="left"/>
    </xf>
    <xf numFmtId="164" fontId="7" fillId="117" borderId="0" xfId="35" applyFont="1" applyFill="1" applyBorder="1" applyAlignment="1">
      <alignment horizontal="left"/>
    </xf>
    <xf numFmtId="0" fontId="7" fillId="141" borderId="161" xfId="36" applyFont="1" applyFill="1" applyBorder="1" applyAlignment="1">
      <alignment horizontal="left"/>
    </xf>
    <xf numFmtId="164" fontId="7" fillId="141" borderId="161" xfId="35" applyFont="1" applyFill="1" applyBorder="1"/>
    <xf numFmtId="0" fontId="60" fillId="127" borderId="157" xfId="30" applyFont="1" applyFill="1" applyBorder="1" applyAlignment="1">
      <alignment horizontal="left"/>
    </xf>
    <xf numFmtId="164" fontId="60" fillId="127" borderId="157" xfId="35" applyFont="1" applyFill="1" applyBorder="1" applyAlignment="1">
      <alignment horizontal="left"/>
    </xf>
    <xf numFmtId="164" fontId="60" fillId="127" borderId="0" xfId="35" applyFont="1" applyFill="1" applyBorder="1" applyAlignment="1">
      <alignment horizontal="left"/>
    </xf>
    <xf numFmtId="0" fontId="117" fillId="127" borderId="157" xfId="30" applyFont="1" applyFill="1" applyBorder="1" applyAlignment="1">
      <alignment horizontal="left"/>
    </xf>
    <xf numFmtId="164" fontId="117" fillId="127" borderId="157" xfId="35" applyFont="1" applyFill="1" applyBorder="1" applyAlignment="1">
      <alignment horizontal="left"/>
    </xf>
    <xf numFmtId="164" fontId="117" fillId="127" borderId="0" xfId="35" applyFont="1" applyFill="1" applyBorder="1" applyAlignment="1">
      <alignment horizontal="left"/>
    </xf>
    <xf numFmtId="0" fontId="121" fillId="142" borderId="161" xfId="36" applyFont="1" applyFill="1" applyBorder="1" applyAlignment="1">
      <alignment horizontal="left"/>
    </xf>
    <xf numFmtId="164" fontId="121" fillId="142" borderId="161" xfId="35" applyFont="1" applyFill="1" applyBorder="1"/>
    <xf numFmtId="0" fontId="7" fillId="127" borderId="157" xfId="30" applyFont="1" applyFill="1" applyBorder="1" applyAlignment="1">
      <alignment horizontal="left"/>
    </xf>
    <xf numFmtId="164" fontId="7" fillId="127" borderId="157" xfId="35" applyFont="1" applyFill="1" applyBorder="1" applyAlignment="1">
      <alignment horizontal="left"/>
    </xf>
    <xf numFmtId="164" fontId="7" fillId="127" borderId="0" xfId="35" applyFont="1" applyFill="1" applyBorder="1" applyAlignment="1">
      <alignment horizontal="left"/>
    </xf>
    <xf numFmtId="0" fontId="7" fillId="142" borderId="161" xfId="36" applyFont="1" applyFill="1" applyBorder="1" applyAlignment="1">
      <alignment horizontal="left"/>
    </xf>
    <xf numFmtId="164" fontId="7" fillId="142" borderId="161" xfId="35" applyFont="1" applyFill="1" applyBorder="1"/>
    <xf numFmtId="0" fontId="60" fillId="128" borderId="157" xfId="30" applyFont="1" applyFill="1" applyBorder="1" applyAlignment="1">
      <alignment horizontal="left"/>
    </xf>
    <xf numFmtId="164" fontId="60" fillId="128" borderId="157" xfId="35" applyFont="1" applyFill="1" applyBorder="1" applyAlignment="1">
      <alignment horizontal="left"/>
    </xf>
    <xf numFmtId="164" fontId="60" fillId="128" borderId="0" xfId="35" applyFont="1" applyFill="1" applyBorder="1" applyAlignment="1">
      <alignment horizontal="left"/>
    </xf>
    <xf numFmtId="0" fontId="61" fillId="128" borderId="157" xfId="30" applyFont="1" applyFill="1" applyBorder="1" applyAlignment="1">
      <alignment horizontal="left"/>
    </xf>
    <xf numFmtId="164" fontId="61" fillId="128" borderId="157" xfId="35" applyFont="1" applyFill="1" applyBorder="1" applyAlignment="1">
      <alignment horizontal="left"/>
    </xf>
    <xf numFmtId="9" fontId="61" fillId="128" borderId="0" xfId="37" applyFont="1" applyFill="1" applyBorder="1" applyAlignment="1">
      <alignment horizontal="left"/>
    </xf>
    <xf numFmtId="0" fontId="121" fillId="143" borderId="161" xfId="36" applyFont="1" applyFill="1" applyBorder="1" applyAlignment="1">
      <alignment horizontal="left"/>
    </xf>
    <xf numFmtId="164" fontId="121" fillId="143" borderId="161" xfId="35" applyFont="1" applyFill="1" applyBorder="1"/>
    <xf numFmtId="9" fontId="61" fillId="128" borderId="0" xfId="37" applyFont="1" applyFill="1" applyBorder="1" applyAlignment="1">
      <alignment horizontal="right"/>
    </xf>
    <xf numFmtId="164" fontId="7" fillId="0" borderId="161" xfId="35" applyFont="1" applyFill="1" applyBorder="1"/>
    <xf numFmtId="164" fontId="7" fillId="0" borderId="161" xfId="36" applyNumberFormat="1" applyFont="1" applyBorder="1" applyAlignment="1">
      <alignment horizontal="left"/>
    </xf>
    <xf numFmtId="0" fontId="7" fillId="128" borderId="157" xfId="30" applyFont="1" applyFill="1" applyBorder="1" applyAlignment="1">
      <alignment horizontal="left"/>
    </xf>
    <xf numFmtId="164" fontId="7" fillId="128" borderId="157" xfId="35" applyFont="1" applyFill="1" applyBorder="1" applyAlignment="1">
      <alignment horizontal="left"/>
    </xf>
    <xf numFmtId="164" fontId="7" fillId="128" borderId="0" xfId="35" applyFont="1" applyFill="1" applyBorder="1" applyAlignment="1">
      <alignment horizontal="left"/>
    </xf>
    <xf numFmtId="0" fontId="7" fillId="143" borderId="161" xfId="36" applyFont="1" applyFill="1" applyBorder="1" applyAlignment="1">
      <alignment horizontal="left"/>
    </xf>
    <xf numFmtId="164" fontId="7" fillId="143" borderId="161" xfId="35" applyFont="1" applyFill="1" applyBorder="1"/>
    <xf numFmtId="9" fontId="117" fillId="126" borderId="0" xfId="37" applyFont="1" applyFill="1" applyBorder="1" applyAlignment="1">
      <alignment horizontal="left"/>
    </xf>
    <xf numFmtId="164" fontId="115" fillId="119" borderId="0" xfId="35" applyFont="1" applyFill="1" applyBorder="1" applyAlignment="1">
      <alignment horizontal="left"/>
    </xf>
    <xf numFmtId="0" fontId="116" fillId="119" borderId="157" xfId="30" applyFont="1" applyFill="1" applyBorder="1" applyAlignment="1">
      <alignment horizontal="left"/>
    </xf>
    <xf numFmtId="164" fontId="116" fillId="119" borderId="157" xfId="35" applyFont="1" applyFill="1" applyBorder="1" applyAlignment="1">
      <alignment horizontal="left"/>
    </xf>
    <xf numFmtId="9" fontId="116" fillId="119" borderId="0" xfId="37" applyFont="1" applyFill="1" applyBorder="1" applyAlignment="1">
      <alignment horizontal="left"/>
    </xf>
    <xf numFmtId="9" fontId="116" fillId="119" borderId="0" xfId="37" applyFont="1" applyFill="1" applyBorder="1" applyAlignment="1">
      <alignment horizontal="right"/>
    </xf>
    <xf numFmtId="0" fontId="121" fillId="20" borderId="161" xfId="36" applyFont="1" applyFill="1" applyBorder="1" applyAlignment="1">
      <alignment horizontal="left"/>
    </xf>
    <xf numFmtId="0" fontId="60" fillId="129" borderId="157" xfId="30" applyFont="1" applyFill="1" applyBorder="1" applyAlignment="1">
      <alignment horizontal="left"/>
    </xf>
    <xf numFmtId="164" fontId="60" fillId="129" borderId="157" xfId="35" applyFont="1" applyFill="1" applyBorder="1" applyAlignment="1">
      <alignment horizontal="left"/>
    </xf>
    <xf numFmtId="164" fontId="60" fillId="129" borderId="0" xfId="35" applyFont="1" applyFill="1" applyBorder="1" applyAlignment="1">
      <alignment horizontal="left"/>
    </xf>
    <xf numFmtId="0" fontId="117" fillId="129" borderId="157" xfId="30" applyFont="1" applyFill="1" applyBorder="1" applyAlignment="1">
      <alignment horizontal="left"/>
    </xf>
    <xf numFmtId="164" fontId="117" fillId="129" borderId="157" xfId="35" applyFont="1" applyFill="1" applyBorder="1" applyAlignment="1">
      <alignment horizontal="left"/>
    </xf>
    <xf numFmtId="164" fontId="117" fillId="129" borderId="0" xfId="35" applyFont="1" applyFill="1" applyBorder="1" applyAlignment="1">
      <alignment horizontal="left"/>
    </xf>
    <xf numFmtId="0" fontId="137" fillId="0" borderId="161" xfId="36" applyFont="1" applyBorder="1" applyAlignment="1">
      <alignment horizontal="left"/>
    </xf>
    <xf numFmtId="164" fontId="137" fillId="0" borderId="161" xfId="35" applyFont="1" applyFill="1" applyBorder="1"/>
    <xf numFmtId="0" fontId="7" fillId="129" borderId="157" xfId="30" applyFont="1" applyFill="1" applyBorder="1" applyAlignment="1">
      <alignment horizontal="left"/>
    </xf>
    <xf numFmtId="164" fontId="7" fillId="129" borderId="157" xfId="35" applyFont="1" applyFill="1" applyBorder="1" applyAlignment="1">
      <alignment horizontal="left"/>
    </xf>
    <xf numFmtId="164" fontId="7" fillId="129" borderId="0" xfId="35" applyFont="1" applyFill="1" applyBorder="1" applyAlignment="1">
      <alignment horizontal="left"/>
    </xf>
    <xf numFmtId="0" fontId="60" fillId="130" borderId="157" xfId="30" applyFont="1" applyFill="1" applyBorder="1" applyAlignment="1">
      <alignment horizontal="left"/>
    </xf>
    <xf numFmtId="164" fontId="60" fillId="130" borderId="157" xfId="35" applyFont="1" applyFill="1" applyBorder="1" applyAlignment="1">
      <alignment horizontal="left"/>
    </xf>
    <xf numFmtId="164" fontId="60" fillId="130" borderId="0" xfId="35" applyFont="1" applyFill="1" applyBorder="1" applyAlignment="1">
      <alignment horizontal="left"/>
    </xf>
    <xf numFmtId="0" fontId="117" fillId="130" borderId="157" xfId="30" applyFont="1" applyFill="1" applyBorder="1" applyAlignment="1">
      <alignment horizontal="left"/>
    </xf>
    <xf numFmtId="164" fontId="117" fillId="130" borderId="157" xfId="35" applyFont="1" applyFill="1" applyBorder="1" applyAlignment="1">
      <alignment horizontal="left"/>
    </xf>
    <xf numFmtId="164" fontId="117" fillId="130" borderId="0" xfId="35" applyFont="1" applyFill="1" applyBorder="1" applyAlignment="1">
      <alignment horizontal="left"/>
    </xf>
    <xf numFmtId="0" fontId="121" fillId="0" borderId="161" xfId="36" applyFont="1" applyBorder="1" applyAlignment="1">
      <alignment horizontal="left"/>
    </xf>
    <xf numFmtId="9" fontId="117" fillId="130" borderId="0" xfId="6" applyFont="1" applyFill="1" applyBorder="1" applyAlignment="1">
      <alignment horizontal="right"/>
    </xf>
    <xf numFmtId="164" fontId="44" fillId="18" borderId="0" xfId="36" applyNumberFormat="1" applyFont="1" applyFill="1" applyAlignment="1">
      <alignment horizontal="right"/>
    </xf>
    <xf numFmtId="9" fontId="117" fillId="130" borderId="0" xfId="6" applyFont="1" applyFill="1" applyBorder="1" applyAlignment="1">
      <alignment horizontal="left"/>
    </xf>
    <xf numFmtId="0" fontId="117" fillId="130" borderId="157" xfId="30" applyFont="1" applyFill="1" applyBorder="1" applyAlignment="1" applyProtection="1">
      <alignment horizontal="left"/>
      <protection locked="0"/>
    </xf>
    <xf numFmtId="164" fontId="117" fillId="130" borderId="157" xfId="35" applyFont="1" applyFill="1" applyBorder="1" applyAlignment="1" applyProtection="1">
      <alignment horizontal="left"/>
      <protection locked="0"/>
    </xf>
    <xf numFmtId="164" fontId="117" fillId="130" borderId="0" xfId="35" applyFont="1" applyFill="1" applyBorder="1" applyAlignment="1" applyProtection="1">
      <alignment horizontal="left"/>
      <protection locked="0"/>
    </xf>
    <xf numFmtId="9" fontId="60" fillId="130" borderId="0" xfId="37" applyFont="1" applyFill="1" applyBorder="1" applyAlignment="1">
      <alignment horizontal="left"/>
    </xf>
    <xf numFmtId="9" fontId="60" fillId="130" borderId="0" xfId="37" applyFont="1" applyFill="1" applyBorder="1" applyAlignment="1">
      <alignment horizontal="right"/>
    </xf>
    <xf numFmtId="4" fontId="7" fillId="130" borderId="162" xfId="30" applyNumberFormat="1" applyFont="1" applyFill="1" applyBorder="1" applyAlignment="1">
      <alignment horizontal="left"/>
    </xf>
    <xf numFmtId="164" fontId="7" fillId="130" borderId="162" xfId="35" applyFont="1" applyFill="1" applyBorder="1" applyAlignment="1">
      <alignment horizontal="left"/>
    </xf>
    <xf numFmtId="164" fontId="7" fillId="130" borderId="0" xfId="35" applyFont="1" applyFill="1" applyBorder="1" applyAlignment="1">
      <alignment horizontal="left"/>
    </xf>
    <xf numFmtId="0" fontId="7" fillId="115" borderId="147" xfId="30" applyFont="1" applyFill="1" applyBorder="1" applyAlignment="1">
      <alignment horizontal="left"/>
    </xf>
    <xf numFmtId="164" fontId="7" fillId="115" borderId="147" xfId="35" applyFont="1" applyFill="1" applyBorder="1" applyAlignment="1">
      <alignment horizontal="left"/>
    </xf>
    <xf numFmtId="0" fontId="7" fillId="29" borderId="161" xfId="36" applyFont="1" applyFill="1" applyBorder="1" applyAlignment="1">
      <alignment horizontal="left"/>
    </xf>
    <xf numFmtId="164" fontId="7" fillId="29" borderId="161" xfId="35" applyFont="1" applyFill="1" applyBorder="1"/>
    <xf numFmtId="0" fontId="7" fillId="115" borderId="163" xfId="30" applyFont="1" applyFill="1" applyBorder="1" applyAlignment="1">
      <alignment horizontal="left"/>
    </xf>
    <xf numFmtId="164" fontId="7" fillId="115" borderId="163" xfId="35" applyFont="1" applyFill="1" applyBorder="1" applyAlignment="1">
      <alignment horizontal="left"/>
    </xf>
    <xf numFmtId="0" fontId="7" fillId="124" borderId="163" xfId="30" applyFont="1" applyFill="1" applyBorder="1" applyAlignment="1">
      <alignment horizontal="left"/>
    </xf>
    <xf numFmtId="164" fontId="7" fillId="124" borderId="163" xfId="35" applyFont="1" applyFill="1" applyBorder="1" applyAlignment="1">
      <alignment horizontal="left"/>
    </xf>
    <xf numFmtId="0" fontId="7" fillId="114" borderId="164" xfId="30" applyFont="1" applyFill="1" applyBorder="1" applyAlignment="1">
      <alignment horizontal="left"/>
    </xf>
    <xf numFmtId="164" fontId="7" fillId="114" borderId="164" xfId="35" applyFont="1" applyFill="1" applyBorder="1" applyAlignment="1">
      <alignment horizontal="left"/>
    </xf>
    <xf numFmtId="164" fontId="7" fillId="114" borderId="0" xfId="35" applyFont="1" applyFill="1" applyBorder="1" applyAlignment="1">
      <alignment horizontal="left"/>
    </xf>
    <xf numFmtId="0" fontId="126" fillId="118" borderId="153" xfId="30" applyFont="1" applyFill="1" applyBorder="1" applyAlignment="1" applyProtection="1">
      <alignment horizontal="left"/>
      <protection locked="0"/>
    </xf>
    <xf numFmtId="164" fontId="126" fillId="118" borderId="153" xfId="35" applyFont="1" applyFill="1" applyBorder="1" applyAlignment="1" applyProtection="1">
      <alignment horizontal="left"/>
      <protection locked="0"/>
    </xf>
    <xf numFmtId="164" fontId="126" fillId="118" borderId="0" xfId="35" applyFont="1" applyFill="1" applyBorder="1" applyAlignment="1" applyProtection="1">
      <alignment horizontal="left"/>
      <protection locked="0"/>
    </xf>
    <xf numFmtId="0" fontId="127" fillId="118" borderId="157" xfId="30" applyFont="1" applyFill="1" applyBorder="1" applyAlignment="1" applyProtection="1">
      <alignment horizontal="left"/>
      <protection locked="0"/>
    </xf>
    <xf numFmtId="164" fontId="127" fillId="118" borderId="157" xfId="35" applyFont="1" applyFill="1" applyBorder="1" applyAlignment="1" applyProtection="1">
      <alignment horizontal="left"/>
      <protection locked="0"/>
    </xf>
    <xf numFmtId="164" fontId="127" fillId="118" borderId="0" xfId="35" applyFont="1" applyFill="1" applyBorder="1" applyAlignment="1" applyProtection="1">
      <alignment horizontal="left"/>
      <protection locked="0"/>
    </xf>
    <xf numFmtId="0" fontId="126" fillId="118" borderId="165" xfId="30" applyFont="1" applyFill="1" applyBorder="1" applyAlignment="1" applyProtection="1">
      <alignment horizontal="left"/>
      <protection locked="0"/>
    </xf>
    <xf numFmtId="164" fontId="126" fillId="118" borderId="165" xfId="35" applyFont="1" applyFill="1" applyBorder="1" applyAlignment="1" applyProtection="1">
      <alignment horizontal="left"/>
      <protection locked="0"/>
    </xf>
    <xf numFmtId="0" fontId="126" fillId="124" borderId="157" xfId="30" applyFont="1" applyFill="1" applyBorder="1" applyAlignment="1" applyProtection="1">
      <alignment horizontal="left"/>
      <protection locked="0"/>
    </xf>
    <xf numFmtId="164" fontId="126" fillId="124" borderId="157" xfId="35" applyFont="1" applyFill="1" applyBorder="1" applyAlignment="1" applyProtection="1">
      <alignment horizontal="left"/>
      <protection locked="0"/>
    </xf>
    <xf numFmtId="164" fontId="126" fillId="124" borderId="0" xfId="35" applyFont="1" applyFill="1" applyBorder="1" applyAlignment="1" applyProtection="1">
      <alignment horizontal="left"/>
      <protection locked="0"/>
    </xf>
    <xf numFmtId="0" fontId="126" fillId="130" borderId="165" xfId="30" applyFont="1" applyFill="1" applyBorder="1" applyAlignment="1" applyProtection="1">
      <alignment horizontal="left"/>
      <protection locked="0"/>
    </xf>
    <xf numFmtId="164" fontId="126" fillId="130" borderId="165" xfId="35" applyFont="1" applyFill="1" applyBorder="1" applyAlignment="1" applyProtection="1">
      <alignment horizontal="left"/>
      <protection locked="0"/>
    </xf>
    <xf numFmtId="164" fontId="126" fillId="130" borderId="0" xfId="35" applyFont="1" applyFill="1" applyBorder="1" applyAlignment="1" applyProtection="1">
      <alignment horizontal="left"/>
      <protection locked="0"/>
    </xf>
    <xf numFmtId="0" fontId="7" fillId="115" borderId="147" xfId="30" applyFont="1" applyFill="1" applyBorder="1" applyAlignment="1" applyProtection="1">
      <alignment horizontal="left"/>
      <protection locked="0"/>
    </xf>
    <xf numFmtId="164" fontId="7" fillId="115" borderId="147" xfId="35" applyFont="1" applyFill="1" applyBorder="1" applyAlignment="1" applyProtection="1">
      <alignment horizontal="left"/>
      <protection locked="0"/>
    </xf>
    <xf numFmtId="164" fontId="7" fillId="115" borderId="0" xfId="35" applyFont="1" applyFill="1" applyBorder="1" applyAlignment="1" applyProtection="1">
      <alignment horizontal="left"/>
      <protection locked="0"/>
    </xf>
    <xf numFmtId="0" fontId="7" fillId="115" borderId="163" xfId="30" applyFont="1" applyFill="1" applyBorder="1" applyAlignment="1" applyProtection="1">
      <alignment horizontal="left"/>
      <protection locked="0"/>
    </xf>
    <xf numFmtId="164" fontId="7" fillId="115" borderId="163" xfId="35" applyFont="1" applyFill="1" applyBorder="1" applyAlignment="1" applyProtection="1">
      <alignment horizontal="left"/>
      <protection locked="0"/>
    </xf>
    <xf numFmtId="0" fontId="7" fillId="124" borderId="163" xfId="30" applyFont="1" applyFill="1" applyBorder="1" applyAlignment="1" applyProtection="1">
      <alignment horizontal="left"/>
      <protection locked="0"/>
    </xf>
    <xf numFmtId="164" fontId="7" fillId="124" borderId="163" xfId="35" applyFont="1" applyFill="1" applyBorder="1" applyAlignment="1" applyProtection="1">
      <alignment horizontal="left"/>
      <protection locked="0"/>
    </xf>
    <xf numFmtId="164" fontId="7" fillId="124" borderId="0" xfId="35" applyFont="1" applyFill="1" applyBorder="1" applyAlignment="1" applyProtection="1">
      <alignment horizontal="left"/>
      <protection locked="0"/>
    </xf>
    <xf numFmtId="0" fontId="7" fillId="114" borderId="164" xfId="30" applyFont="1" applyFill="1" applyBorder="1" applyAlignment="1" applyProtection="1">
      <alignment horizontal="left"/>
      <protection locked="0"/>
    </xf>
    <xf numFmtId="164" fontId="7" fillId="114" borderId="164" xfId="35" applyFont="1" applyFill="1" applyBorder="1" applyAlignment="1" applyProtection="1">
      <alignment horizontal="left"/>
      <protection locked="0"/>
    </xf>
    <xf numFmtId="164" fontId="7" fillId="114" borderId="0" xfId="35" applyFont="1" applyFill="1" applyBorder="1" applyAlignment="1" applyProtection="1">
      <alignment horizontal="left"/>
      <protection locked="0"/>
    </xf>
    <xf numFmtId="164" fontId="44" fillId="0" borderId="0" xfId="35" applyFont="1" applyAlignment="1">
      <alignment horizontal="right"/>
    </xf>
    <xf numFmtId="4" fontId="7" fillId="0" borderId="153" xfId="30" applyNumberFormat="1" applyFont="1" applyBorder="1" applyAlignment="1">
      <alignment horizontal="left"/>
    </xf>
    <xf numFmtId="164" fontId="7" fillId="0" borderId="153" xfId="35" applyFont="1" applyFill="1" applyBorder="1" applyAlignment="1">
      <alignment horizontal="left"/>
    </xf>
    <xf numFmtId="0" fontId="117" fillId="0" borderId="155" xfId="33" applyFont="1" applyBorder="1" applyAlignment="1">
      <alignment horizontal="left"/>
    </xf>
    <xf numFmtId="164" fontId="117" fillId="0" borderId="155" xfId="35" applyFont="1" applyFill="1" applyBorder="1" applyAlignment="1">
      <alignment horizontal="left"/>
    </xf>
    <xf numFmtId="0" fontId="118" fillId="0" borderId="157" xfId="34" applyFont="1" applyBorder="1" applyAlignment="1">
      <alignment horizontal="left"/>
    </xf>
    <xf numFmtId="164" fontId="118" fillId="0" borderId="157" xfId="35" applyFont="1" applyFill="1" applyBorder="1" applyAlignment="1">
      <alignment horizontal="left"/>
    </xf>
    <xf numFmtId="164" fontId="118" fillId="0" borderId="0" xfId="35" applyFont="1" applyFill="1" applyBorder="1" applyAlignment="1">
      <alignment horizontal="left"/>
    </xf>
    <xf numFmtId="0" fontId="134" fillId="0" borderId="0" xfId="30" applyFont="1" applyAlignment="1">
      <alignment horizontal="left"/>
    </xf>
    <xf numFmtId="164" fontId="134" fillId="0" borderId="0" xfId="35" applyFont="1" applyAlignment="1">
      <alignment horizontal="left"/>
    </xf>
    <xf numFmtId="0" fontId="10" fillId="0" borderId="0" xfId="30" applyAlignment="1">
      <alignment horizontal="left"/>
    </xf>
    <xf numFmtId="164" fontId="10" fillId="0" borderId="0" xfId="35" applyFont="1" applyFill="1" applyAlignment="1">
      <alignment horizontal="left"/>
    </xf>
    <xf numFmtId="164" fontId="10" fillId="0" borderId="159" xfId="35" applyFont="1" applyFill="1" applyBorder="1" applyAlignment="1">
      <alignment horizontal="left"/>
    </xf>
    <xf numFmtId="164" fontId="10" fillId="0" borderId="0" xfId="35" applyFont="1" applyFill="1" applyBorder="1" applyAlignment="1">
      <alignment horizontal="left"/>
    </xf>
    <xf numFmtId="164" fontId="10" fillId="0" borderId="0" xfId="35" applyFont="1" applyAlignment="1">
      <alignment horizontal="left"/>
    </xf>
    <xf numFmtId="0" fontId="6" fillId="0" borderId="9" xfId="2" applyBorder="1" applyAlignment="1">
      <alignment horizontal="center" wrapText="1"/>
    </xf>
    <xf numFmtId="0" fontId="10" fillId="0" borderId="46" xfId="2" applyFont="1" applyBorder="1" applyAlignment="1">
      <alignment horizontal="center"/>
    </xf>
    <xf numFmtId="0" fontId="6" fillId="0" borderId="33" xfId="2" applyBorder="1" applyAlignment="1">
      <alignment horizontal="center"/>
    </xf>
    <xf numFmtId="0" fontId="10" fillId="0" borderId="33" xfId="2" applyFont="1" applyBorder="1" applyAlignment="1">
      <alignment horizontal="center"/>
    </xf>
    <xf numFmtId="0" fontId="6" fillId="0" borderId="77" xfId="2" applyBorder="1" applyAlignment="1">
      <alignment horizontal="center"/>
    </xf>
    <xf numFmtId="0" fontId="6" fillId="0" borderId="11" xfId="2" applyBorder="1" applyAlignment="1">
      <alignment horizontal="center"/>
    </xf>
    <xf numFmtId="0" fontId="10" fillId="0" borderId="79" xfId="2" applyFont="1" applyBorder="1" applyAlignment="1">
      <alignment horizontal="center"/>
    </xf>
    <xf numFmtId="0" fontId="10" fillId="0" borderId="166" xfId="2" applyFont="1" applyBorder="1" applyAlignment="1">
      <alignment horizontal="center"/>
    </xf>
    <xf numFmtId="0" fontId="6" fillId="74" borderId="33" xfId="2" applyFill="1" applyBorder="1"/>
    <xf numFmtId="9" fontId="10" fillId="0" borderId="33" xfId="2" applyNumberFormat="1" applyFont="1" applyBorder="1" applyAlignment="1">
      <alignment horizontal="center"/>
    </xf>
    <xf numFmtId="0" fontId="6" fillId="0" borderId="58" xfId="2" applyBorder="1"/>
    <xf numFmtId="3" fontId="6" fillId="0" borderId="49" xfId="2" applyNumberFormat="1" applyBorder="1"/>
    <xf numFmtId="173" fontId="0" fillId="0" borderId="2" xfId="6" applyNumberFormat="1" applyFont="1" applyBorder="1" applyAlignment="1">
      <alignment horizontal="center"/>
    </xf>
    <xf numFmtId="3" fontId="6" fillId="0" borderId="46" xfId="2" applyNumberFormat="1" applyBorder="1"/>
    <xf numFmtId="3" fontId="10" fillId="0" borderId="46" xfId="2" applyNumberFormat="1" applyFont="1" applyBorder="1"/>
    <xf numFmtId="3" fontId="33" fillId="0" borderId="0" xfId="2" applyNumberFormat="1" applyFont="1"/>
    <xf numFmtId="0" fontId="6" fillId="70" borderId="33" xfId="2" applyFill="1" applyBorder="1"/>
    <xf numFmtId="0" fontId="6" fillId="0" borderId="18" xfId="2" applyBorder="1"/>
    <xf numFmtId="3" fontId="6" fillId="0" borderId="56" xfId="2" applyNumberFormat="1" applyBorder="1"/>
    <xf numFmtId="173" fontId="0" fillId="0" borderId="167" xfId="6" applyNumberFormat="1" applyFont="1" applyBorder="1" applyAlignment="1">
      <alignment horizontal="center"/>
    </xf>
    <xf numFmtId="3" fontId="6" fillId="0" borderId="60" xfId="2" applyNumberFormat="1" applyBorder="1"/>
    <xf numFmtId="3" fontId="10" fillId="0" borderId="60" xfId="2" applyNumberFormat="1" applyFont="1" applyBorder="1"/>
    <xf numFmtId="0" fontId="6" fillId="20" borderId="33" xfId="2" applyFill="1" applyBorder="1"/>
    <xf numFmtId="0" fontId="6" fillId="32" borderId="18" xfId="2" applyFill="1" applyBorder="1"/>
    <xf numFmtId="3" fontId="6" fillId="32" borderId="33" xfId="2" applyNumberFormat="1" applyFill="1" applyBorder="1"/>
    <xf numFmtId="3" fontId="10" fillId="32" borderId="60" xfId="2" applyNumberFormat="1" applyFont="1" applyFill="1" applyBorder="1"/>
    <xf numFmtId="0" fontId="6" fillId="19" borderId="33" xfId="2" applyFill="1" applyBorder="1"/>
    <xf numFmtId="0" fontId="33" fillId="0" borderId="0" xfId="2" applyFont="1"/>
    <xf numFmtId="0" fontId="6" fillId="145" borderId="33" xfId="2" applyFill="1" applyBorder="1"/>
    <xf numFmtId="0" fontId="6" fillId="26" borderId="33" xfId="2" applyFill="1" applyBorder="1"/>
    <xf numFmtId="0" fontId="6" fillId="11" borderId="33" xfId="2" applyFill="1" applyBorder="1"/>
    <xf numFmtId="0" fontId="6" fillId="52" borderId="33" xfId="2" applyFill="1" applyBorder="1"/>
    <xf numFmtId="0" fontId="6" fillId="0" borderId="64" xfId="2" applyBorder="1"/>
    <xf numFmtId="3" fontId="6" fillId="0" borderId="62" xfId="2" applyNumberFormat="1" applyBorder="1"/>
    <xf numFmtId="173" fontId="0" fillId="0" borderId="75" xfId="6" applyNumberFormat="1" applyFont="1" applyBorder="1" applyAlignment="1">
      <alignment horizontal="center"/>
    </xf>
    <xf numFmtId="3" fontId="6" fillId="0" borderId="166" xfId="2" applyNumberFormat="1" applyBorder="1"/>
    <xf numFmtId="3" fontId="10" fillId="0" borderId="166" xfId="2" applyNumberFormat="1" applyFont="1" applyBorder="1"/>
    <xf numFmtId="0" fontId="6" fillId="69" borderId="33" xfId="2" applyFill="1" applyBorder="1"/>
    <xf numFmtId="173" fontId="0" fillId="0" borderId="48" xfId="6" applyNumberFormat="1" applyFont="1" applyBorder="1" applyAlignment="1">
      <alignment horizontal="center"/>
    </xf>
    <xf numFmtId="0" fontId="6" fillId="146" borderId="33" xfId="2" applyFill="1" applyBorder="1"/>
    <xf numFmtId="173" fontId="0" fillId="0" borderId="59" xfId="6" applyNumberFormat="1" applyFont="1" applyBorder="1" applyAlignment="1">
      <alignment horizontal="center"/>
    </xf>
    <xf numFmtId="0" fontId="6" fillId="73" borderId="33" xfId="2" applyFill="1" applyBorder="1"/>
    <xf numFmtId="3" fontId="6" fillId="0" borderId="47" xfId="2" applyNumberFormat="1" applyBorder="1"/>
    <xf numFmtId="3" fontId="10" fillId="0" borderId="47" xfId="2" applyNumberFormat="1" applyFont="1" applyBorder="1"/>
    <xf numFmtId="0" fontId="6" fillId="147" borderId="33" xfId="2" applyFill="1" applyBorder="1"/>
    <xf numFmtId="0" fontId="6" fillId="80" borderId="24" xfId="2" applyFill="1" applyBorder="1" applyAlignment="1">
      <alignment horizontal="center"/>
    </xf>
    <xf numFmtId="0" fontId="6" fillId="80" borderId="23" xfId="2" applyFill="1" applyBorder="1" applyAlignment="1">
      <alignment horizontal="center"/>
    </xf>
    <xf numFmtId="0" fontId="6" fillId="80" borderId="25" xfId="2" applyFill="1" applyBorder="1" applyAlignment="1">
      <alignment horizontal="center"/>
    </xf>
    <xf numFmtId="0" fontId="6" fillId="29" borderId="33" xfId="2" applyFill="1" applyBorder="1"/>
    <xf numFmtId="0" fontId="6" fillId="148" borderId="30" xfId="2" applyFill="1" applyBorder="1"/>
    <xf numFmtId="3" fontId="6" fillId="149" borderId="0" xfId="2" applyNumberFormat="1" applyFill="1"/>
    <xf numFmtId="9" fontId="6" fillId="0" borderId="29" xfId="2" applyNumberFormat="1" applyBorder="1"/>
    <xf numFmtId="10" fontId="0" fillId="0" borderId="0" xfId="6" applyNumberFormat="1" applyFont="1" applyAlignment="1">
      <alignment horizontal="center"/>
    </xf>
    <xf numFmtId="3" fontId="138" fillId="0" borderId="60" xfId="2" applyNumberFormat="1" applyFont="1" applyBorder="1"/>
    <xf numFmtId="3" fontId="138" fillId="0" borderId="0" xfId="2" applyNumberFormat="1" applyFont="1"/>
    <xf numFmtId="0" fontId="6" fillId="71" borderId="30" xfId="2" applyFill="1" applyBorder="1"/>
    <xf numFmtId="0" fontId="6" fillId="18" borderId="30" xfId="2" applyFill="1" applyBorder="1"/>
    <xf numFmtId="0" fontId="10" fillId="0" borderId="30" xfId="2" applyFont="1" applyBorder="1"/>
    <xf numFmtId="0" fontId="6" fillId="9" borderId="30" xfId="2" applyFill="1" applyBorder="1"/>
    <xf numFmtId="1" fontId="6" fillId="0" borderId="0" xfId="2" applyNumberFormat="1"/>
    <xf numFmtId="3" fontId="138" fillId="32" borderId="60" xfId="2" applyNumberFormat="1" applyFont="1" applyFill="1" applyBorder="1"/>
    <xf numFmtId="0" fontId="10" fillId="18" borderId="30" xfId="2" applyFont="1" applyFill="1" applyBorder="1"/>
    <xf numFmtId="165" fontId="6" fillId="0" borderId="29" xfId="2" applyNumberFormat="1" applyBorder="1"/>
    <xf numFmtId="1" fontId="6" fillId="0" borderId="33" xfId="2" applyNumberFormat="1" applyBorder="1"/>
    <xf numFmtId="4" fontId="6" fillId="0" borderId="33" xfId="2" applyNumberFormat="1" applyBorder="1"/>
    <xf numFmtId="0" fontId="6" fillId="9" borderId="168" xfId="2" applyFill="1" applyBorder="1"/>
    <xf numFmtId="0" fontId="6" fillId="0" borderId="169" xfId="2" applyBorder="1"/>
    <xf numFmtId="3" fontId="6" fillId="0" borderId="168" xfId="2" applyNumberFormat="1" applyBorder="1"/>
    <xf numFmtId="3" fontId="6" fillId="0" borderId="170" xfId="2" applyNumberFormat="1" applyBorder="1"/>
    <xf numFmtId="9" fontId="0" fillId="0" borderId="171" xfId="6" applyFont="1" applyBorder="1" applyAlignment="1">
      <alignment horizontal="center"/>
    </xf>
    <xf numFmtId="3" fontId="6" fillId="0" borderId="172" xfId="2" applyNumberFormat="1" applyBorder="1"/>
    <xf numFmtId="3" fontId="10" fillId="0" borderId="172" xfId="2" applyNumberFormat="1" applyFont="1" applyBorder="1"/>
    <xf numFmtId="0" fontId="6" fillId="80" borderId="173" xfId="2" applyFill="1" applyBorder="1"/>
    <xf numFmtId="3" fontId="6" fillId="80" borderId="174" xfId="2" applyNumberFormat="1" applyFill="1" applyBorder="1"/>
    <xf numFmtId="9" fontId="6" fillId="80" borderId="175" xfId="2" applyNumberFormat="1" applyFill="1" applyBorder="1"/>
    <xf numFmtId="0" fontId="6" fillId="72" borderId="168" xfId="2" applyFill="1" applyBorder="1"/>
    <xf numFmtId="3" fontId="6" fillId="72" borderId="176" xfId="2" applyNumberFormat="1" applyFill="1" applyBorder="1"/>
    <xf numFmtId="0" fontId="6" fillId="0" borderId="0" xfId="2" applyAlignment="1">
      <alignment horizontal="center"/>
    </xf>
    <xf numFmtId="2" fontId="6" fillId="0" borderId="33" xfId="2" applyNumberFormat="1" applyBorder="1"/>
    <xf numFmtId="2" fontId="6" fillId="0" borderId="0" xfId="2" applyNumberFormat="1"/>
    <xf numFmtId="0" fontId="6" fillId="0" borderId="0" xfId="2" applyAlignment="1">
      <alignment horizontal="center" wrapText="1"/>
    </xf>
    <xf numFmtId="0" fontId="6" fillId="0" borderId="0" xfId="2" applyAlignment="1">
      <alignment horizontal="center" vertical="center" wrapText="1"/>
    </xf>
    <xf numFmtId="0" fontId="6" fillId="20" borderId="0" xfId="2" applyFill="1"/>
    <xf numFmtId="0" fontId="10" fillId="20" borderId="0" xfId="2" applyFont="1" applyFill="1"/>
    <xf numFmtId="0" fontId="139" fillId="0" borderId="0" xfId="2" applyFont="1"/>
    <xf numFmtId="0" fontId="140" fillId="0" borderId="177" xfId="2" applyFont="1" applyBorder="1"/>
    <xf numFmtId="3" fontId="6" fillId="0" borderId="178" xfId="2" applyNumberFormat="1" applyBorder="1"/>
    <xf numFmtId="0" fontId="7" fillId="0" borderId="172" xfId="2" applyFont="1" applyBorder="1" applyAlignment="1">
      <alignment horizontal="center"/>
    </xf>
    <xf numFmtId="0" fontId="7" fillId="64" borderId="172" xfId="2" applyFont="1" applyFill="1" applyBorder="1" applyAlignment="1">
      <alignment horizontal="center"/>
    </xf>
    <xf numFmtId="0" fontId="6" fillId="0" borderId="16" xfId="2" applyBorder="1"/>
    <xf numFmtId="3" fontId="6" fillId="0" borderId="48" xfId="2" applyNumberFormat="1" applyBorder="1"/>
    <xf numFmtId="170" fontId="0" fillId="0" borderId="179" xfId="11" applyNumberFormat="1" applyFont="1" applyBorder="1"/>
    <xf numFmtId="170" fontId="0" fillId="0" borderId="74" xfId="11" applyNumberFormat="1" applyFont="1" applyBorder="1"/>
    <xf numFmtId="0" fontId="6" fillId="0" borderId="74" xfId="2" applyBorder="1"/>
    <xf numFmtId="0" fontId="10" fillId="0" borderId="180" xfId="2" applyFont="1" applyBorder="1"/>
    <xf numFmtId="3" fontId="10" fillId="0" borderId="181" xfId="2" applyNumberFormat="1" applyFont="1" applyBorder="1"/>
    <xf numFmtId="170" fontId="0" fillId="0" borderId="60" xfId="11" applyNumberFormat="1" applyFont="1" applyBorder="1"/>
    <xf numFmtId="170" fontId="0" fillId="0" borderId="60" xfId="11" applyNumberFormat="1" applyFont="1" applyFill="1" applyBorder="1"/>
    <xf numFmtId="0" fontId="135" fillId="0" borderId="0" xfId="2" applyFont="1"/>
    <xf numFmtId="0" fontId="10" fillId="0" borderId="17" xfId="2" applyFont="1" applyBorder="1"/>
    <xf numFmtId="1" fontId="6" fillId="0" borderId="31" xfId="2" applyNumberFormat="1" applyBorder="1"/>
    <xf numFmtId="170" fontId="61" fillId="0" borderId="0" xfId="2" applyNumberFormat="1" applyFont="1"/>
    <xf numFmtId="0" fontId="61" fillId="0" borderId="0" xfId="2" applyFont="1"/>
    <xf numFmtId="3" fontId="61" fillId="0" borderId="0" xfId="2" applyNumberFormat="1" applyFont="1"/>
    <xf numFmtId="3" fontId="6" fillId="0" borderId="31" xfId="2" applyNumberFormat="1" applyBorder="1"/>
    <xf numFmtId="3" fontId="121" fillId="0" borderId="181" xfId="2" applyNumberFormat="1" applyFont="1" applyBorder="1"/>
    <xf numFmtId="0" fontId="61" fillId="0" borderId="0" xfId="2" applyFont="1" applyAlignment="1">
      <alignment horizontal="left"/>
    </xf>
    <xf numFmtId="0" fontId="6" fillId="0" borderId="31" xfId="2" applyBorder="1"/>
    <xf numFmtId="3" fontId="121" fillId="0" borderId="31" xfId="2" applyNumberFormat="1" applyFont="1" applyBorder="1"/>
    <xf numFmtId="170" fontId="10" fillId="0" borderId="60" xfId="11" applyNumberFormat="1" applyFont="1" applyFill="1" applyBorder="1"/>
    <xf numFmtId="0" fontId="10" fillId="0" borderId="19" xfId="2" applyFont="1" applyBorder="1"/>
    <xf numFmtId="3" fontId="6" fillId="0" borderId="75" xfId="2" applyNumberFormat="1" applyBorder="1"/>
    <xf numFmtId="170" fontId="0" fillId="0" borderId="166" xfId="11" applyNumberFormat="1" applyFont="1" applyBorder="1"/>
    <xf numFmtId="170" fontId="0" fillId="0" borderId="166" xfId="11" applyNumberFormat="1" applyFont="1" applyFill="1" applyBorder="1"/>
    <xf numFmtId="0" fontId="7" fillId="0" borderId="182" xfId="2" applyFont="1" applyBorder="1"/>
    <xf numFmtId="0" fontId="6" fillId="0" borderId="14" xfId="2" applyBorder="1"/>
    <xf numFmtId="170" fontId="7" fillId="0" borderId="172" xfId="11" applyNumberFormat="1" applyFont="1" applyBorder="1"/>
    <xf numFmtId="0" fontId="141" fillId="0" borderId="0" xfId="2" applyFont="1"/>
    <xf numFmtId="0" fontId="142" fillId="2" borderId="31" xfId="2" applyFont="1" applyFill="1" applyBorder="1" applyAlignment="1">
      <alignment vertical="top" wrapText="1"/>
    </xf>
    <xf numFmtId="0" fontId="143" fillId="2" borderId="171" xfId="2" applyFont="1" applyFill="1" applyBorder="1" applyAlignment="1">
      <alignment vertical="top" wrapText="1"/>
    </xf>
    <xf numFmtId="3" fontId="143" fillId="2" borderId="171" xfId="2" applyNumberFormat="1" applyFont="1" applyFill="1" applyBorder="1" applyAlignment="1">
      <alignment vertical="top" wrapText="1"/>
    </xf>
    <xf numFmtId="0" fontId="143" fillId="2" borderId="172" xfId="2" applyFont="1" applyFill="1" applyBorder="1" applyAlignment="1">
      <alignment vertical="top" wrapText="1"/>
    </xf>
    <xf numFmtId="0" fontId="143" fillId="2" borderId="75" xfId="2" applyFont="1" applyFill="1" applyBorder="1" applyAlignment="1">
      <alignment vertical="top" wrapText="1"/>
    </xf>
    <xf numFmtId="3" fontId="143" fillId="2" borderId="75" xfId="2" applyNumberFormat="1" applyFont="1" applyFill="1" applyBorder="1" applyAlignment="1">
      <alignment vertical="top" wrapText="1"/>
    </xf>
    <xf numFmtId="0" fontId="143" fillId="2" borderId="34" xfId="2" applyFont="1" applyFill="1" applyBorder="1" applyAlignment="1">
      <alignment vertical="top" wrapText="1"/>
    </xf>
    <xf numFmtId="170" fontId="0" fillId="0" borderId="0" xfId="11" applyNumberFormat="1" applyFont="1"/>
    <xf numFmtId="3" fontId="144" fillId="2" borderId="75" xfId="2" applyNumberFormat="1" applyFont="1" applyFill="1" applyBorder="1" applyAlignment="1">
      <alignment vertical="top" wrapText="1"/>
    </xf>
    <xf numFmtId="0" fontId="145" fillId="2" borderId="0" xfId="2" applyFont="1" applyFill="1" applyAlignment="1">
      <alignment vertical="top" wrapText="1"/>
    </xf>
    <xf numFmtId="0" fontId="142" fillId="2" borderId="14" xfId="2" applyFont="1" applyFill="1" applyBorder="1" applyAlignment="1">
      <alignment vertical="top" wrapText="1"/>
    </xf>
    <xf numFmtId="0" fontId="24" fillId="150" borderId="161" xfId="38" applyFont="1" applyFill="1" applyBorder="1" applyAlignment="1">
      <alignment horizontal="center" wrapText="1"/>
    </xf>
    <xf numFmtId="0" fontId="24" fillId="0" borderId="0" xfId="38" applyFont="1" applyAlignment="1">
      <alignment horizontal="center" wrapText="1"/>
    </xf>
    <xf numFmtId="0" fontId="24" fillId="0" borderId="159" xfId="38" applyFont="1" applyBorder="1" applyAlignment="1">
      <alignment horizontal="right" wrapText="1"/>
    </xf>
    <xf numFmtId="49" fontId="24" fillId="0" borderId="159" xfId="38" applyNumberFormat="1" applyFont="1" applyBorder="1" applyAlignment="1">
      <alignment wrapText="1"/>
    </xf>
    <xf numFmtId="0" fontId="24" fillId="0" borderId="159" xfId="38" applyFont="1" applyBorder="1" applyAlignment="1">
      <alignment wrapText="1"/>
    </xf>
    <xf numFmtId="3" fontId="24" fillId="0" borderId="159" xfId="38" applyNumberFormat="1" applyFont="1" applyBorder="1" applyAlignment="1">
      <alignment horizontal="right" wrapText="1"/>
    </xf>
    <xf numFmtId="0" fontId="15" fillId="0" borderId="0" xfId="38" applyAlignment="1">
      <alignment wrapText="1"/>
    </xf>
    <xf numFmtId="0" fontId="24" fillId="0" borderId="0" xfId="38" applyFont="1" applyAlignment="1">
      <alignment horizontal="right" wrapText="1"/>
    </xf>
    <xf numFmtId="49" fontId="24" fillId="0" borderId="0" xfId="38" applyNumberFormat="1" applyFont="1" applyAlignment="1">
      <alignment wrapText="1"/>
    </xf>
    <xf numFmtId="0" fontId="24" fillId="0" borderId="0" xfId="38" applyFont="1" applyAlignment="1">
      <alignment wrapText="1"/>
    </xf>
    <xf numFmtId="3" fontId="24" fillId="0" borderId="0" xfId="38" applyNumberFormat="1" applyFont="1" applyAlignment="1">
      <alignment horizontal="right" wrapText="1"/>
    </xf>
    <xf numFmtId="0" fontId="121" fillId="2" borderId="0" xfId="2" applyFont="1" applyFill="1" applyAlignment="1">
      <alignment vertical="top" wrapText="1"/>
    </xf>
    <xf numFmtId="9" fontId="0" fillId="0" borderId="0" xfId="6" applyFont="1"/>
    <xf numFmtId="49" fontId="6" fillId="0" borderId="0" xfId="2" applyNumberFormat="1"/>
    <xf numFmtId="4" fontId="10" fillId="0" borderId="0" xfId="2" applyNumberFormat="1" applyFont="1"/>
    <xf numFmtId="9" fontId="6" fillId="0" borderId="0" xfId="2" applyNumberFormat="1"/>
    <xf numFmtId="0" fontId="6" fillId="21" borderId="0" xfId="2" applyFill="1"/>
    <xf numFmtId="0" fontId="6" fillId="0" borderId="0" xfId="2" applyAlignment="1">
      <alignment horizontal="left" indent="1"/>
    </xf>
    <xf numFmtId="0" fontId="10" fillId="0" borderId="0" xfId="2" applyFont="1" applyAlignment="1">
      <alignment wrapText="1"/>
    </xf>
    <xf numFmtId="0" fontId="8" fillId="0" borderId="0" xfId="3" applyAlignment="1" applyProtection="1">
      <alignment horizontal="left" indent="1"/>
    </xf>
    <xf numFmtId="0" fontId="24" fillId="0" borderId="0" xfId="39" applyFont="1" applyAlignment="1">
      <alignment horizontal="center"/>
    </xf>
    <xf numFmtId="0" fontId="24" fillId="0" borderId="0" xfId="39" applyFont="1" applyAlignment="1">
      <alignment wrapText="1"/>
    </xf>
    <xf numFmtId="49" fontId="10" fillId="0" borderId="0" xfId="2" applyNumberFormat="1" applyFont="1"/>
    <xf numFmtId="0" fontId="31" fillId="0" borderId="0" xfId="2" applyFont="1"/>
    <xf numFmtId="49" fontId="31" fillId="0" borderId="0" xfId="2" applyNumberFormat="1" applyFont="1"/>
    <xf numFmtId="4" fontId="31" fillId="0" borderId="159" xfId="38" applyNumberFormat="1" applyFont="1" applyBorder="1" applyAlignment="1">
      <alignment horizontal="right" wrapText="1"/>
    </xf>
    <xf numFmtId="3" fontId="31" fillId="0" borderId="0" xfId="2" applyNumberFormat="1" applyFont="1"/>
    <xf numFmtId="0" fontId="24" fillId="150" borderId="161" xfId="40" applyFont="1" applyFill="1" applyBorder="1" applyAlignment="1">
      <alignment horizontal="center"/>
    </xf>
    <xf numFmtId="0" fontId="24" fillId="0" borderId="159" xfId="40" applyFont="1" applyBorder="1" applyAlignment="1">
      <alignment horizontal="right" wrapText="1"/>
    </xf>
    <xf numFmtId="0" fontId="24" fillId="0" borderId="159" xfId="40" applyFont="1" applyBorder="1" applyAlignment="1">
      <alignment wrapText="1"/>
    </xf>
    <xf numFmtId="0" fontId="1" fillId="0" borderId="0" xfId="21" applyAlignment="1">
      <alignment horizontal="center"/>
    </xf>
    <xf numFmtId="0" fontId="5" fillId="151" borderId="184" xfId="21" applyFont="1" applyFill="1" applyBorder="1" applyAlignment="1">
      <alignment horizontal="center"/>
    </xf>
    <xf numFmtId="0" fontId="5" fillId="151" borderId="184" xfId="21" applyFont="1" applyFill="1" applyBorder="1" applyAlignment="1">
      <alignment horizontal="center" vertical="center"/>
    </xf>
    <xf numFmtId="0" fontId="5" fillId="151" borderId="0" xfId="21" applyFont="1" applyFill="1" applyAlignment="1">
      <alignment horizontal="center"/>
    </xf>
    <xf numFmtId="0" fontId="5" fillId="151" borderId="185" xfId="21" applyFont="1" applyFill="1" applyBorder="1" applyAlignment="1">
      <alignment horizontal="center"/>
    </xf>
    <xf numFmtId="0" fontId="5" fillId="151" borderId="186" xfId="21" applyFont="1" applyFill="1" applyBorder="1" applyAlignment="1">
      <alignment horizontal="center"/>
    </xf>
    <xf numFmtId="0" fontId="5" fillId="151" borderId="186" xfId="21" applyFont="1" applyFill="1" applyBorder="1" applyAlignment="1">
      <alignment horizontal="center" vertical="center"/>
    </xf>
    <xf numFmtId="0" fontId="147" fillId="151" borderId="186" xfId="21" applyFont="1" applyFill="1" applyBorder="1" applyAlignment="1">
      <alignment horizontal="center"/>
    </xf>
    <xf numFmtId="3" fontId="1" fillId="0" borderId="186" xfId="21" applyNumberFormat="1" applyBorder="1" applyAlignment="1">
      <alignment horizontal="center"/>
    </xf>
    <xf numFmtId="3" fontId="1" fillId="0" borderId="187" xfId="21" applyNumberFormat="1" applyBorder="1" applyAlignment="1">
      <alignment horizontal="center"/>
    </xf>
    <xf numFmtId="3" fontId="1" fillId="0" borderId="136" xfId="21" applyNumberFormat="1" applyBorder="1" applyAlignment="1">
      <alignment horizontal="center"/>
    </xf>
    <xf numFmtId="0" fontId="147" fillId="151" borderId="184" xfId="21" applyFont="1" applyFill="1" applyBorder="1" applyAlignment="1">
      <alignment horizontal="center"/>
    </xf>
    <xf numFmtId="3" fontId="1" fillId="0" borderId="184" xfId="21" applyNumberFormat="1" applyBorder="1" applyAlignment="1">
      <alignment horizontal="center"/>
    </xf>
    <xf numFmtId="3" fontId="1" fillId="0" borderId="0" xfId="21" applyNumberFormat="1" applyAlignment="1">
      <alignment horizontal="center"/>
    </xf>
    <xf numFmtId="3" fontId="1" fillId="0" borderId="185" xfId="21" applyNumberFormat="1" applyBorder="1" applyAlignment="1">
      <alignment horizontal="center"/>
    </xf>
    <xf numFmtId="0" fontId="5" fillId="151" borderId="189" xfId="21" applyFont="1" applyFill="1" applyBorder="1" applyAlignment="1">
      <alignment horizontal="center" vertical="center"/>
    </xf>
    <xf numFmtId="0" fontId="147" fillId="151" borderId="189" xfId="21" applyFont="1" applyFill="1" applyBorder="1" applyAlignment="1">
      <alignment horizontal="center"/>
    </xf>
    <xf numFmtId="3" fontId="1" fillId="0" borderId="189" xfId="21" applyNumberFormat="1" applyBorder="1" applyAlignment="1">
      <alignment horizontal="center"/>
    </xf>
    <xf numFmtId="3" fontId="1" fillId="0" borderId="190" xfId="21" applyNumberFormat="1" applyBorder="1" applyAlignment="1">
      <alignment horizontal="center"/>
    </xf>
    <xf numFmtId="3" fontId="1" fillId="0" borderId="188" xfId="21" applyNumberFormat="1" applyBorder="1" applyAlignment="1">
      <alignment horizontal="center"/>
    </xf>
    <xf numFmtId="0" fontId="1" fillId="0" borderId="0" xfId="21" applyAlignment="1">
      <alignment horizontal="center" vertical="center"/>
    </xf>
    <xf numFmtId="0" fontId="5" fillId="0" borderId="0" xfId="21" applyFont="1" applyAlignment="1">
      <alignment horizontal="center"/>
    </xf>
    <xf numFmtId="170" fontId="0" fillId="0" borderId="16" xfId="11" applyNumberFormat="1" applyFont="1" applyBorder="1" applyAlignment="1">
      <alignment horizontal="center"/>
    </xf>
    <xf numFmtId="170" fontId="0" fillId="0" borderId="9" xfId="11" applyNumberFormat="1" applyFont="1" applyBorder="1" applyAlignment="1">
      <alignment horizontal="center"/>
    </xf>
    <xf numFmtId="170" fontId="0" fillId="0" borderId="48" xfId="11" applyNumberFormat="1" applyFont="1" applyBorder="1" applyAlignment="1">
      <alignment horizontal="center"/>
    </xf>
    <xf numFmtId="170" fontId="0" fillId="0" borderId="19" xfId="11" applyNumberFormat="1" applyFont="1" applyBorder="1" applyAlignment="1">
      <alignment horizontal="center"/>
    </xf>
    <xf numFmtId="170" fontId="0" fillId="0" borderId="14" xfId="11" applyNumberFormat="1" applyFont="1" applyBorder="1" applyAlignment="1">
      <alignment horizontal="center"/>
    </xf>
    <xf numFmtId="170" fontId="0" fillId="0" borderId="75" xfId="11" applyNumberFormat="1" applyFont="1" applyBorder="1" applyAlignment="1">
      <alignment horizontal="center"/>
    </xf>
    <xf numFmtId="9" fontId="0" fillId="0" borderId="0" xfId="31" applyFont="1" applyAlignment="1">
      <alignment horizontal="center"/>
    </xf>
    <xf numFmtId="0" fontId="5" fillId="149" borderId="184" xfId="21" applyFont="1" applyFill="1" applyBorder="1" applyAlignment="1">
      <alignment horizontal="center"/>
    </xf>
    <xf numFmtId="0" fontId="5" fillId="149" borderId="194" xfId="21" applyFont="1" applyFill="1" applyBorder="1" applyAlignment="1">
      <alignment horizontal="center" vertical="center"/>
    </xf>
    <xf numFmtId="0" fontId="5" fillId="149" borderId="0" xfId="21" applyFont="1" applyFill="1" applyAlignment="1">
      <alignment horizontal="center"/>
    </xf>
    <xf numFmtId="0" fontId="5" fillId="149" borderId="195" xfId="21" applyFont="1" applyFill="1" applyBorder="1" applyAlignment="1">
      <alignment horizontal="center"/>
    </xf>
    <xf numFmtId="0" fontId="5" fillId="149" borderId="196" xfId="21" applyFont="1" applyFill="1" applyBorder="1" applyAlignment="1">
      <alignment horizontal="center"/>
    </xf>
    <xf numFmtId="0" fontId="1" fillId="149" borderId="197" xfId="21" applyFill="1" applyBorder="1" applyAlignment="1">
      <alignment horizontal="center"/>
    </xf>
    <xf numFmtId="0" fontId="1" fillId="149" borderId="192" xfId="21" applyFill="1" applyBorder="1" applyAlignment="1">
      <alignment horizontal="center" vertical="center"/>
    </xf>
    <xf numFmtId="0" fontId="147" fillId="149" borderId="197" xfId="21" applyFont="1" applyFill="1" applyBorder="1" applyAlignment="1">
      <alignment horizontal="center" vertical="center"/>
    </xf>
    <xf numFmtId="3" fontId="1" fillId="0" borderId="192" xfId="21" applyNumberFormat="1" applyBorder="1" applyAlignment="1">
      <alignment horizontal="center" vertical="center"/>
    </xf>
    <xf numFmtId="3" fontId="1" fillId="0" borderId="198" xfId="21" applyNumberFormat="1" applyBorder="1" applyAlignment="1">
      <alignment horizontal="center" vertical="center"/>
    </xf>
    <xf numFmtId="3" fontId="1" fillId="0" borderId="199" xfId="21" applyNumberFormat="1" applyBorder="1" applyAlignment="1">
      <alignment horizontal="center" vertical="center"/>
    </xf>
    <xf numFmtId="0" fontId="1" fillId="0" borderId="0" xfId="21" applyAlignment="1">
      <alignment wrapText="1"/>
    </xf>
    <xf numFmtId="0" fontId="1" fillId="149" borderId="0" xfId="21" applyFill="1" applyAlignment="1">
      <alignment horizontal="center" vertical="center"/>
    </xf>
    <xf numFmtId="0" fontId="147" fillId="149" borderId="71" xfId="21" applyFont="1" applyFill="1" applyBorder="1" applyAlignment="1">
      <alignment horizontal="center" vertical="center"/>
    </xf>
    <xf numFmtId="3" fontId="1" fillId="0" borderId="196" xfId="21" applyNumberFormat="1" applyBorder="1" applyAlignment="1">
      <alignment horizontal="center"/>
    </xf>
    <xf numFmtId="3" fontId="1" fillId="0" borderId="200" xfId="21" applyNumberFormat="1" applyBorder="1" applyAlignment="1">
      <alignment horizontal="center"/>
    </xf>
    <xf numFmtId="0" fontId="148" fillId="0" borderId="0" xfId="21" applyFont="1"/>
    <xf numFmtId="10" fontId="1" fillId="0" borderId="0" xfId="6" applyNumberFormat="1" applyFont="1"/>
    <xf numFmtId="0" fontId="1" fillId="149" borderId="202" xfId="21" applyFill="1" applyBorder="1" applyAlignment="1">
      <alignment horizontal="center" vertical="center"/>
    </xf>
    <xf numFmtId="0" fontId="147" fillId="149" borderId="201" xfId="21" applyFont="1" applyFill="1" applyBorder="1" applyAlignment="1">
      <alignment horizontal="center" vertical="center"/>
    </xf>
    <xf numFmtId="3" fontId="1" fillId="0" borderId="202" xfId="21" applyNumberFormat="1" applyBorder="1" applyAlignment="1">
      <alignment horizontal="center"/>
    </xf>
    <xf numFmtId="3" fontId="1" fillId="31" borderId="172" xfId="21" applyNumberFormat="1" applyFill="1" applyBorder="1" applyAlignment="1">
      <alignment horizontal="center"/>
    </xf>
    <xf numFmtId="0" fontId="5" fillId="68" borderId="0" xfId="21" applyFont="1" applyFill="1" applyAlignment="1">
      <alignment horizontal="center"/>
    </xf>
    <xf numFmtId="0" fontId="1" fillId="68" borderId="0" xfId="21" applyFill="1" applyAlignment="1">
      <alignment horizontal="center" vertical="center"/>
    </xf>
    <xf numFmtId="170" fontId="0" fillId="68" borderId="0" xfId="11" applyNumberFormat="1" applyFont="1" applyFill="1" applyAlignment="1">
      <alignment horizontal="center"/>
    </xf>
    <xf numFmtId="0" fontId="1" fillId="68" borderId="0" xfId="21" applyFill="1" applyAlignment="1">
      <alignment horizontal="center"/>
    </xf>
    <xf numFmtId="170" fontId="0" fillId="68" borderId="0" xfId="11" applyNumberFormat="1" applyFont="1" applyFill="1"/>
    <xf numFmtId="170" fontId="0" fillId="0" borderId="0" xfId="11" applyNumberFormat="1" applyFont="1" applyAlignment="1">
      <alignment horizontal="center"/>
    </xf>
    <xf numFmtId="0" fontId="5" fillId="149" borderId="203" xfId="21" applyFont="1" applyFill="1" applyBorder="1" applyAlignment="1">
      <alignment horizontal="center"/>
    </xf>
    <xf numFmtId="0" fontId="5" fillId="149" borderId="204" xfId="21" applyFont="1" applyFill="1" applyBorder="1" applyAlignment="1">
      <alignment horizontal="center"/>
    </xf>
    <xf numFmtId="0" fontId="5" fillId="149" borderId="205" xfId="21" applyFont="1" applyFill="1" applyBorder="1" applyAlignment="1">
      <alignment horizontal="center"/>
    </xf>
    <xf numFmtId="0" fontId="5" fillId="149" borderId="206" xfId="21" applyFont="1" applyFill="1" applyBorder="1" applyAlignment="1">
      <alignment horizontal="center"/>
    </xf>
    <xf numFmtId="170" fontId="1" fillId="0" borderId="16" xfId="21" applyNumberFormat="1" applyBorder="1" applyAlignment="1">
      <alignment horizontal="center"/>
    </xf>
    <xf numFmtId="170" fontId="1" fillId="0" borderId="9" xfId="21" applyNumberFormat="1" applyBorder="1" applyAlignment="1">
      <alignment horizontal="center"/>
    </xf>
    <xf numFmtId="170" fontId="0" fillId="0" borderId="32" xfId="11" applyNumberFormat="1" applyFont="1" applyBorder="1" applyAlignment="1">
      <alignment horizontal="center"/>
    </xf>
    <xf numFmtId="170" fontId="1" fillId="0" borderId="19" xfId="21" applyNumberFormat="1" applyBorder="1" applyAlignment="1">
      <alignment horizontal="center"/>
    </xf>
    <xf numFmtId="170" fontId="1" fillId="0" borderId="14" xfId="21" applyNumberFormat="1" applyBorder="1" applyAlignment="1">
      <alignment horizontal="center"/>
    </xf>
    <xf numFmtId="170" fontId="0" fillId="0" borderId="34" xfId="11" applyNumberFormat="1" applyFont="1" applyBorder="1" applyAlignment="1">
      <alignment horizontal="center"/>
    </xf>
    <xf numFmtId="165" fontId="1" fillId="0" borderId="0" xfId="21" applyNumberFormat="1"/>
    <xf numFmtId="0" fontId="10" fillId="0" borderId="207" xfId="4" applyBorder="1" applyAlignment="1">
      <alignment wrapText="1"/>
    </xf>
    <xf numFmtId="167" fontId="0" fillId="39" borderId="45" xfId="9" applyNumberFormat="1" applyFont="1" applyFill="1" applyBorder="1" applyProtection="1"/>
    <xf numFmtId="3" fontId="10" fillId="43" borderId="45" xfId="4" applyNumberFormat="1" applyFill="1" applyBorder="1"/>
    <xf numFmtId="0" fontId="10" fillId="0" borderId="207" xfId="15" applyBorder="1" applyAlignment="1">
      <alignment wrapText="1"/>
    </xf>
    <xf numFmtId="0" fontId="10" fillId="39" borderId="45" xfId="4" applyFill="1" applyBorder="1"/>
    <xf numFmtId="0" fontId="10" fillId="43" borderId="45" xfId="4" applyFill="1" applyBorder="1"/>
    <xf numFmtId="10" fontId="10" fillId="39" borderId="56" xfId="41" applyNumberFormat="1" applyFont="1" applyFill="1" applyBorder="1"/>
    <xf numFmtId="10" fontId="10" fillId="39" borderId="33" xfId="6" applyNumberFormat="1" applyFont="1" applyFill="1" applyBorder="1"/>
    <xf numFmtId="0" fontId="7" fillId="7" borderId="161" xfId="2" applyFont="1" applyFill="1" applyBorder="1" applyAlignment="1">
      <alignment horizontal="center" vertical="center"/>
    </xf>
    <xf numFmtId="0" fontId="7" fillId="16" borderId="161" xfId="2" applyFont="1" applyFill="1" applyBorder="1" applyAlignment="1">
      <alignment horizontal="center" vertical="center" textRotation="90"/>
    </xf>
    <xf numFmtId="0" fontId="7" fillId="7" borderId="162" xfId="2" applyFont="1" applyFill="1" applyBorder="1" applyAlignment="1">
      <alignment horizontal="center" vertical="center"/>
    </xf>
    <xf numFmtId="0" fontId="7" fillId="16" borderId="162" xfId="2" applyFont="1" applyFill="1" applyBorder="1" applyAlignment="1">
      <alignment horizontal="center" vertical="center" textRotation="90"/>
    </xf>
    <xf numFmtId="0" fontId="7" fillId="7" borderId="203" xfId="2" applyFont="1" applyFill="1" applyBorder="1" applyAlignment="1">
      <alignment horizontal="center" vertical="center"/>
    </xf>
    <xf numFmtId="0" fontId="7" fillId="7" borderId="212" xfId="2" applyFont="1" applyFill="1" applyBorder="1" applyAlignment="1">
      <alignment horizontal="center" vertical="center"/>
    </xf>
    <xf numFmtId="0" fontId="7" fillId="7" borderId="213" xfId="2" applyFont="1" applyFill="1" applyBorder="1" applyAlignment="1">
      <alignment horizontal="center" vertical="center"/>
    </xf>
    <xf numFmtId="0" fontId="7" fillId="152" borderId="161" xfId="2" applyFont="1" applyFill="1" applyBorder="1" applyAlignment="1">
      <alignment horizontal="center" vertical="center"/>
    </xf>
    <xf numFmtId="181" fontId="7" fillId="152" borderId="209" xfId="42" applyNumberFormat="1" applyFont="1" applyFill="1" applyBorder="1" applyAlignment="1">
      <alignment vertical="center"/>
    </xf>
    <xf numFmtId="181" fontId="7" fillId="152" borderId="214" xfId="42" applyNumberFormat="1" applyFont="1" applyFill="1" applyBorder="1" applyAlignment="1">
      <alignment vertical="center"/>
    </xf>
    <xf numFmtId="0" fontId="7" fillId="21" borderId="215" xfId="2" applyFont="1" applyFill="1" applyBorder="1"/>
    <xf numFmtId="0" fontId="7" fillId="21" borderId="188" xfId="2" applyFont="1" applyFill="1" applyBorder="1"/>
    <xf numFmtId="0" fontId="7" fillId="21" borderId="189" xfId="2" applyFont="1" applyFill="1" applyBorder="1"/>
    <xf numFmtId="0" fontId="7" fillId="21" borderId="216" xfId="2" applyFont="1" applyFill="1" applyBorder="1"/>
    <xf numFmtId="0" fontId="7" fillId="21" borderId="217" xfId="2" applyFont="1" applyFill="1" applyBorder="1"/>
    <xf numFmtId="0" fontId="7" fillId="0" borderId="215" xfId="2" applyFont="1" applyBorder="1"/>
    <xf numFmtId="180" fontId="121" fillId="0" borderId="215" xfId="42" applyFont="1" applyFill="1" applyBorder="1"/>
    <xf numFmtId="180" fontId="121" fillId="0" borderId="218" xfId="42" applyFont="1" applyFill="1" applyBorder="1"/>
    <xf numFmtId="180" fontId="121" fillId="0" borderId="219" xfId="42" applyFont="1" applyFill="1" applyBorder="1"/>
    <xf numFmtId="180" fontId="121" fillId="0" borderId="220" xfId="42" applyFont="1" applyFill="1" applyBorder="1"/>
    <xf numFmtId="0" fontId="121" fillId="25" borderId="215" xfId="2" applyFont="1" applyFill="1" applyBorder="1"/>
    <xf numFmtId="180" fontId="121" fillId="25" borderId="215" xfId="42" applyFont="1" applyFill="1" applyBorder="1"/>
    <xf numFmtId="180" fontId="121" fillId="25" borderId="218" xfId="42" applyFont="1" applyFill="1" applyBorder="1"/>
    <xf numFmtId="180" fontId="121" fillId="25" borderId="219" xfId="42" applyFont="1" applyFill="1" applyBorder="1"/>
    <xf numFmtId="180" fontId="121" fillId="25" borderId="220" xfId="42" applyFont="1" applyFill="1" applyBorder="1"/>
    <xf numFmtId="0" fontId="7" fillId="153" borderId="215" xfId="2" applyFont="1" applyFill="1" applyBorder="1"/>
    <xf numFmtId="180" fontId="121" fillId="153" borderId="215" xfId="42" applyFont="1" applyFill="1" applyBorder="1"/>
    <xf numFmtId="180" fontId="121" fillId="153" borderId="218" xfId="42" applyFont="1" applyFill="1" applyBorder="1"/>
    <xf numFmtId="180" fontId="121" fillId="153" borderId="219" xfId="42" applyFont="1" applyFill="1" applyBorder="1"/>
    <xf numFmtId="180" fontId="121" fillId="153" borderId="220" xfId="42" applyFont="1" applyFill="1" applyBorder="1"/>
    <xf numFmtId="0" fontId="121" fillId="153" borderId="215" xfId="2" applyFont="1" applyFill="1" applyBorder="1"/>
    <xf numFmtId="0" fontId="7" fillId="132" borderId="215" xfId="2" applyFont="1" applyFill="1" applyBorder="1"/>
    <xf numFmtId="180" fontId="7" fillId="132" borderId="215" xfId="42" applyFont="1" applyFill="1" applyBorder="1"/>
    <xf numFmtId="180" fontId="7" fillId="132" borderId="218" xfId="42" applyFont="1" applyFill="1" applyBorder="1"/>
    <xf numFmtId="180" fontId="7" fillId="132" borderId="219" xfId="42" applyFont="1" applyFill="1" applyBorder="1"/>
    <xf numFmtId="180" fontId="7" fillId="132" borderId="220" xfId="42" applyFont="1" applyFill="1" applyBorder="1"/>
    <xf numFmtId="0" fontId="7" fillId="19" borderId="215" xfId="2" applyFont="1" applyFill="1" applyBorder="1"/>
    <xf numFmtId="180" fontId="121" fillId="19" borderId="215" xfId="42" applyFont="1" applyFill="1" applyBorder="1"/>
    <xf numFmtId="180" fontId="121" fillId="19" borderId="218" xfId="42" applyFont="1" applyFill="1" applyBorder="1"/>
    <xf numFmtId="180" fontId="121" fillId="19" borderId="219" xfId="42" applyFont="1" applyFill="1" applyBorder="1"/>
    <xf numFmtId="180" fontId="121" fillId="19" borderId="220" xfId="42" applyFont="1" applyFill="1" applyBorder="1"/>
    <xf numFmtId="0" fontId="121" fillId="154" borderId="215" xfId="2" applyFont="1" applyFill="1" applyBorder="1"/>
    <xf numFmtId="180" fontId="121" fillId="154" borderId="215" xfId="42" applyFont="1" applyFill="1" applyBorder="1"/>
    <xf numFmtId="180" fontId="121" fillId="154" borderId="218" xfId="42" applyFont="1" applyFill="1" applyBorder="1"/>
    <xf numFmtId="180" fontId="121" fillId="154" borderId="220" xfId="42" applyFont="1" applyFill="1" applyBorder="1"/>
    <xf numFmtId="0" fontId="7" fillId="99" borderId="215" xfId="2" applyFont="1" applyFill="1" applyBorder="1"/>
    <xf numFmtId="180" fontId="7" fillId="99" borderId="215" xfId="42" applyFont="1" applyFill="1" applyBorder="1"/>
    <xf numFmtId="180" fontId="7" fillId="99" borderId="218" xfId="42" applyFont="1" applyFill="1" applyBorder="1"/>
    <xf numFmtId="180" fontId="7" fillId="99" borderId="219" xfId="42" applyFont="1" applyFill="1" applyBorder="1"/>
    <xf numFmtId="180" fontId="7" fillId="99" borderId="220" xfId="42" applyFont="1" applyFill="1" applyBorder="1"/>
    <xf numFmtId="0" fontId="7" fillId="23" borderId="215" xfId="2" applyFont="1" applyFill="1" applyBorder="1"/>
    <xf numFmtId="180" fontId="7" fillId="23" borderId="215" xfId="42" applyFont="1" applyFill="1" applyBorder="1"/>
    <xf numFmtId="180" fontId="7" fillId="23" borderId="218" xfId="42" applyFont="1" applyFill="1" applyBorder="1"/>
    <xf numFmtId="180" fontId="7" fillId="23" borderId="219" xfId="42" applyFont="1" applyFill="1" applyBorder="1"/>
    <xf numFmtId="180" fontId="7" fillId="23" borderId="220" xfId="42" applyFont="1" applyFill="1" applyBorder="1"/>
    <xf numFmtId="0" fontId="121" fillId="155" borderId="215" xfId="2" applyFont="1" applyFill="1" applyBorder="1"/>
    <xf numFmtId="180" fontId="121" fillId="155" borderId="215" xfId="42" applyFont="1" applyFill="1" applyBorder="1"/>
    <xf numFmtId="180" fontId="121" fillId="155" borderId="218" xfId="42" applyFont="1" applyFill="1" applyBorder="1"/>
    <xf numFmtId="180" fontId="121" fillId="155" borderId="219" xfId="42" applyFont="1" applyFill="1" applyBorder="1"/>
    <xf numFmtId="180" fontId="121" fillId="155" borderId="220" xfId="42" applyFont="1" applyFill="1" applyBorder="1"/>
    <xf numFmtId="0" fontId="7" fillId="156" borderId="215" xfId="2" applyFont="1" applyFill="1" applyBorder="1"/>
    <xf numFmtId="180" fontId="7" fillId="156" borderId="215" xfId="42" applyFont="1" applyFill="1" applyBorder="1"/>
    <xf numFmtId="180" fontId="7" fillId="156" borderId="218" xfId="42" applyFont="1" applyFill="1" applyBorder="1"/>
    <xf numFmtId="180" fontId="7" fillId="156" borderId="219" xfId="42" applyFont="1" applyFill="1" applyBorder="1"/>
    <xf numFmtId="180" fontId="7" fillId="156" borderId="220" xfId="42" applyFont="1" applyFill="1" applyBorder="1"/>
    <xf numFmtId="0" fontId="121" fillId="22" borderId="215" xfId="2" applyFont="1" applyFill="1" applyBorder="1"/>
    <xf numFmtId="180" fontId="121" fillId="22" borderId="215" xfId="42" applyFont="1" applyFill="1" applyBorder="1"/>
    <xf numFmtId="180" fontId="121" fillId="22" borderId="218" xfId="42" applyFont="1" applyFill="1" applyBorder="1"/>
    <xf numFmtId="180" fontId="121" fillId="22" borderId="219" xfId="42" applyFont="1" applyFill="1" applyBorder="1"/>
    <xf numFmtId="180" fontId="121" fillId="22" borderId="220" xfId="42" applyFont="1" applyFill="1" applyBorder="1"/>
    <xf numFmtId="0" fontId="7" fillId="102" borderId="215" xfId="2" applyFont="1" applyFill="1" applyBorder="1"/>
    <xf numFmtId="180" fontId="7" fillId="102" borderId="215" xfId="42" applyFont="1" applyFill="1" applyBorder="1"/>
    <xf numFmtId="180" fontId="7" fillId="102" borderId="218" xfId="42" applyFont="1" applyFill="1" applyBorder="1"/>
    <xf numFmtId="180" fontId="7" fillId="102" borderId="219" xfId="42" applyFont="1" applyFill="1" applyBorder="1"/>
    <xf numFmtId="180" fontId="7" fillId="102" borderId="220" xfId="42" applyFont="1" applyFill="1" applyBorder="1"/>
    <xf numFmtId="0" fontId="121" fillId="134" borderId="215" xfId="2" applyFont="1" applyFill="1" applyBorder="1"/>
    <xf numFmtId="180" fontId="121" fillId="134" borderId="215" xfId="42" applyFont="1" applyFill="1" applyBorder="1"/>
    <xf numFmtId="180" fontId="121" fillId="134" borderId="218" xfId="42" applyFont="1" applyFill="1" applyBorder="1"/>
    <xf numFmtId="180" fontId="121" fillId="134" borderId="219" xfId="42" applyFont="1" applyFill="1" applyBorder="1"/>
    <xf numFmtId="180" fontId="121" fillId="134" borderId="220" xfId="42" applyFont="1" applyFill="1" applyBorder="1"/>
    <xf numFmtId="0" fontId="7" fillId="157" borderId="215" xfId="2" applyFont="1" applyFill="1" applyBorder="1"/>
    <xf numFmtId="180" fontId="7" fillId="157" borderId="215" xfId="42" applyFont="1" applyFill="1" applyBorder="1"/>
    <xf numFmtId="180" fontId="7" fillId="157" borderId="218" xfId="42" applyFont="1" applyFill="1" applyBorder="1"/>
    <xf numFmtId="180" fontId="7" fillId="157" borderId="219" xfId="42" applyFont="1" applyFill="1" applyBorder="1"/>
    <xf numFmtId="180" fontId="7" fillId="157" borderId="220" xfId="42" applyFont="1" applyFill="1" applyBorder="1"/>
    <xf numFmtId="0" fontId="121" fillId="135" borderId="215" xfId="2" applyFont="1" applyFill="1" applyBorder="1"/>
    <xf numFmtId="180" fontId="121" fillId="135" borderId="215" xfId="42" applyFont="1" applyFill="1" applyBorder="1"/>
    <xf numFmtId="180" fontId="121" fillId="135" borderId="218" xfId="42" applyFont="1" applyFill="1" applyBorder="1"/>
    <xf numFmtId="180" fontId="121" fillId="135" borderId="219" xfId="42" applyFont="1" applyFill="1" applyBorder="1"/>
    <xf numFmtId="180" fontId="121" fillId="135" borderId="220" xfId="42" applyFont="1" applyFill="1" applyBorder="1"/>
    <xf numFmtId="0" fontId="7" fillId="27" borderId="215" xfId="2" applyFont="1" applyFill="1" applyBorder="1"/>
    <xf numFmtId="180" fontId="7" fillId="27" borderId="215" xfId="42" applyFont="1" applyFill="1" applyBorder="1"/>
    <xf numFmtId="180" fontId="7" fillId="27" borderId="218" xfId="42" applyFont="1" applyFill="1" applyBorder="1"/>
    <xf numFmtId="180" fontId="7" fillId="27" borderId="219" xfId="42" applyFont="1" applyFill="1" applyBorder="1"/>
    <xf numFmtId="180" fontId="7" fillId="27" borderId="220" xfId="42" applyFont="1" applyFill="1" applyBorder="1"/>
    <xf numFmtId="0" fontId="121" fillId="158" borderId="215" xfId="2" applyFont="1" applyFill="1" applyBorder="1"/>
    <xf numFmtId="180" fontId="121" fillId="158" borderId="215" xfId="42" applyFont="1" applyFill="1" applyBorder="1"/>
    <xf numFmtId="180" fontId="121" fillId="158" borderId="218" xfId="42" applyFont="1" applyFill="1" applyBorder="1"/>
    <xf numFmtId="180" fontId="121" fillId="158" borderId="219" xfId="42" applyFont="1" applyFill="1" applyBorder="1"/>
    <xf numFmtId="180" fontId="121" fillId="158" borderId="220" xfId="42" applyFont="1" applyFill="1" applyBorder="1"/>
    <xf numFmtId="0" fontId="7" fillId="12" borderId="215" xfId="2" applyFont="1" applyFill="1" applyBorder="1"/>
    <xf numFmtId="180" fontId="7" fillId="12" borderId="215" xfId="42" applyFont="1" applyFill="1" applyBorder="1"/>
    <xf numFmtId="180" fontId="7" fillId="12" borderId="218" xfId="42" applyFont="1" applyFill="1" applyBorder="1"/>
    <xf numFmtId="180" fontId="7" fillId="12" borderId="219" xfId="42" applyFont="1" applyFill="1" applyBorder="1"/>
    <xf numFmtId="180" fontId="7" fillId="12" borderId="220" xfId="42" applyFont="1" applyFill="1" applyBorder="1"/>
    <xf numFmtId="0" fontId="121" fillId="159" borderId="215" xfId="2" applyFont="1" applyFill="1" applyBorder="1"/>
    <xf numFmtId="180" fontId="121" fillId="159" borderId="215" xfId="42" applyFont="1" applyFill="1" applyBorder="1"/>
    <xf numFmtId="180" fontId="121" fillId="159" borderId="218" xfId="42" applyFont="1" applyFill="1" applyBorder="1"/>
    <xf numFmtId="180" fontId="121" fillId="159" borderId="219" xfId="42" applyFont="1" applyFill="1" applyBorder="1"/>
    <xf numFmtId="180" fontId="121" fillId="159" borderId="220" xfId="42" applyFont="1" applyFill="1" applyBorder="1"/>
    <xf numFmtId="0" fontId="7" fillId="24" borderId="215" xfId="2" applyFont="1" applyFill="1" applyBorder="1"/>
    <xf numFmtId="180" fontId="7" fillId="24" borderId="215" xfId="42" applyFont="1" applyFill="1" applyBorder="1"/>
    <xf numFmtId="180" fontId="7" fillId="24" borderId="218" xfId="42" applyFont="1" applyFill="1" applyBorder="1"/>
    <xf numFmtId="180" fontId="7" fillId="24" borderId="219" xfId="42" applyFont="1" applyFill="1" applyBorder="1"/>
    <xf numFmtId="180" fontId="7" fillId="24" borderId="220" xfId="42" applyFont="1" applyFill="1" applyBorder="1"/>
    <xf numFmtId="0" fontId="121" fillId="160" borderId="215" xfId="2" applyFont="1" applyFill="1" applyBorder="1"/>
    <xf numFmtId="180" fontId="121" fillId="160" borderId="215" xfId="42" applyFont="1" applyFill="1" applyBorder="1"/>
    <xf numFmtId="180" fontId="121" fillId="160" borderId="218" xfId="42" applyFont="1" applyFill="1" applyBorder="1"/>
    <xf numFmtId="180" fontId="121" fillId="160" borderId="219" xfId="42" applyFont="1" applyFill="1" applyBorder="1"/>
    <xf numFmtId="180" fontId="121" fillId="160" borderId="220" xfId="42" applyFont="1" applyFill="1" applyBorder="1"/>
    <xf numFmtId="0" fontId="7" fillId="161" borderId="215" xfId="2" applyFont="1" applyFill="1" applyBorder="1"/>
    <xf numFmtId="180" fontId="7" fillId="161" borderId="215" xfId="42" applyFont="1" applyFill="1" applyBorder="1"/>
    <xf numFmtId="180" fontId="7" fillId="161" borderId="218" xfId="42" applyFont="1" applyFill="1" applyBorder="1"/>
    <xf numFmtId="180" fontId="7" fillId="161" borderId="219" xfId="42" applyFont="1" applyFill="1" applyBorder="1"/>
    <xf numFmtId="180" fontId="7" fillId="161" borderId="220" xfId="42" applyFont="1" applyFill="1" applyBorder="1"/>
    <xf numFmtId="0" fontId="121" fillId="162" borderId="215" xfId="2" applyFont="1" applyFill="1" applyBorder="1"/>
    <xf numFmtId="180" fontId="121" fillId="162" borderId="215" xfId="42" applyFont="1" applyFill="1" applyBorder="1"/>
    <xf numFmtId="180" fontId="121" fillId="162" borderId="218" xfId="42" applyFont="1" applyFill="1" applyBorder="1"/>
    <xf numFmtId="180" fontId="121" fillId="162" borderId="219" xfId="42" applyFont="1" applyFill="1" applyBorder="1"/>
    <xf numFmtId="180" fontId="121" fillId="162" borderId="220" xfId="42" applyFont="1" applyFill="1" applyBorder="1"/>
    <xf numFmtId="0" fontId="7" fillId="163" borderId="215" xfId="2" applyFont="1" applyFill="1" applyBorder="1"/>
    <xf numFmtId="180" fontId="7" fillId="163" borderId="215" xfId="42" applyFont="1" applyFill="1" applyBorder="1"/>
    <xf numFmtId="180" fontId="7" fillId="163" borderId="218" xfId="42" applyFont="1" applyFill="1" applyBorder="1"/>
    <xf numFmtId="180" fontId="7" fillId="163" borderId="219" xfId="42" applyFont="1" applyFill="1" applyBorder="1"/>
    <xf numFmtId="180" fontId="7" fillId="163" borderId="220" xfId="42" applyFont="1" applyFill="1" applyBorder="1"/>
    <xf numFmtId="0" fontId="121" fillId="8" borderId="215" xfId="2" applyFont="1" applyFill="1" applyBorder="1"/>
    <xf numFmtId="180" fontId="121" fillId="8" borderId="215" xfId="42" applyFont="1" applyFill="1" applyBorder="1"/>
    <xf numFmtId="180" fontId="121" fillId="8" borderId="218" xfId="42" applyFont="1" applyFill="1" applyBorder="1"/>
    <xf numFmtId="180" fontId="121" fillId="8" borderId="219" xfId="42" applyFont="1" applyFill="1" applyBorder="1"/>
    <xf numFmtId="180" fontId="121" fillId="8" borderId="220" xfId="42" applyFont="1" applyFill="1" applyBorder="1"/>
    <xf numFmtId="0" fontId="7" fillId="164" borderId="215" xfId="2" applyFont="1" applyFill="1" applyBorder="1"/>
    <xf numFmtId="180" fontId="7" fillId="164" borderId="215" xfId="42" applyFont="1" applyFill="1" applyBorder="1"/>
    <xf numFmtId="180" fontId="7" fillId="164" borderId="218" xfId="42" applyFont="1" applyFill="1" applyBorder="1"/>
    <xf numFmtId="180" fontId="7" fillId="164" borderId="219" xfId="42" applyFont="1" applyFill="1" applyBorder="1"/>
    <xf numFmtId="180" fontId="7" fillId="164" borderId="220" xfId="42" applyFont="1" applyFill="1" applyBorder="1"/>
    <xf numFmtId="0" fontId="121" fillId="165" borderId="215" xfId="2" applyFont="1" applyFill="1" applyBorder="1"/>
    <xf numFmtId="180" fontId="121" fillId="165" borderId="215" xfId="42" applyFont="1" applyFill="1" applyBorder="1"/>
    <xf numFmtId="180" fontId="121" fillId="165" borderId="218" xfId="42" applyFont="1" applyFill="1" applyBorder="1"/>
    <xf numFmtId="180" fontId="121" fillId="165" borderId="219" xfId="42" applyFont="1" applyFill="1" applyBorder="1"/>
    <xf numFmtId="180" fontId="121" fillId="165" borderId="220" xfId="42" applyFont="1" applyFill="1" applyBorder="1"/>
    <xf numFmtId="0" fontId="7" fillId="141" borderId="215" xfId="2" applyFont="1" applyFill="1" applyBorder="1"/>
    <xf numFmtId="180" fontId="7" fillId="141" borderId="215" xfId="42" applyFont="1" applyFill="1" applyBorder="1"/>
    <xf numFmtId="180" fontId="7" fillId="141" borderId="218" xfId="42" applyFont="1" applyFill="1" applyBorder="1"/>
    <xf numFmtId="180" fontId="7" fillId="141" borderId="219" xfId="42" applyFont="1" applyFill="1" applyBorder="1"/>
    <xf numFmtId="180" fontId="7" fillId="141" borderId="220" xfId="42" applyFont="1" applyFill="1" applyBorder="1"/>
    <xf numFmtId="0" fontId="121" fillId="166" borderId="215" xfId="2" applyFont="1" applyFill="1" applyBorder="1"/>
    <xf numFmtId="180" fontId="121" fillId="166" borderId="215" xfId="42" applyFont="1" applyFill="1" applyBorder="1"/>
    <xf numFmtId="180" fontId="121" fillId="166" borderId="218" xfId="42" applyFont="1" applyFill="1" applyBorder="1"/>
    <xf numFmtId="180" fontId="121" fillId="166" borderId="219" xfId="42" applyFont="1" applyFill="1" applyBorder="1"/>
    <xf numFmtId="180" fontId="121" fillId="166" borderId="220" xfId="42" applyFont="1" applyFill="1" applyBorder="1"/>
    <xf numFmtId="0" fontId="7" fillId="34" borderId="215" xfId="2" applyFont="1" applyFill="1" applyBorder="1"/>
    <xf numFmtId="180" fontId="7" fillId="34" borderId="215" xfId="42" applyFont="1" applyFill="1" applyBorder="1"/>
    <xf numFmtId="180" fontId="7" fillId="34" borderId="218" xfId="42" applyFont="1" applyFill="1" applyBorder="1"/>
    <xf numFmtId="180" fontId="7" fillId="34" borderId="219" xfId="42" applyFont="1" applyFill="1" applyBorder="1"/>
    <xf numFmtId="180" fontId="7" fillId="34" borderId="220" xfId="42" applyFont="1" applyFill="1" applyBorder="1"/>
    <xf numFmtId="0" fontId="121" fillId="30" borderId="215" xfId="2" applyFont="1" applyFill="1" applyBorder="1"/>
    <xf numFmtId="180" fontId="121" fillId="30" borderId="215" xfId="42" applyFont="1" applyFill="1" applyBorder="1"/>
    <xf numFmtId="180" fontId="121" fillId="30" borderId="218" xfId="42" applyFont="1" applyFill="1" applyBorder="1"/>
    <xf numFmtId="180" fontId="121" fillId="30" borderId="219" xfId="42" applyFont="1" applyFill="1" applyBorder="1"/>
    <xf numFmtId="180" fontId="121" fillId="30" borderId="220" xfId="42" applyFont="1" applyFill="1" applyBorder="1"/>
    <xf numFmtId="0" fontId="7" fillId="14" borderId="215" xfId="2" applyFont="1" applyFill="1" applyBorder="1"/>
    <xf numFmtId="180" fontId="7" fillId="14" borderId="215" xfId="42" applyFont="1" applyFill="1" applyBorder="1"/>
    <xf numFmtId="180" fontId="7" fillId="14" borderId="218" xfId="42" applyFont="1" applyFill="1" applyBorder="1"/>
    <xf numFmtId="180" fontId="7" fillId="14" borderId="219" xfId="42" applyFont="1" applyFill="1" applyBorder="1"/>
    <xf numFmtId="180" fontId="7" fillId="14" borderId="220" xfId="42" applyFont="1" applyFill="1" applyBorder="1"/>
    <xf numFmtId="0" fontId="121" fillId="13" borderId="215" xfId="2" applyFont="1" applyFill="1" applyBorder="1"/>
    <xf numFmtId="180" fontId="121" fillId="13" borderId="215" xfId="42" applyFont="1" applyFill="1" applyBorder="1"/>
    <xf numFmtId="180" fontId="121" fillId="13" borderId="218" xfId="42" applyFont="1" applyFill="1" applyBorder="1"/>
    <xf numFmtId="180" fontId="121" fillId="13" borderId="219" xfId="42" applyFont="1" applyFill="1" applyBorder="1"/>
    <xf numFmtId="180" fontId="121" fillId="13" borderId="220" xfId="42" applyFont="1" applyFill="1" applyBorder="1"/>
    <xf numFmtId="0" fontId="7" fillId="167" borderId="215" xfId="2" applyFont="1" applyFill="1" applyBorder="1"/>
    <xf numFmtId="180" fontId="7" fillId="167" borderId="215" xfId="42" applyFont="1" applyFill="1" applyBorder="1"/>
    <xf numFmtId="180" fontId="7" fillId="167" borderId="218" xfId="42" applyFont="1" applyFill="1" applyBorder="1"/>
    <xf numFmtId="180" fontId="7" fillId="167" borderId="219" xfId="42" applyFont="1" applyFill="1" applyBorder="1"/>
    <xf numFmtId="180" fontId="7" fillId="167" borderId="220" xfId="42" applyFont="1" applyFill="1" applyBorder="1"/>
    <xf numFmtId="0" fontId="121" fillId="17" borderId="215" xfId="2" applyFont="1" applyFill="1" applyBorder="1"/>
    <xf numFmtId="180" fontId="121" fillId="17" borderId="215" xfId="42" applyFont="1" applyFill="1" applyBorder="1"/>
    <xf numFmtId="180" fontId="121" fillId="17" borderId="218" xfId="42" applyFont="1" applyFill="1" applyBorder="1"/>
    <xf numFmtId="180" fontId="121" fillId="17" borderId="219" xfId="42" applyFont="1" applyFill="1" applyBorder="1"/>
    <xf numFmtId="180" fontId="121" fillId="17" borderId="220" xfId="42" applyFont="1" applyFill="1" applyBorder="1"/>
    <xf numFmtId="0" fontId="7" fillId="97" borderId="215" xfId="2" applyFont="1" applyFill="1" applyBorder="1"/>
    <xf numFmtId="180" fontId="7" fillId="97" borderId="215" xfId="42" applyFont="1" applyFill="1" applyBorder="1"/>
    <xf numFmtId="180" fontId="7" fillId="97" borderId="218" xfId="42" applyFont="1" applyFill="1" applyBorder="1"/>
    <xf numFmtId="180" fontId="7" fillId="97" borderId="219" xfId="42" applyFont="1" applyFill="1" applyBorder="1"/>
    <xf numFmtId="180" fontId="7" fillId="97" borderId="220" xfId="42" applyFont="1" applyFill="1" applyBorder="1"/>
    <xf numFmtId="0" fontId="121" fillId="168" borderId="215" xfId="2" applyFont="1" applyFill="1" applyBorder="1"/>
    <xf numFmtId="180" fontId="121" fillId="168" borderId="215" xfId="42" applyFont="1" applyFill="1" applyBorder="1"/>
    <xf numFmtId="180" fontId="121" fillId="168" borderId="218" xfId="42" applyFont="1" applyFill="1" applyBorder="1"/>
    <xf numFmtId="180" fontId="121" fillId="168" borderId="219" xfId="42" applyFont="1" applyFill="1" applyBorder="1"/>
    <xf numFmtId="180" fontId="121" fillId="168" borderId="220" xfId="42" applyFont="1" applyFill="1" applyBorder="1"/>
    <xf numFmtId="0" fontId="7" fillId="3" borderId="215" xfId="2" applyFont="1" applyFill="1" applyBorder="1"/>
    <xf numFmtId="180" fontId="7" fillId="3" borderId="215" xfId="42" applyFont="1" applyFill="1" applyBorder="1"/>
    <xf numFmtId="180" fontId="7" fillId="3" borderId="218" xfId="42" applyFont="1" applyFill="1" applyBorder="1"/>
    <xf numFmtId="180" fontId="7" fillId="3" borderId="219" xfId="42" applyFont="1" applyFill="1" applyBorder="1"/>
    <xf numFmtId="180" fontId="7" fillId="3" borderId="220" xfId="42" applyFont="1" applyFill="1" applyBorder="1"/>
    <xf numFmtId="0" fontId="121" fillId="35" borderId="215" xfId="2" applyFont="1" applyFill="1" applyBorder="1"/>
    <xf numFmtId="180" fontId="121" fillId="35" borderId="215" xfId="42" applyFont="1" applyFill="1" applyBorder="1"/>
    <xf numFmtId="180" fontId="121" fillId="35" borderId="218" xfId="42" applyFont="1" applyFill="1" applyBorder="1"/>
    <xf numFmtId="180" fontId="121" fillId="35" borderId="219" xfId="42" applyFont="1" applyFill="1" applyBorder="1"/>
    <xf numFmtId="180" fontId="121" fillId="35" borderId="220" xfId="42" applyFont="1" applyFill="1" applyBorder="1"/>
    <xf numFmtId="0" fontId="7" fillId="4" borderId="215" xfId="2" applyFont="1" applyFill="1" applyBorder="1"/>
    <xf numFmtId="180" fontId="7" fillId="4" borderId="215" xfId="42" applyFont="1" applyFill="1" applyBorder="1"/>
    <xf numFmtId="180" fontId="7" fillId="4" borderId="218" xfId="42" applyFont="1" applyFill="1" applyBorder="1"/>
    <xf numFmtId="180" fontId="7" fillId="4" borderId="219" xfId="42" applyFont="1" applyFill="1" applyBorder="1"/>
    <xf numFmtId="180" fontId="7" fillId="4" borderId="220" xfId="42" applyFont="1" applyFill="1" applyBorder="1"/>
    <xf numFmtId="10" fontId="7" fillId="4" borderId="215" xfId="6" applyNumberFormat="1" applyFont="1" applyFill="1" applyBorder="1"/>
    <xf numFmtId="2" fontId="7" fillId="4" borderId="215" xfId="2" applyNumberFormat="1" applyFont="1" applyFill="1" applyBorder="1"/>
    <xf numFmtId="10" fontId="7" fillId="4" borderId="218" xfId="6" applyNumberFormat="1" applyFont="1" applyFill="1" applyBorder="1"/>
    <xf numFmtId="10" fontId="7" fillId="4" borderId="219" xfId="2" applyNumberFormat="1" applyFont="1" applyFill="1" applyBorder="1"/>
    <xf numFmtId="10" fontId="7" fillId="4" borderId="220" xfId="6" applyNumberFormat="1" applyFont="1" applyFill="1" applyBorder="1"/>
    <xf numFmtId="0" fontId="121" fillId="0" borderId="215" xfId="2" applyFont="1" applyBorder="1"/>
    <xf numFmtId="0" fontId="121" fillId="0" borderId="218" xfId="2" applyFont="1" applyBorder="1"/>
    <xf numFmtId="0" fontId="121" fillId="0" borderId="219" xfId="2" applyFont="1" applyBorder="1"/>
    <xf numFmtId="0" fontId="121" fillId="0" borderId="220" xfId="2" applyFont="1" applyBorder="1"/>
    <xf numFmtId="0" fontId="121" fillId="15" borderId="215" xfId="2" applyFont="1" applyFill="1" applyBorder="1"/>
    <xf numFmtId="180" fontId="121" fillId="15" borderId="215" xfId="42" applyFont="1" applyFill="1" applyBorder="1"/>
    <xf numFmtId="180" fontId="121" fillId="15" borderId="218" xfId="42" applyFont="1" applyFill="1" applyBorder="1"/>
    <xf numFmtId="180" fontId="121" fillId="15" borderId="219" xfId="42" applyFont="1" applyFill="1" applyBorder="1"/>
    <xf numFmtId="180" fontId="121" fillId="15" borderId="220" xfId="42" applyFont="1" applyFill="1" applyBorder="1"/>
    <xf numFmtId="0" fontId="7" fillId="5" borderId="215" xfId="2" applyFont="1" applyFill="1" applyBorder="1"/>
    <xf numFmtId="180" fontId="7" fillId="5" borderId="215" xfId="42" applyFont="1" applyFill="1" applyBorder="1"/>
    <xf numFmtId="180" fontId="7" fillId="5" borderId="218" xfId="42" applyFont="1" applyFill="1" applyBorder="1"/>
    <xf numFmtId="180" fontId="7" fillId="5" borderId="219" xfId="42" applyFont="1" applyFill="1" applyBorder="1"/>
    <xf numFmtId="180" fontId="7" fillId="5" borderId="220" xfId="42" applyFont="1" applyFill="1" applyBorder="1"/>
    <xf numFmtId="0" fontId="7" fillId="36" borderId="215" xfId="2" applyFont="1" applyFill="1" applyBorder="1"/>
    <xf numFmtId="180" fontId="121" fillId="36" borderId="215" xfId="42" applyFont="1" applyFill="1" applyBorder="1"/>
    <xf numFmtId="180" fontId="121" fillId="36" borderId="218" xfId="42" applyFont="1" applyFill="1" applyBorder="1"/>
    <xf numFmtId="180" fontId="121" fillId="36" borderId="219" xfId="42" applyFont="1" applyFill="1" applyBorder="1"/>
    <xf numFmtId="180" fontId="121" fillId="36" borderId="220" xfId="42" applyFont="1" applyFill="1" applyBorder="1"/>
    <xf numFmtId="0" fontId="121" fillId="36" borderId="215" xfId="2" applyFont="1" applyFill="1" applyBorder="1"/>
    <xf numFmtId="10" fontId="7" fillId="36" borderId="215" xfId="6" applyNumberFormat="1" applyFont="1" applyFill="1" applyBorder="1"/>
    <xf numFmtId="2" fontId="7" fillId="36" borderId="215" xfId="2" applyNumberFormat="1" applyFont="1" applyFill="1" applyBorder="1"/>
    <xf numFmtId="9" fontId="7" fillId="36" borderId="215" xfId="2" applyNumberFormat="1" applyFont="1" applyFill="1" applyBorder="1"/>
    <xf numFmtId="10" fontId="7" fillId="36" borderId="218" xfId="6" applyNumberFormat="1" applyFont="1" applyFill="1" applyBorder="1"/>
    <xf numFmtId="10" fontId="7" fillId="36" borderId="221" xfId="2" applyNumberFormat="1" applyFont="1" applyFill="1" applyBorder="1"/>
    <xf numFmtId="10" fontId="7" fillId="36" borderId="222" xfId="6" applyNumberFormat="1" applyFont="1" applyFill="1" applyBorder="1"/>
    <xf numFmtId="0" fontId="6" fillId="98" borderId="0" xfId="2" applyFill="1"/>
    <xf numFmtId="0" fontId="34" fillId="37" borderId="16" xfId="4" applyFont="1" applyFill="1" applyBorder="1" applyAlignment="1">
      <alignment horizontal="center" wrapText="1"/>
    </xf>
    <xf numFmtId="0" fontId="34" fillId="37" borderId="9" xfId="4" applyFont="1" applyFill="1" applyBorder="1" applyAlignment="1">
      <alignment horizontal="center" wrapText="1"/>
    </xf>
    <xf numFmtId="0" fontId="34" fillId="37" borderId="48" xfId="4" applyFont="1" applyFill="1" applyBorder="1" applyAlignment="1">
      <alignment horizontal="center"/>
    </xf>
    <xf numFmtId="0" fontId="17" fillId="0" borderId="0" xfId="0" applyFont="1"/>
    <xf numFmtId="0" fontId="106" fillId="106" borderId="76" xfId="0" applyFont="1" applyFill="1" applyBorder="1" applyAlignment="1">
      <alignment horizontal="center" vertical="center" wrapText="1"/>
    </xf>
    <xf numFmtId="0" fontId="105" fillId="108" borderId="76" xfId="0" applyFont="1" applyFill="1" applyBorder="1" applyAlignment="1">
      <alignment vertical="center"/>
    </xf>
    <xf numFmtId="3" fontId="107" fillId="109" borderId="76" xfId="0" applyNumberFormat="1" applyFont="1" applyFill="1" applyBorder="1" applyAlignment="1">
      <alignment horizontal="right" vertical="center"/>
    </xf>
    <xf numFmtId="0" fontId="104" fillId="110" borderId="76" xfId="0" applyFont="1" applyFill="1" applyBorder="1" applyAlignment="1">
      <alignment vertical="center"/>
    </xf>
    <xf numFmtId="0" fontId="109" fillId="110" borderId="76" xfId="0" applyFont="1" applyFill="1" applyBorder="1" applyAlignment="1">
      <alignment horizontal="right" vertical="center"/>
    </xf>
    <xf numFmtId="0" fontId="104" fillId="110" borderId="76" xfId="0" applyFont="1" applyFill="1" applyBorder="1" applyAlignment="1">
      <alignment vertical="center" wrapText="1"/>
    </xf>
    <xf numFmtId="0" fontId="106" fillId="111" borderId="76" xfId="0" applyFont="1" applyFill="1" applyBorder="1" applyAlignment="1">
      <alignment vertical="center"/>
    </xf>
    <xf numFmtId="0" fontId="105" fillId="112" borderId="76" xfId="0" applyFont="1" applyFill="1" applyBorder="1" applyAlignment="1">
      <alignment vertical="center"/>
    </xf>
    <xf numFmtId="3" fontId="107" fillId="96" borderId="76" xfId="0" applyNumberFormat="1" applyFont="1" applyFill="1" applyBorder="1" applyAlignment="1">
      <alignment horizontal="right" vertical="center"/>
    </xf>
    <xf numFmtId="3" fontId="108" fillId="110" borderId="76" xfId="0" applyNumberFormat="1" applyFont="1" applyFill="1" applyBorder="1" applyAlignment="1">
      <alignment horizontal="right" vertical="center"/>
    </xf>
    <xf numFmtId="3" fontId="149" fillId="110" borderId="76" xfId="0" applyNumberFormat="1" applyFont="1" applyFill="1" applyBorder="1" applyAlignment="1">
      <alignment horizontal="left" vertical="center"/>
    </xf>
    <xf numFmtId="166" fontId="149" fillId="110" borderId="76" xfId="0" applyNumberFormat="1" applyFont="1" applyFill="1" applyBorder="1" applyAlignment="1">
      <alignment horizontal="left" vertical="center"/>
    </xf>
    <xf numFmtId="4" fontId="149" fillId="110" borderId="76" xfId="0" applyNumberFormat="1" applyFont="1" applyFill="1" applyBorder="1" applyAlignment="1">
      <alignment horizontal="left" vertical="center"/>
    </xf>
    <xf numFmtId="3" fontId="111" fillId="169" borderId="76" xfId="0" applyNumberFormat="1" applyFont="1" applyFill="1" applyBorder="1" applyAlignment="1">
      <alignment horizontal="right" vertical="center"/>
    </xf>
    <xf numFmtId="0" fontId="10" fillId="0" borderId="168" xfId="4" applyBorder="1" applyAlignment="1">
      <alignment wrapText="1"/>
    </xf>
    <xf numFmtId="3" fontId="10" fillId="0" borderId="176" xfId="4" applyNumberFormat="1" applyBorder="1" applyAlignment="1">
      <alignment wrapText="1"/>
    </xf>
    <xf numFmtId="3" fontId="10" fillId="0" borderId="169" xfId="4" applyNumberFormat="1" applyBorder="1" applyAlignment="1">
      <alignment wrapText="1"/>
    </xf>
    <xf numFmtId="0" fontId="10" fillId="0" borderId="170" xfId="4" applyBorder="1" applyAlignment="1">
      <alignment wrapText="1"/>
    </xf>
    <xf numFmtId="3" fontId="10" fillId="0" borderId="171" xfId="4" applyNumberFormat="1" applyBorder="1" applyAlignment="1">
      <alignment wrapText="1"/>
    </xf>
    <xf numFmtId="9" fontId="10" fillId="0" borderId="0" xfId="6" applyFont="1" applyAlignment="1">
      <alignment vertical="center"/>
    </xf>
    <xf numFmtId="0" fontId="5" fillId="171" borderId="45" xfId="0" applyFont="1" applyFill="1" applyBorder="1"/>
    <xf numFmtId="3" fontId="5" fillId="171" borderId="45" xfId="0" applyNumberFormat="1" applyFont="1" applyFill="1" applyBorder="1"/>
    <xf numFmtId="3" fontId="45" fillId="171" borderId="45" xfId="0" applyNumberFormat="1" applyFont="1" applyFill="1" applyBorder="1"/>
    <xf numFmtId="3" fontId="5" fillId="171" borderId="45" xfId="0" applyNumberFormat="1" applyFont="1" applyFill="1" applyBorder="1" applyAlignment="1">
      <alignment horizontal="right"/>
    </xf>
    <xf numFmtId="0" fontId="0" fillId="171" borderId="45" xfId="0" applyFill="1" applyBorder="1" applyAlignment="1">
      <alignment horizontal="right"/>
    </xf>
    <xf numFmtId="3" fontId="0" fillId="171" borderId="45" xfId="0" applyNumberFormat="1" applyFill="1" applyBorder="1"/>
    <xf numFmtId="0" fontId="5" fillId="171" borderId="45" xfId="0" applyFont="1" applyFill="1" applyBorder="1" applyAlignment="1">
      <alignment horizontal="left"/>
    </xf>
    <xf numFmtId="0" fontId="0" fillId="171" borderId="45" xfId="0" applyFill="1" applyBorder="1"/>
    <xf numFmtId="0" fontId="45" fillId="72" borderId="227" xfId="43" applyFont="1" applyFill="1" applyBorder="1" applyAlignment="1">
      <alignment vertical="center"/>
    </xf>
    <xf numFmtId="0" fontId="45" fillId="72" borderId="225" xfId="0" applyFont="1" applyFill="1" applyBorder="1" applyAlignment="1">
      <alignment vertical="center"/>
    </xf>
    <xf numFmtId="0" fontId="10" fillId="0" borderId="45" xfId="4" applyBorder="1" applyAlignment="1">
      <alignment wrapText="1"/>
    </xf>
    <xf numFmtId="0" fontId="10" fillId="0" borderId="45" xfId="4" applyBorder="1"/>
    <xf numFmtId="3" fontId="10" fillId="0" borderId="33" xfId="4" applyNumberFormat="1" applyBorder="1" applyAlignment="1">
      <alignment vertical="center"/>
    </xf>
    <xf numFmtId="3" fontId="10" fillId="0" borderId="33" xfId="4" applyNumberFormat="1" applyBorder="1" applyAlignment="1">
      <alignment wrapText="1"/>
    </xf>
    <xf numFmtId="3" fontId="10" fillId="0" borderId="45" xfId="4" applyNumberFormat="1" applyBorder="1"/>
    <xf numFmtId="10" fontId="10" fillId="0" borderId="0" xfId="4" applyNumberFormat="1" applyAlignment="1">
      <alignment horizontal="left"/>
    </xf>
    <xf numFmtId="1" fontId="10" fillId="0" borderId="0" xfId="4" applyNumberFormat="1" applyAlignment="1">
      <alignment horizontal="center"/>
    </xf>
    <xf numFmtId="0" fontId="29" fillId="0" borderId="45" xfId="0" applyFont="1" applyBorder="1" applyAlignment="1">
      <alignment horizontal="left" vertical="center"/>
    </xf>
    <xf numFmtId="0" fontId="0" fillId="0" borderId="45" xfId="0" applyBorder="1"/>
    <xf numFmtId="3" fontId="0" fillId="28" borderId="45" xfId="0" applyNumberFormat="1" applyFill="1" applyBorder="1"/>
    <xf numFmtId="3" fontId="28" fillId="0" borderId="45" xfId="5" applyNumberFormat="1" applyFont="1" applyBorder="1" applyAlignment="1">
      <alignment horizontal="right" vertical="center"/>
    </xf>
    <xf numFmtId="0" fontId="29" fillId="0" borderId="45" xfId="0" applyFont="1" applyBorder="1" applyAlignment="1">
      <alignment horizontal="left" vertical="center" wrapText="1"/>
    </xf>
    <xf numFmtId="3" fontId="9" fillId="30" borderId="0" xfId="5" applyNumberFormat="1" applyFont="1" applyFill="1" applyAlignment="1">
      <alignment vertical="center"/>
    </xf>
    <xf numFmtId="1" fontId="10" fillId="43" borderId="33" xfId="4" applyNumberFormat="1" applyFill="1" applyBorder="1"/>
    <xf numFmtId="0" fontId="9" fillId="0" borderId="172" xfId="2" applyFont="1" applyBorder="1" applyAlignment="1">
      <alignment horizontal="right" vertical="center"/>
    </xf>
    <xf numFmtId="3" fontId="0" fillId="0" borderId="45" xfId="0" applyNumberFormat="1" applyBorder="1"/>
    <xf numFmtId="0" fontId="31" fillId="86" borderId="45" xfId="0" applyFont="1" applyFill="1" applyBorder="1"/>
    <xf numFmtId="0" fontId="31" fillId="90" borderId="45" xfId="0" applyFont="1" applyFill="1" applyBorder="1"/>
    <xf numFmtId="0" fontId="31" fillId="92" borderId="45" xfId="0" applyFont="1" applyFill="1" applyBorder="1"/>
    <xf numFmtId="0" fontId="49" fillId="83" borderId="45" xfId="0" applyFont="1" applyFill="1" applyBorder="1"/>
    <xf numFmtId="0" fontId="0" fillId="72" borderId="45" xfId="0" applyFill="1" applyBorder="1"/>
    <xf numFmtId="0" fontId="9" fillId="0" borderId="45" xfId="2" applyFont="1" applyBorder="1" applyAlignment="1">
      <alignment vertical="center"/>
    </xf>
    <xf numFmtId="0" fontId="9" fillId="2" borderId="45" xfId="2" applyFont="1" applyFill="1" applyBorder="1" applyAlignment="1">
      <alignment horizontal="left" vertical="center"/>
    </xf>
    <xf numFmtId="0" fontId="0" fillId="68" borderId="0" xfId="0" applyFill="1"/>
    <xf numFmtId="0" fontId="31" fillId="93" borderId="45" xfId="0" applyFont="1" applyFill="1" applyBorder="1"/>
    <xf numFmtId="0" fontId="31" fillId="89" borderId="45" xfId="0" applyFont="1" applyFill="1" applyBorder="1"/>
    <xf numFmtId="0" fontId="0" fillId="71" borderId="0" xfId="0" applyFill="1"/>
    <xf numFmtId="0" fontId="31" fillId="96" borderId="45" xfId="0" applyFont="1" applyFill="1" applyBorder="1"/>
    <xf numFmtId="0" fontId="0" fillId="52" borderId="0" xfId="0" applyFill="1"/>
    <xf numFmtId="0" fontId="31" fillId="91" borderId="45" xfId="0" applyFont="1" applyFill="1" applyBorder="1"/>
    <xf numFmtId="0" fontId="31" fillId="95" borderId="45" xfId="0" applyFont="1" applyFill="1" applyBorder="1"/>
    <xf numFmtId="0" fontId="31" fillId="94" borderId="45" xfId="0" applyFont="1" applyFill="1" applyBorder="1"/>
    <xf numFmtId="0" fontId="31" fillId="87" borderId="45" xfId="0" applyFont="1" applyFill="1" applyBorder="1"/>
    <xf numFmtId="0" fontId="31" fillId="88" borderId="45" xfId="0" applyFont="1" applyFill="1" applyBorder="1"/>
    <xf numFmtId="0" fontId="31" fillId="85" borderId="45" xfId="0" applyFont="1" applyFill="1" applyBorder="1"/>
    <xf numFmtId="0" fontId="31" fillId="84" borderId="45" xfId="0" applyFont="1" applyFill="1" applyBorder="1"/>
    <xf numFmtId="0" fontId="0" fillId="52" borderId="226" xfId="0" applyFill="1" applyBorder="1"/>
    <xf numFmtId="0" fontId="0" fillId="52" borderId="45" xfId="0" applyFill="1" applyBorder="1"/>
    <xf numFmtId="176" fontId="0" fillId="0" borderId="0" xfId="0" applyNumberFormat="1"/>
    <xf numFmtId="176" fontId="0" fillId="72" borderId="45" xfId="0" applyNumberFormat="1" applyFill="1" applyBorder="1"/>
    <xf numFmtId="0" fontId="151" fillId="72" borderId="45" xfId="0" applyFont="1" applyFill="1" applyBorder="1" applyAlignment="1">
      <alignment vertical="top" wrapText="1"/>
    </xf>
    <xf numFmtId="176" fontId="0" fillId="98" borderId="45" xfId="0" applyNumberFormat="1" applyFill="1" applyBorder="1"/>
    <xf numFmtId="0" fontId="151" fillId="0" borderId="45" xfId="0" applyFont="1" applyBorder="1" applyAlignment="1">
      <alignment vertical="top" wrapText="1"/>
    </xf>
    <xf numFmtId="176" fontId="0" fillId="0" borderId="45" xfId="0" applyNumberFormat="1" applyBorder="1"/>
    <xf numFmtId="0" fontId="9" fillId="2" borderId="172" xfId="2" applyFont="1" applyFill="1" applyBorder="1" applyAlignment="1">
      <alignment horizontal="left" vertical="center"/>
    </xf>
    <xf numFmtId="0" fontId="9" fillId="2" borderId="172" xfId="2" applyFont="1" applyFill="1" applyBorder="1" applyAlignment="1">
      <alignment horizontal="right" vertical="center"/>
    </xf>
    <xf numFmtId="0" fontId="151" fillId="68" borderId="45" xfId="0" applyFont="1" applyFill="1" applyBorder="1" applyAlignment="1">
      <alignment vertical="top" wrapText="1"/>
    </xf>
    <xf numFmtId="176" fontId="0" fillId="68" borderId="45" xfId="0" applyNumberFormat="1" applyFill="1" applyBorder="1"/>
    <xf numFmtId="4" fontId="0" fillId="0" borderId="45" xfId="0" applyNumberFormat="1" applyBorder="1"/>
    <xf numFmtId="0" fontId="121" fillId="25" borderId="215" xfId="0" applyFont="1" applyFill="1" applyBorder="1"/>
    <xf numFmtId="0" fontId="121" fillId="153" borderId="215" xfId="0" applyFont="1" applyFill="1" applyBorder="1"/>
    <xf numFmtId="0" fontId="121" fillId="154" borderId="215" xfId="0" applyFont="1" applyFill="1" applyBorder="1"/>
    <xf numFmtId="0" fontId="121" fillId="155" borderId="215" xfId="0" applyFont="1" applyFill="1" applyBorder="1"/>
    <xf numFmtId="0" fontId="121" fillId="22" borderId="215" xfId="0" applyFont="1" applyFill="1" applyBorder="1"/>
    <xf numFmtId="0" fontId="121" fillId="134" borderId="215" xfId="0" applyFont="1" applyFill="1" applyBorder="1"/>
    <xf numFmtId="0" fontId="121" fillId="135" borderId="215" xfId="0" applyFont="1" applyFill="1" applyBorder="1"/>
    <xf numFmtId="0" fontId="121" fillId="158" borderId="215" xfId="0" applyFont="1" applyFill="1" applyBorder="1"/>
    <xf numFmtId="0" fontId="121" fillId="159" borderId="215" xfId="0" applyFont="1" applyFill="1" applyBorder="1"/>
    <xf numFmtId="0" fontId="121" fillId="160" borderId="215" xfId="0" applyFont="1" applyFill="1" applyBorder="1"/>
    <xf numFmtId="0" fontId="121" fillId="162" borderId="215" xfId="0" applyFont="1" applyFill="1" applyBorder="1"/>
    <xf numFmtId="0" fontId="121" fillId="8" borderId="215" xfId="0" applyFont="1" applyFill="1" applyBorder="1"/>
    <xf numFmtId="0" fontId="121" fillId="165" borderId="215" xfId="0" applyFont="1" applyFill="1" applyBorder="1"/>
    <xf numFmtId="0" fontId="121" fillId="166" borderId="215" xfId="0" applyFont="1" applyFill="1" applyBorder="1"/>
    <xf numFmtId="0" fontId="121" fillId="30" borderId="215" xfId="0" applyFont="1" applyFill="1" applyBorder="1"/>
    <xf numFmtId="0" fontId="121" fillId="13" borderId="215" xfId="0" applyFont="1" applyFill="1" applyBorder="1"/>
    <xf numFmtId="0" fontId="121" fillId="17" borderId="215" xfId="0" applyFont="1" applyFill="1" applyBorder="1"/>
    <xf numFmtId="0" fontId="121" fillId="168" borderId="215" xfId="0" applyFont="1" applyFill="1" applyBorder="1"/>
    <xf numFmtId="0" fontId="121" fillId="35" borderId="215" xfId="0" applyFont="1" applyFill="1" applyBorder="1"/>
    <xf numFmtId="0" fontId="121" fillId="15" borderId="215" xfId="0" applyFont="1" applyFill="1" applyBorder="1"/>
    <xf numFmtId="0" fontId="121" fillId="36" borderId="215" xfId="0" applyFont="1" applyFill="1" applyBorder="1"/>
    <xf numFmtId="0" fontId="7" fillId="7" borderId="0" xfId="2" applyFont="1" applyFill="1" applyAlignment="1">
      <alignment horizontal="center" vertical="center"/>
    </xf>
    <xf numFmtId="0" fontId="0" fillId="20" borderId="0" xfId="0" applyFill="1"/>
    <xf numFmtId="1" fontId="10" fillId="43" borderId="63" xfId="4" applyNumberFormat="1" applyFill="1" applyBorder="1"/>
    <xf numFmtId="3" fontId="10" fillId="59" borderId="63" xfId="2" applyNumberFormat="1" applyFont="1" applyFill="1" applyBorder="1"/>
    <xf numFmtId="0" fontId="151" fillId="0" borderId="226" xfId="0" applyFont="1" applyBorder="1" applyAlignment="1">
      <alignment vertical="top" wrapText="1"/>
    </xf>
    <xf numFmtId="0" fontId="151" fillId="72" borderId="226" xfId="0" applyFont="1" applyFill="1" applyBorder="1" applyAlignment="1">
      <alignment vertical="top" wrapText="1"/>
    </xf>
    <xf numFmtId="10" fontId="10" fillId="0" borderId="0" xfId="4" applyNumberFormat="1" applyAlignment="1">
      <alignment horizontal="center"/>
    </xf>
    <xf numFmtId="1" fontId="10" fillId="43" borderId="45" xfId="4" applyNumberFormat="1" applyFill="1" applyBorder="1"/>
    <xf numFmtId="165" fontId="0" fillId="38" borderId="56" xfId="41" applyNumberFormat="1" applyFont="1" applyFill="1" applyBorder="1" applyProtection="1"/>
    <xf numFmtId="3" fontId="10" fillId="43" borderId="230" xfId="4" applyNumberFormat="1" applyFill="1" applyBorder="1"/>
    <xf numFmtId="3" fontId="36" fillId="43" borderId="56" xfId="4" applyNumberFormat="1" applyFont="1" applyFill="1" applyBorder="1"/>
    <xf numFmtId="3" fontId="36" fillId="43" borderId="45" xfId="4" applyNumberFormat="1" applyFont="1" applyFill="1" applyBorder="1"/>
    <xf numFmtId="3" fontId="36" fillId="43" borderId="59" xfId="4" applyNumberFormat="1" applyFont="1" applyFill="1" applyBorder="1"/>
    <xf numFmtId="3" fontId="36" fillId="43" borderId="56" xfId="4" applyNumberFormat="1" applyFont="1" applyFill="1" applyBorder="1" applyAlignment="1">
      <alignment vertical="center"/>
    </xf>
    <xf numFmtId="3" fontId="36" fillId="43" borderId="45" xfId="4" applyNumberFormat="1" applyFont="1" applyFill="1" applyBorder="1" applyAlignment="1">
      <alignment vertical="center"/>
    </xf>
    <xf numFmtId="3" fontId="36" fillId="43" borderId="59" xfId="4" applyNumberFormat="1" applyFont="1" applyFill="1" applyBorder="1" applyAlignment="1">
      <alignment vertical="center"/>
    </xf>
    <xf numFmtId="3" fontId="10" fillId="43" borderId="56" xfId="4" applyNumberFormat="1" applyFill="1" applyBorder="1" applyAlignment="1">
      <alignment vertical="center"/>
    </xf>
    <xf numFmtId="3" fontId="10" fillId="43" borderId="45" xfId="4" applyNumberFormat="1" applyFill="1" applyBorder="1" applyAlignment="1">
      <alignment vertical="center"/>
    </xf>
    <xf numFmtId="3" fontId="10" fillId="43" borderId="59" xfId="4" applyNumberFormat="1" applyFill="1" applyBorder="1" applyAlignment="1">
      <alignment vertical="center"/>
    </xf>
    <xf numFmtId="3" fontId="43" fillId="43" borderId="45" xfId="4" applyNumberFormat="1" applyFont="1" applyFill="1" applyBorder="1"/>
    <xf numFmtId="3" fontId="10" fillId="43" borderId="5" xfId="4" applyNumberFormat="1" applyFill="1" applyBorder="1"/>
    <xf numFmtId="0" fontId="6" fillId="0" borderId="0" xfId="4" applyFont="1"/>
    <xf numFmtId="0" fontId="152" fillId="172" borderId="8" xfId="0" applyFont="1" applyFill="1" applyBorder="1" applyAlignment="1">
      <alignment horizontal="justify" vertical="center" wrapText="1"/>
    </xf>
    <xf numFmtId="0" fontId="152" fillId="0" borderId="34" xfId="0" applyFont="1" applyBorder="1" applyAlignment="1">
      <alignment horizontal="justify" vertical="center" wrapText="1"/>
    </xf>
    <xf numFmtId="3" fontId="152" fillId="0" borderId="75" xfId="0" applyNumberFormat="1" applyFont="1" applyBorder="1" applyAlignment="1">
      <alignment horizontal="justify" vertical="center" wrapText="1"/>
    </xf>
    <xf numFmtId="0" fontId="153" fillId="0" borderId="34" xfId="0" applyFont="1" applyBorder="1" applyAlignment="1">
      <alignment horizontal="right" vertical="center" wrapText="1"/>
    </xf>
    <xf numFmtId="3" fontId="153" fillId="0" borderId="75" xfId="0" applyNumberFormat="1" applyFont="1" applyBorder="1" applyAlignment="1">
      <alignment horizontal="right" vertical="center" wrapText="1"/>
    </xf>
    <xf numFmtId="0" fontId="42" fillId="0" borderId="34" xfId="0" applyFont="1" applyBorder="1" applyAlignment="1">
      <alignment horizontal="justify" vertical="center" wrapText="1"/>
    </xf>
    <xf numFmtId="3" fontId="42" fillId="0" borderId="75" xfId="0" applyNumberFormat="1" applyFont="1" applyBorder="1" applyAlignment="1">
      <alignment horizontal="center" vertical="center" wrapText="1"/>
    </xf>
    <xf numFmtId="0" fontId="6" fillId="173" borderId="45" xfId="4" applyFont="1" applyFill="1" applyBorder="1"/>
    <xf numFmtId="3" fontId="10" fillId="173" borderId="45" xfId="4" applyNumberFormat="1" applyFill="1" applyBorder="1"/>
    <xf numFmtId="0" fontId="10" fillId="173" borderId="45" xfId="4" applyFill="1" applyBorder="1" applyAlignment="1">
      <alignment horizontal="left" vertical="center" wrapText="1"/>
    </xf>
    <xf numFmtId="3" fontId="10" fillId="173" borderId="45" xfId="4" applyNumberFormat="1" applyFill="1" applyBorder="1" applyAlignment="1">
      <alignment vertical="center"/>
    </xf>
    <xf numFmtId="0" fontId="10" fillId="173" borderId="33" xfId="4" applyFill="1" applyBorder="1" applyAlignment="1">
      <alignment horizontal="left"/>
    </xf>
    <xf numFmtId="3" fontId="10" fillId="173" borderId="33" xfId="4" applyNumberFormat="1" applyFill="1" applyBorder="1"/>
    <xf numFmtId="171" fontId="10" fillId="173" borderId="33" xfId="4" applyNumberFormat="1" applyFill="1" applyBorder="1" applyAlignment="1">
      <alignment horizontal="center"/>
    </xf>
    <xf numFmtId="10" fontId="10" fillId="173" borderId="0" xfId="6" applyNumberFormat="1" applyFont="1" applyFill="1" applyAlignment="1">
      <alignment horizontal="center"/>
    </xf>
    <xf numFmtId="0" fontId="10" fillId="173" borderId="33" xfId="4" applyFill="1" applyBorder="1"/>
    <xf numFmtId="3" fontId="10" fillId="173" borderId="33" xfId="4" applyNumberFormat="1" applyFill="1" applyBorder="1" applyAlignment="1">
      <alignment horizontal="center"/>
    </xf>
    <xf numFmtId="9" fontId="10" fillId="173" borderId="0" xfId="6" applyFont="1" applyFill="1" applyAlignment="1">
      <alignment horizontal="center"/>
    </xf>
    <xf numFmtId="3" fontId="10" fillId="175" borderId="50" xfId="4" applyNumberFormat="1" applyFill="1" applyBorder="1"/>
    <xf numFmtId="3" fontId="10" fillId="175" borderId="33" xfId="4" applyNumberFormat="1" applyFill="1" applyBorder="1"/>
    <xf numFmtId="169" fontId="10" fillId="175" borderId="33" xfId="4" applyNumberFormat="1" applyFill="1" applyBorder="1"/>
    <xf numFmtId="3" fontId="10" fillId="175" borderId="59" xfId="4" applyNumberFormat="1" applyFill="1" applyBorder="1"/>
    <xf numFmtId="0" fontId="10" fillId="175" borderId="52" xfId="4" applyFill="1" applyBorder="1" applyAlignment="1">
      <alignment vertical="center" wrapText="1"/>
    </xf>
    <xf numFmtId="0" fontId="10" fillId="175" borderId="53" xfId="4" applyFill="1" applyBorder="1" applyAlignment="1">
      <alignment vertical="center" wrapText="1"/>
    </xf>
    <xf numFmtId="0" fontId="6" fillId="0" borderId="18" xfId="4" applyFont="1" applyBorder="1" applyAlignment="1">
      <alignment wrapText="1"/>
    </xf>
    <xf numFmtId="0" fontId="6" fillId="0" borderId="18" xfId="15" applyFont="1" applyBorder="1" applyAlignment="1">
      <alignment wrapText="1"/>
    </xf>
    <xf numFmtId="0" fontId="6" fillId="0" borderId="207" xfId="15" applyFont="1" applyBorder="1" applyAlignment="1">
      <alignment wrapText="1"/>
    </xf>
    <xf numFmtId="3" fontId="10" fillId="43" borderId="55" xfId="4" applyNumberFormat="1" applyFill="1" applyBorder="1"/>
    <xf numFmtId="169" fontId="10" fillId="43" borderId="231" xfId="4" applyNumberFormat="1" applyFill="1" applyBorder="1"/>
    <xf numFmtId="3" fontId="10" fillId="43" borderId="231" xfId="4" applyNumberFormat="1" applyFill="1" applyBorder="1"/>
    <xf numFmtId="0" fontId="34" fillId="42" borderId="32" xfId="4" applyFont="1" applyFill="1" applyBorder="1" applyAlignment="1">
      <alignment vertical="center" wrapText="1"/>
    </xf>
    <xf numFmtId="3" fontId="10" fillId="41" borderId="45" xfId="4" applyNumberFormat="1" applyFill="1" applyBorder="1"/>
    <xf numFmtId="3" fontId="10" fillId="38" borderId="230" xfId="4" applyNumberFormat="1" applyFill="1" applyBorder="1"/>
    <xf numFmtId="165" fontId="10" fillId="37" borderId="56" xfId="41" applyNumberFormat="1" applyFont="1" applyFill="1" applyBorder="1"/>
    <xf numFmtId="165" fontId="10" fillId="50" borderId="207" xfId="41" applyNumberFormat="1" applyFont="1" applyFill="1" applyBorder="1"/>
    <xf numFmtId="165" fontId="0" fillId="41" borderId="45" xfId="9" applyNumberFormat="1" applyFont="1" applyFill="1" applyBorder="1" applyProtection="1"/>
    <xf numFmtId="165" fontId="0" fillId="42" borderId="45" xfId="9" applyNumberFormat="1" applyFont="1" applyFill="1" applyBorder="1" applyProtection="1"/>
    <xf numFmtId="165" fontId="0" fillId="46" borderId="45" xfId="9" applyNumberFormat="1" applyFont="1" applyFill="1" applyBorder="1" applyProtection="1"/>
    <xf numFmtId="165" fontId="0" fillId="47" borderId="45" xfId="9" applyNumberFormat="1" applyFont="1" applyFill="1" applyBorder="1" applyProtection="1"/>
    <xf numFmtId="165" fontId="0" fillId="48" borderId="45" xfId="9" applyNumberFormat="1" applyFont="1" applyFill="1" applyBorder="1" applyProtection="1"/>
    <xf numFmtId="165" fontId="0" fillId="44" borderId="59" xfId="9" applyNumberFormat="1" applyFont="1" applyFill="1" applyBorder="1" applyProtection="1"/>
    <xf numFmtId="3" fontId="10" fillId="37" borderId="62" xfId="4" applyNumberFormat="1" applyFill="1" applyBorder="1"/>
    <xf numFmtId="3" fontId="10" fillId="50" borderId="64" xfId="4" applyNumberFormat="1" applyFill="1" applyBorder="1"/>
    <xf numFmtId="165" fontId="0" fillId="44" borderId="5" xfId="9" applyNumberFormat="1" applyFont="1" applyFill="1" applyBorder="1" applyProtection="1"/>
    <xf numFmtId="165" fontId="10" fillId="37" borderId="232" xfId="41" applyNumberFormat="1" applyFont="1" applyFill="1" applyBorder="1"/>
    <xf numFmtId="165" fontId="10" fillId="50" borderId="228" xfId="41" applyNumberFormat="1" applyFont="1" applyFill="1" applyBorder="1"/>
    <xf numFmtId="165" fontId="0" fillId="38" borderId="232" xfId="41" applyNumberFormat="1" applyFont="1" applyFill="1" applyBorder="1" applyProtection="1"/>
    <xf numFmtId="165" fontId="0" fillId="42" borderId="225" xfId="9" applyNumberFormat="1" applyFont="1" applyFill="1" applyBorder="1" applyProtection="1"/>
    <xf numFmtId="165" fontId="0" fillId="46" borderId="225" xfId="9" applyNumberFormat="1" applyFont="1" applyFill="1" applyBorder="1" applyProtection="1"/>
    <xf numFmtId="165" fontId="0" fillId="47" borderId="225" xfId="9" applyNumberFormat="1" applyFont="1" applyFill="1" applyBorder="1" applyProtection="1"/>
    <xf numFmtId="165" fontId="0" fillId="48" borderId="225" xfId="9" applyNumberFormat="1" applyFont="1" applyFill="1" applyBorder="1" applyProtection="1"/>
    <xf numFmtId="165" fontId="0" fillId="44" borderId="167" xfId="9" applyNumberFormat="1" applyFont="1" applyFill="1" applyBorder="1" applyProtection="1"/>
    <xf numFmtId="3" fontId="10" fillId="49" borderId="61" xfId="4" applyNumberFormat="1" applyFill="1" applyBorder="1"/>
    <xf numFmtId="3" fontId="10" fillId="49" borderId="207" xfId="4" applyNumberFormat="1" applyFill="1" applyBorder="1"/>
    <xf numFmtId="3" fontId="10" fillId="174" borderId="235" xfId="4" applyNumberFormat="1" applyFill="1" applyBorder="1"/>
    <xf numFmtId="3" fontId="10" fillId="39" borderId="235" xfId="4" applyNumberFormat="1" applyFill="1" applyBorder="1"/>
    <xf numFmtId="3" fontId="10" fillId="46" borderId="50" xfId="4" applyNumberFormat="1" applyFill="1" applyBorder="1"/>
    <xf numFmtId="3" fontId="10" fillId="47" borderId="50" xfId="4" applyNumberFormat="1" applyFill="1" applyBorder="1"/>
    <xf numFmtId="3" fontId="10" fillId="48" borderId="50" xfId="4" applyNumberFormat="1" applyFill="1" applyBorder="1"/>
    <xf numFmtId="3" fontId="10" fillId="174" borderId="60" xfId="4" applyNumberFormat="1" applyFill="1" applyBorder="1"/>
    <xf numFmtId="3" fontId="10" fillId="42" borderId="45" xfId="4" applyNumberFormat="1" applyFill="1" applyBorder="1"/>
    <xf numFmtId="3" fontId="10" fillId="46" borderId="45" xfId="4" applyNumberFormat="1" applyFill="1" applyBorder="1"/>
    <xf numFmtId="3" fontId="10" fillId="47" borderId="45" xfId="4" applyNumberFormat="1" applyFill="1" applyBorder="1"/>
    <xf numFmtId="3" fontId="10" fillId="48" borderId="45" xfId="4" applyNumberFormat="1" applyFill="1" applyBorder="1"/>
    <xf numFmtId="3" fontId="10" fillId="174" borderId="47" xfId="4" applyNumberFormat="1" applyFill="1" applyBorder="1"/>
    <xf numFmtId="0" fontId="10" fillId="174" borderId="8" xfId="4" applyFill="1" applyBorder="1" applyAlignment="1">
      <alignment horizontal="center" vertical="center" wrapText="1"/>
    </xf>
    <xf numFmtId="0" fontId="10" fillId="39" borderId="8" xfId="4" applyFill="1" applyBorder="1" applyAlignment="1">
      <alignment horizontal="center" vertical="center" wrapText="1"/>
    </xf>
    <xf numFmtId="0" fontId="34" fillId="38" borderId="233" xfId="4" applyFont="1" applyFill="1" applyBorder="1" applyAlignment="1">
      <alignment horizontal="center" vertical="center" wrapText="1"/>
    </xf>
    <xf numFmtId="0" fontId="34" fillId="42" borderId="170" xfId="4" applyFont="1" applyFill="1" applyBorder="1" applyAlignment="1">
      <alignment horizontal="center" vertical="center" wrapText="1"/>
    </xf>
    <xf numFmtId="0" fontId="34" fillId="46" borderId="170" xfId="4" applyFont="1" applyFill="1" applyBorder="1" applyAlignment="1">
      <alignment horizontal="center" vertical="center" wrapText="1"/>
    </xf>
    <xf numFmtId="0" fontId="34" fillId="47" borderId="170" xfId="4" applyFont="1" applyFill="1" applyBorder="1" applyAlignment="1">
      <alignment horizontal="center" vertical="center" wrapText="1"/>
    </xf>
    <xf numFmtId="0" fontId="34" fillId="48" borderId="170" xfId="4" applyFont="1" applyFill="1" applyBorder="1" applyAlignment="1">
      <alignment horizontal="center" vertical="center" wrapText="1"/>
    </xf>
    <xf numFmtId="0" fontId="34" fillId="44" borderId="176" xfId="4" applyFont="1" applyFill="1" applyBorder="1" applyAlignment="1">
      <alignment horizontal="center" vertical="center" wrapText="1"/>
    </xf>
    <xf numFmtId="0" fontId="34" fillId="41" borderId="170" xfId="4" applyFont="1" applyFill="1" applyBorder="1" applyAlignment="1">
      <alignment horizontal="center" vertical="center" wrapText="1"/>
    </xf>
    <xf numFmtId="0" fontId="34" fillId="37" borderId="233" xfId="4" applyFont="1" applyFill="1" applyBorder="1" applyAlignment="1">
      <alignment horizontal="center" vertical="center" wrapText="1"/>
    </xf>
    <xf numFmtId="0" fontId="34" fillId="50" borderId="176" xfId="4" applyFont="1" applyFill="1" applyBorder="1" applyAlignment="1">
      <alignment horizontal="center" vertical="center" wrapText="1"/>
    </xf>
    <xf numFmtId="0" fontId="34" fillId="38" borderId="234" xfId="4" applyFont="1" applyFill="1" applyBorder="1" applyAlignment="1">
      <alignment horizontal="center" vertical="center" wrapText="1"/>
    </xf>
    <xf numFmtId="165" fontId="34" fillId="48" borderId="170" xfId="9" applyNumberFormat="1" applyFont="1" applyFill="1" applyBorder="1" applyAlignment="1" applyProtection="1">
      <alignment horizontal="center" vertical="center" wrapText="1"/>
    </xf>
    <xf numFmtId="0" fontId="10" fillId="40" borderId="8" xfId="4" applyFill="1" applyBorder="1" applyAlignment="1">
      <alignment wrapText="1"/>
    </xf>
    <xf numFmtId="3" fontId="10" fillId="40" borderId="235" xfId="4" applyNumberFormat="1" applyFill="1" applyBorder="1"/>
    <xf numFmtId="3" fontId="6" fillId="43" borderId="1" xfId="4" applyNumberFormat="1" applyFont="1" applyFill="1" applyBorder="1" applyAlignment="1">
      <alignment horizontal="center" vertical="center" wrapText="1"/>
    </xf>
    <xf numFmtId="3" fontId="6" fillId="43" borderId="52" xfId="4" applyNumberFormat="1" applyFont="1" applyFill="1" applyBorder="1" applyAlignment="1">
      <alignment vertical="center" wrapText="1"/>
    </xf>
    <xf numFmtId="0" fontId="6" fillId="43" borderId="52" xfId="4" applyFont="1" applyFill="1" applyBorder="1" applyAlignment="1">
      <alignment horizontal="center" vertical="center" wrapText="1"/>
    </xf>
    <xf numFmtId="0" fontId="6" fillId="43" borderId="53" xfId="4" applyFont="1" applyFill="1" applyBorder="1" applyAlignment="1">
      <alignment horizontal="center" vertical="center" wrapText="1"/>
    </xf>
    <xf numFmtId="0" fontId="6" fillId="28" borderId="18" xfId="4" applyFont="1" applyFill="1" applyBorder="1" applyAlignment="1">
      <alignment wrapText="1"/>
    </xf>
    <xf numFmtId="0" fontId="6" fillId="28" borderId="18" xfId="4" applyFont="1" applyFill="1" applyBorder="1" applyAlignment="1">
      <alignment vertical="center" wrapText="1"/>
    </xf>
    <xf numFmtId="0" fontId="34" fillId="38" borderId="229" xfId="4" applyFont="1" applyFill="1" applyBorder="1" applyAlignment="1">
      <alignment wrapText="1"/>
    </xf>
    <xf numFmtId="0" fontId="34" fillId="41" borderId="225" xfId="4" applyFont="1" applyFill="1" applyBorder="1"/>
    <xf numFmtId="0" fontId="34" fillId="42" borderId="225" xfId="4" applyFont="1" applyFill="1" applyBorder="1" applyAlignment="1">
      <alignment wrapText="1"/>
    </xf>
    <xf numFmtId="0" fontId="34" fillId="46" borderId="225" xfId="4" applyFont="1" applyFill="1" applyBorder="1" applyAlignment="1">
      <alignment wrapText="1"/>
    </xf>
    <xf numFmtId="0" fontId="34" fillId="47" borderId="225" xfId="4" applyFont="1" applyFill="1" applyBorder="1" applyAlignment="1">
      <alignment wrapText="1"/>
    </xf>
    <xf numFmtId="0" fontId="34" fillId="48" borderId="225" xfId="4" applyFont="1" applyFill="1" applyBorder="1" applyAlignment="1">
      <alignment wrapText="1"/>
    </xf>
    <xf numFmtId="0" fontId="34" fillId="44" borderId="225" xfId="4" applyFont="1" applyFill="1" applyBorder="1" applyAlignment="1">
      <alignment wrapText="1"/>
    </xf>
    <xf numFmtId="0" fontId="34" fillId="37" borderId="81" xfId="4" applyFont="1" applyFill="1" applyBorder="1" applyAlignment="1">
      <alignment wrapText="1"/>
    </xf>
    <xf numFmtId="169" fontId="6" fillId="0" borderId="0" xfId="2" applyNumberFormat="1"/>
    <xf numFmtId="3" fontId="6" fillId="20" borderId="0" xfId="2" applyNumberFormat="1" applyFill="1"/>
    <xf numFmtId="0" fontId="10" fillId="0" borderId="236" xfId="27" applyBorder="1"/>
    <xf numFmtId="0" fontId="6" fillId="0" borderId="0" xfId="2" applyAlignment="1">
      <alignment horizontal="right"/>
    </xf>
    <xf numFmtId="0" fontId="10" fillId="0" borderId="237" xfId="27" applyBorder="1"/>
    <xf numFmtId="0" fontId="6" fillId="0" borderId="26" xfId="4" applyFont="1" applyBorder="1"/>
    <xf numFmtId="165" fontId="6" fillId="0" borderId="0" xfId="41" applyNumberFormat="1" applyFont="1"/>
    <xf numFmtId="10" fontId="6" fillId="0" borderId="0" xfId="41" applyNumberFormat="1" applyFont="1"/>
    <xf numFmtId="10" fontId="0" fillId="41" borderId="225" xfId="9" applyNumberFormat="1" applyFont="1" applyFill="1" applyBorder="1" applyProtection="1"/>
    <xf numFmtId="10" fontId="10" fillId="39" borderId="33" xfId="4" applyNumberFormat="1" applyFill="1" applyBorder="1"/>
    <xf numFmtId="3" fontId="11" fillId="0" borderId="238" xfId="5" applyNumberFormat="1" applyFont="1" applyBorder="1" applyAlignment="1">
      <alignment vertical="center" wrapText="1"/>
    </xf>
    <xf numFmtId="3" fontId="11" fillId="0" borderId="167" xfId="5" applyNumberFormat="1" applyFont="1" applyBorder="1" applyAlignment="1">
      <alignment vertical="center" wrapText="1"/>
    </xf>
    <xf numFmtId="3" fontId="11" fillId="0" borderId="239" xfId="5" applyNumberFormat="1" applyFont="1" applyBorder="1" applyAlignment="1">
      <alignment vertical="center" wrapText="1"/>
    </xf>
    <xf numFmtId="3" fontId="11" fillId="0" borderId="240" xfId="5" applyNumberFormat="1" applyFont="1" applyBorder="1" applyAlignment="1">
      <alignment vertical="center" wrapText="1"/>
    </xf>
    <xf numFmtId="3" fontId="19" fillId="0" borderId="238" xfId="5" applyNumberFormat="1" applyFont="1" applyBorder="1" applyAlignment="1">
      <alignment vertical="center" wrapText="1"/>
    </xf>
    <xf numFmtId="3" fontId="9" fillId="0" borderId="167" xfId="5" applyNumberFormat="1" applyFont="1" applyBorder="1" applyAlignment="1">
      <alignment vertical="center" wrapText="1"/>
    </xf>
    <xf numFmtId="0" fontId="11" fillId="0" borderId="232" xfId="5" applyFont="1" applyBorder="1" applyAlignment="1">
      <alignment vertical="center" wrapText="1"/>
    </xf>
    <xf numFmtId="0" fontId="9" fillId="0" borderId="232" xfId="5" applyFont="1" applyBorder="1" applyAlignment="1">
      <alignment vertical="center" wrapText="1"/>
    </xf>
    <xf numFmtId="10" fontId="9" fillId="0" borderId="238" xfId="5" applyNumberFormat="1" applyFont="1" applyBorder="1" applyAlignment="1">
      <alignment vertical="center" wrapText="1"/>
    </xf>
    <xf numFmtId="3" fontId="9" fillId="0" borderId="238" xfId="5" applyNumberFormat="1" applyFont="1" applyBorder="1" applyAlignment="1">
      <alignment vertical="center" wrapText="1"/>
    </xf>
    <xf numFmtId="10" fontId="9" fillId="0" borderId="167" xfId="5" applyNumberFormat="1" applyFont="1" applyBorder="1" applyAlignment="1">
      <alignment vertical="center" wrapText="1"/>
    </xf>
    <xf numFmtId="0" fontId="11" fillId="0" borderId="230" xfId="5" applyFont="1" applyBorder="1" applyAlignment="1">
      <alignment vertical="center" wrapText="1"/>
    </xf>
    <xf numFmtId="0" fontId="9" fillId="0" borderId="241" xfId="5" applyFont="1" applyBorder="1" applyAlignment="1">
      <alignment vertical="center" wrapText="1"/>
    </xf>
    <xf numFmtId="3" fontId="9" fillId="0" borderId="226" xfId="5" applyNumberFormat="1" applyFont="1" applyBorder="1" applyAlignment="1">
      <alignment vertical="center" wrapText="1"/>
    </xf>
    <xf numFmtId="3" fontId="9" fillId="0" borderId="238" xfId="2" applyNumberFormat="1" applyFont="1" applyBorder="1" applyAlignment="1">
      <alignment vertical="center" wrapText="1"/>
    </xf>
    <xf numFmtId="10" fontId="9" fillId="0" borderId="238" xfId="2" applyNumberFormat="1" applyFont="1" applyBorder="1" applyAlignment="1">
      <alignment vertical="center" wrapText="1"/>
    </xf>
    <xf numFmtId="3" fontId="9" fillId="20" borderId="238" xfId="2" applyNumberFormat="1" applyFont="1" applyFill="1" applyBorder="1" applyAlignment="1">
      <alignment vertical="center" wrapText="1"/>
    </xf>
    <xf numFmtId="10" fontId="9" fillId="0" borderId="167" xfId="2" applyNumberFormat="1" applyFont="1" applyBorder="1" applyAlignment="1">
      <alignment vertical="center" wrapText="1"/>
    </xf>
    <xf numFmtId="179" fontId="9" fillId="0" borderId="238" xfId="2" applyNumberFormat="1" applyFont="1" applyBorder="1" applyAlignment="1">
      <alignment vertical="center" wrapText="1"/>
    </xf>
    <xf numFmtId="4" fontId="9" fillId="0" borderId="238" xfId="2" applyNumberFormat="1" applyFont="1" applyBorder="1" applyAlignment="1">
      <alignment vertical="center" wrapText="1"/>
    </xf>
    <xf numFmtId="169" fontId="9" fillId="0" borderId="238" xfId="2" applyNumberFormat="1" applyFont="1" applyBorder="1" applyAlignment="1">
      <alignment vertical="center" wrapText="1"/>
    </xf>
    <xf numFmtId="10" fontId="11" fillId="3" borderId="41" xfId="5" applyNumberFormat="1" applyFont="1" applyFill="1" applyBorder="1" applyAlignment="1">
      <alignment horizontal="center" vertical="center" wrapText="1"/>
    </xf>
    <xf numFmtId="3" fontId="9" fillId="0" borderId="41" xfId="2" applyNumberFormat="1" applyFont="1" applyBorder="1" applyAlignment="1">
      <alignment vertical="center" wrapText="1"/>
    </xf>
    <xf numFmtId="165" fontId="9" fillId="0" borderId="41" xfId="2" applyNumberFormat="1" applyFont="1" applyBorder="1" applyAlignment="1">
      <alignment vertical="center" wrapText="1"/>
    </xf>
    <xf numFmtId="3" fontId="9" fillId="98" borderId="41" xfId="2" applyNumberFormat="1" applyFont="1" applyFill="1" applyBorder="1" applyAlignment="1">
      <alignment vertical="center" wrapText="1"/>
    </xf>
    <xf numFmtId="169" fontId="9" fillId="98" borderId="41" xfId="2" applyNumberFormat="1" applyFont="1" applyFill="1" applyBorder="1" applyAlignment="1">
      <alignment vertical="center" wrapText="1"/>
    </xf>
    <xf numFmtId="3" fontId="12" fillId="6" borderId="41" xfId="2" applyNumberFormat="1" applyFont="1" applyFill="1" applyBorder="1" applyAlignment="1">
      <alignment vertical="center" wrapText="1"/>
    </xf>
    <xf numFmtId="165" fontId="12" fillId="6" borderId="41" xfId="2" applyNumberFormat="1" applyFont="1" applyFill="1" applyBorder="1" applyAlignment="1">
      <alignment vertical="center" wrapText="1"/>
    </xf>
    <xf numFmtId="3" fontId="80" fillId="0" borderId="41" xfId="2" applyNumberFormat="1" applyFont="1" applyBorder="1"/>
    <xf numFmtId="165" fontId="80" fillId="0" borderId="41" xfId="2" applyNumberFormat="1" applyFont="1" applyBorder="1"/>
    <xf numFmtId="0" fontId="12" fillId="6" borderId="245" xfId="5" applyFont="1" applyFill="1" applyBorder="1" applyAlignment="1">
      <alignment horizontal="center" vertical="center" wrapText="1"/>
    </xf>
    <xf numFmtId="0" fontId="81" fillId="6" borderId="41" xfId="2" applyFont="1" applyFill="1" applyBorder="1" applyAlignment="1">
      <alignment horizontal="center" vertical="center" wrapText="1"/>
    </xf>
    <xf numFmtId="0" fontId="12" fillId="6" borderId="246" xfId="5" applyFont="1" applyFill="1" applyBorder="1" applyAlignment="1">
      <alignment horizontal="center" vertical="center" wrapText="1"/>
    </xf>
    <xf numFmtId="3" fontId="9" fillId="0" borderId="41" xfId="2" applyNumberFormat="1" applyFont="1" applyBorder="1" applyAlignment="1">
      <alignment vertical="center"/>
    </xf>
    <xf numFmtId="169" fontId="9" fillId="0" borderId="41" xfId="2" applyNumberFormat="1" applyFont="1" applyBorder="1" applyAlignment="1">
      <alignment vertical="center" wrapText="1"/>
    </xf>
    <xf numFmtId="165" fontId="10" fillId="0" borderId="0" xfId="41" applyNumberFormat="1" applyFont="1"/>
    <xf numFmtId="0" fontId="7" fillId="0" borderId="247" xfId="2" applyFont="1" applyBorder="1"/>
    <xf numFmtId="0" fontId="6" fillId="0" borderId="247" xfId="2" applyBorder="1"/>
    <xf numFmtId="3" fontId="6" fillId="0" borderId="247" xfId="2" applyNumberFormat="1" applyBorder="1"/>
    <xf numFmtId="165" fontId="6" fillId="0" borderId="247" xfId="2" applyNumberFormat="1" applyBorder="1"/>
    <xf numFmtId="3" fontId="7" fillId="0" borderId="247" xfId="2" applyNumberFormat="1" applyFont="1" applyBorder="1"/>
    <xf numFmtId="165" fontId="7" fillId="0" borderId="247" xfId="2" applyNumberFormat="1" applyFont="1" applyBorder="1"/>
    <xf numFmtId="165" fontId="6" fillId="0" borderId="247" xfId="41" applyNumberFormat="1" applyFont="1" applyBorder="1"/>
    <xf numFmtId="165" fontId="7" fillId="0" borderId="247" xfId="41" applyNumberFormat="1" applyFont="1" applyBorder="1"/>
    <xf numFmtId="0" fontId="6" fillId="0" borderId="247" xfId="4" applyFont="1" applyBorder="1"/>
    <xf numFmtId="9" fontId="6" fillId="0" borderId="0" xfId="41" applyFont="1"/>
    <xf numFmtId="0" fontId="6" fillId="0" borderId="248" xfId="27" applyFont="1" applyBorder="1"/>
    <xf numFmtId="3" fontId="17" fillId="0" borderId="0" xfId="0" applyNumberFormat="1" applyFont="1"/>
    <xf numFmtId="0" fontId="6" fillId="0" borderId="0" xfId="0" applyFont="1"/>
    <xf numFmtId="0" fontId="7" fillId="7" borderId="249" xfId="0" applyFont="1" applyFill="1" applyBorder="1" applyAlignment="1">
      <alignment horizontal="center" vertical="center"/>
    </xf>
    <xf numFmtId="0" fontId="7" fillId="16" borderId="249" xfId="0" applyFont="1" applyFill="1" applyBorder="1" applyAlignment="1">
      <alignment horizontal="center" vertical="center" textRotation="90"/>
    </xf>
    <xf numFmtId="0" fontId="7" fillId="152" borderId="249" xfId="0" applyFont="1" applyFill="1" applyBorder="1" applyAlignment="1">
      <alignment horizontal="center" vertical="center"/>
    </xf>
    <xf numFmtId="181" fontId="7" fillId="152" borderId="249" xfId="44" applyNumberFormat="1" applyFont="1" applyFill="1" applyBorder="1" applyAlignment="1">
      <alignment vertical="center"/>
    </xf>
    <xf numFmtId="0" fontId="7" fillId="21" borderId="249" xfId="0" applyFont="1" applyFill="1" applyBorder="1"/>
    <xf numFmtId="0" fontId="7" fillId="0" borderId="249" xfId="0" applyFont="1" applyBorder="1" applyAlignment="1">
      <alignment wrapText="1"/>
    </xf>
    <xf numFmtId="0" fontId="121" fillId="0" borderId="249" xfId="0" applyFont="1" applyBorder="1"/>
    <xf numFmtId="0" fontId="121" fillId="25" borderId="249" xfId="0" applyFont="1" applyFill="1" applyBorder="1" applyAlignment="1">
      <alignment wrapText="1"/>
    </xf>
    <xf numFmtId="43" fontId="121" fillId="25" borderId="249" xfId="44" applyFont="1" applyFill="1" applyBorder="1"/>
    <xf numFmtId="43" fontId="6" fillId="25" borderId="249" xfId="44" applyFont="1" applyFill="1" applyBorder="1"/>
    <xf numFmtId="43" fontId="121" fillId="0" borderId="249" xfId="44" applyFont="1" applyFill="1" applyBorder="1"/>
    <xf numFmtId="0" fontId="7" fillId="153" borderId="249" xfId="0" applyFont="1" applyFill="1" applyBorder="1" applyAlignment="1">
      <alignment wrapText="1"/>
    </xf>
    <xf numFmtId="43" fontId="121" fillId="153" borderId="249" xfId="44" applyFont="1" applyFill="1" applyBorder="1"/>
    <xf numFmtId="0" fontId="121" fillId="153" borderId="249" xfId="0" applyFont="1" applyFill="1" applyBorder="1" applyAlignment="1">
      <alignment wrapText="1"/>
    </xf>
    <xf numFmtId="0" fontId="7" fillId="132" borderId="249" xfId="0" applyFont="1" applyFill="1" applyBorder="1" applyAlignment="1">
      <alignment wrapText="1"/>
    </xf>
    <xf numFmtId="43" fontId="7" fillId="132" borderId="249" xfId="44" applyFont="1" applyFill="1" applyBorder="1"/>
    <xf numFmtId="0" fontId="7" fillId="19" borderId="249" xfId="0" applyFont="1" applyFill="1" applyBorder="1" applyAlignment="1">
      <alignment wrapText="1"/>
    </xf>
    <xf numFmtId="43" fontId="121" fillId="19" borderId="249" xfId="44" applyFont="1" applyFill="1" applyBorder="1"/>
    <xf numFmtId="0" fontId="121" fillId="154" borderId="249" xfId="0" applyFont="1" applyFill="1" applyBorder="1" applyAlignment="1">
      <alignment wrapText="1"/>
    </xf>
    <xf numFmtId="43" fontId="121" fillId="154" borderId="249" xfId="44" applyFont="1" applyFill="1" applyBorder="1"/>
    <xf numFmtId="0" fontId="7" fillId="99" borderId="249" xfId="0" applyFont="1" applyFill="1" applyBorder="1" applyAlignment="1">
      <alignment wrapText="1"/>
    </xf>
    <xf numFmtId="43" fontId="7" fillId="99" borderId="249" xfId="44" applyFont="1" applyFill="1" applyBorder="1"/>
    <xf numFmtId="0" fontId="7" fillId="23" borderId="249" xfId="0" applyFont="1" applyFill="1" applyBorder="1" applyAlignment="1">
      <alignment wrapText="1"/>
    </xf>
    <xf numFmtId="43" fontId="7" fillId="23" borderId="249" xfId="44" applyFont="1" applyFill="1" applyBorder="1"/>
    <xf numFmtId="0" fontId="121" fillId="155" borderId="249" xfId="0" applyFont="1" applyFill="1" applyBorder="1" applyAlignment="1">
      <alignment wrapText="1"/>
    </xf>
    <xf numFmtId="43" fontId="121" fillId="155" borderId="249" xfId="44" applyFont="1" applyFill="1" applyBorder="1"/>
    <xf numFmtId="0" fontId="7" fillId="156" borderId="249" xfId="0" applyFont="1" applyFill="1" applyBorder="1" applyAlignment="1">
      <alignment wrapText="1"/>
    </xf>
    <xf numFmtId="43" fontId="7" fillId="156" borderId="249" xfId="44" applyFont="1" applyFill="1" applyBorder="1"/>
    <xf numFmtId="0" fontId="121" fillId="22" borderId="249" xfId="0" applyFont="1" applyFill="1" applyBorder="1" applyAlignment="1">
      <alignment wrapText="1"/>
    </xf>
    <xf numFmtId="43" fontId="121" fillId="22" borderId="249" xfId="44" applyFont="1" applyFill="1" applyBorder="1"/>
    <xf numFmtId="0" fontId="7" fillId="102" borderId="249" xfId="0" applyFont="1" applyFill="1" applyBorder="1" applyAlignment="1">
      <alignment wrapText="1"/>
    </xf>
    <xf numFmtId="43" fontId="7" fillId="102" borderId="249" xfId="44" applyFont="1" applyFill="1" applyBorder="1"/>
    <xf numFmtId="0" fontId="121" fillId="134" borderId="249" xfId="0" applyFont="1" applyFill="1" applyBorder="1" applyAlignment="1">
      <alignment wrapText="1"/>
    </xf>
    <xf numFmtId="43" fontId="121" fillId="134" borderId="249" xfId="44" applyFont="1" applyFill="1" applyBorder="1"/>
    <xf numFmtId="180" fontId="121" fillId="134" borderId="249" xfId="44" applyNumberFormat="1" applyFont="1" applyFill="1" applyBorder="1"/>
    <xf numFmtId="0" fontId="7" fillId="157" borderId="249" xfId="0" applyFont="1" applyFill="1" applyBorder="1" applyAlignment="1">
      <alignment wrapText="1"/>
    </xf>
    <xf numFmtId="43" fontId="7" fillId="157" borderId="249" xfId="44" applyFont="1" applyFill="1" applyBorder="1"/>
    <xf numFmtId="0" fontId="121" fillId="135" borderId="249" xfId="0" applyFont="1" applyFill="1" applyBorder="1" applyAlignment="1">
      <alignment wrapText="1"/>
    </xf>
    <xf numFmtId="43" fontId="121" fillId="135" borderId="249" xfId="44" applyFont="1" applyFill="1" applyBorder="1"/>
    <xf numFmtId="0" fontId="7" fillId="27" borderId="249" xfId="0" applyFont="1" applyFill="1" applyBorder="1" applyAlignment="1">
      <alignment wrapText="1"/>
    </xf>
    <xf numFmtId="43" fontId="7" fillId="27" borderId="249" xfId="44" applyFont="1" applyFill="1" applyBorder="1"/>
    <xf numFmtId="43" fontId="121" fillId="158" borderId="249" xfId="44" applyFont="1" applyFill="1" applyBorder="1"/>
    <xf numFmtId="0" fontId="7" fillId="12" borderId="249" xfId="0" applyFont="1" applyFill="1" applyBorder="1" applyAlignment="1">
      <alignment wrapText="1"/>
    </xf>
    <xf numFmtId="43" fontId="7" fillId="12" borderId="249" xfId="44" applyFont="1" applyFill="1" applyBorder="1"/>
    <xf numFmtId="0" fontId="121" fillId="159" borderId="249" xfId="0" applyFont="1" applyFill="1" applyBorder="1" applyAlignment="1">
      <alignment wrapText="1"/>
    </xf>
    <xf numFmtId="43" fontId="121" fillId="159" borderId="249" xfId="44" applyFont="1" applyFill="1" applyBorder="1"/>
    <xf numFmtId="0" fontId="7" fillId="24" borderId="249" xfId="0" applyFont="1" applyFill="1" applyBorder="1" applyAlignment="1">
      <alignment wrapText="1"/>
    </xf>
    <xf numFmtId="43" fontId="7" fillId="24" borderId="249" xfId="44" applyFont="1" applyFill="1" applyBorder="1"/>
    <xf numFmtId="43" fontId="121" fillId="160" borderId="249" xfId="44" applyFont="1" applyFill="1" applyBorder="1"/>
    <xf numFmtId="0" fontId="7" fillId="161" borderId="249" xfId="0" applyFont="1" applyFill="1" applyBorder="1" applyAlignment="1">
      <alignment wrapText="1"/>
    </xf>
    <xf numFmtId="43" fontId="7" fillId="161" borderId="249" xfId="44" applyFont="1" applyFill="1" applyBorder="1"/>
    <xf numFmtId="0" fontId="121" fillId="162" borderId="249" xfId="0" applyFont="1" applyFill="1" applyBorder="1" applyAlignment="1">
      <alignment wrapText="1"/>
    </xf>
    <xf numFmtId="43" fontId="121" fillId="162" borderId="249" xfId="44" applyFont="1" applyFill="1" applyBorder="1"/>
    <xf numFmtId="0" fontId="7" fillId="163" borderId="249" xfId="0" applyFont="1" applyFill="1" applyBorder="1" applyAlignment="1">
      <alignment wrapText="1"/>
    </xf>
    <xf numFmtId="43" fontId="7" fillId="163" borderId="249" xfId="44" applyFont="1" applyFill="1" applyBorder="1"/>
    <xf numFmtId="43" fontId="121" fillId="8" borderId="249" xfId="44" applyFont="1" applyFill="1" applyBorder="1"/>
    <xf numFmtId="0" fontId="7" fillId="164" borderId="249" xfId="0" applyFont="1" applyFill="1" applyBorder="1" applyAlignment="1">
      <alignment wrapText="1"/>
    </xf>
    <xf numFmtId="43" fontId="7" fillId="164" borderId="249" xfId="44" applyFont="1" applyFill="1" applyBorder="1"/>
    <xf numFmtId="0" fontId="121" fillId="165" borderId="249" xfId="0" applyFont="1" applyFill="1" applyBorder="1" applyAlignment="1">
      <alignment wrapText="1"/>
    </xf>
    <xf numFmtId="43" fontId="121" fillId="165" borderId="249" xfId="44" applyFont="1" applyFill="1" applyBorder="1"/>
    <xf numFmtId="0" fontId="7" fillId="141" borderId="249" xfId="0" applyFont="1" applyFill="1" applyBorder="1" applyAlignment="1">
      <alignment wrapText="1"/>
    </xf>
    <xf numFmtId="43" fontId="7" fillId="141" borderId="249" xfId="44" applyFont="1" applyFill="1" applyBorder="1"/>
    <xf numFmtId="0" fontId="121" fillId="166" borderId="249" xfId="0" applyFont="1" applyFill="1" applyBorder="1" applyAlignment="1">
      <alignment wrapText="1"/>
    </xf>
    <xf numFmtId="43" fontId="121" fillId="166" borderId="249" xfId="44" applyFont="1" applyFill="1" applyBorder="1"/>
    <xf numFmtId="0" fontId="7" fillId="34" borderId="249" xfId="0" applyFont="1" applyFill="1" applyBorder="1" applyAlignment="1">
      <alignment wrapText="1"/>
    </xf>
    <xf numFmtId="43" fontId="7" fillId="34" borderId="249" xfId="44" applyFont="1" applyFill="1" applyBorder="1"/>
    <xf numFmtId="0" fontId="121" fillId="30" borderId="249" xfId="0" applyFont="1" applyFill="1" applyBorder="1" applyAlignment="1">
      <alignment wrapText="1"/>
    </xf>
    <xf numFmtId="43" fontId="121" fillId="30" borderId="249" xfId="44" applyFont="1" applyFill="1" applyBorder="1"/>
    <xf numFmtId="0" fontId="7" fillId="14" borderId="249" xfId="0" applyFont="1" applyFill="1" applyBorder="1" applyAlignment="1">
      <alignment wrapText="1"/>
    </xf>
    <xf numFmtId="43" fontId="7" fillId="14" borderId="249" xfId="44" applyFont="1" applyFill="1" applyBorder="1"/>
    <xf numFmtId="0" fontId="121" fillId="13" borderId="249" xfId="0" applyFont="1" applyFill="1" applyBorder="1" applyAlignment="1">
      <alignment wrapText="1"/>
    </xf>
    <xf numFmtId="43" fontId="121" fillId="13" borderId="249" xfId="44" applyFont="1" applyFill="1" applyBorder="1"/>
    <xf numFmtId="0" fontId="7" fillId="167" borderId="249" xfId="0" applyFont="1" applyFill="1" applyBorder="1" applyAlignment="1">
      <alignment wrapText="1"/>
    </xf>
    <xf numFmtId="43" fontId="7" fillId="167" borderId="249" xfId="44" applyFont="1" applyFill="1" applyBorder="1"/>
    <xf numFmtId="0" fontId="121" fillId="17" borderId="249" xfId="0" applyFont="1" applyFill="1" applyBorder="1" applyAlignment="1">
      <alignment wrapText="1"/>
    </xf>
    <xf numFmtId="43" fontId="121" fillId="17" borderId="249" xfId="44" applyFont="1" applyFill="1" applyBorder="1"/>
    <xf numFmtId="0" fontId="7" fillId="97" borderId="249" xfId="0" applyFont="1" applyFill="1" applyBorder="1" applyAlignment="1">
      <alignment wrapText="1"/>
    </xf>
    <xf numFmtId="43" fontId="7" fillId="97" borderId="249" xfId="44" applyFont="1" applyFill="1" applyBorder="1"/>
    <xf numFmtId="0" fontId="121" fillId="168" borderId="249" xfId="0" applyFont="1" applyFill="1" applyBorder="1" applyAlignment="1">
      <alignment wrapText="1"/>
    </xf>
    <xf numFmtId="43" fontId="121" fillId="168" borderId="249" xfId="44" applyFont="1" applyFill="1" applyBorder="1"/>
    <xf numFmtId="0" fontId="7" fillId="3" borderId="249" xfId="0" applyFont="1" applyFill="1" applyBorder="1" applyAlignment="1">
      <alignment wrapText="1"/>
    </xf>
    <xf numFmtId="43" fontId="7" fillId="3" borderId="249" xfId="44" applyFont="1" applyFill="1" applyBorder="1"/>
    <xf numFmtId="0" fontId="121" fillId="35" borderId="249" xfId="0" applyFont="1" applyFill="1" applyBorder="1" applyAlignment="1">
      <alignment wrapText="1"/>
    </xf>
    <xf numFmtId="43" fontId="121" fillId="35" borderId="249" xfId="44" applyFont="1" applyFill="1" applyBorder="1"/>
    <xf numFmtId="0" fontId="7" fillId="4" borderId="249" xfId="0" applyFont="1" applyFill="1" applyBorder="1" applyAlignment="1">
      <alignment wrapText="1"/>
    </xf>
    <xf numFmtId="43" fontId="7" fillId="4" borderId="249" xfId="44" applyFont="1" applyFill="1" applyBorder="1"/>
    <xf numFmtId="10" fontId="7" fillId="4" borderId="249" xfId="48" applyNumberFormat="1" applyFont="1" applyFill="1" applyBorder="1"/>
    <xf numFmtId="0" fontId="121" fillId="20" borderId="249" xfId="0" applyFont="1" applyFill="1" applyBorder="1" applyAlignment="1">
      <alignment wrapText="1"/>
    </xf>
    <xf numFmtId="43" fontId="121" fillId="20" borderId="249" xfId="44" applyFont="1" applyFill="1" applyBorder="1"/>
    <xf numFmtId="0" fontId="7" fillId="20" borderId="249" xfId="0" applyFont="1" applyFill="1" applyBorder="1" applyAlignment="1">
      <alignment wrapText="1"/>
    </xf>
    <xf numFmtId="43" fontId="7" fillId="20" borderId="249" xfId="44" applyFont="1" applyFill="1" applyBorder="1"/>
    <xf numFmtId="0" fontId="121" fillId="80" borderId="249" xfId="0" applyFont="1" applyFill="1" applyBorder="1" applyAlignment="1">
      <alignment wrapText="1"/>
    </xf>
    <xf numFmtId="43" fontId="121" fillId="80" borderId="249" xfId="44" applyFont="1" applyFill="1" applyBorder="1"/>
    <xf numFmtId="0" fontId="7" fillId="80" borderId="249" xfId="0" applyFont="1" applyFill="1" applyBorder="1" applyAlignment="1">
      <alignment wrapText="1"/>
    </xf>
    <xf numFmtId="43" fontId="7" fillId="80" borderId="249" xfId="44" applyFont="1" applyFill="1" applyBorder="1"/>
    <xf numFmtId="0" fontId="121" fillId="10" borderId="249" xfId="0" applyFont="1" applyFill="1" applyBorder="1" applyAlignment="1">
      <alignment wrapText="1"/>
    </xf>
    <xf numFmtId="43" fontId="121" fillId="10" borderId="249" xfId="44" applyFont="1" applyFill="1" applyBorder="1"/>
    <xf numFmtId="0" fontId="7" fillId="10" borderId="249" xfId="0" applyFont="1" applyFill="1" applyBorder="1" applyAlignment="1">
      <alignment wrapText="1"/>
    </xf>
    <xf numFmtId="43" fontId="7" fillId="10" borderId="249" xfId="44" applyFont="1" applyFill="1" applyBorder="1"/>
    <xf numFmtId="0" fontId="7" fillId="10" borderId="250" xfId="0" applyFont="1" applyFill="1" applyBorder="1" applyAlignment="1">
      <alignment wrapText="1"/>
    </xf>
    <xf numFmtId="43" fontId="7" fillId="10" borderId="250" xfId="44" applyFont="1" applyFill="1" applyBorder="1"/>
    <xf numFmtId="0" fontId="0" fillId="145" borderId="247" xfId="0" applyFill="1" applyBorder="1"/>
    <xf numFmtId="0" fontId="152" fillId="0" borderId="0" xfId="0" applyFont="1"/>
    <xf numFmtId="0" fontId="156" fillId="176" borderId="247" xfId="0" applyFont="1" applyFill="1" applyBorder="1" applyAlignment="1">
      <alignment horizontal="center"/>
    </xf>
    <xf numFmtId="0" fontId="152" fillId="0" borderId="247" xfId="0" applyFont="1" applyBorder="1"/>
    <xf numFmtId="0" fontId="0" fillId="20" borderId="247" xfId="0" applyFill="1" applyBorder="1"/>
    <xf numFmtId="0" fontId="0" fillId="26" borderId="247" xfId="0" applyFill="1" applyBorder="1"/>
    <xf numFmtId="0" fontId="0" fillId="52" borderId="247" xfId="0" applyFill="1" applyBorder="1"/>
    <xf numFmtId="0" fontId="0" fillId="69" borderId="247" xfId="0" applyFill="1" applyBorder="1"/>
    <xf numFmtId="0" fontId="0" fillId="146" borderId="247" xfId="0" applyFill="1" applyBorder="1"/>
    <xf numFmtId="0" fontId="152" fillId="0" borderId="247" xfId="0" applyFont="1" applyBorder="1" applyAlignment="1">
      <alignment horizontal="center"/>
    </xf>
    <xf numFmtId="0" fontId="152" fillId="33" borderId="247" xfId="0" applyFont="1" applyFill="1" applyBorder="1"/>
    <xf numFmtId="0" fontId="0" fillId="76" borderId="247" xfId="0" applyFill="1" applyBorder="1"/>
    <xf numFmtId="0" fontId="0" fillId="75" borderId="247" xfId="0" applyFill="1" applyBorder="1"/>
    <xf numFmtId="0" fontId="0" fillId="177" borderId="247" xfId="0" applyFill="1" applyBorder="1"/>
    <xf numFmtId="0" fontId="0" fillId="178" borderId="247" xfId="0" applyFill="1" applyBorder="1"/>
    <xf numFmtId="0" fontId="2" fillId="179" borderId="247" xfId="0" applyFont="1" applyFill="1" applyBorder="1"/>
    <xf numFmtId="9" fontId="156" fillId="176" borderId="247" xfId="41" applyFont="1" applyFill="1" applyBorder="1" applyAlignment="1">
      <alignment horizontal="right"/>
    </xf>
    <xf numFmtId="3" fontId="156" fillId="176" borderId="247" xfId="0" applyNumberFormat="1" applyFont="1" applyFill="1" applyBorder="1" applyAlignment="1">
      <alignment horizontal="center"/>
    </xf>
    <xf numFmtId="3" fontId="152" fillId="0" borderId="247" xfId="0" applyNumberFormat="1" applyFont="1" applyBorder="1" applyAlignment="1">
      <alignment horizontal="center"/>
    </xf>
    <xf numFmtId="10" fontId="152" fillId="0" borderId="247" xfId="0" applyNumberFormat="1" applyFont="1" applyBorder="1" applyAlignment="1">
      <alignment horizontal="center"/>
    </xf>
    <xf numFmtId="9" fontId="152" fillId="0" borderId="247" xfId="0" applyNumberFormat="1" applyFont="1" applyBorder="1" applyAlignment="1">
      <alignment horizontal="center"/>
    </xf>
    <xf numFmtId="10" fontId="17" fillId="0" borderId="0" xfId="0" applyNumberFormat="1" applyFont="1" applyAlignment="1">
      <alignment horizontal="center"/>
    </xf>
    <xf numFmtId="0" fontId="42" fillId="180" borderId="247" xfId="0" applyFont="1" applyFill="1" applyBorder="1"/>
    <xf numFmtId="0" fontId="42" fillId="0" borderId="0" xfId="0" applyFont="1"/>
    <xf numFmtId="176" fontId="17" fillId="0" borderId="0" xfId="44" applyNumberFormat="1" applyFont="1"/>
    <xf numFmtId="176" fontId="152" fillId="0" borderId="0" xfId="44" applyNumberFormat="1" applyFont="1"/>
    <xf numFmtId="176" fontId="152" fillId="0" borderId="45" xfId="44" applyNumberFormat="1" applyFont="1" applyBorder="1"/>
    <xf numFmtId="0" fontId="156" fillId="74" borderId="45" xfId="0" applyFont="1" applyFill="1" applyBorder="1"/>
    <xf numFmtId="0" fontId="152" fillId="72" borderId="45" xfId="0" applyFont="1" applyFill="1" applyBorder="1"/>
    <xf numFmtId="0" fontId="156" fillId="176" borderId="45" xfId="0" applyFont="1" applyFill="1" applyBorder="1"/>
    <xf numFmtId="176" fontId="156" fillId="176" borderId="45" xfId="44" applyNumberFormat="1" applyFont="1" applyFill="1" applyBorder="1"/>
    <xf numFmtId="3" fontId="152" fillId="20" borderId="247" xfId="0" applyNumberFormat="1" applyFont="1" applyFill="1" applyBorder="1" applyAlignment="1">
      <alignment horizontal="center"/>
    </xf>
    <xf numFmtId="0" fontId="152" fillId="20" borderId="247" xfId="0" applyFont="1" applyFill="1" applyBorder="1" applyAlignment="1">
      <alignment horizontal="center"/>
    </xf>
    <xf numFmtId="0" fontId="157" fillId="7" borderId="249" xfId="0" applyFont="1" applyFill="1" applyBorder="1" applyAlignment="1">
      <alignment horizontal="center" vertical="center"/>
    </xf>
    <xf numFmtId="0" fontId="157" fillId="16" borderId="249" xfId="0" applyFont="1" applyFill="1" applyBorder="1" applyAlignment="1">
      <alignment horizontal="center" vertical="center" textRotation="90"/>
    </xf>
    <xf numFmtId="0" fontId="157" fillId="21" borderId="249" xfId="0" applyFont="1" applyFill="1" applyBorder="1"/>
    <xf numFmtId="0" fontId="158" fillId="0" borderId="249" xfId="0" applyFont="1" applyBorder="1"/>
    <xf numFmtId="2" fontId="158" fillId="25" borderId="249" xfId="0" applyNumberFormat="1" applyFont="1" applyFill="1" applyBorder="1"/>
    <xf numFmtId="0" fontId="158" fillId="153" borderId="249" xfId="0" applyFont="1" applyFill="1" applyBorder="1"/>
    <xf numFmtId="2" fontId="158" fillId="153" borderId="249" xfId="0" applyNumberFormat="1" applyFont="1" applyFill="1" applyBorder="1"/>
    <xf numFmtId="2" fontId="157" fillId="132" borderId="249" xfId="0" applyNumberFormat="1" applyFont="1" applyFill="1" applyBorder="1"/>
    <xf numFmtId="0" fontId="158" fillId="19" borderId="249" xfId="0" applyFont="1" applyFill="1" applyBorder="1"/>
    <xf numFmtId="2" fontId="158" fillId="154" borderId="249" xfId="0" applyNumberFormat="1" applyFont="1" applyFill="1" applyBorder="1"/>
    <xf numFmtId="2" fontId="157" fillId="99" borderId="249" xfId="0" applyNumberFormat="1" applyFont="1" applyFill="1" applyBorder="1"/>
    <xf numFmtId="2" fontId="157" fillId="23" borderId="249" xfId="0" applyNumberFormat="1" applyFont="1" applyFill="1" applyBorder="1"/>
    <xf numFmtId="2" fontId="158" fillId="155" borderId="249" xfId="0" applyNumberFormat="1" applyFont="1" applyFill="1" applyBorder="1"/>
    <xf numFmtId="2" fontId="157" fillId="156" borderId="249" xfId="0" applyNumberFormat="1" applyFont="1" applyFill="1" applyBorder="1"/>
    <xf numFmtId="2" fontId="158" fillId="22" borderId="249" xfId="0" applyNumberFormat="1" applyFont="1" applyFill="1" applyBorder="1"/>
    <xf numFmtId="2" fontId="157" fillId="102" borderId="249" xfId="0" applyNumberFormat="1" applyFont="1" applyFill="1" applyBorder="1"/>
    <xf numFmtId="2" fontId="158" fillId="134" borderId="249" xfId="0" applyNumberFormat="1" applyFont="1" applyFill="1" applyBorder="1"/>
    <xf numFmtId="2" fontId="157" fillId="157" borderId="249" xfId="0" applyNumberFormat="1" applyFont="1" applyFill="1" applyBorder="1"/>
    <xf numFmtId="2" fontId="158" fillId="135" borderId="249" xfId="0" applyNumberFormat="1" applyFont="1" applyFill="1" applyBorder="1"/>
    <xf numFmtId="2" fontId="157" fillId="27" borderId="249" xfId="0" applyNumberFormat="1" applyFont="1" applyFill="1" applyBorder="1"/>
    <xf numFmtId="2" fontId="158" fillId="158" borderId="249" xfId="0" applyNumberFormat="1" applyFont="1" applyFill="1" applyBorder="1"/>
    <xf numFmtId="2" fontId="157" fillId="12" borderId="249" xfId="0" applyNumberFormat="1" applyFont="1" applyFill="1" applyBorder="1"/>
    <xf numFmtId="2" fontId="158" fillId="159" borderId="249" xfId="0" applyNumberFormat="1" applyFont="1" applyFill="1" applyBorder="1"/>
    <xf numFmtId="2" fontId="157" fillId="19" borderId="249" xfId="0" applyNumberFormat="1" applyFont="1" applyFill="1" applyBorder="1"/>
    <xf numFmtId="2" fontId="157" fillId="161" borderId="249" xfId="0" applyNumberFormat="1" applyFont="1" applyFill="1" applyBorder="1"/>
    <xf numFmtId="2" fontId="158" fillId="162" borderId="249" xfId="0" applyNumberFormat="1" applyFont="1" applyFill="1" applyBorder="1"/>
    <xf numFmtId="2" fontId="157" fillId="163" borderId="249" xfId="0" applyNumberFormat="1" applyFont="1" applyFill="1" applyBorder="1"/>
    <xf numFmtId="2" fontId="158" fillId="8" borderId="249" xfId="0" applyNumberFormat="1" applyFont="1" applyFill="1" applyBorder="1"/>
    <xf numFmtId="2" fontId="157" fillId="164" borderId="249" xfId="0" applyNumberFormat="1" applyFont="1" applyFill="1" applyBorder="1"/>
    <xf numFmtId="2" fontId="158" fillId="165" borderId="249" xfId="0" applyNumberFormat="1" applyFont="1" applyFill="1" applyBorder="1"/>
    <xf numFmtId="2" fontId="157" fillId="141" borderId="249" xfId="0" applyNumberFormat="1" applyFont="1" applyFill="1" applyBorder="1"/>
    <xf numFmtId="2" fontId="158" fillId="166" borderId="249" xfId="0" applyNumberFormat="1" applyFont="1" applyFill="1" applyBorder="1"/>
    <xf numFmtId="2" fontId="157" fillId="34" borderId="249" xfId="0" applyNumberFormat="1" applyFont="1" applyFill="1" applyBorder="1"/>
    <xf numFmtId="2" fontId="158" fillId="30" borderId="249" xfId="0" applyNumberFormat="1" applyFont="1" applyFill="1" applyBorder="1"/>
    <xf numFmtId="2" fontId="157" fillId="14" borderId="249" xfId="0" applyNumberFormat="1" applyFont="1" applyFill="1" applyBorder="1"/>
    <xf numFmtId="2" fontId="158" fillId="13" borderId="249" xfId="0" applyNumberFormat="1" applyFont="1" applyFill="1" applyBorder="1"/>
    <xf numFmtId="2" fontId="157" fillId="167" borderId="249" xfId="0" applyNumberFormat="1" applyFont="1" applyFill="1" applyBorder="1"/>
    <xf numFmtId="2" fontId="158" fillId="17" borderId="249" xfId="0" applyNumberFormat="1" applyFont="1" applyFill="1" applyBorder="1"/>
    <xf numFmtId="2" fontId="157" fillId="97" borderId="249" xfId="0" applyNumberFormat="1" applyFont="1" applyFill="1" applyBorder="1"/>
    <xf numFmtId="2" fontId="158" fillId="168" borderId="249" xfId="0" applyNumberFormat="1" applyFont="1" applyFill="1" applyBorder="1"/>
    <xf numFmtId="2" fontId="157" fillId="3" borderId="249" xfId="0" applyNumberFormat="1" applyFont="1" applyFill="1" applyBorder="1"/>
    <xf numFmtId="2" fontId="158" fillId="35" borderId="249" xfId="0" applyNumberFormat="1" applyFont="1" applyFill="1" applyBorder="1"/>
    <xf numFmtId="2" fontId="157" fillId="4" borderId="249" xfId="0" applyNumberFormat="1" applyFont="1" applyFill="1" applyBorder="1"/>
    <xf numFmtId="10" fontId="157" fillId="4" borderId="249" xfId="41" applyNumberFormat="1" applyFont="1" applyFill="1" applyBorder="1"/>
    <xf numFmtId="2" fontId="158" fillId="20" borderId="249" xfId="0" applyNumberFormat="1" applyFont="1" applyFill="1" applyBorder="1"/>
    <xf numFmtId="2" fontId="157" fillId="20" borderId="249" xfId="0" applyNumberFormat="1" applyFont="1" applyFill="1" applyBorder="1"/>
    <xf numFmtId="2" fontId="158" fillId="80" borderId="249" xfId="0" applyNumberFormat="1" applyFont="1" applyFill="1" applyBorder="1"/>
    <xf numFmtId="2" fontId="157" fillId="80" borderId="249" xfId="0" applyNumberFormat="1" applyFont="1" applyFill="1" applyBorder="1"/>
    <xf numFmtId="2" fontId="158" fillId="11" borderId="249" xfId="0" applyNumberFormat="1" applyFont="1" applyFill="1" applyBorder="1"/>
    <xf numFmtId="2" fontId="157" fillId="11" borderId="249" xfId="0" applyNumberFormat="1" applyFont="1" applyFill="1" applyBorder="1"/>
    <xf numFmtId="0" fontId="158" fillId="11" borderId="249" xfId="0" applyFont="1" applyFill="1" applyBorder="1"/>
    <xf numFmtId="0" fontId="44" fillId="0" borderId="0" xfId="0" applyFont="1"/>
    <xf numFmtId="9" fontId="17" fillId="0" borderId="0" xfId="41" applyFont="1"/>
    <xf numFmtId="164" fontId="121" fillId="25" borderId="215" xfId="2" applyNumberFormat="1" applyFont="1" applyFill="1" applyBorder="1"/>
    <xf numFmtId="164" fontId="121" fillId="153" borderId="215" xfId="2" applyNumberFormat="1" applyFont="1" applyFill="1" applyBorder="1"/>
    <xf numFmtId="2" fontId="39" fillId="99" borderId="249" xfId="0" applyNumberFormat="1" applyFont="1" applyFill="1" applyBorder="1"/>
    <xf numFmtId="2" fontId="137" fillId="158" borderId="249" xfId="0" applyNumberFormat="1" applyFont="1" applyFill="1" applyBorder="1"/>
    <xf numFmtId="2" fontId="137" fillId="160" borderId="249" xfId="0" applyNumberFormat="1" applyFont="1" applyFill="1" applyBorder="1"/>
    <xf numFmtId="43" fontId="137" fillId="160" borderId="249" xfId="44" applyFont="1" applyFill="1" applyBorder="1"/>
    <xf numFmtId="0" fontId="161" fillId="0" borderId="0" xfId="2" applyFont="1"/>
    <xf numFmtId="0" fontId="137" fillId="160" borderId="249" xfId="0" applyFont="1" applyFill="1" applyBorder="1" applyAlignment="1">
      <alignment wrapText="1"/>
    </xf>
    <xf numFmtId="0" fontId="137" fillId="8" borderId="249" xfId="0" applyFont="1" applyFill="1" applyBorder="1" applyAlignment="1">
      <alignment wrapText="1"/>
    </xf>
    <xf numFmtId="0" fontId="157" fillId="7" borderId="254" xfId="0" applyFont="1" applyFill="1" applyBorder="1" applyAlignment="1">
      <alignment horizontal="center" vertical="center"/>
    </xf>
    <xf numFmtId="0" fontId="157" fillId="21" borderId="254" xfId="0" applyFont="1" applyFill="1" applyBorder="1"/>
    <xf numFmtId="0" fontId="158" fillId="0" borderId="254" xfId="0" applyFont="1" applyBorder="1"/>
    <xf numFmtId="2" fontId="158" fillId="25" borderId="254" xfId="0" applyNumberFormat="1" applyFont="1" applyFill="1" applyBorder="1"/>
    <xf numFmtId="0" fontId="158" fillId="153" borderId="254" xfId="0" applyFont="1" applyFill="1" applyBorder="1"/>
    <xf numFmtId="2" fontId="158" fillId="153" borderId="254" xfId="0" applyNumberFormat="1" applyFont="1" applyFill="1" applyBorder="1"/>
    <xf numFmtId="2" fontId="157" fillId="132" borderId="254" xfId="0" applyNumberFormat="1" applyFont="1" applyFill="1" applyBorder="1"/>
    <xf numFmtId="0" fontId="158" fillId="19" borderId="254" xfId="0" applyFont="1" applyFill="1" applyBorder="1"/>
    <xf numFmtId="2" fontId="158" fillId="154" borderId="254" xfId="0" applyNumberFormat="1" applyFont="1" applyFill="1" applyBorder="1"/>
    <xf numFmtId="2" fontId="39" fillId="99" borderId="254" xfId="0" applyNumberFormat="1" applyFont="1" applyFill="1" applyBorder="1"/>
    <xf numFmtId="2" fontId="157" fillId="23" borderId="254" xfId="0" applyNumberFormat="1" applyFont="1" applyFill="1" applyBorder="1"/>
    <xf numFmtId="2" fontId="137" fillId="155" borderId="254" xfId="0" applyNumberFormat="1" applyFont="1" applyFill="1" applyBorder="1"/>
    <xf numFmtId="2" fontId="157" fillId="156" borderId="254" xfId="0" applyNumberFormat="1" applyFont="1" applyFill="1" applyBorder="1"/>
    <xf numFmtId="2" fontId="158" fillId="22" borderId="254" xfId="0" applyNumberFormat="1" applyFont="1" applyFill="1" applyBorder="1"/>
    <xf numFmtId="2" fontId="157" fillId="102" borderId="254" xfId="0" applyNumberFormat="1" applyFont="1" applyFill="1" applyBorder="1"/>
    <xf numFmtId="2" fontId="158" fillId="134" borderId="254" xfId="0" applyNumberFormat="1" applyFont="1" applyFill="1" applyBorder="1"/>
    <xf numFmtId="2" fontId="157" fillId="157" borderId="254" xfId="0" applyNumberFormat="1" applyFont="1" applyFill="1" applyBorder="1"/>
    <xf numFmtId="2" fontId="158" fillId="135" borderId="254" xfId="0" applyNumberFormat="1" applyFont="1" applyFill="1" applyBorder="1"/>
    <xf numFmtId="2" fontId="157" fillId="27" borderId="254" xfId="0" applyNumberFormat="1" applyFont="1" applyFill="1" applyBorder="1"/>
    <xf numFmtId="2" fontId="137" fillId="158" borderId="254" xfId="0" applyNumberFormat="1" applyFont="1" applyFill="1" applyBorder="1"/>
    <xf numFmtId="2" fontId="157" fillId="12" borderId="254" xfId="0" applyNumberFormat="1" applyFont="1" applyFill="1" applyBorder="1"/>
    <xf numFmtId="2" fontId="158" fillId="159" borderId="254" xfId="0" applyNumberFormat="1" applyFont="1" applyFill="1" applyBorder="1"/>
    <xf numFmtId="2" fontId="157" fillId="19" borderId="254" xfId="0" applyNumberFormat="1" applyFont="1" applyFill="1" applyBorder="1"/>
    <xf numFmtId="2" fontId="137" fillId="160" borderId="254" xfId="0" applyNumberFormat="1" applyFont="1" applyFill="1" applyBorder="1"/>
    <xf numFmtId="2" fontId="157" fillId="161" borderId="254" xfId="0" applyNumberFormat="1" applyFont="1" applyFill="1" applyBorder="1"/>
    <xf numFmtId="2" fontId="158" fillId="162" borderId="254" xfId="0" applyNumberFormat="1" applyFont="1" applyFill="1" applyBorder="1"/>
    <xf numFmtId="2" fontId="157" fillId="163" borderId="254" xfId="0" applyNumberFormat="1" applyFont="1" applyFill="1" applyBorder="1"/>
    <xf numFmtId="2" fontId="137" fillId="8" borderId="254" xfId="0" applyNumberFormat="1" applyFont="1" applyFill="1" applyBorder="1"/>
    <xf numFmtId="2" fontId="39" fillId="164" borderId="254" xfId="0" applyNumberFormat="1" applyFont="1" applyFill="1" applyBorder="1"/>
    <xf numFmtId="2" fontId="158" fillId="165" borderId="254" xfId="0" applyNumberFormat="1" applyFont="1" applyFill="1" applyBorder="1"/>
    <xf numFmtId="2" fontId="157" fillId="141" borderId="254" xfId="0" applyNumberFormat="1" applyFont="1" applyFill="1" applyBorder="1"/>
    <xf numFmtId="2" fontId="158" fillId="166" borderId="254" xfId="0" applyNumberFormat="1" applyFont="1" applyFill="1" applyBorder="1"/>
    <xf numFmtId="2" fontId="157" fillId="34" borderId="254" xfId="0" applyNumberFormat="1" applyFont="1" applyFill="1" applyBorder="1"/>
    <xf numFmtId="2" fontId="158" fillId="30" borderId="254" xfId="0" applyNumberFormat="1" applyFont="1" applyFill="1" applyBorder="1"/>
    <xf numFmtId="2" fontId="157" fillId="14" borderId="254" xfId="0" applyNumberFormat="1" applyFont="1" applyFill="1" applyBorder="1"/>
    <xf numFmtId="2" fontId="158" fillId="13" borderId="254" xfId="0" applyNumberFormat="1" applyFont="1" applyFill="1" applyBorder="1"/>
    <xf numFmtId="2" fontId="157" fillId="167" borderId="254" xfId="0" applyNumberFormat="1" applyFont="1" applyFill="1" applyBorder="1"/>
    <xf numFmtId="2" fontId="158" fillId="17" borderId="254" xfId="0" applyNumberFormat="1" applyFont="1" applyFill="1" applyBorder="1"/>
    <xf numFmtId="2" fontId="157" fillId="97" borderId="254" xfId="0" applyNumberFormat="1" applyFont="1" applyFill="1" applyBorder="1"/>
    <xf numFmtId="2" fontId="158" fillId="168" borderId="254" xfId="0" applyNumberFormat="1" applyFont="1" applyFill="1" applyBorder="1"/>
    <xf numFmtId="2" fontId="157" fillId="3" borderId="254" xfId="0" applyNumberFormat="1" applyFont="1" applyFill="1" applyBorder="1"/>
    <xf numFmtId="2" fontId="158" fillId="35" borderId="254" xfId="0" applyNumberFormat="1" applyFont="1" applyFill="1" applyBorder="1"/>
    <xf numFmtId="2" fontId="157" fillId="4" borderId="254" xfId="0" applyNumberFormat="1" applyFont="1" applyFill="1" applyBorder="1"/>
    <xf numFmtId="2" fontId="158" fillId="20" borderId="254" xfId="0" applyNumberFormat="1" applyFont="1" applyFill="1" applyBorder="1"/>
    <xf numFmtId="2" fontId="157" fillId="20" borderId="254" xfId="0" applyNumberFormat="1" applyFont="1" applyFill="1" applyBorder="1"/>
    <xf numFmtId="2" fontId="158" fillId="80" borderId="254" xfId="0" applyNumberFormat="1" applyFont="1" applyFill="1" applyBorder="1"/>
    <xf numFmtId="2" fontId="157" fillId="80" borderId="254" xfId="0" applyNumberFormat="1" applyFont="1" applyFill="1" applyBorder="1"/>
    <xf numFmtId="2" fontId="158" fillId="11" borderId="254" xfId="0" applyNumberFormat="1" applyFont="1" applyFill="1" applyBorder="1"/>
    <xf numFmtId="2" fontId="157" fillId="11" borderId="254" xfId="0" applyNumberFormat="1" applyFont="1" applyFill="1" applyBorder="1"/>
    <xf numFmtId="0" fontId="158" fillId="11" borderId="254" xfId="0" applyFont="1" applyFill="1" applyBorder="1"/>
    <xf numFmtId="0" fontId="121" fillId="25" borderId="33" xfId="0" applyFont="1" applyFill="1" applyBorder="1"/>
    <xf numFmtId="0" fontId="9" fillId="0" borderId="33" xfId="2" applyFont="1" applyBorder="1" applyAlignment="1">
      <alignment horizontal="right" vertical="center"/>
    </xf>
    <xf numFmtId="0" fontId="121" fillId="153" borderId="33" xfId="0" applyFont="1" applyFill="1" applyBorder="1"/>
    <xf numFmtId="0" fontId="9" fillId="2" borderId="33" xfId="2" applyFont="1" applyFill="1" applyBorder="1" applyAlignment="1">
      <alignment horizontal="right" vertical="center"/>
    </xf>
    <xf numFmtId="0" fontId="9" fillId="0" borderId="33" xfId="2" applyFont="1" applyBorder="1" applyAlignment="1">
      <alignment horizontal="right" vertical="center" wrapText="1"/>
    </xf>
    <xf numFmtId="0" fontId="121" fillId="154" borderId="33" xfId="0" applyFont="1" applyFill="1" applyBorder="1"/>
    <xf numFmtId="0" fontId="137" fillId="155" borderId="33" xfId="0" applyFont="1" applyFill="1" applyBorder="1"/>
    <xf numFmtId="0" fontId="121" fillId="22" borderId="33" xfId="0" applyFont="1" applyFill="1" applyBorder="1"/>
    <xf numFmtId="0" fontId="9" fillId="2" borderId="33" xfId="2" applyFont="1" applyFill="1" applyBorder="1" applyAlignment="1">
      <alignment vertical="center"/>
    </xf>
    <xf numFmtId="0" fontId="121" fillId="134" borderId="33" xfId="0" applyFont="1" applyFill="1" applyBorder="1"/>
    <xf numFmtId="0" fontId="137" fillId="158" borderId="33" xfId="0" applyFont="1" applyFill="1" applyBorder="1"/>
    <xf numFmtId="0" fontId="121" fillId="159" borderId="33" xfId="0" applyFont="1" applyFill="1" applyBorder="1"/>
    <xf numFmtId="0" fontId="137" fillId="160" borderId="33" xfId="0" applyFont="1" applyFill="1" applyBorder="1"/>
    <xf numFmtId="2" fontId="137" fillId="8" borderId="33" xfId="0" applyNumberFormat="1" applyFont="1" applyFill="1" applyBorder="1"/>
    <xf numFmtId="2" fontId="158" fillId="165" borderId="33" xfId="0" applyNumberFormat="1" applyFont="1" applyFill="1" applyBorder="1"/>
    <xf numFmtId="2" fontId="158" fillId="166" borderId="33" xfId="0" applyNumberFormat="1" applyFont="1" applyFill="1" applyBorder="1"/>
    <xf numFmtId="2" fontId="158" fillId="30" borderId="33" xfId="0" applyNumberFormat="1" applyFont="1" applyFill="1" applyBorder="1"/>
    <xf numFmtId="2" fontId="158" fillId="13" borderId="33" xfId="0" applyNumberFormat="1" applyFont="1" applyFill="1" applyBorder="1"/>
    <xf numFmtId="2" fontId="158" fillId="17" borderId="33" xfId="0" applyNumberFormat="1" applyFont="1" applyFill="1" applyBorder="1"/>
    <xf numFmtId="0" fontId="121" fillId="168" borderId="33" xfId="0" applyFont="1" applyFill="1" applyBorder="1"/>
    <xf numFmtId="0" fontId="121" fillId="35" borderId="33" xfId="0" applyFont="1" applyFill="1" applyBorder="1"/>
    <xf numFmtId="0" fontId="9" fillId="2" borderId="33" xfId="2" applyFont="1" applyFill="1" applyBorder="1" applyAlignment="1">
      <alignment horizontal="left" vertical="center"/>
    </xf>
    <xf numFmtId="2" fontId="158" fillId="20" borderId="33" xfId="0" applyNumberFormat="1" applyFont="1" applyFill="1" applyBorder="1"/>
    <xf numFmtId="2" fontId="157" fillId="80" borderId="33" xfId="0" applyNumberFormat="1" applyFont="1" applyFill="1" applyBorder="1"/>
    <xf numFmtId="2" fontId="158" fillId="11" borderId="33" xfId="0" applyNumberFormat="1" applyFont="1" applyFill="1" applyBorder="1"/>
    <xf numFmtId="43" fontId="6" fillId="0" borderId="33" xfId="44" applyFont="1" applyBorder="1"/>
    <xf numFmtId="0" fontId="0" fillId="0" borderId="247" xfId="0" applyBorder="1"/>
    <xf numFmtId="0" fontId="31" fillId="84" borderId="247" xfId="0" applyFont="1" applyFill="1" applyBorder="1"/>
    <xf numFmtId="0" fontId="31" fillId="85" borderId="247" xfId="0" applyFont="1" applyFill="1" applyBorder="1"/>
    <xf numFmtId="0" fontId="31" fillId="88" borderId="247" xfId="0" applyFont="1" applyFill="1" applyBorder="1"/>
    <xf numFmtId="0" fontId="31" fillId="87" borderId="247" xfId="0" applyFont="1" applyFill="1" applyBorder="1"/>
    <xf numFmtId="0" fontId="31" fillId="94" borderId="247" xfId="0" applyFont="1" applyFill="1" applyBorder="1"/>
    <xf numFmtId="0" fontId="31" fillId="95" borderId="247" xfId="0" applyFont="1" applyFill="1" applyBorder="1"/>
    <xf numFmtId="0" fontId="31" fillId="91" borderId="247" xfId="0" applyFont="1" applyFill="1" applyBorder="1"/>
    <xf numFmtId="0" fontId="31" fillId="96" borderId="247" xfId="0" applyFont="1" applyFill="1" applyBorder="1"/>
    <xf numFmtId="0" fontId="31" fillId="89" borderId="247" xfId="0" applyFont="1" applyFill="1" applyBorder="1"/>
    <xf numFmtId="0" fontId="31" fillId="93" borderId="247" xfId="0" applyFont="1" applyFill="1" applyBorder="1"/>
    <xf numFmtId="0" fontId="49" fillId="83" borderId="247" xfId="0" applyFont="1" applyFill="1" applyBorder="1"/>
    <xf numFmtId="0" fontId="31" fillId="92" borderId="247" xfId="0" applyFont="1" applyFill="1" applyBorder="1"/>
    <xf numFmtId="0" fontId="31" fillId="90" borderId="247" xfId="0" applyFont="1" applyFill="1" applyBorder="1"/>
    <xf numFmtId="0" fontId="31" fillId="86" borderId="247" xfId="0" applyFont="1" applyFill="1" applyBorder="1"/>
    <xf numFmtId="0" fontId="0" fillId="52" borderId="255" xfId="0" applyFill="1" applyBorder="1"/>
    <xf numFmtId="0" fontId="6" fillId="0" borderId="183" xfId="2" applyBorder="1"/>
    <xf numFmtId="0" fontId="0" fillId="0" borderId="256" xfId="0" applyBorder="1"/>
    <xf numFmtId="0" fontId="49" fillId="83" borderId="256" xfId="0" applyFont="1" applyFill="1" applyBorder="1"/>
    <xf numFmtId="0" fontId="31" fillId="84" borderId="256" xfId="0" applyFont="1" applyFill="1" applyBorder="1"/>
    <xf numFmtId="0" fontId="31" fillId="85" borderId="256" xfId="0" applyFont="1" applyFill="1" applyBorder="1"/>
    <xf numFmtId="0" fontId="31" fillId="86" borderId="256" xfId="0" applyFont="1" applyFill="1" applyBorder="1"/>
    <xf numFmtId="0" fontId="31" fillId="91" borderId="256" xfId="0" applyFont="1" applyFill="1" applyBorder="1"/>
    <xf numFmtId="0" fontId="31" fillId="90" borderId="256" xfId="0" applyFont="1" applyFill="1" applyBorder="1"/>
    <xf numFmtId="3" fontId="6" fillId="0" borderId="256" xfId="2" applyNumberFormat="1" applyBorder="1"/>
    <xf numFmtId="0" fontId="31" fillId="93" borderId="256" xfId="0" applyFont="1" applyFill="1" applyBorder="1"/>
    <xf numFmtId="0" fontId="31" fillId="88" borderId="256" xfId="0" applyFont="1" applyFill="1" applyBorder="1"/>
    <xf numFmtId="0" fontId="31" fillId="87" borderId="256" xfId="0" applyFont="1" applyFill="1" applyBorder="1"/>
    <xf numFmtId="0" fontId="31" fillId="94" borderId="256" xfId="0" applyFont="1" applyFill="1" applyBorder="1"/>
    <xf numFmtId="0" fontId="31" fillId="95" borderId="256" xfId="0" applyFont="1" applyFill="1" applyBorder="1"/>
    <xf numFmtId="0" fontId="31" fillId="96" borderId="256" xfId="0" applyFont="1" applyFill="1" applyBorder="1"/>
    <xf numFmtId="0" fontId="31" fillId="89" borderId="256" xfId="0" applyFont="1" applyFill="1" applyBorder="1"/>
    <xf numFmtId="0" fontId="31" fillId="92" borderId="256" xfId="0" applyFont="1" applyFill="1" applyBorder="1"/>
    <xf numFmtId="0" fontId="6" fillId="19" borderId="0" xfId="2" applyFill="1"/>
    <xf numFmtId="0" fontId="0" fillId="19" borderId="0" xfId="0" applyFill="1"/>
    <xf numFmtId="0" fontId="6" fillId="0" borderId="48" xfId="2" applyBorder="1"/>
    <xf numFmtId="0" fontId="6" fillId="0" borderId="9" xfId="2" applyBorder="1"/>
    <xf numFmtId="0" fontId="44" fillId="0" borderId="17" xfId="0" applyFont="1" applyBorder="1"/>
    <xf numFmtId="0" fontId="44" fillId="0" borderId="256" xfId="0" applyFont="1" applyBorder="1"/>
    <xf numFmtId="0" fontId="44" fillId="18" borderId="256" xfId="0" applyFont="1" applyFill="1" applyBorder="1"/>
    <xf numFmtId="0" fontId="7" fillId="0" borderId="0" xfId="2" applyFont="1"/>
    <xf numFmtId="0" fontId="49" fillId="83" borderId="258" xfId="0" applyFont="1" applyFill="1" applyBorder="1"/>
    <xf numFmtId="3" fontId="44" fillId="0" borderId="256" xfId="0" applyNumberFormat="1" applyFont="1" applyBorder="1"/>
    <xf numFmtId="9" fontId="44" fillId="0" borderId="256" xfId="0" applyNumberFormat="1" applyFont="1" applyBorder="1"/>
    <xf numFmtId="3" fontId="44" fillId="18" borderId="256" xfId="0" applyNumberFormat="1" applyFont="1" applyFill="1" applyBorder="1"/>
    <xf numFmtId="0" fontId="31" fillId="84" borderId="258" xfId="0" applyFont="1" applyFill="1" applyBorder="1"/>
    <xf numFmtId="10" fontId="44" fillId="0" borderId="256" xfId="0" applyNumberFormat="1" applyFont="1" applyBorder="1"/>
    <xf numFmtId="0" fontId="44" fillId="20" borderId="258" xfId="0" applyFont="1" applyFill="1" applyBorder="1"/>
    <xf numFmtId="0" fontId="31" fillId="86" borderId="258" xfId="0" applyFont="1" applyFill="1" applyBorder="1"/>
    <xf numFmtId="0" fontId="31" fillId="87" borderId="258" xfId="0" applyFont="1" applyFill="1" applyBorder="1"/>
    <xf numFmtId="0" fontId="31" fillId="88" borderId="258" xfId="0" applyFont="1" applyFill="1" applyBorder="1"/>
    <xf numFmtId="0" fontId="31" fillId="89" borderId="258" xfId="0" applyFont="1" applyFill="1" applyBorder="1"/>
    <xf numFmtId="0" fontId="31" fillId="90" borderId="258" xfId="0" applyFont="1" applyFill="1" applyBorder="1"/>
    <xf numFmtId="0" fontId="31" fillId="91" borderId="258" xfId="0" applyFont="1" applyFill="1" applyBorder="1"/>
    <xf numFmtId="0" fontId="31" fillId="92" borderId="258" xfId="0" applyFont="1" applyFill="1" applyBorder="1"/>
    <xf numFmtId="0" fontId="31" fillId="93" borderId="258" xfId="0" applyFont="1" applyFill="1" applyBorder="1"/>
    <xf numFmtId="0" fontId="31" fillId="94" borderId="258" xfId="0" applyFont="1" applyFill="1" applyBorder="1"/>
    <xf numFmtId="0" fontId="31" fillId="95" borderId="258" xfId="0" applyFont="1" applyFill="1" applyBorder="1"/>
    <xf numFmtId="0" fontId="31" fillId="96" borderId="258" xfId="0" applyFont="1" applyFill="1" applyBorder="1"/>
    <xf numFmtId="0" fontId="44" fillId="0" borderId="258" xfId="0" applyFont="1" applyBorder="1"/>
    <xf numFmtId="0" fontId="6" fillId="0" borderId="17" xfId="2" applyBorder="1"/>
    <xf numFmtId="0" fontId="6" fillId="0" borderId="19" xfId="2" applyBorder="1"/>
    <xf numFmtId="0" fontId="6" fillId="28" borderId="256" xfId="2" applyFill="1" applyBorder="1"/>
    <xf numFmtId="3" fontId="6" fillId="28" borderId="256" xfId="2" applyNumberFormat="1" applyFill="1" applyBorder="1" applyAlignment="1">
      <alignment horizontal="center"/>
    </xf>
    <xf numFmtId="0" fontId="6" fillId="28" borderId="257" xfId="2" applyFill="1" applyBorder="1" applyAlignment="1">
      <alignment horizontal="center"/>
    </xf>
    <xf numFmtId="0" fontId="9" fillId="28" borderId="256" xfId="2" applyFont="1" applyFill="1" applyBorder="1" applyAlignment="1">
      <alignment vertical="center"/>
    </xf>
    <xf numFmtId="0" fontId="0" fillId="28" borderId="256" xfId="0" applyFill="1" applyBorder="1"/>
    <xf numFmtId="0" fontId="9" fillId="28" borderId="256" xfId="2" applyFont="1" applyFill="1" applyBorder="1" applyAlignment="1">
      <alignment horizontal="right" vertical="center"/>
    </xf>
    <xf numFmtId="0" fontId="6" fillId="63" borderId="256" xfId="2" applyFill="1" applyBorder="1"/>
    <xf numFmtId="3" fontId="6" fillId="63" borderId="256" xfId="2" applyNumberFormat="1" applyFill="1" applyBorder="1" applyAlignment="1">
      <alignment horizontal="center"/>
    </xf>
    <xf numFmtId="0" fontId="6" fillId="63" borderId="257" xfId="2" applyFill="1" applyBorder="1" applyAlignment="1">
      <alignment horizontal="center"/>
    </xf>
    <xf numFmtId="0" fontId="9" fillId="63" borderId="256" xfId="2" applyFont="1" applyFill="1" applyBorder="1" applyAlignment="1">
      <alignment horizontal="right" vertical="center"/>
    </xf>
    <xf numFmtId="0" fontId="0" fillId="63" borderId="256" xfId="0" applyFill="1" applyBorder="1"/>
    <xf numFmtId="0" fontId="6" fillId="20" borderId="256" xfId="2" applyFill="1" applyBorder="1"/>
    <xf numFmtId="3" fontId="6" fillId="20" borderId="256" xfId="2" applyNumberFormat="1" applyFill="1" applyBorder="1" applyAlignment="1">
      <alignment horizontal="center"/>
    </xf>
    <xf numFmtId="0" fontId="6" fillId="20" borderId="257" xfId="2" applyFill="1" applyBorder="1" applyAlignment="1">
      <alignment horizontal="center"/>
    </xf>
    <xf numFmtId="0" fontId="9" fillId="20" borderId="256" xfId="2" applyFont="1" applyFill="1" applyBorder="1" applyAlignment="1">
      <alignment horizontal="right" vertical="center"/>
    </xf>
    <xf numFmtId="0" fontId="137" fillId="158" borderId="249" xfId="0" applyFont="1" applyFill="1" applyBorder="1" applyAlignment="1">
      <alignment wrapText="1"/>
    </xf>
    <xf numFmtId="0" fontId="3" fillId="0" borderId="0" xfId="0" applyFont="1"/>
    <xf numFmtId="3" fontId="7" fillId="0" borderId="0" xfId="2" applyNumberFormat="1" applyFont="1"/>
    <xf numFmtId="3" fontId="33" fillId="0" borderId="247" xfId="2" applyNumberFormat="1" applyFont="1" applyBorder="1"/>
    <xf numFmtId="3" fontId="33" fillId="0" borderId="256" xfId="2" applyNumberFormat="1" applyFont="1" applyBorder="1"/>
    <xf numFmtId="0" fontId="6" fillId="62" borderId="0" xfId="2" applyFill="1"/>
    <xf numFmtId="3" fontId="163" fillId="110" borderId="76" xfId="0" applyNumberFormat="1" applyFont="1" applyFill="1" applyBorder="1" applyAlignment="1">
      <alignment horizontal="left" vertical="center"/>
    </xf>
    <xf numFmtId="0" fontId="16" fillId="0" borderId="0" xfId="0" applyFont="1"/>
    <xf numFmtId="3" fontId="164" fillId="169" borderId="76" xfId="0" applyNumberFormat="1" applyFont="1" applyFill="1" applyBorder="1" applyAlignment="1">
      <alignment horizontal="right" vertical="center"/>
    </xf>
    <xf numFmtId="3" fontId="42" fillId="20" borderId="247" xfId="0" applyNumberFormat="1" applyFont="1" applyFill="1" applyBorder="1" applyAlignment="1">
      <alignment horizontal="center"/>
    </xf>
    <xf numFmtId="3" fontId="166" fillId="110" borderId="76" xfId="0" applyNumberFormat="1" applyFont="1" applyFill="1" applyBorder="1" applyAlignment="1">
      <alignment horizontal="right" vertical="center"/>
    </xf>
    <xf numFmtId="0" fontId="42" fillId="20" borderId="247" xfId="0" applyFont="1" applyFill="1" applyBorder="1" applyAlignment="1">
      <alignment horizontal="center"/>
    </xf>
    <xf numFmtId="0" fontId="21" fillId="0" borderId="0" xfId="0" applyFont="1"/>
    <xf numFmtId="3" fontId="163" fillId="110" borderId="76" xfId="0" applyNumberFormat="1" applyFont="1" applyFill="1" applyBorder="1" applyAlignment="1">
      <alignment horizontal="right" vertical="center"/>
    </xf>
    <xf numFmtId="3" fontId="167" fillId="0" borderId="0" xfId="0" applyNumberFormat="1" applyFont="1"/>
    <xf numFmtId="3" fontId="165" fillId="109" borderId="76" xfId="0" applyNumberFormat="1" applyFont="1" applyFill="1" applyBorder="1" applyAlignment="1">
      <alignment horizontal="right" vertical="center"/>
    </xf>
    <xf numFmtId="3" fontId="6" fillId="38" borderId="56" xfId="4" applyNumberFormat="1" applyFont="1" applyFill="1" applyBorder="1"/>
    <xf numFmtId="3" fontId="6" fillId="0" borderId="8" xfId="4" applyNumberFormat="1" applyFont="1" applyBorder="1" applyAlignment="1">
      <alignment horizontal="left" vertical="center"/>
    </xf>
    <xf numFmtId="0" fontId="6" fillId="0" borderId="8" xfId="4" applyFont="1" applyBorder="1" applyAlignment="1">
      <alignment horizontal="left" vertical="center" wrapText="1"/>
    </xf>
    <xf numFmtId="0" fontId="6" fillId="0" borderId="8" xfId="4" applyFont="1" applyBorder="1" applyAlignment="1">
      <alignment horizontal="left" vertical="center"/>
    </xf>
    <xf numFmtId="0" fontId="7" fillId="0" borderId="0" xfId="4" applyFont="1"/>
    <xf numFmtId="3" fontId="6" fillId="38" borderId="56" xfId="4" applyNumberFormat="1" applyFont="1" applyFill="1" applyBorder="1" applyAlignment="1">
      <alignment vertical="center"/>
    </xf>
    <xf numFmtId="165" fontId="44" fillId="38" borderId="33" xfId="9" applyNumberFormat="1" applyFont="1" applyFill="1" applyBorder="1" applyProtection="1"/>
    <xf numFmtId="3" fontId="44" fillId="38" borderId="33" xfId="9" applyNumberFormat="1" applyFont="1" applyFill="1" applyBorder="1" applyProtection="1"/>
    <xf numFmtId="3" fontId="6" fillId="38" borderId="33" xfId="9" applyNumberFormat="1" applyFont="1" applyFill="1" applyBorder="1" applyProtection="1"/>
    <xf numFmtId="165" fontId="44" fillId="38" borderId="18" xfId="9" applyNumberFormat="1" applyFont="1" applyFill="1" applyBorder="1" applyProtection="1"/>
    <xf numFmtId="165" fontId="6" fillId="38" borderId="18" xfId="9" applyNumberFormat="1" applyFont="1" applyFill="1" applyBorder="1" applyProtection="1"/>
    <xf numFmtId="3" fontId="6" fillId="38" borderId="62" xfId="4" applyNumberFormat="1" applyFont="1" applyFill="1" applyBorder="1"/>
    <xf numFmtId="3" fontId="33" fillId="0" borderId="0" xfId="4" applyNumberFormat="1" applyFont="1"/>
    <xf numFmtId="3" fontId="44" fillId="38" borderId="63" xfId="9" applyNumberFormat="1" applyFont="1" applyFill="1" applyBorder="1" applyProtection="1"/>
    <xf numFmtId="3" fontId="6" fillId="40" borderId="60" xfId="4" applyNumberFormat="1" applyFont="1" applyFill="1" applyBorder="1"/>
    <xf numFmtId="3" fontId="6" fillId="40" borderId="235" xfId="4" applyNumberFormat="1" applyFont="1" applyFill="1" applyBorder="1"/>
    <xf numFmtId="3" fontId="6" fillId="40" borderId="47" xfId="4" applyNumberFormat="1" applyFont="1" applyFill="1" applyBorder="1"/>
    <xf numFmtId="3" fontId="6" fillId="39" borderId="33" xfId="4" applyNumberFormat="1" applyFont="1" applyFill="1" applyBorder="1"/>
    <xf numFmtId="167" fontId="44" fillId="39" borderId="45" xfId="9" applyNumberFormat="1" applyFont="1" applyFill="1" applyBorder="1" applyProtection="1"/>
    <xf numFmtId="0" fontId="6" fillId="39" borderId="45" xfId="4" applyFont="1" applyFill="1" applyBorder="1"/>
    <xf numFmtId="3" fontId="6" fillId="39" borderId="59" xfId="4" applyNumberFormat="1" applyFont="1" applyFill="1" applyBorder="1"/>
    <xf numFmtId="165" fontId="44" fillId="38" borderId="59" xfId="9" applyNumberFormat="1" applyFont="1" applyFill="1" applyBorder="1" applyProtection="1"/>
    <xf numFmtId="3" fontId="6" fillId="38" borderId="230" xfId="4" applyNumberFormat="1" applyFont="1" applyFill="1" applyBorder="1"/>
    <xf numFmtId="3" fontId="6" fillId="41" borderId="50" xfId="4" applyNumberFormat="1" applyFont="1" applyFill="1" applyBorder="1"/>
    <xf numFmtId="3" fontId="6" fillId="41" borderId="2" xfId="4" applyNumberFormat="1" applyFont="1" applyFill="1" applyBorder="1"/>
    <xf numFmtId="3" fontId="6" fillId="41" borderId="45" xfId="4" applyNumberFormat="1" applyFont="1" applyFill="1" applyBorder="1"/>
    <xf numFmtId="3" fontId="6" fillId="41" borderId="59" xfId="4" applyNumberFormat="1" applyFont="1" applyFill="1" applyBorder="1"/>
    <xf numFmtId="3" fontId="6" fillId="43" borderId="231" xfId="4" applyNumberFormat="1" applyFont="1" applyFill="1" applyBorder="1"/>
    <xf numFmtId="3" fontId="6" fillId="43" borderId="55" xfId="4" applyNumberFormat="1" applyFont="1" applyFill="1" applyBorder="1"/>
    <xf numFmtId="169" fontId="6" fillId="43" borderId="231" xfId="4" applyNumberFormat="1" applyFont="1" applyFill="1" applyBorder="1"/>
    <xf numFmtId="3" fontId="6" fillId="43" borderId="50" xfId="4" applyNumberFormat="1" applyFont="1" applyFill="1" applyBorder="1"/>
    <xf numFmtId="169" fontId="6" fillId="43" borderId="33" xfId="4" applyNumberFormat="1" applyFont="1" applyFill="1" applyBorder="1"/>
    <xf numFmtId="3" fontId="6" fillId="43" borderId="33" xfId="4" applyNumberFormat="1" applyFont="1" applyFill="1" applyBorder="1"/>
    <xf numFmtId="4" fontId="6" fillId="43" borderId="50" xfId="4" applyNumberFormat="1" applyFont="1" applyFill="1" applyBorder="1"/>
    <xf numFmtId="4" fontId="6" fillId="43" borderId="33" xfId="4" applyNumberFormat="1" applyFont="1" applyFill="1" applyBorder="1"/>
    <xf numFmtId="3" fontId="6" fillId="43" borderId="45" xfId="4" applyNumberFormat="1" applyFont="1" applyFill="1" applyBorder="1"/>
    <xf numFmtId="0" fontId="6" fillId="43" borderId="33" xfId="4" applyFont="1" applyFill="1" applyBorder="1"/>
    <xf numFmtId="0" fontId="6" fillId="43" borderId="45" xfId="4" applyFont="1" applyFill="1" applyBorder="1"/>
    <xf numFmtId="1" fontId="6" fillId="43" borderId="45" xfId="4" applyNumberFormat="1" applyFont="1" applyFill="1" applyBorder="1"/>
    <xf numFmtId="3" fontId="6" fillId="175" borderId="50" xfId="4" applyNumberFormat="1" applyFont="1" applyFill="1" applyBorder="1"/>
    <xf numFmtId="3" fontId="6" fillId="175" borderId="33" xfId="4" applyNumberFormat="1" applyFont="1" applyFill="1" applyBorder="1"/>
    <xf numFmtId="169" fontId="6" fillId="175" borderId="33" xfId="4" applyNumberFormat="1" applyFont="1" applyFill="1" applyBorder="1"/>
    <xf numFmtId="3" fontId="6" fillId="175" borderId="59" xfId="4" applyNumberFormat="1" applyFont="1" applyFill="1" applyBorder="1"/>
    <xf numFmtId="3" fontId="6" fillId="44" borderId="56" xfId="4" applyNumberFormat="1" applyFont="1" applyFill="1" applyBorder="1"/>
    <xf numFmtId="3" fontId="6" fillId="44" borderId="33" xfId="4" applyNumberFormat="1" applyFont="1" applyFill="1" applyBorder="1"/>
    <xf numFmtId="3" fontId="6" fillId="44" borderId="59" xfId="4" applyNumberFormat="1" applyFont="1" applyFill="1" applyBorder="1"/>
    <xf numFmtId="3" fontId="6" fillId="45" borderId="26" xfId="4" applyNumberFormat="1" applyFont="1" applyFill="1" applyBorder="1"/>
    <xf numFmtId="3" fontId="6" fillId="49" borderId="61" xfId="4" applyNumberFormat="1" applyFont="1" applyFill="1" applyBorder="1"/>
    <xf numFmtId="3" fontId="6" fillId="49" borderId="207" xfId="4" applyNumberFormat="1" applyFont="1" applyFill="1" applyBorder="1"/>
    <xf numFmtId="3" fontId="6" fillId="45" borderId="70" xfId="4" applyNumberFormat="1" applyFont="1" applyFill="1" applyBorder="1"/>
    <xf numFmtId="3" fontId="6" fillId="174" borderId="235" xfId="4" applyNumberFormat="1" applyFont="1" applyFill="1" applyBorder="1"/>
    <xf numFmtId="3" fontId="6" fillId="174" borderId="60" xfId="4" applyNumberFormat="1" applyFont="1" applyFill="1" applyBorder="1"/>
    <xf numFmtId="3" fontId="6" fillId="39" borderId="235" xfId="4" applyNumberFormat="1" applyFont="1" applyFill="1" applyBorder="1"/>
    <xf numFmtId="3" fontId="6" fillId="39" borderId="60" xfId="4" applyNumberFormat="1" applyFont="1" applyFill="1" applyBorder="1"/>
    <xf numFmtId="3" fontId="6" fillId="42" borderId="50" xfId="4" applyNumberFormat="1" applyFont="1" applyFill="1" applyBorder="1"/>
    <xf numFmtId="3" fontId="6" fillId="42" borderId="45" xfId="4" applyNumberFormat="1" applyFont="1" applyFill="1" applyBorder="1"/>
    <xf numFmtId="3" fontId="6" fillId="46" borderId="50" xfId="4" applyNumberFormat="1" applyFont="1" applyFill="1" applyBorder="1"/>
    <xf numFmtId="3" fontId="6" fillId="46" borderId="45" xfId="4" applyNumberFormat="1" applyFont="1" applyFill="1" applyBorder="1"/>
    <xf numFmtId="3" fontId="6" fillId="47" borderId="50" xfId="4" applyNumberFormat="1" applyFont="1" applyFill="1" applyBorder="1"/>
    <xf numFmtId="3" fontId="6" fillId="47" borderId="45" xfId="4" applyNumberFormat="1" applyFont="1" applyFill="1" applyBorder="1"/>
    <xf numFmtId="3" fontId="6" fillId="48" borderId="50" xfId="4" applyNumberFormat="1" applyFont="1" applyFill="1" applyBorder="1"/>
    <xf numFmtId="3" fontId="6" fillId="48" borderId="45" xfId="4" applyNumberFormat="1" applyFont="1" applyFill="1" applyBorder="1"/>
    <xf numFmtId="3" fontId="6" fillId="44" borderId="2" xfId="4" applyNumberFormat="1" applyFont="1" applyFill="1" applyBorder="1"/>
    <xf numFmtId="3" fontId="6" fillId="44" borderId="5" xfId="4" applyNumberFormat="1" applyFont="1" applyFill="1" applyBorder="1"/>
    <xf numFmtId="0" fontId="6" fillId="37" borderId="233" xfId="4" applyFont="1" applyFill="1" applyBorder="1" applyAlignment="1">
      <alignment horizontal="center" vertical="center" wrapText="1"/>
    </xf>
    <xf numFmtId="165" fontId="6" fillId="37" borderId="232" xfId="41" applyNumberFormat="1" applyFont="1" applyFill="1" applyBorder="1"/>
    <xf numFmtId="165" fontId="6" fillId="37" borderId="56" xfId="41" applyNumberFormat="1" applyFont="1" applyFill="1" applyBorder="1"/>
    <xf numFmtId="10" fontId="6" fillId="66" borderId="33" xfId="4" applyNumberFormat="1" applyFont="1" applyFill="1" applyBorder="1"/>
    <xf numFmtId="0" fontId="6" fillId="50" borderId="176" xfId="4" applyFont="1" applyFill="1" applyBorder="1" applyAlignment="1">
      <alignment horizontal="center" vertical="center" wrapText="1"/>
    </xf>
    <xf numFmtId="165" fontId="6" fillId="50" borderId="228" xfId="41" applyNumberFormat="1" applyFont="1" applyFill="1" applyBorder="1"/>
    <xf numFmtId="165" fontId="6" fillId="50" borderId="207" xfId="41" applyNumberFormat="1" applyFont="1" applyFill="1" applyBorder="1"/>
    <xf numFmtId="165" fontId="44" fillId="38" borderId="232" xfId="41" applyNumberFormat="1" applyFont="1" applyFill="1" applyBorder="1" applyProtection="1"/>
    <xf numFmtId="165" fontId="44" fillId="38" borderId="56" xfId="41" applyNumberFormat="1" applyFont="1" applyFill="1" applyBorder="1" applyProtection="1"/>
    <xf numFmtId="10" fontId="44" fillId="41" borderId="225" xfId="9" applyNumberFormat="1" applyFont="1" applyFill="1" applyBorder="1" applyProtection="1"/>
    <xf numFmtId="165" fontId="44" fillId="41" borderId="45" xfId="9" applyNumberFormat="1" applyFont="1" applyFill="1" applyBorder="1" applyProtection="1"/>
    <xf numFmtId="165" fontId="44" fillId="42" borderId="225" xfId="9" applyNumberFormat="1" applyFont="1" applyFill="1" applyBorder="1" applyProtection="1"/>
    <xf numFmtId="165" fontId="44" fillId="42" borderId="45" xfId="9" applyNumberFormat="1" applyFont="1" applyFill="1" applyBorder="1" applyProtection="1"/>
    <xf numFmtId="165" fontId="44" fillId="46" borderId="225" xfId="9" applyNumberFormat="1" applyFont="1" applyFill="1" applyBorder="1" applyProtection="1"/>
    <xf numFmtId="165" fontId="44" fillId="46" borderId="45" xfId="9" applyNumberFormat="1" applyFont="1" applyFill="1" applyBorder="1" applyProtection="1"/>
    <xf numFmtId="165" fontId="44" fillId="47" borderId="225" xfId="9" applyNumberFormat="1" applyFont="1" applyFill="1" applyBorder="1" applyProtection="1"/>
    <xf numFmtId="165" fontId="44" fillId="47" borderId="45" xfId="9" applyNumberFormat="1" applyFont="1" applyFill="1" applyBorder="1" applyProtection="1"/>
    <xf numFmtId="165" fontId="44" fillId="48" borderId="225" xfId="9" applyNumberFormat="1" applyFont="1" applyFill="1" applyBorder="1" applyProtection="1"/>
    <xf numFmtId="165" fontId="44" fillId="48" borderId="45" xfId="9" applyNumberFormat="1" applyFont="1" applyFill="1" applyBorder="1" applyProtection="1"/>
    <xf numFmtId="165" fontId="44" fillId="44" borderId="167" xfId="9" applyNumberFormat="1" applyFont="1" applyFill="1" applyBorder="1" applyProtection="1"/>
    <xf numFmtId="165" fontId="44" fillId="44" borderId="59" xfId="9" applyNumberFormat="1" applyFont="1" applyFill="1" applyBorder="1" applyProtection="1"/>
    <xf numFmtId="171" fontId="6" fillId="0" borderId="0" xfId="4" applyNumberFormat="1" applyFont="1" applyAlignment="1">
      <alignment horizontal="center"/>
    </xf>
    <xf numFmtId="3" fontId="6" fillId="38" borderId="33" xfId="9" applyNumberFormat="1" applyFont="1" applyFill="1" applyBorder="1" applyAlignment="1" applyProtection="1">
      <alignment vertical="center"/>
    </xf>
    <xf numFmtId="165" fontId="6" fillId="38" borderId="18" xfId="9" applyNumberFormat="1" applyFont="1" applyFill="1" applyBorder="1" applyAlignment="1" applyProtection="1">
      <alignment vertical="center"/>
    </xf>
    <xf numFmtId="165" fontId="44" fillId="38" borderId="64" xfId="9" applyNumberFormat="1" applyFont="1" applyFill="1" applyBorder="1" applyProtection="1"/>
    <xf numFmtId="3" fontId="6" fillId="39" borderId="50" xfId="4" applyNumberFormat="1" applyFont="1" applyFill="1" applyBorder="1"/>
    <xf numFmtId="3" fontId="6" fillId="39" borderId="63" xfId="4" applyNumberFormat="1" applyFont="1" applyFill="1" applyBorder="1"/>
    <xf numFmtId="3" fontId="6" fillId="39" borderId="33" xfId="4" applyNumberFormat="1" applyFont="1" applyFill="1" applyBorder="1" applyAlignment="1">
      <alignment vertical="center"/>
    </xf>
    <xf numFmtId="167" fontId="44" fillId="39" borderId="50" xfId="9" applyNumberFormat="1" applyFont="1" applyFill="1" applyBorder="1" applyProtection="1"/>
    <xf numFmtId="3" fontId="6" fillId="39" borderId="59" xfId="4" applyNumberFormat="1" applyFont="1" applyFill="1" applyBorder="1" applyAlignment="1">
      <alignment vertical="center"/>
    </xf>
    <xf numFmtId="3" fontId="6" fillId="39" borderId="5" xfId="4" applyNumberFormat="1" applyFont="1" applyFill="1" applyBorder="1"/>
    <xf numFmtId="3" fontId="6" fillId="40" borderId="22" xfId="4" applyNumberFormat="1" applyFont="1" applyFill="1" applyBorder="1"/>
    <xf numFmtId="3" fontId="6" fillId="40" borderId="22" xfId="4" applyNumberFormat="1" applyFont="1" applyFill="1" applyBorder="1" applyAlignment="1">
      <alignment vertical="center"/>
    </xf>
    <xf numFmtId="3" fontId="6" fillId="40" borderId="65" xfId="4" applyNumberFormat="1" applyFont="1" applyFill="1" applyBorder="1"/>
    <xf numFmtId="3" fontId="6" fillId="38" borderId="60" xfId="4" applyNumberFormat="1" applyFont="1" applyFill="1" applyBorder="1"/>
    <xf numFmtId="3" fontId="6" fillId="42" borderId="57" xfId="4" applyNumberFormat="1" applyFont="1" applyFill="1" applyBorder="1"/>
    <xf numFmtId="3" fontId="6" fillId="42" borderId="61" xfId="4" applyNumberFormat="1" applyFont="1" applyFill="1" applyBorder="1"/>
    <xf numFmtId="3" fontId="6" fillId="42" borderId="60" xfId="4" applyNumberFormat="1" applyFont="1" applyFill="1" applyBorder="1"/>
    <xf numFmtId="3" fontId="6" fillId="43" borderId="230" xfId="4" applyNumberFormat="1" applyFont="1" applyFill="1" applyBorder="1"/>
    <xf numFmtId="3" fontId="6" fillId="43" borderId="56" xfId="4" applyNumberFormat="1" applyFont="1" applyFill="1" applyBorder="1"/>
    <xf numFmtId="3" fontId="6" fillId="43" borderId="59" xfId="4" applyNumberFormat="1" applyFont="1" applyFill="1" applyBorder="1"/>
    <xf numFmtId="3" fontId="6" fillId="80" borderId="45" xfId="4" applyNumberFormat="1" applyFont="1" applyFill="1" applyBorder="1"/>
    <xf numFmtId="3" fontId="6" fillId="181" borderId="45" xfId="4" applyNumberFormat="1" applyFont="1" applyFill="1" applyBorder="1"/>
    <xf numFmtId="3" fontId="6" fillId="181" borderId="59" xfId="4" applyNumberFormat="1" applyFont="1" applyFill="1" applyBorder="1"/>
    <xf numFmtId="3" fontId="6" fillId="43" borderId="63" xfId="4" applyNumberFormat="1" applyFont="1" applyFill="1" applyBorder="1"/>
    <xf numFmtId="3" fontId="6" fillId="43" borderId="45" xfId="4" applyNumberFormat="1" applyFont="1" applyFill="1" applyBorder="1" applyAlignment="1">
      <alignment vertical="center"/>
    </xf>
    <xf numFmtId="3" fontId="6" fillId="44" borderId="56" xfId="4" applyNumberFormat="1" applyFont="1" applyFill="1" applyBorder="1" applyAlignment="1">
      <alignment vertical="center"/>
    </xf>
    <xf numFmtId="3" fontId="6" fillId="44" borderId="62" xfId="4" applyNumberFormat="1" applyFont="1" applyFill="1" applyBorder="1"/>
    <xf numFmtId="3" fontId="6" fillId="45" borderId="33" xfId="4" applyNumberFormat="1" applyFont="1" applyFill="1" applyBorder="1"/>
    <xf numFmtId="3" fontId="6" fillId="45" borderId="33" xfId="4" applyNumberFormat="1" applyFont="1" applyFill="1" applyBorder="1" applyAlignment="1">
      <alignment vertical="center"/>
    </xf>
    <xf numFmtId="3" fontId="6" fillId="45" borderId="63" xfId="4" applyNumberFormat="1" applyFont="1" applyFill="1" applyBorder="1"/>
    <xf numFmtId="3" fontId="6" fillId="45" borderId="59" xfId="4" applyNumberFormat="1" applyFont="1" applyFill="1" applyBorder="1"/>
    <xf numFmtId="3" fontId="6" fillId="38" borderId="26" xfId="4" applyNumberFormat="1" applyFont="1" applyFill="1" applyBorder="1"/>
    <xf numFmtId="3" fontId="6" fillId="38" borderId="26" xfId="4" applyNumberFormat="1" applyFont="1" applyFill="1" applyBorder="1" applyAlignment="1">
      <alignment vertical="center"/>
    </xf>
    <xf numFmtId="3" fontId="6" fillId="41" borderId="33" xfId="4" applyNumberFormat="1" applyFont="1" applyFill="1" applyBorder="1"/>
    <xf numFmtId="3" fontId="6" fillId="41" borderId="33" xfId="4" applyNumberFormat="1" applyFont="1" applyFill="1" applyBorder="1" applyAlignment="1">
      <alignment vertical="center"/>
    </xf>
    <xf numFmtId="3" fontId="6" fillId="42" borderId="33" xfId="4" applyNumberFormat="1" applyFont="1" applyFill="1" applyBorder="1"/>
    <xf numFmtId="3" fontId="6" fillId="42" borderId="33" xfId="4" applyNumberFormat="1" applyFont="1" applyFill="1" applyBorder="1" applyAlignment="1">
      <alignment vertical="center"/>
    </xf>
    <xf numFmtId="3" fontId="6" fillId="46" borderId="33" xfId="4" applyNumberFormat="1" applyFont="1" applyFill="1" applyBorder="1"/>
    <xf numFmtId="3" fontId="6" fillId="46" borderId="33" xfId="4" applyNumberFormat="1" applyFont="1" applyFill="1" applyBorder="1" applyAlignment="1">
      <alignment vertical="center"/>
    </xf>
    <xf numFmtId="3" fontId="6" fillId="47" borderId="33" xfId="4" applyNumberFormat="1" applyFont="1" applyFill="1" applyBorder="1"/>
    <xf numFmtId="3" fontId="6" fillId="47" borderId="33" xfId="4" applyNumberFormat="1" applyFont="1" applyFill="1" applyBorder="1" applyAlignment="1">
      <alignment vertical="center"/>
    </xf>
    <xf numFmtId="3" fontId="6" fillId="48" borderId="33" xfId="4" applyNumberFormat="1" applyFont="1" applyFill="1" applyBorder="1"/>
    <xf numFmtId="3" fontId="6" fillId="48" borderId="33" xfId="4" applyNumberFormat="1" applyFont="1" applyFill="1" applyBorder="1" applyAlignment="1">
      <alignment vertical="center"/>
    </xf>
    <xf numFmtId="3" fontId="6" fillId="44" borderId="33" xfId="4" applyNumberFormat="1" applyFont="1" applyFill="1" applyBorder="1" applyAlignment="1">
      <alignment vertical="center"/>
    </xf>
    <xf numFmtId="3" fontId="6" fillId="37" borderId="33" xfId="4" applyNumberFormat="1" applyFont="1" applyFill="1" applyBorder="1"/>
    <xf numFmtId="3" fontId="6" fillId="37" borderId="33" xfId="4" applyNumberFormat="1" applyFont="1" applyFill="1" applyBorder="1" applyAlignment="1">
      <alignment vertical="center"/>
    </xf>
    <xf numFmtId="165" fontId="44" fillId="38" borderId="26" xfId="9" applyNumberFormat="1" applyFont="1" applyFill="1" applyBorder="1" applyProtection="1"/>
    <xf numFmtId="165" fontId="44" fillId="41" borderId="33" xfId="9" applyNumberFormat="1" applyFont="1" applyFill="1" applyBorder="1" applyProtection="1"/>
    <xf numFmtId="165" fontId="6" fillId="38" borderId="26" xfId="9" applyNumberFormat="1" applyFont="1" applyFill="1" applyBorder="1" applyProtection="1"/>
    <xf numFmtId="165" fontId="6" fillId="41" borderId="33" xfId="9" applyNumberFormat="1" applyFont="1" applyFill="1" applyBorder="1" applyProtection="1"/>
    <xf numFmtId="165" fontId="6" fillId="38" borderId="26" xfId="9" applyNumberFormat="1" applyFont="1" applyFill="1" applyBorder="1" applyAlignment="1" applyProtection="1">
      <alignment vertical="center"/>
    </xf>
    <xf numFmtId="165" fontId="6" fillId="41" borderId="33" xfId="9" applyNumberFormat="1" applyFont="1" applyFill="1" applyBorder="1" applyAlignment="1" applyProtection="1">
      <alignment vertical="center"/>
    </xf>
    <xf numFmtId="165" fontId="44" fillId="42" borderId="33" xfId="9" applyNumberFormat="1" applyFont="1" applyFill="1" applyBorder="1" applyProtection="1"/>
    <xf numFmtId="165" fontId="6" fillId="42" borderId="33" xfId="9" applyNumberFormat="1" applyFont="1" applyFill="1" applyBorder="1" applyProtection="1"/>
    <xf numFmtId="165" fontId="6" fillId="42" borderId="33" xfId="9" applyNumberFormat="1" applyFont="1" applyFill="1" applyBorder="1" applyAlignment="1" applyProtection="1">
      <alignment vertical="center"/>
    </xf>
    <xf numFmtId="165" fontId="44" fillId="46" borderId="33" xfId="9" applyNumberFormat="1" applyFont="1" applyFill="1" applyBorder="1" applyProtection="1"/>
    <xf numFmtId="165" fontId="6" fillId="46" borderId="33" xfId="9" applyNumberFormat="1" applyFont="1" applyFill="1" applyBorder="1" applyProtection="1"/>
    <xf numFmtId="165" fontId="6" fillId="46" borderId="33" xfId="9" applyNumberFormat="1" applyFont="1" applyFill="1" applyBorder="1" applyAlignment="1" applyProtection="1">
      <alignment vertical="center"/>
    </xf>
    <xf numFmtId="165" fontId="44" fillId="47" borderId="33" xfId="9" applyNumberFormat="1" applyFont="1" applyFill="1" applyBorder="1" applyProtection="1"/>
    <xf numFmtId="165" fontId="6" fillId="47" borderId="33" xfId="9" applyNumberFormat="1" applyFont="1" applyFill="1" applyBorder="1" applyProtection="1"/>
    <xf numFmtId="165" fontId="6" fillId="47" borderId="33" xfId="9" applyNumberFormat="1" applyFont="1" applyFill="1" applyBorder="1" applyAlignment="1" applyProtection="1">
      <alignment vertical="center"/>
    </xf>
    <xf numFmtId="165" fontId="44" fillId="48" borderId="33" xfId="9" applyNumberFormat="1" applyFont="1" applyFill="1" applyBorder="1" applyProtection="1"/>
    <xf numFmtId="165" fontId="6" fillId="48" borderId="33" xfId="9" applyNumberFormat="1" applyFont="1" applyFill="1" applyBorder="1" applyProtection="1"/>
    <xf numFmtId="165" fontId="6" fillId="48" borderId="33" xfId="9" applyNumberFormat="1" applyFont="1" applyFill="1" applyBorder="1" applyAlignment="1" applyProtection="1">
      <alignment vertical="center"/>
    </xf>
    <xf numFmtId="165" fontId="44" fillId="44" borderId="33" xfId="9" applyNumberFormat="1" applyFont="1" applyFill="1" applyBorder="1" applyProtection="1"/>
    <xf numFmtId="165" fontId="6" fillId="44" borderId="33" xfId="9" applyNumberFormat="1" applyFont="1" applyFill="1" applyBorder="1" applyProtection="1"/>
    <xf numFmtId="165" fontId="6" fillId="44" borderId="33" xfId="9" applyNumberFormat="1" applyFont="1" applyFill="1" applyBorder="1" applyAlignment="1" applyProtection="1">
      <alignment vertical="center"/>
    </xf>
    <xf numFmtId="165" fontId="44" fillId="37" borderId="59" xfId="9" applyNumberFormat="1" applyFont="1" applyFill="1" applyBorder="1" applyProtection="1"/>
    <xf numFmtId="165" fontId="6" fillId="37" borderId="59" xfId="9" applyNumberFormat="1" applyFont="1" applyFill="1" applyBorder="1" applyProtection="1"/>
    <xf numFmtId="165" fontId="6" fillId="37" borderId="59" xfId="9" applyNumberFormat="1" applyFont="1" applyFill="1" applyBorder="1" applyAlignment="1" applyProtection="1">
      <alignment vertical="center"/>
    </xf>
    <xf numFmtId="0" fontId="33" fillId="0" borderId="0" xfId="4" applyFont="1"/>
    <xf numFmtId="9" fontId="10" fillId="0" borderId="0" xfId="41" applyFont="1"/>
    <xf numFmtId="10" fontId="6" fillId="39" borderId="56" xfId="41" applyNumberFormat="1" applyFont="1" applyFill="1" applyBorder="1"/>
    <xf numFmtId="167" fontId="6" fillId="39" borderId="56" xfId="9" applyNumberFormat="1" applyFont="1" applyFill="1" applyBorder="1" applyProtection="1"/>
    <xf numFmtId="167" fontId="44" fillId="39" borderId="33" xfId="9" applyNumberFormat="1" applyFont="1" applyFill="1" applyBorder="1" applyProtection="1"/>
    <xf numFmtId="169" fontId="6" fillId="39" borderId="59" xfId="4" applyNumberFormat="1" applyFont="1" applyFill="1" applyBorder="1"/>
    <xf numFmtId="169" fontId="6" fillId="40" borderId="60" xfId="4" applyNumberFormat="1" applyFont="1" applyFill="1" applyBorder="1"/>
    <xf numFmtId="0" fontId="6" fillId="0" borderId="6" xfId="4" applyFont="1" applyBorder="1" applyAlignment="1">
      <alignment wrapText="1"/>
    </xf>
    <xf numFmtId="3" fontId="152" fillId="0" borderId="14" xfId="0" applyNumberFormat="1" applyFont="1" applyBorder="1" applyAlignment="1">
      <alignment horizontal="justify" vertical="center" wrapText="1"/>
    </xf>
    <xf numFmtId="3" fontId="153" fillId="0" borderId="14" xfId="0" applyNumberFormat="1" applyFont="1" applyBorder="1" applyAlignment="1">
      <alignment horizontal="right" vertical="center" wrapText="1"/>
    </xf>
    <xf numFmtId="3" fontId="42" fillId="0" borderId="14" xfId="0" applyNumberFormat="1" applyFont="1" applyBorder="1" applyAlignment="1">
      <alignment horizontal="center" vertical="center" wrapText="1"/>
    </xf>
    <xf numFmtId="4" fontId="44" fillId="0" borderId="235" xfId="4" applyNumberFormat="1" applyFont="1" applyBorder="1" applyAlignment="1">
      <alignment horizontal="left"/>
    </xf>
    <xf numFmtId="4" fontId="44" fillId="0" borderId="60" xfId="4" applyNumberFormat="1" applyFont="1" applyBorder="1" applyAlignment="1">
      <alignment horizontal="left"/>
    </xf>
    <xf numFmtId="4" fontId="44" fillId="0" borderId="60" xfId="4" applyNumberFormat="1" applyFont="1" applyBorder="1"/>
    <xf numFmtId="4" fontId="44" fillId="0" borderId="47" xfId="4" applyNumberFormat="1" applyFont="1" applyBorder="1"/>
    <xf numFmtId="3" fontId="6" fillId="0" borderId="45" xfId="4" applyNumberFormat="1" applyFont="1" applyBorder="1"/>
    <xf numFmtId="176" fontId="17" fillId="0" borderId="0" xfId="0" applyNumberFormat="1" applyFont="1"/>
    <xf numFmtId="0" fontId="168" fillId="0" borderId="0" xfId="43" applyFont="1" applyFill="1" applyBorder="1" applyAlignment="1">
      <alignment vertical="center"/>
    </xf>
    <xf numFmtId="0" fontId="168" fillId="0" borderId="0" xfId="0" applyFont="1" applyAlignment="1">
      <alignment vertical="center"/>
    </xf>
    <xf numFmtId="0" fontId="168" fillId="0" borderId="0" xfId="0" applyFont="1"/>
    <xf numFmtId="3" fontId="168" fillId="0" borderId="0" xfId="0" applyNumberFormat="1" applyFont="1"/>
    <xf numFmtId="3" fontId="168" fillId="0" borderId="0" xfId="0" applyNumberFormat="1" applyFont="1" applyAlignment="1">
      <alignment horizontal="right"/>
    </xf>
    <xf numFmtId="0" fontId="3" fillId="0" borderId="0" xfId="0" applyFont="1" applyAlignment="1">
      <alignment horizontal="right"/>
    </xf>
    <xf numFmtId="3" fontId="3" fillId="0" borderId="0" xfId="0" applyNumberFormat="1" applyFont="1"/>
    <xf numFmtId="0" fontId="168" fillId="0" borderId="0" xfId="0" applyFont="1" applyAlignment="1">
      <alignment horizontal="left"/>
    </xf>
    <xf numFmtId="3" fontId="6" fillId="41" borderId="61" xfId="4" applyNumberFormat="1" applyFont="1" applyFill="1" applyBorder="1"/>
    <xf numFmtId="3" fontId="6" fillId="41" borderId="18" xfId="4" applyNumberFormat="1" applyFont="1" applyFill="1" applyBorder="1"/>
    <xf numFmtId="169" fontId="6" fillId="43" borderId="56" xfId="4" applyNumberFormat="1" applyFont="1" applyFill="1" applyBorder="1"/>
    <xf numFmtId="0" fontId="6" fillId="43" borderId="53" xfId="4" applyFont="1" applyFill="1" applyBorder="1" applyAlignment="1">
      <alignment vertical="center" wrapText="1"/>
    </xf>
    <xf numFmtId="3" fontId="6" fillId="182" borderId="61" xfId="4" applyNumberFormat="1" applyFont="1" applyFill="1" applyBorder="1"/>
    <xf numFmtId="176" fontId="169" fillId="0" borderId="45" xfId="44" applyNumberFormat="1" applyFont="1" applyBorder="1"/>
    <xf numFmtId="3" fontId="6" fillId="0" borderId="8" xfId="4" applyNumberFormat="1" applyFont="1" applyBorder="1" applyAlignment="1">
      <alignment horizontal="right" vertical="center" wrapText="1"/>
    </xf>
    <xf numFmtId="3" fontId="6" fillId="0" borderId="33" xfId="4" applyNumberFormat="1" applyFont="1" applyBorder="1"/>
    <xf numFmtId="0" fontId="6" fillId="61" borderId="33" xfId="4" applyFont="1" applyFill="1" applyBorder="1" applyAlignment="1">
      <alignment vertical="center" wrapText="1"/>
    </xf>
    <xf numFmtId="0" fontId="6" fillId="62" borderId="33" xfId="4" applyFont="1" applyFill="1" applyBorder="1" applyAlignment="1">
      <alignment vertical="center" wrapText="1"/>
    </xf>
    <xf numFmtId="0" fontId="6" fillId="0" borderId="33" xfId="4" applyFont="1" applyBorder="1" applyAlignment="1">
      <alignment vertical="center" wrapText="1"/>
    </xf>
    <xf numFmtId="3" fontId="6" fillId="0" borderId="33" xfId="4" applyNumberFormat="1" applyFont="1" applyBorder="1" applyAlignment="1">
      <alignment vertical="center" wrapText="1"/>
    </xf>
    <xf numFmtId="182" fontId="0" fillId="39" borderId="56" xfId="9" applyNumberFormat="1" applyFont="1" applyFill="1" applyBorder="1" applyProtection="1"/>
    <xf numFmtId="167" fontId="44" fillId="39" borderId="56" xfId="9" applyNumberFormat="1" applyFont="1" applyFill="1" applyBorder="1" applyProtection="1"/>
    <xf numFmtId="0" fontId="34" fillId="41" borderId="53" xfId="4" applyFont="1" applyFill="1" applyBorder="1" applyAlignment="1">
      <alignment vertical="center" wrapText="1"/>
    </xf>
    <xf numFmtId="0" fontId="10" fillId="39" borderId="51" xfId="4" applyFill="1" applyBorder="1" applyAlignment="1">
      <alignment vertical="center" wrapText="1"/>
    </xf>
    <xf numFmtId="0" fontId="10" fillId="40" borderId="46" xfId="4" applyFill="1" applyBorder="1" applyAlignment="1">
      <alignment vertical="center" wrapText="1"/>
    </xf>
    <xf numFmtId="169" fontId="6" fillId="38" borderId="60" xfId="4" applyNumberFormat="1" applyFont="1" applyFill="1" applyBorder="1"/>
    <xf numFmtId="169" fontId="6" fillId="41" borderId="61" xfId="4" applyNumberFormat="1" applyFont="1" applyFill="1" applyBorder="1"/>
    <xf numFmtId="169" fontId="6" fillId="41" borderId="59" xfId="4" applyNumberFormat="1" applyFont="1" applyFill="1" applyBorder="1"/>
    <xf numFmtId="165" fontId="7" fillId="0" borderId="0" xfId="41" applyNumberFormat="1" applyFont="1" applyBorder="1"/>
    <xf numFmtId="3" fontId="6" fillId="183" borderId="33" xfId="4" applyNumberFormat="1" applyFont="1" applyFill="1" applyBorder="1"/>
    <xf numFmtId="166" fontId="6" fillId="0" borderId="0" xfId="2" applyNumberFormat="1"/>
    <xf numFmtId="3" fontId="6" fillId="182" borderId="59" xfId="4" applyNumberFormat="1" applyFont="1" applyFill="1" applyBorder="1"/>
    <xf numFmtId="0" fontId="6" fillId="39" borderId="33" xfId="4" applyFont="1" applyFill="1" applyBorder="1"/>
    <xf numFmtId="3" fontId="6" fillId="49" borderId="33" xfId="4" applyNumberFormat="1" applyFont="1" applyFill="1" applyBorder="1"/>
    <xf numFmtId="3" fontId="6" fillId="50" borderId="18" xfId="4" applyNumberFormat="1" applyFont="1" applyFill="1" applyBorder="1"/>
    <xf numFmtId="165" fontId="44" fillId="38" borderId="56" xfId="9" applyNumberFormat="1" applyFont="1" applyFill="1" applyBorder="1" applyProtection="1"/>
    <xf numFmtId="165" fontId="44" fillId="37" borderId="33" xfId="9" applyNumberFormat="1" applyFont="1" applyFill="1" applyBorder="1" applyProtection="1"/>
    <xf numFmtId="0" fontId="10" fillId="184" borderId="52" xfId="4" applyFill="1" applyBorder="1" applyAlignment="1">
      <alignment vertical="center" wrapText="1"/>
    </xf>
    <xf numFmtId="169" fontId="6" fillId="44" borderId="59" xfId="4" applyNumberFormat="1" applyFont="1" applyFill="1" applyBorder="1"/>
    <xf numFmtId="169" fontId="6" fillId="44" borderId="56" xfId="4" applyNumberFormat="1" applyFont="1" applyFill="1" applyBorder="1"/>
    <xf numFmtId="3" fontId="6" fillId="49" borderId="56" xfId="4" applyNumberFormat="1" applyFont="1" applyFill="1" applyBorder="1"/>
    <xf numFmtId="165" fontId="44" fillId="50" borderId="59" xfId="9" applyNumberFormat="1" applyFont="1" applyFill="1" applyBorder="1" applyProtection="1"/>
    <xf numFmtId="4" fontId="6" fillId="0" borderId="0" xfId="4" applyNumberFormat="1" applyFont="1"/>
    <xf numFmtId="3" fontId="6" fillId="0" borderId="0" xfId="4" applyNumberFormat="1" applyFont="1"/>
    <xf numFmtId="0" fontId="10" fillId="0" borderId="264" xfId="27" applyBorder="1"/>
    <xf numFmtId="0" fontId="10" fillId="0" borderId="265" xfId="27" applyBorder="1"/>
    <xf numFmtId="3" fontId="68" fillId="0" borderId="266" xfId="27" applyNumberFormat="1" applyFont="1" applyBorder="1" applyAlignment="1">
      <alignment horizontal="center" vertical="center"/>
    </xf>
    <xf numFmtId="0" fontId="10" fillId="0" borderId="267" xfId="27" applyBorder="1"/>
    <xf numFmtId="0" fontId="10" fillId="0" borderId="267" xfId="15" applyBorder="1"/>
    <xf numFmtId="3" fontId="6" fillId="51" borderId="56" xfId="2" applyNumberFormat="1" applyFill="1" applyBorder="1"/>
    <xf numFmtId="3" fontId="6" fillId="51" borderId="59" xfId="2" applyNumberFormat="1" applyFill="1" applyBorder="1"/>
    <xf numFmtId="3" fontId="9" fillId="0" borderId="0" xfId="5" applyNumberFormat="1" applyFont="1" applyAlignment="1">
      <alignment horizontal="center" vertical="center"/>
    </xf>
    <xf numFmtId="171" fontId="10" fillId="0" borderId="33" xfId="4" applyNumberFormat="1" applyBorder="1" applyAlignment="1">
      <alignment horizontal="center"/>
    </xf>
    <xf numFmtId="3" fontId="10" fillId="0" borderId="33" xfId="4" applyNumberFormat="1" applyBorder="1" applyAlignment="1">
      <alignment horizontal="center"/>
    </xf>
    <xf numFmtId="10" fontId="10" fillId="68" borderId="45" xfId="4" applyNumberFormat="1" applyFill="1" applyBorder="1"/>
    <xf numFmtId="10" fontId="10" fillId="68" borderId="45" xfId="6" applyNumberFormat="1" applyFont="1" applyFill="1" applyBorder="1" applyAlignment="1">
      <alignment horizontal="center"/>
    </xf>
    <xf numFmtId="9" fontId="10" fillId="68" borderId="45" xfId="6" applyFont="1" applyFill="1" applyBorder="1" applyAlignment="1">
      <alignment horizontal="center"/>
    </xf>
    <xf numFmtId="0" fontId="9" fillId="0" borderId="0" xfId="5" applyFont="1" applyAlignment="1">
      <alignment horizontal="center" vertical="center"/>
    </xf>
    <xf numFmtId="3" fontId="9" fillId="68" borderId="0" xfId="5" applyNumberFormat="1" applyFont="1" applyFill="1" applyAlignment="1">
      <alignment horizontal="center" vertical="center"/>
    </xf>
    <xf numFmtId="0" fontId="10" fillId="68" borderId="45" xfId="4" applyFill="1" applyBorder="1" applyAlignment="1">
      <alignment horizontal="center"/>
    </xf>
    <xf numFmtId="0" fontId="6" fillId="0" borderId="87" xfId="27" applyFont="1" applyBorder="1"/>
    <xf numFmtId="0" fontId="6" fillId="0" borderId="93" xfId="27" applyFont="1" applyBorder="1" applyAlignment="1">
      <alignment horizontal="center"/>
    </xf>
    <xf numFmtId="43" fontId="6" fillId="0" borderId="0" xfId="44" applyFont="1"/>
    <xf numFmtId="165" fontId="6" fillId="0" borderId="0" xfId="2" applyNumberFormat="1"/>
    <xf numFmtId="0" fontId="6" fillId="0" borderId="33" xfId="4" applyFont="1" applyBorder="1" applyAlignment="1">
      <alignment wrapText="1"/>
    </xf>
    <xf numFmtId="9" fontId="6" fillId="38" borderId="56" xfId="41" applyFont="1" applyFill="1" applyBorder="1"/>
    <xf numFmtId="0" fontId="10" fillId="38" borderId="230" xfId="4" applyFill="1" applyBorder="1" applyAlignment="1">
      <alignment wrapText="1"/>
    </xf>
    <xf numFmtId="0" fontId="10" fillId="38" borderId="239" xfId="4" applyFill="1" applyBorder="1" applyAlignment="1">
      <alignment wrapText="1"/>
    </xf>
    <xf numFmtId="0" fontId="10" fillId="38" borderId="240" xfId="4" applyFill="1" applyBorder="1" applyAlignment="1">
      <alignment wrapText="1"/>
    </xf>
    <xf numFmtId="0" fontId="10" fillId="39" borderId="261" xfId="4" applyFill="1" applyBorder="1" applyAlignment="1">
      <alignment vertical="center" wrapText="1"/>
    </xf>
    <xf numFmtId="0" fontId="10" fillId="39" borderId="262" xfId="4" applyFill="1" applyBorder="1" applyAlignment="1">
      <alignment vertical="center" wrapText="1"/>
    </xf>
    <xf numFmtId="165" fontId="44" fillId="38" borderId="45" xfId="9" applyNumberFormat="1" applyFont="1" applyFill="1" applyBorder="1" applyProtection="1"/>
    <xf numFmtId="165" fontId="44" fillId="38" borderId="207" xfId="9" applyNumberFormat="1" applyFont="1" applyFill="1" applyBorder="1" applyProtection="1"/>
    <xf numFmtId="167" fontId="44" fillId="39" borderId="230" xfId="9" applyNumberFormat="1" applyFont="1" applyFill="1" applyBorder="1" applyProtection="1"/>
    <xf numFmtId="3" fontId="6" fillId="39" borderId="239" xfId="4" applyNumberFormat="1" applyFont="1" applyFill="1" applyBorder="1"/>
    <xf numFmtId="167" fontId="44" fillId="39" borderId="239" xfId="9" applyNumberFormat="1" applyFont="1" applyFill="1" applyBorder="1" applyProtection="1"/>
    <xf numFmtId="3" fontId="6" fillId="39" borderId="240" xfId="4" applyNumberFormat="1" applyFont="1" applyFill="1" applyBorder="1"/>
    <xf numFmtId="10" fontId="6" fillId="39" borderId="56" xfId="48" applyNumberFormat="1" applyFont="1" applyFill="1" applyBorder="1"/>
    <xf numFmtId="3" fontId="6" fillId="39" borderId="45" xfId="4" applyNumberFormat="1" applyFont="1" applyFill="1" applyBorder="1"/>
    <xf numFmtId="10" fontId="6" fillId="39" borderId="45" xfId="4" applyNumberFormat="1" applyFont="1" applyFill="1" applyBorder="1"/>
    <xf numFmtId="3" fontId="44" fillId="38" borderId="45" xfId="9" applyNumberFormat="1" applyFont="1" applyFill="1" applyBorder="1" applyProtection="1"/>
    <xf numFmtId="165" fontId="6" fillId="38" borderId="45" xfId="9" applyNumberFormat="1" applyFont="1" applyFill="1" applyBorder="1" applyProtection="1"/>
    <xf numFmtId="3" fontId="6" fillId="38" borderId="45" xfId="9" applyNumberFormat="1" applyFont="1" applyFill="1" applyBorder="1" applyProtection="1"/>
    <xf numFmtId="165" fontId="6" fillId="38" borderId="207" xfId="9" applyNumberFormat="1" applyFont="1" applyFill="1" applyBorder="1" applyProtection="1"/>
    <xf numFmtId="3" fontId="6" fillId="38" borderId="235" xfId="4" applyNumberFormat="1" applyFont="1" applyFill="1" applyBorder="1"/>
    <xf numFmtId="3" fontId="6" fillId="41" borderId="240" xfId="4" applyNumberFormat="1" applyFont="1" applyFill="1" applyBorder="1"/>
    <xf numFmtId="3" fontId="6" fillId="42" borderId="235" xfId="4" applyNumberFormat="1" applyFont="1" applyFill="1" applyBorder="1"/>
    <xf numFmtId="3" fontId="6" fillId="43" borderId="239" xfId="4" applyNumberFormat="1" applyFont="1" applyFill="1" applyBorder="1"/>
    <xf numFmtId="3" fontId="6" fillId="43" borderId="240" xfId="4" applyNumberFormat="1" applyFont="1" applyFill="1" applyBorder="1"/>
    <xf numFmtId="3" fontId="6" fillId="44" borderId="230" xfId="4" applyNumberFormat="1" applyFont="1" applyFill="1" applyBorder="1"/>
    <xf numFmtId="3" fontId="6" fillId="44" borderId="240" xfId="4" applyNumberFormat="1" applyFont="1" applyFill="1" applyBorder="1"/>
    <xf numFmtId="3" fontId="6" fillId="45" borderId="239" xfId="4" applyNumberFormat="1" applyFont="1" applyFill="1" applyBorder="1"/>
    <xf numFmtId="3" fontId="6" fillId="45" borderId="240" xfId="4" applyNumberFormat="1" applyFont="1" applyFill="1" applyBorder="1"/>
    <xf numFmtId="3" fontId="6" fillId="38" borderId="263" xfId="4" applyNumberFormat="1" applyFont="1" applyFill="1" applyBorder="1"/>
    <xf numFmtId="3" fontId="6" fillId="44" borderId="45" xfId="4" applyNumberFormat="1" applyFont="1" applyFill="1" applyBorder="1"/>
    <xf numFmtId="3" fontId="6" fillId="37" borderId="45" xfId="4" applyNumberFormat="1" applyFont="1" applyFill="1" applyBorder="1"/>
    <xf numFmtId="3" fontId="6" fillId="45" borderId="45" xfId="4" applyNumberFormat="1" applyFont="1" applyFill="1" applyBorder="1"/>
    <xf numFmtId="165" fontId="44" fillId="38" borderId="263" xfId="9" applyNumberFormat="1" applyFont="1" applyFill="1" applyBorder="1" applyProtection="1"/>
    <xf numFmtId="165" fontId="44" fillId="44" borderId="45" xfId="9" applyNumberFormat="1" applyFont="1" applyFill="1" applyBorder="1" applyProtection="1"/>
    <xf numFmtId="165" fontId="6" fillId="38" borderId="263" xfId="9" applyNumberFormat="1" applyFont="1" applyFill="1" applyBorder="1" applyProtection="1"/>
    <xf numFmtId="165" fontId="6" fillId="41" borderId="45" xfId="9" applyNumberFormat="1" applyFont="1" applyFill="1" applyBorder="1" applyProtection="1"/>
    <xf numFmtId="165" fontId="6" fillId="42" borderId="45" xfId="9" applyNumberFormat="1" applyFont="1" applyFill="1" applyBorder="1" applyProtection="1"/>
    <xf numFmtId="165" fontId="6" fillId="46" borderId="45" xfId="9" applyNumberFormat="1" applyFont="1" applyFill="1" applyBorder="1" applyProtection="1"/>
    <xf numFmtId="165" fontId="6" fillId="47" borderId="45" xfId="9" applyNumberFormat="1" applyFont="1" applyFill="1" applyBorder="1" applyProtection="1"/>
    <xf numFmtId="165" fontId="6" fillId="48" borderId="45" xfId="9" applyNumberFormat="1" applyFont="1" applyFill="1" applyBorder="1" applyProtection="1"/>
    <xf numFmtId="165" fontId="6" fillId="44" borderId="45" xfId="9" applyNumberFormat="1" applyFont="1" applyFill="1" applyBorder="1" applyProtection="1"/>
    <xf numFmtId="0" fontId="33" fillId="39" borderId="239" xfId="4" applyFont="1" applyFill="1" applyBorder="1"/>
    <xf numFmtId="3" fontId="6" fillId="41" borderId="239" xfId="4" applyNumberFormat="1" applyFont="1" applyFill="1" applyBorder="1"/>
    <xf numFmtId="3" fontId="6" fillId="42" borderId="239" xfId="4" applyNumberFormat="1" applyFont="1" applyFill="1" applyBorder="1"/>
    <xf numFmtId="3" fontId="6" fillId="42" borderId="242" xfId="4" applyNumberFormat="1" applyFont="1" applyFill="1" applyBorder="1"/>
    <xf numFmtId="3" fontId="6" fillId="51" borderId="230" xfId="2" applyNumberFormat="1" applyFill="1" applyBorder="1"/>
    <xf numFmtId="3" fontId="6" fillId="51" borderId="239" xfId="2" applyNumberFormat="1" applyFill="1" applyBorder="1"/>
    <xf numFmtId="4" fontId="6" fillId="43" borderId="239" xfId="4" applyNumberFormat="1" applyFont="1" applyFill="1" applyBorder="1"/>
    <xf numFmtId="3" fontId="6" fillId="44" borderId="269" xfId="4" applyNumberFormat="1" applyFont="1" applyFill="1" applyBorder="1"/>
    <xf numFmtId="3" fontId="6" fillId="45" borderId="263" xfId="4" applyNumberFormat="1" applyFont="1" applyFill="1" applyBorder="1"/>
    <xf numFmtId="3" fontId="6" fillId="41" borderId="207" xfId="4" applyNumberFormat="1" applyFont="1" applyFill="1" applyBorder="1"/>
    <xf numFmtId="169" fontId="6" fillId="41" borderId="45" xfId="4" applyNumberFormat="1" applyFont="1" applyFill="1" applyBorder="1"/>
    <xf numFmtId="169" fontId="6" fillId="41" borderId="207" xfId="4" applyNumberFormat="1" applyFont="1" applyFill="1" applyBorder="1"/>
    <xf numFmtId="169" fontId="6" fillId="43" borderId="45" xfId="4" applyNumberFormat="1" applyFont="1" applyFill="1" applyBorder="1"/>
    <xf numFmtId="3" fontId="6" fillId="184" borderId="45" xfId="4" applyNumberFormat="1" applyFont="1" applyFill="1" applyBorder="1"/>
    <xf numFmtId="4" fontId="6" fillId="43" borderId="45" xfId="4" applyNumberFormat="1" applyFont="1" applyFill="1" applyBorder="1"/>
    <xf numFmtId="3" fontId="6" fillId="185" borderId="270" xfId="4" applyNumberFormat="1" applyFont="1" applyFill="1" applyBorder="1"/>
    <xf numFmtId="169" fontId="6" fillId="45" borderId="263" xfId="4" applyNumberFormat="1" applyFont="1" applyFill="1" applyBorder="1"/>
    <xf numFmtId="3" fontId="6" fillId="49" borderId="45" xfId="4" applyNumberFormat="1" applyFont="1" applyFill="1" applyBorder="1"/>
    <xf numFmtId="3" fontId="6" fillId="50" borderId="207" xfId="4" applyNumberFormat="1" applyFont="1" applyFill="1" applyBorder="1"/>
    <xf numFmtId="165" fontId="44" fillId="37" borderId="45" xfId="9" applyNumberFormat="1" applyFont="1" applyFill="1" applyBorder="1" applyProtection="1"/>
    <xf numFmtId="0" fontId="10" fillId="0" borderId="268" xfId="27" applyBorder="1"/>
    <xf numFmtId="0" fontId="7" fillId="0" borderId="33" xfId="2" applyFont="1" applyBorder="1"/>
    <xf numFmtId="165" fontId="6" fillId="0" borderId="33" xfId="2" applyNumberFormat="1" applyBorder="1"/>
    <xf numFmtId="3" fontId="7" fillId="0" borderId="33" xfId="2" applyNumberFormat="1" applyFont="1" applyBorder="1"/>
    <xf numFmtId="165" fontId="7" fillId="0" borderId="33" xfId="2" applyNumberFormat="1" applyFont="1" applyBorder="1"/>
    <xf numFmtId="165" fontId="6" fillId="0" borderId="33" xfId="41" applyNumberFormat="1" applyFont="1" applyBorder="1"/>
    <xf numFmtId="165" fontId="7" fillId="0" borderId="33" xfId="41" applyNumberFormat="1" applyFont="1" applyBorder="1"/>
    <xf numFmtId="0" fontId="6" fillId="0" borderId="33" xfId="4" applyFont="1" applyBorder="1"/>
    <xf numFmtId="167" fontId="44" fillId="39" borderId="62" xfId="9" applyNumberFormat="1" applyFont="1" applyFill="1" applyBorder="1" applyProtection="1"/>
    <xf numFmtId="2" fontId="6" fillId="43" borderId="33" xfId="4" applyNumberFormat="1" applyFont="1" applyFill="1" applyBorder="1"/>
    <xf numFmtId="0" fontId="6" fillId="43" borderId="59" xfId="4" applyFont="1" applyFill="1" applyBorder="1"/>
    <xf numFmtId="3" fontId="6" fillId="41" borderId="63" xfId="4" applyNumberFormat="1" applyFont="1" applyFill="1" applyBorder="1"/>
    <xf numFmtId="3" fontId="6" fillId="42" borderId="63" xfId="4" applyNumberFormat="1" applyFont="1" applyFill="1" applyBorder="1"/>
    <xf numFmtId="0" fontId="6" fillId="43" borderId="63" xfId="4" applyFont="1" applyFill="1" applyBorder="1"/>
    <xf numFmtId="0" fontId="6" fillId="43" borderId="5" xfId="4" applyFont="1" applyFill="1" applyBorder="1"/>
    <xf numFmtId="3" fontId="6" fillId="45" borderId="67" xfId="4" applyNumberFormat="1" applyFont="1" applyFill="1" applyBorder="1"/>
    <xf numFmtId="3" fontId="6" fillId="46" borderId="63" xfId="4" applyNumberFormat="1" applyFont="1" applyFill="1" applyBorder="1"/>
    <xf numFmtId="3" fontId="6" fillId="47" borderId="63" xfId="4" applyNumberFormat="1" applyFont="1" applyFill="1" applyBorder="1"/>
    <xf numFmtId="3" fontId="6" fillId="48" borderId="63" xfId="4" applyNumberFormat="1" applyFont="1" applyFill="1" applyBorder="1"/>
    <xf numFmtId="165" fontId="44" fillId="38" borderId="62" xfId="9" applyNumberFormat="1" applyFont="1" applyFill="1" applyBorder="1" applyProtection="1"/>
    <xf numFmtId="165" fontId="44" fillId="41" borderId="63" xfId="9" applyNumberFormat="1" applyFont="1" applyFill="1" applyBorder="1" applyProtection="1"/>
    <xf numFmtId="165" fontId="44" fillId="42" borderId="63" xfId="9" applyNumberFormat="1" applyFont="1" applyFill="1" applyBorder="1" applyProtection="1"/>
    <xf numFmtId="165" fontId="44" fillId="46" borderId="63" xfId="9" applyNumberFormat="1" applyFont="1" applyFill="1" applyBorder="1" applyProtection="1"/>
    <xf numFmtId="165" fontId="44" fillId="47" borderId="63" xfId="9" applyNumberFormat="1" applyFont="1" applyFill="1" applyBorder="1" applyProtection="1"/>
    <xf numFmtId="165" fontId="44" fillId="48" borderId="63" xfId="9" applyNumberFormat="1" applyFont="1" applyFill="1" applyBorder="1" applyProtection="1"/>
    <xf numFmtId="165" fontId="44" fillId="44" borderId="63" xfId="9" applyNumberFormat="1" applyFont="1" applyFill="1" applyBorder="1" applyProtection="1"/>
    <xf numFmtId="0" fontId="6" fillId="0" borderId="46" xfId="4" applyFont="1" applyBorder="1"/>
    <xf numFmtId="3" fontId="6" fillId="0" borderId="7" xfId="4" applyNumberFormat="1" applyFont="1" applyBorder="1"/>
    <xf numFmtId="3" fontId="6" fillId="0" borderId="7" xfId="4" applyNumberFormat="1" applyFont="1" applyBorder="1" applyAlignment="1">
      <alignment wrapText="1"/>
    </xf>
    <xf numFmtId="0" fontId="6" fillId="0" borderId="22" xfId="4" applyFont="1" applyBorder="1" applyAlignment="1">
      <alignment wrapText="1"/>
    </xf>
    <xf numFmtId="3" fontId="6" fillId="0" borderId="8" xfId="4" applyNumberFormat="1" applyFont="1" applyBorder="1" applyAlignment="1">
      <alignment wrapText="1"/>
    </xf>
    <xf numFmtId="3" fontId="6" fillId="0" borderId="0" xfId="4" applyNumberFormat="1" applyFont="1" applyAlignment="1">
      <alignment horizontal="left" vertical="center"/>
    </xf>
    <xf numFmtId="1" fontId="6" fillId="0" borderId="0" xfId="4" applyNumberFormat="1" applyFont="1"/>
    <xf numFmtId="3" fontId="44" fillId="0" borderId="0" xfId="9" applyNumberFormat="1" applyFont="1" applyBorder="1" applyProtection="1"/>
    <xf numFmtId="0" fontId="6" fillId="19" borderId="18" xfId="4" applyFont="1" applyFill="1" applyBorder="1" applyAlignment="1">
      <alignment wrapText="1"/>
    </xf>
    <xf numFmtId="167" fontId="6" fillId="39" borderId="56" xfId="9" applyNumberFormat="1" applyFont="1" applyFill="1" applyBorder="1" applyAlignment="1" applyProtection="1">
      <alignment vertical="center"/>
    </xf>
    <xf numFmtId="3" fontId="6" fillId="38" borderId="60" xfId="4" applyNumberFormat="1" applyFont="1" applyFill="1" applyBorder="1" applyAlignment="1">
      <alignment vertical="center"/>
    </xf>
    <xf numFmtId="3" fontId="6" fillId="41" borderId="59" xfId="4" applyNumberFormat="1" applyFont="1" applyFill="1" applyBorder="1" applyAlignment="1">
      <alignment vertical="center"/>
    </xf>
    <xf numFmtId="3" fontId="6" fillId="42" borderId="61" xfId="4" applyNumberFormat="1" applyFont="1" applyFill="1" applyBorder="1" applyAlignment="1">
      <alignment vertical="center"/>
    </xf>
    <xf numFmtId="3" fontId="6" fillId="42" borderId="60" xfId="4" applyNumberFormat="1" applyFont="1" applyFill="1" applyBorder="1" applyAlignment="1">
      <alignment vertical="center"/>
    </xf>
    <xf numFmtId="3" fontId="6" fillId="43" borderId="56" xfId="4" applyNumberFormat="1" applyFont="1" applyFill="1" applyBorder="1" applyAlignment="1">
      <alignment vertical="center"/>
    </xf>
    <xf numFmtId="3" fontId="6" fillId="43" borderId="59" xfId="4" applyNumberFormat="1" applyFont="1" applyFill="1" applyBorder="1" applyAlignment="1">
      <alignment vertical="center"/>
    </xf>
    <xf numFmtId="0" fontId="6" fillId="0" borderId="0" xfId="4" applyFont="1" applyAlignment="1">
      <alignment vertical="center"/>
    </xf>
    <xf numFmtId="3" fontId="6" fillId="38" borderId="47" xfId="4" applyNumberFormat="1" applyFont="1" applyFill="1" applyBorder="1"/>
    <xf numFmtId="3" fontId="6" fillId="41" borderId="5" xfId="4" applyNumberFormat="1" applyFont="1" applyFill="1" applyBorder="1"/>
    <xf numFmtId="3" fontId="6" fillId="42" borderId="66" xfId="4" applyNumberFormat="1" applyFont="1" applyFill="1" applyBorder="1"/>
    <xf numFmtId="3" fontId="6" fillId="42" borderId="47" xfId="4" applyNumberFormat="1" applyFont="1" applyFill="1" applyBorder="1"/>
    <xf numFmtId="3" fontId="6" fillId="43" borderId="62" xfId="4" applyNumberFormat="1" applyFont="1" applyFill="1" applyBorder="1"/>
    <xf numFmtId="3" fontId="6" fillId="43" borderId="5" xfId="4" applyNumberFormat="1" applyFont="1" applyFill="1" applyBorder="1"/>
    <xf numFmtId="1" fontId="6" fillId="43" borderId="33" xfId="4" applyNumberFormat="1" applyFont="1" applyFill="1" applyBorder="1"/>
    <xf numFmtId="3" fontId="44" fillId="43" borderId="33" xfId="9" applyNumberFormat="1" applyFont="1" applyFill="1" applyBorder="1" applyProtection="1"/>
    <xf numFmtId="167" fontId="44" fillId="43" borderId="33" xfId="9" applyNumberFormat="1" applyFont="1" applyFill="1" applyBorder="1" applyProtection="1"/>
    <xf numFmtId="3" fontId="6" fillId="41" borderId="66" xfId="4" applyNumberFormat="1" applyFont="1" applyFill="1" applyBorder="1"/>
    <xf numFmtId="3" fontId="6" fillId="41" borderId="64" xfId="4" applyNumberFormat="1" applyFont="1" applyFill="1" applyBorder="1"/>
    <xf numFmtId="3" fontId="6" fillId="44" borderId="63" xfId="4" applyNumberFormat="1" applyFont="1" applyFill="1" applyBorder="1"/>
    <xf numFmtId="3" fontId="6" fillId="49" borderId="63" xfId="4" applyNumberFormat="1" applyFont="1" applyFill="1" applyBorder="1"/>
    <xf numFmtId="3" fontId="6" fillId="45" borderId="5" xfId="4" applyNumberFormat="1" applyFont="1" applyFill="1" applyBorder="1"/>
    <xf numFmtId="3" fontId="6" fillId="39" borderId="47" xfId="4" applyNumberFormat="1" applyFont="1" applyFill="1" applyBorder="1"/>
    <xf numFmtId="165" fontId="44" fillId="37" borderId="63" xfId="9" applyNumberFormat="1" applyFont="1" applyFill="1" applyBorder="1" applyProtection="1"/>
    <xf numFmtId="176" fontId="31" fillId="0" borderId="45" xfId="44" applyNumberFormat="1" applyFont="1" applyBorder="1"/>
    <xf numFmtId="3" fontId="6" fillId="174" borderId="47" xfId="4" applyNumberFormat="1" applyFont="1" applyFill="1" applyBorder="1"/>
    <xf numFmtId="3" fontId="6" fillId="37" borderId="62" xfId="4" applyNumberFormat="1" applyFont="1" applyFill="1" applyBorder="1"/>
    <xf numFmtId="3" fontId="6" fillId="50" borderId="64" xfId="4" applyNumberFormat="1" applyFont="1" applyFill="1" applyBorder="1"/>
    <xf numFmtId="165" fontId="44" fillId="44" borderId="5" xfId="9" applyNumberFormat="1" applyFont="1" applyFill="1" applyBorder="1" applyProtection="1"/>
    <xf numFmtId="0" fontId="29" fillId="0" borderId="273" xfId="0" applyFont="1" applyBorder="1" applyAlignment="1">
      <alignment horizontal="left" vertical="center" wrapText="1"/>
    </xf>
    <xf numFmtId="0" fontId="0" fillId="0" borderId="273" xfId="0" applyBorder="1"/>
    <xf numFmtId="0" fontId="29" fillId="0" borderId="273" xfId="0" applyFont="1" applyBorder="1" applyAlignment="1">
      <alignment horizontal="left" vertical="center"/>
    </xf>
    <xf numFmtId="3" fontId="0" fillId="28" borderId="273" xfId="0" applyNumberFormat="1" applyFill="1" applyBorder="1"/>
    <xf numFmtId="3" fontId="6" fillId="0" borderId="0" xfId="4" applyNumberFormat="1" applyFont="1" applyAlignment="1">
      <alignment vertical="center" wrapText="1"/>
    </xf>
    <xf numFmtId="3" fontId="6" fillId="63" borderId="33" xfId="4" applyNumberFormat="1" applyFont="1" applyFill="1" applyBorder="1" applyAlignment="1">
      <alignment vertical="center" wrapText="1"/>
    </xf>
    <xf numFmtId="3" fontId="6" fillId="64" borderId="33" xfId="4" applyNumberFormat="1" applyFont="1" applyFill="1" applyBorder="1" applyAlignment="1">
      <alignment vertical="center" wrapText="1"/>
    </xf>
    <xf numFmtId="3" fontId="6" fillId="63" borderId="33" xfId="4" applyNumberFormat="1" applyFont="1" applyFill="1" applyBorder="1"/>
    <xf numFmtId="4" fontId="6" fillId="59" borderId="273" xfId="2" applyNumberFormat="1" applyFill="1" applyBorder="1"/>
    <xf numFmtId="3" fontId="6" fillId="59" borderId="273" xfId="2" applyNumberFormat="1" applyFill="1" applyBorder="1"/>
    <xf numFmtId="165" fontId="44" fillId="38" borderId="273" xfId="9" applyNumberFormat="1" applyFont="1" applyFill="1" applyBorder="1" applyProtection="1"/>
    <xf numFmtId="165" fontId="44" fillId="38" borderId="271" xfId="9" applyNumberFormat="1" applyFont="1" applyFill="1" applyBorder="1" applyProtection="1"/>
    <xf numFmtId="3" fontId="6" fillId="40" borderId="259" xfId="4" applyNumberFormat="1" applyFont="1" applyFill="1" applyBorder="1"/>
    <xf numFmtId="3" fontId="130" fillId="54" borderId="259" xfId="4" applyNumberFormat="1" applyFont="1" applyFill="1" applyBorder="1" applyAlignment="1">
      <alignment horizontal="center"/>
    </xf>
    <xf numFmtId="3" fontId="130" fillId="55" borderId="259" xfId="4" applyNumberFormat="1" applyFont="1" applyFill="1" applyBorder="1" applyAlignment="1">
      <alignment horizontal="center"/>
    </xf>
    <xf numFmtId="3" fontId="33" fillId="57" borderId="259" xfId="4" applyNumberFormat="1" applyFont="1" applyFill="1" applyBorder="1"/>
    <xf numFmtId="3" fontId="6" fillId="44" borderId="274" xfId="4" applyNumberFormat="1" applyFont="1" applyFill="1" applyBorder="1"/>
    <xf numFmtId="3" fontId="6" fillId="44" borderId="275" xfId="4" applyNumberFormat="1" applyFont="1" applyFill="1" applyBorder="1"/>
    <xf numFmtId="3" fontId="6" fillId="45" borderId="272" xfId="4" applyNumberFormat="1" applyFont="1" applyFill="1" applyBorder="1"/>
    <xf numFmtId="3" fontId="6" fillId="45" borderId="259" xfId="4" applyNumberFormat="1" applyFont="1" applyFill="1" applyBorder="1"/>
    <xf numFmtId="3" fontId="6" fillId="41" borderId="273" xfId="4" applyNumberFormat="1" applyFont="1" applyFill="1" applyBorder="1"/>
    <xf numFmtId="3" fontId="6" fillId="42" borderId="273" xfId="4" applyNumberFormat="1" applyFont="1" applyFill="1" applyBorder="1"/>
    <xf numFmtId="3" fontId="6" fillId="46" borderId="273" xfId="4" applyNumberFormat="1" applyFont="1" applyFill="1" applyBorder="1"/>
    <xf numFmtId="3" fontId="6" fillId="47" borderId="273" xfId="4" applyNumberFormat="1" applyFont="1" applyFill="1" applyBorder="1"/>
    <xf numFmtId="3" fontId="6" fillId="48" borderId="273" xfId="4" applyNumberFormat="1" applyFont="1" applyFill="1" applyBorder="1"/>
    <xf numFmtId="3" fontId="6" fillId="44" borderId="273" xfId="4" applyNumberFormat="1" applyFont="1" applyFill="1" applyBorder="1"/>
    <xf numFmtId="3" fontId="6" fillId="56" borderId="271" xfId="4" applyNumberFormat="1" applyFont="1" applyFill="1" applyBorder="1"/>
    <xf numFmtId="3" fontId="6" fillId="37" borderId="271" xfId="4" applyNumberFormat="1" applyFont="1" applyFill="1" applyBorder="1"/>
    <xf numFmtId="165" fontId="44" fillId="41" borderId="273" xfId="9" applyNumberFormat="1" applyFont="1" applyFill="1" applyBorder="1" applyProtection="1"/>
    <xf numFmtId="165" fontId="44" fillId="42" borderId="273" xfId="9" applyNumberFormat="1" applyFont="1" applyFill="1" applyBorder="1" applyProtection="1"/>
    <xf numFmtId="165" fontId="44" fillId="46" borderId="273" xfId="9" applyNumberFormat="1" applyFont="1" applyFill="1" applyBorder="1" applyProtection="1"/>
    <xf numFmtId="165" fontId="44" fillId="47" borderId="273" xfId="9" applyNumberFormat="1" applyFont="1" applyFill="1" applyBorder="1" applyProtection="1"/>
    <xf numFmtId="165" fontId="44" fillId="48" borderId="273" xfId="9" applyNumberFormat="1" applyFont="1" applyFill="1" applyBorder="1" applyProtection="1"/>
    <xf numFmtId="165" fontId="44" fillId="44" borderId="273" xfId="9" applyNumberFormat="1" applyFont="1" applyFill="1" applyBorder="1" applyProtection="1"/>
    <xf numFmtId="165" fontId="44" fillId="58" borderId="273" xfId="9" applyNumberFormat="1" applyFont="1" applyFill="1" applyBorder="1" applyProtection="1"/>
    <xf numFmtId="3" fontId="6" fillId="39" borderId="273" xfId="4" applyNumberFormat="1" applyFont="1" applyFill="1" applyBorder="1"/>
    <xf numFmtId="10" fontId="6" fillId="39" borderId="273" xfId="48" applyNumberFormat="1" applyFont="1" applyFill="1" applyBorder="1"/>
    <xf numFmtId="0" fontId="33" fillId="39" borderId="273" xfId="4" applyFont="1" applyFill="1" applyBorder="1"/>
    <xf numFmtId="3" fontId="6" fillId="42" borderId="271" xfId="4" applyNumberFormat="1" applyFont="1" applyFill="1" applyBorder="1"/>
    <xf numFmtId="3" fontId="6" fillId="51" borderId="273" xfId="2" applyNumberFormat="1" applyFill="1" applyBorder="1"/>
    <xf numFmtId="3" fontId="6" fillId="60" borderId="272" xfId="2" applyNumberFormat="1" applyFill="1" applyBorder="1"/>
    <xf numFmtId="3" fontId="6" fillId="60" borderId="259" xfId="2" applyNumberFormat="1" applyFill="1" applyBorder="1"/>
    <xf numFmtId="167" fontId="44" fillId="39" borderId="273" xfId="9" applyNumberFormat="1" applyFont="1" applyFill="1" applyBorder="1" applyProtection="1"/>
    <xf numFmtId="3" fontId="44" fillId="38" borderId="273" xfId="9" applyNumberFormat="1" applyFont="1" applyFill="1" applyBorder="1" applyProtection="1"/>
    <xf numFmtId="0" fontId="6" fillId="42" borderId="273" xfId="4" applyFont="1" applyFill="1" applyBorder="1"/>
    <xf numFmtId="167" fontId="3" fillId="39" borderId="273" xfId="9" applyNumberFormat="1" applyFont="1" applyFill="1" applyBorder="1" applyProtection="1"/>
    <xf numFmtId="4" fontId="6" fillId="51" borderId="273" xfId="2" applyNumberFormat="1" applyFill="1" applyBorder="1"/>
    <xf numFmtId="0" fontId="6" fillId="39" borderId="273" xfId="4" applyFont="1" applyFill="1" applyBorder="1"/>
    <xf numFmtId="165" fontId="1" fillId="38" borderId="273" xfId="9" applyNumberFormat="1" applyFont="1" applyFill="1" applyBorder="1" applyProtection="1"/>
    <xf numFmtId="3" fontId="1" fillId="38" borderId="273" xfId="9" applyNumberFormat="1" applyFont="1" applyFill="1" applyBorder="1" applyProtection="1"/>
    <xf numFmtId="165" fontId="1" fillId="38" borderId="271" xfId="9" applyNumberFormat="1" applyFont="1" applyFill="1" applyBorder="1" applyProtection="1"/>
    <xf numFmtId="167" fontId="1" fillId="39" borderId="56" xfId="9" applyNumberFormat="1" applyFont="1" applyFill="1" applyBorder="1" applyProtection="1"/>
    <xf numFmtId="3" fontId="43" fillId="39" borderId="273" xfId="4" applyNumberFormat="1" applyFont="1" applyFill="1" applyBorder="1"/>
    <xf numFmtId="167" fontId="1" fillId="39" borderId="273" xfId="9" applyNumberFormat="1" applyFont="1" applyFill="1" applyBorder="1" applyProtection="1"/>
    <xf numFmtId="0" fontId="43" fillId="39" borderId="273" xfId="4" applyFont="1" applyFill="1" applyBorder="1"/>
    <xf numFmtId="3" fontId="43" fillId="39" borderId="59" xfId="4" applyNumberFormat="1" applyFont="1" applyFill="1" applyBorder="1"/>
    <xf numFmtId="3" fontId="43" fillId="40" borderId="259" xfId="4" applyNumberFormat="1" applyFont="1" applyFill="1" applyBorder="1"/>
    <xf numFmtId="3" fontId="43" fillId="38" borderId="56" xfId="4" applyNumberFormat="1" applyFont="1" applyFill="1" applyBorder="1"/>
    <xf numFmtId="3" fontId="43" fillId="41" borderId="273" xfId="4" applyNumberFormat="1" applyFont="1" applyFill="1" applyBorder="1"/>
    <xf numFmtId="0" fontId="43" fillId="42" borderId="273" xfId="4" applyFont="1" applyFill="1" applyBorder="1"/>
    <xf numFmtId="3" fontId="43" fillId="42" borderId="273" xfId="4" applyNumberFormat="1" applyFont="1" applyFill="1" applyBorder="1"/>
    <xf numFmtId="3" fontId="43" fillId="42" borderId="271" xfId="4" applyNumberFormat="1" applyFont="1" applyFill="1" applyBorder="1"/>
    <xf numFmtId="3" fontId="123" fillId="54" borderId="259" xfId="4" applyNumberFormat="1" applyFont="1" applyFill="1" applyBorder="1" applyAlignment="1">
      <alignment horizontal="center"/>
    </xf>
    <xf numFmtId="3" fontId="123" fillId="55" borderId="259" xfId="4" applyNumberFormat="1" applyFont="1" applyFill="1" applyBorder="1" applyAlignment="1">
      <alignment horizontal="center"/>
    </xf>
    <xf numFmtId="3" fontId="43" fillId="57" borderId="259" xfId="4" applyNumberFormat="1" applyFont="1" applyFill="1" applyBorder="1"/>
    <xf numFmtId="3" fontId="43" fillId="51" borderId="56" xfId="2" applyNumberFormat="1" applyFont="1" applyFill="1" applyBorder="1"/>
    <xf numFmtId="3" fontId="43" fillId="51" borderId="273" xfId="2" applyNumberFormat="1" applyFont="1" applyFill="1" applyBorder="1"/>
    <xf numFmtId="4" fontId="43" fillId="51" borderId="273" xfId="2" applyNumberFormat="1" applyFont="1" applyFill="1" applyBorder="1"/>
    <xf numFmtId="3" fontId="43" fillId="51" borderId="59" xfId="2" applyNumberFormat="1" applyFont="1" applyFill="1" applyBorder="1"/>
    <xf numFmtId="3" fontId="43" fillId="60" borderId="272" xfId="2" applyNumberFormat="1" applyFont="1" applyFill="1" applyBorder="1"/>
    <xf numFmtId="3" fontId="43" fillId="60" borderId="259" xfId="2" applyNumberFormat="1" applyFont="1" applyFill="1" applyBorder="1"/>
    <xf numFmtId="3" fontId="43" fillId="45" borderId="272" xfId="4" applyNumberFormat="1" applyFont="1" applyFill="1" applyBorder="1"/>
    <xf numFmtId="3" fontId="43" fillId="45" borderId="59" xfId="4" applyNumberFormat="1" applyFont="1" applyFill="1" applyBorder="1"/>
    <xf numFmtId="3" fontId="43" fillId="45" borderId="259" xfId="4" applyNumberFormat="1" applyFont="1" applyFill="1" applyBorder="1"/>
    <xf numFmtId="3" fontId="43" fillId="46" borderId="273" xfId="4" applyNumberFormat="1" applyFont="1" applyFill="1" applyBorder="1"/>
    <xf numFmtId="3" fontId="43" fillId="47" borderId="273" xfId="4" applyNumberFormat="1" applyFont="1" applyFill="1" applyBorder="1"/>
    <xf numFmtId="3" fontId="43" fillId="48" borderId="273" xfId="4" applyNumberFormat="1" applyFont="1" applyFill="1" applyBorder="1"/>
    <xf numFmtId="3" fontId="43" fillId="44" borderId="273" xfId="4" applyNumberFormat="1" applyFont="1" applyFill="1" applyBorder="1"/>
    <xf numFmtId="3" fontId="43" fillId="56" borderId="271" xfId="4" applyNumberFormat="1" applyFont="1" applyFill="1" applyBorder="1"/>
    <xf numFmtId="3" fontId="43" fillId="37" borderId="271" xfId="4" applyNumberFormat="1" applyFont="1" applyFill="1" applyBorder="1"/>
    <xf numFmtId="165" fontId="1" fillId="38" borderId="56" xfId="9" applyNumberFormat="1" applyFont="1" applyFill="1" applyBorder="1" applyProtection="1"/>
    <xf numFmtId="165" fontId="1" fillId="41" borderId="273" xfId="9" applyNumberFormat="1" applyFont="1" applyFill="1" applyBorder="1" applyProtection="1"/>
    <xf numFmtId="165" fontId="1" fillId="42" borderId="273" xfId="9" applyNumberFormat="1" applyFont="1" applyFill="1" applyBorder="1" applyProtection="1"/>
    <xf numFmtId="165" fontId="1" fillId="46" borderId="273" xfId="9" applyNumberFormat="1" applyFont="1" applyFill="1" applyBorder="1" applyProtection="1"/>
    <xf numFmtId="165" fontId="1" fillId="47" borderId="273" xfId="9" applyNumberFormat="1" applyFont="1" applyFill="1" applyBorder="1" applyProtection="1"/>
    <xf numFmtId="165" fontId="1" fillId="48" borderId="273" xfId="9" applyNumberFormat="1" applyFont="1" applyFill="1" applyBorder="1" applyProtection="1"/>
    <xf numFmtId="165" fontId="1" fillId="44" borderId="273" xfId="9" applyNumberFormat="1" applyFont="1" applyFill="1" applyBorder="1" applyProtection="1"/>
    <xf numFmtId="165" fontId="1" fillId="58" borderId="273" xfId="9" applyNumberFormat="1" applyFont="1" applyFill="1" applyBorder="1" applyProtection="1"/>
    <xf numFmtId="165" fontId="1" fillId="37" borderId="59" xfId="9" applyNumberFormat="1" applyFont="1" applyFill="1" applyBorder="1" applyProtection="1"/>
    <xf numFmtId="165" fontId="43" fillId="38" borderId="273" xfId="9" applyNumberFormat="1" applyFont="1" applyFill="1" applyBorder="1" applyProtection="1"/>
    <xf numFmtId="3" fontId="43" fillId="38" borderId="273" xfId="9" applyNumberFormat="1" applyFont="1" applyFill="1" applyBorder="1" applyProtection="1"/>
    <xf numFmtId="165" fontId="43" fillId="38" borderId="271" xfId="9" applyNumberFormat="1" applyFont="1" applyFill="1" applyBorder="1" applyProtection="1"/>
    <xf numFmtId="167" fontId="43" fillId="39" borderId="56" xfId="9" applyNumberFormat="1" applyFont="1" applyFill="1" applyBorder="1" applyProtection="1"/>
    <xf numFmtId="167" fontId="43" fillId="39" borderId="273" xfId="9" applyNumberFormat="1" applyFont="1" applyFill="1" applyBorder="1" applyProtection="1"/>
    <xf numFmtId="3" fontId="43" fillId="44" borderId="59" xfId="4" applyNumberFormat="1" applyFont="1" applyFill="1" applyBorder="1"/>
    <xf numFmtId="165" fontId="43" fillId="38" borderId="56" xfId="9" applyNumberFormat="1" applyFont="1" applyFill="1" applyBorder="1" applyProtection="1"/>
    <xf numFmtId="165" fontId="43" fillId="41" borderId="273" xfId="9" applyNumberFormat="1" applyFont="1" applyFill="1" applyBorder="1" applyProtection="1"/>
    <xf numFmtId="165" fontId="43" fillId="42" borderId="273" xfId="9" applyNumberFormat="1" applyFont="1" applyFill="1" applyBorder="1" applyProtection="1"/>
    <xf numFmtId="165" fontId="43" fillId="46" borderId="273" xfId="9" applyNumberFormat="1" applyFont="1" applyFill="1" applyBorder="1" applyProtection="1"/>
    <xf numFmtId="165" fontId="43" fillId="47" borderId="273" xfId="9" applyNumberFormat="1" applyFont="1" applyFill="1" applyBorder="1" applyProtection="1"/>
    <xf numFmtId="165" fontId="43" fillId="48" borderId="273" xfId="9" applyNumberFormat="1" applyFont="1" applyFill="1" applyBorder="1" applyProtection="1"/>
    <xf numFmtId="165" fontId="43" fillId="44" borderId="273" xfId="9" applyNumberFormat="1" applyFont="1" applyFill="1" applyBorder="1" applyProtection="1"/>
    <xf numFmtId="165" fontId="43" fillId="58" borderId="273" xfId="9" applyNumberFormat="1" applyFont="1" applyFill="1" applyBorder="1" applyProtection="1"/>
    <xf numFmtId="165" fontId="43" fillId="37" borderId="59" xfId="9" applyNumberFormat="1" applyFont="1" applyFill="1" applyBorder="1" applyProtection="1"/>
    <xf numFmtId="3" fontId="43" fillId="38" borderId="273" xfId="4" applyNumberFormat="1" applyFont="1" applyFill="1" applyBorder="1"/>
    <xf numFmtId="0" fontId="43" fillId="51" borderId="59" xfId="2" applyFont="1" applyFill="1" applyBorder="1"/>
    <xf numFmtId="2" fontId="43" fillId="43" borderId="273" xfId="4" applyNumberFormat="1" applyFont="1" applyFill="1" applyBorder="1"/>
    <xf numFmtId="3" fontId="43" fillId="59" borderId="273" xfId="2" applyNumberFormat="1" applyFont="1" applyFill="1" applyBorder="1"/>
    <xf numFmtId="0" fontId="43" fillId="43" borderId="59" xfId="4" applyFont="1" applyFill="1" applyBorder="1"/>
    <xf numFmtId="3" fontId="43" fillId="44" borderId="272" xfId="4" applyNumberFormat="1" applyFont="1" applyFill="1" applyBorder="1"/>
    <xf numFmtId="3" fontId="43" fillId="44" borderId="259" xfId="4" applyNumberFormat="1" applyFont="1" applyFill="1" applyBorder="1"/>
    <xf numFmtId="3" fontId="43" fillId="38" borderId="62" xfId="4" applyNumberFormat="1" applyFont="1" applyFill="1" applyBorder="1"/>
    <xf numFmtId="165" fontId="1" fillId="38" borderId="260" xfId="9" applyNumberFormat="1" applyFont="1" applyFill="1" applyBorder="1" applyProtection="1"/>
    <xf numFmtId="3" fontId="1" fillId="38" borderId="260" xfId="9" applyNumberFormat="1" applyFont="1" applyFill="1" applyBorder="1" applyProtection="1"/>
    <xf numFmtId="165" fontId="1" fillId="38" borderId="64" xfId="9" applyNumberFormat="1" applyFont="1" applyFill="1" applyBorder="1" applyProtection="1"/>
    <xf numFmtId="167" fontId="1" fillId="39" borderId="62" xfId="9" applyNumberFormat="1" applyFont="1" applyFill="1" applyBorder="1" applyProtection="1"/>
    <xf numFmtId="3" fontId="43" fillId="39" borderId="260" xfId="4" applyNumberFormat="1" applyFont="1" applyFill="1" applyBorder="1"/>
    <xf numFmtId="167" fontId="1" fillId="39" borderId="260" xfId="9" applyNumberFormat="1" applyFont="1" applyFill="1" applyBorder="1" applyProtection="1"/>
    <xf numFmtId="0" fontId="43" fillId="39" borderId="260" xfId="4" applyFont="1" applyFill="1" applyBorder="1"/>
    <xf numFmtId="3" fontId="43" fillId="39" borderId="5" xfId="4" applyNumberFormat="1" applyFont="1" applyFill="1" applyBorder="1"/>
    <xf numFmtId="3" fontId="43" fillId="41" borderId="260" xfId="4" applyNumberFormat="1" applyFont="1" applyFill="1" applyBorder="1"/>
    <xf numFmtId="0" fontId="43" fillId="42" borderId="260" xfId="4" applyFont="1" applyFill="1" applyBorder="1"/>
    <xf numFmtId="3" fontId="43" fillId="42" borderId="260" xfId="4" applyNumberFormat="1" applyFont="1" applyFill="1" applyBorder="1"/>
    <xf numFmtId="3" fontId="43" fillId="42" borderId="64" xfId="4" applyNumberFormat="1" applyFont="1" applyFill="1" applyBorder="1"/>
    <xf numFmtId="3" fontId="43" fillId="51" borderId="62" xfId="2" applyNumberFormat="1" applyFont="1" applyFill="1" applyBorder="1"/>
    <xf numFmtId="3" fontId="43" fillId="51" borderId="260" xfId="2" applyNumberFormat="1" applyFont="1" applyFill="1" applyBorder="1"/>
    <xf numFmtId="1" fontId="43" fillId="43" borderId="260" xfId="4" applyNumberFormat="1" applyFont="1" applyFill="1" applyBorder="1"/>
    <xf numFmtId="0" fontId="43" fillId="43" borderId="260" xfId="4" applyFont="1" applyFill="1" applyBorder="1"/>
    <xf numFmtId="3" fontId="43" fillId="59" borderId="260" xfId="2" applyNumberFormat="1" applyFont="1" applyFill="1" applyBorder="1"/>
    <xf numFmtId="0" fontId="43" fillId="43" borderId="5" xfId="4" applyFont="1" applyFill="1" applyBorder="1"/>
    <xf numFmtId="3" fontId="43" fillId="44" borderId="67" xfId="4" applyNumberFormat="1" applyFont="1" applyFill="1" applyBorder="1"/>
    <xf numFmtId="3" fontId="43" fillId="44" borderId="65" xfId="4" applyNumberFormat="1" applyFont="1" applyFill="1" applyBorder="1"/>
    <xf numFmtId="3" fontId="43" fillId="44" borderId="5" xfId="4" applyNumberFormat="1" applyFont="1" applyFill="1" applyBorder="1"/>
    <xf numFmtId="3" fontId="43" fillId="45" borderId="67" xfId="4" applyNumberFormat="1" applyFont="1" applyFill="1" applyBorder="1"/>
    <xf numFmtId="3" fontId="43" fillId="46" borderId="260" xfId="4" applyNumberFormat="1" applyFont="1" applyFill="1" applyBorder="1"/>
    <xf numFmtId="3" fontId="43" fillId="47" borderId="260" xfId="4" applyNumberFormat="1" applyFont="1" applyFill="1" applyBorder="1"/>
    <xf numFmtId="3" fontId="43" fillId="48" borderId="260" xfId="4" applyNumberFormat="1" applyFont="1" applyFill="1" applyBorder="1"/>
    <xf numFmtId="165" fontId="1" fillId="38" borderId="62" xfId="9" applyNumberFormat="1" applyFont="1" applyFill="1" applyBorder="1" applyProtection="1"/>
    <xf numFmtId="165" fontId="1" fillId="41" borderId="260" xfId="9" applyNumberFormat="1" applyFont="1" applyFill="1" applyBorder="1" applyProtection="1"/>
    <xf numFmtId="165" fontId="1" fillId="42" borderId="260" xfId="9" applyNumberFormat="1" applyFont="1" applyFill="1" applyBorder="1" applyProtection="1"/>
    <xf numFmtId="165" fontId="1" fillId="46" borderId="260" xfId="9" applyNumberFormat="1" applyFont="1" applyFill="1" applyBorder="1" applyProtection="1"/>
    <xf numFmtId="165" fontId="1" fillId="47" borderId="260" xfId="9" applyNumberFormat="1" applyFont="1" applyFill="1" applyBorder="1" applyProtection="1"/>
    <xf numFmtId="165" fontId="1" fillId="48" borderId="260" xfId="9" applyNumberFormat="1" applyFont="1" applyFill="1" applyBorder="1" applyProtection="1"/>
    <xf numFmtId="165" fontId="1" fillId="44" borderId="260" xfId="9" applyNumberFormat="1" applyFont="1" applyFill="1" applyBorder="1" applyProtection="1"/>
    <xf numFmtId="165" fontId="1" fillId="58" borderId="260" xfId="9" applyNumberFormat="1" applyFont="1" applyFill="1" applyBorder="1" applyProtection="1"/>
    <xf numFmtId="165" fontId="1" fillId="37" borderId="5" xfId="9" applyNumberFormat="1" applyFont="1" applyFill="1" applyBorder="1" applyProtection="1"/>
    <xf numFmtId="169" fontId="6" fillId="49" borderId="45" xfId="4" applyNumberFormat="1" applyFont="1" applyFill="1" applyBorder="1"/>
    <xf numFmtId="10" fontId="6" fillId="39" borderId="239" xfId="41" applyNumberFormat="1" applyFont="1" applyFill="1" applyBorder="1"/>
    <xf numFmtId="10" fontId="6" fillId="39" borderId="45" xfId="41" applyNumberFormat="1" applyFont="1" applyFill="1" applyBorder="1"/>
    <xf numFmtId="10" fontId="44" fillId="39" borderId="45" xfId="41" applyNumberFormat="1" applyFont="1" applyFill="1" applyBorder="1" applyProtection="1"/>
    <xf numFmtId="3" fontId="6" fillId="61" borderId="18" xfId="4" applyNumberFormat="1" applyFont="1" applyFill="1" applyBorder="1" applyAlignment="1">
      <alignment vertical="center" wrapText="1"/>
    </xf>
    <xf numFmtId="0" fontId="6" fillId="61" borderId="33" xfId="4" applyFont="1" applyFill="1" applyBorder="1" applyAlignment="1">
      <alignment horizontal="center"/>
    </xf>
    <xf numFmtId="3" fontId="6" fillId="62" borderId="33" xfId="4" applyNumberFormat="1" applyFont="1" applyFill="1" applyBorder="1" applyAlignment="1">
      <alignment vertical="center" wrapText="1"/>
    </xf>
    <xf numFmtId="3" fontId="6" fillId="62" borderId="18" xfId="4" applyNumberFormat="1" applyFont="1" applyFill="1" applyBorder="1" applyAlignment="1">
      <alignment vertical="center" wrapText="1"/>
    </xf>
    <xf numFmtId="2" fontId="6" fillId="62" borderId="18" xfId="4" applyNumberFormat="1" applyFont="1" applyFill="1" applyBorder="1" applyAlignment="1">
      <alignment horizontal="center"/>
    </xf>
    <xf numFmtId="2" fontId="6" fillId="0" borderId="0" xfId="4" applyNumberFormat="1" applyFont="1" applyAlignment="1">
      <alignment horizontal="center"/>
    </xf>
    <xf numFmtId="0" fontId="6" fillId="63" borderId="33" xfId="4" applyFont="1" applyFill="1" applyBorder="1" applyAlignment="1">
      <alignment horizontal="left" vertical="center" wrapText="1"/>
    </xf>
    <xf numFmtId="0" fontId="6" fillId="64" borderId="33" xfId="4" applyFont="1" applyFill="1" applyBorder="1" applyAlignment="1">
      <alignment vertical="center" wrapText="1"/>
    </xf>
    <xf numFmtId="2" fontId="6" fillId="64" borderId="33" xfId="4" applyNumberFormat="1" applyFont="1" applyFill="1" applyBorder="1" applyAlignment="1">
      <alignment horizontal="center"/>
    </xf>
    <xf numFmtId="0" fontId="6" fillId="63" borderId="33" xfId="4" applyFont="1" applyFill="1" applyBorder="1" applyAlignment="1">
      <alignment wrapText="1"/>
    </xf>
    <xf numFmtId="0" fontId="6" fillId="63" borderId="33" xfId="4" applyFont="1" applyFill="1" applyBorder="1" applyAlignment="1">
      <alignment horizontal="right" wrapText="1"/>
    </xf>
    <xf numFmtId="172" fontId="6" fillId="0" borderId="33" xfId="4" applyNumberFormat="1" applyFont="1" applyBorder="1"/>
    <xf numFmtId="0" fontId="6" fillId="0" borderId="33" xfId="4" applyFont="1" applyBorder="1" applyAlignment="1">
      <alignment horizontal="right"/>
    </xf>
    <xf numFmtId="3" fontId="6" fillId="0" borderId="0" xfId="2" applyNumberFormat="1" applyFont="1"/>
    <xf numFmtId="0" fontId="6" fillId="0" borderId="0" xfId="2" applyFont="1"/>
    <xf numFmtId="0" fontId="170" fillId="98" borderId="276" xfId="45" applyFont="1" applyFill="1" applyBorder="1" applyAlignment="1">
      <alignment wrapText="1"/>
    </xf>
    <xf numFmtId="0" fontId="172" fillId="0" borderId="277" xfId="50" applyFont="1" applyBorder="1" applyAlignment="1">
      <alignment horizontal="center" vertical="center" wrapText="1"/>
    </xf>
    <xf numFmtId="14" fontId="173" fillId="0" borderId="278" xfId="50" applyNumberFormat="1" applyFont="1" applyBorder="1" applyAlignment="1">
      <alignment vertical="center" wrapText="1"/>
    </xf>
    <xf numFmtId="0" fontId="174" fillId="0" borderId="279" xfId="50" applyFont="1" applyBorder="1" applyAlignment="1">
      <alignment horizontal="left" indent="1"/>
    </xf>
    <xf numFmtId="0" fontId="174" fillId="0" borderId="280" xfId="50" applyFont="1" applyBorder="1" applyAlignment="1">
      <alignment horizontal="left" indent="1"/>
    </xf>
    <xf numFmtId="0" fontId="174" fillId="0" borderId="281" xfId="50" applyFont="1" applyBorder="1" applyAlignment="1">
      <alignment horizontal="left" indent="1"/>
    </xf>
    <xf numFmtId="0" fontId="51" fillId="2" borderId="267" xfId="27" applyFont="1" applyFill="1" applyBorder="1"/>
    <xf numFmtId="0" fontId="175" fillId="98" borderId="0" xfId="45" applyFont="1" applyFill="1" applyAlignment="1">
      <alignment horizontal="left" indent="1"/>
    </xf>
    <xf numFmtId="0" fontId="175" fillId="0" borderId="284" xfId="50" applyFont="1" applyBorder="1" applyAlignment="1">
      <alignment horizontal="left" indent="1"/>
    </xf>
    <xf numFmtId="0" fontId="175" fillId="0" borderId="283" xfId="50" applyFont="1" applyBorder="1" applyAlignment="1">
      <alignment horizontal="left" indent="1"/>
    </xf>
    <xf numFmtId="0" fontId="178" fillId="0" borderId="285" xfId="0" applyFont="1" applyBorder="1" applyAlignment="1">
      <alignment horizontal="left" indent="1"/>
    </xf>
    <xf numFmtId="0" fontId="67" fillId="98" borderId="0" xfId="0" applyFont="1" applyFill="1" applyAlignment="1">
      <alignment horizontal="left" indent="1"/>
    </xf>
    <xf numFmtId="0" fontId="178" fillId="0" borderId="286" xfId="0" applyFont="1" applyBorder="1" applyAlignment="1">
      <alignment horizontal="center" vertical="center" wrapText="1"/>
    </xf>
    <xf numFmtId="3" fontId="179" fillId="0" borderId="288" xfId="0" applyNumberFormat="1" applyFont="1" applyBorder="1" applyAlignment="1">
      <alignment horizontal="right" vertical="center" indent="1"/>
    </xf>
    <xf numFmtId="3" fontId="174" fillId="0" borderId="289" xfId="0" applyNumberFormat="1" applyFont="1" applyBorder="1" applyAlignment="1">
      <alignment horizontal="right" vertical="center" indent="1"/>
    </xf>
    <xf numFmtId="3" fontId="179" fillId="0" borderId="289" xfId="0" applyNumberFormat="1" applyFont="1" applyBorder="1" applyAlignment="1">
      <alignment horizontal="right" vertical="center" indent="1"/>
    </xf>
    <xf numFmtId="0" fontId="10" fillId="0" borderId="87" xfId="27" applyBorder="1" applyAlignment="1">
      <alignment vertical="center"/>
    </xf>
    <xf numFmtId="0" fontId="175" fillId="0" borderId="284" xfId="50" applyFont="1" applyBorder="1" applyAlignment="1">
      <alignment horizontal="left" vertical="center"/>
    </xf>
    <xf numFmtId="0" fontId="10" fillId="0" borderId="290" xfId="27" applyBorder="1"/>
    <xf numFmtId="0" fontId="56" fillId="0" borderId="267" xfId="27" applyFont="1" applyBorder="1" applyAlignment="1">
      <alignment vertical="center"/>
    </xf>
    <xf numFmtId="0" fontId="174" fillId="0" borderId="287" xfId="0" applyFont="1" applyBorder="1" applyAlignment="1">
      <alignment horizontal="left" vertical="center" wrapText="1" indent="1"/>
    </xf>
    <xf numFmtId="0" fontId="175" fillId="0" borderId="282" xfId="50" applyFont="1" applyBorder="1" applyAlignment="1">
      <alignment horizontal="left" vertical="center" indent="1"/>
    </xf>
    <xf numFmtId="0" fontId="175" fillId="98" borderId="0" xfId="45" applyFont="1" applyFill="1" applyAlignment="1">
      <alignment horizontal="left" vertical="center" indent="1"/>
    </xf>
    <xf numFmtId="0" fontId="179" fillId="0" borderId="287" xfId="0" applyFont="1" applyBorder="1" applyAlignment="1">
      <alignment horizontal="left" vertical="center" wrapText="1" indent="1"/>
    </xf>
    <xf numFmtId="0" fontId="174" fillId="0" borderId="287" xfId="0" applyFont="1" applyBorder="1" applyAlignment="1">
      <alignment horizontal="left" vertical="center" wrapText="1" indent="4"/>
    </xf>
    <xf numFmtId="0" fontId="178" fillId="0" borderId="291" xfId="0" applyFont="1" applyBorder="1" applyAlignment="1">
      <alignment horizontal="center" vertical="center" wrapText="1"/>
    </xf>
    <xf numFmtId="0" fontId="178" fillId="0" borderId="293" xfId="0" applyFont="1" applyBorder="1" applyAlignment="1">
      <alignment horizontal="center" vertical="center" wrapText="1"/>
    </xf>
    <xf numFmtId="2" fontId="53" fillId="2" borderId="294" xfId="27" applyNumberFormat="1" applyFont="1" applyFill="1" applyBorder="1" applyAlignment="1">
      <alignment vertical="center"/>
    </xf>
    <xf numFmtId="2" fontId="53" fillId="2" borderId="295" xfId="27" applyNumberFormat="1" applyFont="1" applyFill="1" applyBorder="1" applyAlignment="1">
      <alignment vertical="center"/>
    </xf>
    <xf numFmtId="2" fontId="53" fillId="2" borderId="296" xfId="27" applyNumberFormat="1" applyFont="1" applyFill="1" applyBorder="1" applyAlignment="1">
      <alignment vertical="center"/>
    </xf>
    <xf numFmtId="0" fontId="0" fillId="98" borderId="0" xfId="0" applyFill="1"/>
    <xf numFmtId="0" fontId="178" fillId="0" borderId="285" xfId="0" applyFont="1" applyBorder="1" applyAlignment="1">
      <alignment horizontal="left"/>
    </xf>
    <xf numFmtId="0" fontId="63" fillId="0" borderId="268" xfId="27" applyFont="1" applyBorder="1"/>
    <xf numFmtId="0" fontId="63" fillId="0" borderId="267" xfId="27" applyFont="1" applyBorder="1"/>
    <xf numFmtId="0" fontId="180" fillId="2" borderId="0" xfId="27" applyFont="1" applyFill="1" applyAlignment="1">
      <alignment horizontal="center" vertical="center" wrapText="1"/>
    </xf>
    <xf numFmtId="0" fontId="181" fillId="2" borderId="0" xfId="27" applyFont="1" applyFill="1" applyAlignment="1">
      <alignment horizontal="center" vertical="center" wrapText="1"/>
    </xf>
    <xf numFmtId="0" fontId="6" fillId="0" borderId="268" xfId="27" applyFont="1" applyBorder="1"/>
    <xf numFmtId="3" fontId="179" fillId="0" borderId="288" xfId="0" applyNumberFormat="1" applyFont="1" applyBorder="1" applyAlignment="1">
      <alignment horizontal="center" vertical="center"/>
    </xf>
    <xf numFmtId="0" fontId="178" fillId="0" borderId="289" xfId="0" applyFont="1" applyBorder="1" applyAlignment="1">
      <alignment horizontal="center" vertical="center" wrapText="1"/>
    </xf>
    <xf numFmtId="0" fontId="10" fillId="0" borderId="297" xfId="27" applyBorder="1"/>
    <xf numFmtId="0" fontId="10" fillId="0" borderId="298" xfId="27" applyBorder="1"/>
    <xf numFmtId="2" fontId="64" fillId="0" borderId="301" xfId="27" applyNumberFormat="1" applyFont="1" applyFill="1" applyBorder="1" applyAlignment="1">
      <alignment horizontal="center" vertical="center" wrapText="1"/>
    </xf>
    <xf numFmtId="0" fontId="181" fillId="2" borderId="302" xfId="27" applyFont="1" applyFill="1" applyBorder="1" applyAlignment="1">
      <alignment horizontal="center" vertical="center" wrapText="1"/>
    </xf>
    <xf numFmtId="0" fontId="10" fillId="0" borderId="299" xfId="27" applyBorder="1"/>
    <xf numFmtId="2" fontId="182" fillId="0" borderId="301" xfId="27" applyNumberFormat="1" applyFont="1" applyFill="1" applyBorder="1" applyAlignment="1">
      <alignment horizontal="center" vertical="center" wrapText="1"/>
    </xf>
    <xf numFmtId="0" fontId="6" fillId="0" borderId="297" xfId="27" applyFont="1" applyBorder="1"/>
    <xf numFmtId="0" fontId="6" fillId="0" borderId="299" xfId="27" applyFont="1" applyBorder="1"/>
    <xf numFmtId="0" fontId="6" fillId="0" borderId="298" xfId="27" applyFont="1" applyBorder="1"/>
    <xf numFmtId="2" fontId="178" fillId="0" borderId="300" xfId="27" applyNumberFormat="1" applyFont="1" applyFill="1" applyBorder="1" applyAlignment="1">
      <alignment horizontal="left" vertical="center" indent="3"/>
    </xf>
    <xf numFmtId="2" fontId="59" fillId="0" borderId="304" xfId="27" applyNumberFormat="1" applyFont="1" applyBorder="1" applyAlignment="1">
      <alignment horizontal="center" vertical="center"/>
    </xf>
    <xf numFmtId="3" fontId="67" fillId="0" borderId="303" xfId="27" applyNumberFormat="1" applyFont="1" applyBorder="1" applyAlignment="1">
      <alignment horizontal="center" vertical="center"/>
    </xf>
    <xf numFmtId="3" fontId="174" fillId="0" borderId="305" xfId="27" applyNumberFormat="1" applyFont="1" applyBorder="1" applyAlignment="1">
      <alignment horizontal="right" vertical="center"/>
    </xf>
    <xf numFmtId="3" fontId="68" fillId="0" borderId="305" xfId="27" applyNumberFormat="1" applyFont="1" applyBorder="1" applyAlignment="1">
      <alignment horizontal="center" vertical="center"/>
    </xf>
    <xf numFmtId="3" fontId="67" fillId="0" borderId="305" xfId="27" applyNumberFormat="1" applyFont="1" applyBorder="1" applyAlignment="1">
      <alignment horizontal="center" vertical="center"/>
    </xf>
    <xf numFmtId="2" fontId="174" fillId="0" borderId="306" xfId="27" applyNumberFormat="1" applyFont="1" applyBorder="1" applyAlignment="1">
      <alignment horizontal="center" vertical="center"/>
    </xf>
    <xf numFmtId="2" fontId="179" fillId="0" borderId="306" xfId="27" applyNumberFormat="1" applyFont="1" applyBorder="1" applyAlignment="1">
      <alignment horizontal="center" vertical="center"/>
    </xf>
    <xf numFmtId="2" fontId="179" fillId="0" borderId="307" xfId="27" applyNumberFormat="1" applyFont="1" applyBorder="1" applyAlignment="1">
      <alignment horizontal="center" vertical="center"/>
    </xf>
    <xf numFmtId="2" fontId="174" fillId="0" borderId="308" xfId="27" applyNumberFormat="1" applyFont="1" applyBorder="1" applyAlignment="1">
      <alignment horizontal="center" vertical="center"/>
    </xf>
    <xf numFmtId="2" fontId="179" fillId="0" borderId="308" xfId="27" applyNumberFormat="1" applyFont="1" applyBorder="1" applyAlignment="1">
      <alignment horizontal="center" vertical="center"/>
    </xf>
    <xf numFmtId="2" fontId="174" fillId="0" borderId="305" xfId="27" applyNumberFormat="1" applyFont="1" applyBorder="1" applyAlignment="1">
      <alignment horizontal="center" vertical="center"/>
    </xf>
    <xf numFmtId="2" fontId="174" fillId="0" borderId="308" xfId="27" applyNumberFormat="1" applyFont="1" applyBorder="1" applyAlignment="1">
      <alignment horizontal="left" vertical="center" indent="1"/>
    </xf>
    <xf numFmtId="3" fontId="67" fillId="0" borderId="309" xfId="27" applyNumberFormat="1" applyFont="1" applyBorder="1" applyAlignment="1">
      <alignment horizontal="center" vertical="center"/>
    </xf>
    <xf numFmtId="3" fontId="66" fillId="0" borderId="310" xfId="27" applyNumberFormat="1" applyFont="1" applyBorder="1" applyAlignment="1">
      <alignment horizontal="right" vertical="center"/>
    </xf>
    <xf numFmtId="3" fontId="68" fillId="0" borderId="310" xfId="27" applyNumberFormat="1" applyFont="1" applyBorder="1" applyAlignment="1">
      <alignment horizontal="center" vertical="center"/>
    </xf>
    <xf numFmtId="3" fontId="67" fillId="0" borderId="310" xfId="27" applyNumberFormat="1" applyFont="1" applyBorder="1" applyAlignment="1">
      <alignment horizontal="center" vertical="center"/>
    </xf>
    <xf numFmtId="3" fontId="66" fillId="0" borderId="305" xfId="27" applyNumberFormat="1" applyFont="1" applyBorder="1" applyAlignment="1">
      <alignment horizontal="right" vertical="center"/>
    </xf>
    <xf numFmtId="3" fontId="66" fillId="0" borderId="305" xfId="27" applyNumberFormat="1" applyFont="1" applyBorder="1" applyAlignment="1">
      <alignment horizontal="center" vertical="center"/>
    </xf>
    <xf numFmtId="2" fontId="179" fillId="0" borderId="308" xfId="27" applyNumberFormat="1" applyFont="1" applyBorder="1" applyAlignment="1">
      <alignment horizontal="center" vertical="center" wrapText="1"/>
    </xf>
    <xf numFmtId="0" fontId="65" fillId="0" borderId="88" xfId="27" applyFont="1" applyBorder="1" applyAlignment="1">
      <alignment horizontal="center"/>
    </xf>
    <xf numFmtId="0" fontId="33" fillId="0" borderId="88" xfId="27" applyFont="1" applyBorder="1" applyAlignment="1">
      <alignment horizontal="center"/>
    </xf>
    <xf numFmtId="0" fontId="6" fillId="0" borderId="290" xfId="27" applyFont="1" applyBorder="1"/>
    <xf numFmtId="2" fontId="179" fillId="0" borderId="308" xfId="27" applyNumberFormat="1" applyFont="1" applyBorder="1" applyAlignment="1">
      <alignment horizontal="left" vertical="center" indent="1"/>
    </xf>
    <xf numFmtId="2" fontId="179" fillId="0" borderId="311" xfId="27" applyNumberFormat="1" applyFont="1" applyBorder="1" applyAlignment="1">
      <alignment horizontal="center" vertical="center"/>
    </xf>
    <xf numFmtId="2" fontId="174" fillId="0" borderId="311" xfId="27" applyNumberFormat="1" applyFont="1" applyBorder="1" applyAlignment="1">
      <alignment horizontal="left" vertical="center" indent="1"/>
    </xf>
    <xf numFmtId="3" fontId="174" fillId="0" borderId="310" xfId="27" applyNumberFormat="1" applyFont="1" applyBorder="1" applyAlignment="1">
      <alignment horizontal="right" vertical="center"/>
    </xf>
    <xf numFmtId="3" fontId="179" fillId="0" borderId="303" xfId="27" applyNumberFormat="1" applyFont="1" applyBorder="1" applyAlignment="1">
      <alignment horizontal="center" vertical="center"/>
    </xf>
    <xf numFmtId="3" fontId="179" fillId="0" borderId="309" xfId="27" applyNumberFormat="1" applyFont="1" applyBorder="1" applyAlignment="1">
      <alignment horizontal="center" vertical="center"/>
    </xf>
    <xf numFmtId="3" fontId="183" fillId="0" borderId="305" xfId="27" applyNumberFormat="1" applyFont="1" applyBorder="1" applyAlignment="1">
      <alignment horizontal="center" vertical="center"/>
    </xf>
    <xf numFmtId="3" fontId="174" fillId="0" borderId="305" xfId="27" applyNumberFormat="1" applyFont="1" applyBorder="1" applyAlignment="1">
      <alignment horizontal="center" vertical="center"/>
    </xf>
    <xf numFmtId="3" fontId="179" fillId="0" borderId="305" xfId="27" applyNumberFormat="1" applyFont="1" applyBorder="1" applyAlignment="1">
      <alignment horizontal="center" vertical="center"/>
    </xf>
    <xf numFmtId="3" fontId="184" fillId="0" borderId="289" xfId="0" applyNumberFormat="1" applyFont="1" applyBorder="1" applyAlignment="1">
      <alignment horizontal="right" vertical="center" indent="1"/>
    </xf>
    <xf numFmtId="0" fontId="175" fillId="0" borderId="267" xfId="50" applyFont="1" applyBorder="1" applyAlignment="1">
      <alignment horizontal="left" indent="1"/>
    </xf>
    <xf numFmtId="0" fontId="71" fillId="0" borderId="268" xfId="27" applyFont="1" applyBorder="1" applyAlignment="1">
      <alignment horizontal="left" vertical="center"/>
    </xf>
    <xf numFmtId="0" fontId="33" fillId="0" borderId="268" xfId="27" applyFont="1" applyBorder="1"/>
    <xf numFmtId="0" fontId="56" fillId="0" borderId="267" xfId="27" applyFont="1" applyBorder="1"/>
    <xf numFmtId="0" fontId="33" fillId="0" borderId="267" xfId="27" applyFont="1" applyBorder="1"/>
    <xf numFmtId="169" fontId="179" fillId="0" borderId="288" xfId="0" applyNumberFormat="1" applyFont="1" applyBorder="1" applyAlignment="1">
      <alignment horizontal="right" vertical="center" indent="1"/>
    </xf>
    <xf numFmtId="169" fontId="174" fillId="0" borderId="289" xfId="0" applyNumberFormat="1" applyFont="1" applyBorder="1" applyAlignment="1">
      <alignment horizontal="right" vertical="center" indent="1"/>
    </xf>
    <xf numFmtId="171" fontId="179" fillId="0" borderId="288" xfId="0" applyNumberFormat="1" applyFont="1" applyBorder="1" applyAlignment="1">
      <alignment horizontal="right" vertical="center" indent="1"/>
    </xf>
    <xf numFmtId="171" fontId="174" fillId="0" borderId="289" xfId="0" applyNumberFormat="1" applyFont="1" applyBorder="1" applyAlignment="1">
      <alignment horizontal="right" vertical="center" indent="1"/>
    </xf>
    <xf numFmtId="171" fontId="179" fillId="0" borderId="289" xfId="0" applyNumberFormat="1" applyFont="1" applyBorder="1" applyAlignment="1">
      <alignment horizontal="right" vertical="center" indent="1"/>
    </xf>
    <xf numFmtId="171" fontId="179" fillId="0" borderId="312" xfId="0" applyNumberFormat="1" applyFont="1" applyBorder="1" applyAlignment="1">
      <alignment horizontal="right" vertical="center" indent="1"/>
    </xf>
    <xf numFmtId="169" fontId="174" fillId="0" borderId="305" xfId="27" applyNumberFormat="1" applyFont="1" applyBorder="1" applyAlignment="1">
      <alignment horizontal="right" vertical="center"/>
    </xf>
    <xf numFmtId="0" fontId="174" fillId="0" borderId="87" xfId="27" applyFont="1" applyBorder="1"/>
    <xf numFmtId="169" fontId="174" fillId="0" borderId="310" xfId="27" applyNumberFormat="1" applyFont="1" applyBorder="1" applyAlignment="1">
      <alignment horizontal="right" vertical="center"/>
    </xf>
    <xf numFmtId="169" fontId="179" fillId="0" borderId="289" xfId="0" applyNumberFormat="1" applyFont="1" applyBorder="1" applyAlignment="1">
      <alignment horizontal="right" vertical="center" indent="1"/>
    </xf>
    <xf numFmtId="169" fontId="179" fillId="0" borderId="305" xfId="27" applyNumberFormat="1" applyFont="1" applyBorder="1" applyAlignment="1">
      <alignment horizontal="center" vertical="center"/>
    </xf>
    <xf numFmtId="169" fontId="179" fillId="0" borderId="310" xfId="27" applyNumberFormat="1" applyFont="1" applyBorder="1" applyAlignment="1">
      <alignment horizontal="center" vertical="center"/>
    </xf>
    <xf numFmtId="169" fontId="184" fillId="0" borderId="289" xfId="0" applyNumberFormat="1" applyFont="1" applyBorder="1" applyAlignment="1">
      <alignment horizontal="right" vertical="center" indent="1"/>
    </xf>
    <xf numFmtId="0" fontId="181" fillId="2" borderId="292" xfId="27" applyFont="1" applyFill="1" applyBorder="1" applyAlignment="1">
      <alignment horizontal="center" vertical="center" wrapText="1"/>
    </xf>
    <xf numFmtId="0" fontId="178" fillId="0" borderId="313" xfId="0" applyFont="1" applyBorder="1" applyAlignment="1">
      <alignment horizontal="center" vertical="center" wrapText="1"/>
    </xf>
    <xf numFmtId="3" fontId="185" fillId="0" borderId="305" xfId="27" applyNumberFormat="1" applyFont="1" applyBorder="1" applyAlignment="1">
      <alignment horizontal="center" vertical="center"/>
    </xf>
    <xf numFmtId="3" fontId="185" fillId="0" borderId="314" xfId="27" applyNumberFormat="1" applyFont="1" applyBorder="1" applyAlignment="1">
      <alignment horizontal="center" vertical="center"/>
    </xf>
    <xf numFmtId="3" fontId="174" fillId="0" borderId="314" xfId="27" applyNumberFormat="1" applyFont="1" applyBorder="1" applyAlignment="1">
      <alignment horizontal="center" vertical="center"/>
    </xf>
    <xf numFmtId="0" fontId="10" fillId="0" borderId="248" xfId="27" applyBorder="1"/>
    <xf numFmtId="0" fontId="10" fillId="0" borderId="248" xfId="15" applyBorder="1"/>
    <xf numFmtId="2" fontId="174" fillId="0" borderId="308" xfId="27" applyNumberFormat="1" applyFont="1" applyBorder="1" applyAlignment="1">
      <alignment horizontal="left" vertical="center" wrapText="1" indent="1"/>
    </xf>
    <xf numFmtId="2" fontId="174" fillId="0" borderId="311" xfId="27" applyNumberFormat="1" applyFont="1" applyBorder="1" applyAlignment="1">
      <alignment horizontal="left" vertical="center" wrapText="1" indent="1"/>
    </xf>
    <xf numFmtId="0" fontId="56" fillId="0" borderId="0" xfId="27" applyFont="1" applyBorder="1"/>
    <xf numFmtId="0" fontId="186" fillId="0" borderId="285" xfId="0" applyFont="1" applyBorder="1" applyAlignment="1">
      <alignment horizontal="left" indent="1"/>
    </xf>
    <xf numFmtId="0" fontId="10" fillId="0" borderId="315" xfId="27" applyBorder="1"/>
    <xf numFmtId="0" fontId="187" fillId="0" borderId="316" xfId="2" applyFont="1" applyBorder="1" applyAlignment="1">
      <alignment horizontal="center" vertical="center" wrapText="1"/>
    </xf>
    <xf numFmtId="0" fontId="6" fillId="0" borderId="87" xfId="27" applyFont="1" applyBorder="1" applyAlignment="1">
      <alignment vertical="center"/>
    </xf>
    <xf numFmtId="0" fontId="176" fillId="0" borderId="286" xfId="0" applyFont="1" applyBorder="1" applyAlignment="1">
      <alignment horizontal="center" vertical="center" wrapText="1"/>
    </xf>
    <xf numFmtId="0" fontId="59" fillId="0" borderId="87" xfId="27" applyFont="1" applyBorder="1"/>
    <xf numFmtId="3" fontId="187" fillId="0" borderId="319" xfId="2" applyNumberFormat="1" applyFont="1" applyBorder="1" applyAlignment="1" applyProtection="1">
      <alignment horizontal="right" vertical="center"/>
      <protection locked="0"/>
    </xf>
    <xf numFmtId="3" fontId="188" fillId="0" borderId="320" xfId="2" applyNumberFormat="1" applyFont="1" applyBorder="1" applyAlignment="1" applyProtection="1">
      <alignment horizontal="right" vertical="center"/>
      <protection locked="0"/>
    </xf>
    <xf numFmtId="3" fontId="188" fillId="0" borderId="321" xfId="2" applyNumberFormat="1" applyFont="1" applyBorder="1" applyAlignment="1" applyProtection="1">
      <alignment horizontal="right" vertical="center"/>
      <protection locked="0"/>
    </xf>
    <xf numFmtId="3" fontId="188" fillId="0" borderId="322" xfId="2" applyNumberFormat="1" applyFont="1" applyBorder="1" applyAlignment="1" applyProtection="1">
      <alignment horizontal="right" vertical="center"/>
      <protection locked="0"/>
    </xf>
    <xf numFmtId="3" fontId="188" fillId="0" borderId="317" xfId="2" applyNumberFormat="1" applyFont="1" applyBorder="1" applyAlignment="1" applyProtection="1">
      <alignment horizontal="right" vertical="center"/>
      <protection locked="0"/>
    </xf>
    <xf numFmtId="3" fontId="188" fillId="0" borderId="323" xfId="2" applyNumberFormat="1" applyFont="1" applyBorder="1" applyAlignment="1" applyProtection="1">
      <alignment horizontal="right" vertical="center"/>
      <protection locked="0"/>
    </xf>
    <xf numFmtId="3" fontId="188" fillId="0" borderId="324" xfId="2" applyNumberFormat="1" applyFont="1" applyBorder="1" applyAlignment="1" applyProtection="1">
      <alignment horizontal="right" vertical="center"/>
      <protection locked="0"/>
    </xf>
    <xf numFmtId="165" fontId="188" fillId="0" borderId="325" xfId="2" applyNumberFormat="1" applyFont="1" applyBorder="1" applyAlignment="1" applyProtection="1">
      <alignment horizontal="right" vertical="center"/>
      <protection locked="0"/>
    </xf>
    <xf numFmtId="165" fontId="188" fillId="0" borderId="326" xfId="2" applyNumberFormat="1" applyFont="1" applyBorder="1" applyAlignment="1" applyProtection="1">
      <alignment horizontal="right" vertical="center"/>
      <protection locked="0"/>
    </xf>
    <xf numFmtId="165" fontId="188" fillId="0" borderId="327" xfId="2" applyNumberFormat="1" applyFont="1" applyBorder="1" applyAlignment="1" applyProtection="1">
      <alignment horizontal="right" vertical="center"/>
      <protection locked="0"/>
    </xf>
    <xf numFmtId="165" fontId="188" fillId="0" borderId="328" xfId="2" applyNumberFormat="1" applyFont="1" applyBorder="1" applyAlignment="1" applyProtection="1">
      <alignment horizontal="right" vertical="center"/>
      <protection locked="0"/>
    </xf>
    <xf numFmtId="165" fontId="188" fillId="0" borderId="321" xfId="41" applyNumberFormat="1" applyFont="1" applyFill="1" applyBorder="1" applyAlignment="1" applyProtection="1">
      <alignment horizontal="right" vertical="center"/>
      <protection locked="0"/>
    </xf>
    <xf numFmtId="165" fontId="188" fillId="0" borderId="322" xfId="41" applyNumberFormat="1" applyFont="1" applyFill="1" applyBorder="1" applyAlignment="1" applyProtection="1">
      <alignment horizontal="right" vertical="center"/>
      <protection locked="0"/>
    </xf>
    <xf numFmtId="165" fontId="188" fillId="0" borderId="324" xfId="41" applyNumberFormat="1" applyFont="1" applyFill="1" applyBorder="1" applyAlignment="1" applyProtection="1">
      <alignment horizontal="right" vertical="center"/>
      <protection locked="0"/>
    </xf>
    <xf numFmtId="3" fontId="188" fillId="0" borderId="319" xfId="2" applyNumberFormat="1" applyFont="1" applyBorder="1" applyAlignment="1" applyProtection="1">
      <alignment horizontal="right" vertical="center"/>
      <protection locked="0"/>
    </xf>
    <xf numFmtId="3" fontId="187" fillId="0" borderId="329" xfId="2" applyNumberFormat="1" applyFont="1" applyBorder="1" applyAlignment="1">
      <alignment horizontal="right" vertical="center"/>
    </xf>
    <xf numFmtId="3" fontId="188" fillId="0" borderId="330" xfId="2" applyNumberFormat="1" applyFont="1" applyBorder="1" applyAlignment="1">
      <alignment horizontal="right" vertical="center"/>
    </xf>
    <xf numFmtId="3" fontId="188" fillId="0" borderId="331" xfId="2" applyNumberFormat="1" applyFont="1" applyBorder="1" applyAlignment="1">
      <alignment horizontal="right" vertical="center"/>
    </xf>
    <xf numFmtId="3" fontId="188" fillId="0" borderId="332" xfId="2" applyNumberFormat="1" applyFont="1" applyBorder="1" applyAlignment="1">
      <alignment horizontal="right" vertical="center"/>
    </xf>
    <xf numFmtId="3" fontId="188" fillId="0" borderId="306" xfId="2" applyNumberFormat="1" applyFont="1" applyBorder="1" applyAlignment="1">
      <alignment horizontal="right" vertical="center"/>
    </xf>
    <xf numFmtId="3" fontId="188" fillId="0" borderId="329" xfId="2" applyNumberFormat="1" applyFont="1" applyBorder="1" applyAlignment="1">
      <alignment horizontal="right" vertical="center"/>
    </xf>
    <xf numFmtId="3" fontId="188" fillId="0" borderId="333" xfId="2" applyNumberFormat="1" applyFont="1" applyBorder="1" applyAlignment="1">
      <alignment horizontal="right" vertical="center"/>
    </xf>
    <xf numFmtId="165" fontId="188" fillId="0" borderId="310" xfId="2" applyNumberFormat="1" applyFont="1" applyBorder="1" applyAlignment="1">
      <alignment horizontal="right" vertical="center"/>
    </xf>
    <xf numFmtId="165" fontId="188" fillId="0" borderId="334" xfId="2" applyNumberFormat="1" applyFont="1" applyBorder="1" applyAlignment="1">
      <alignment horizontal="right" vertical="center"/>
    </xf>
    <xf numFmtId="165" fontId="188" fillId="0" borderId="335" xfId="2" applyNumberFormat="1" applyFont="1" applyBorder="1" applyAlignment="1">
      <alignment horizontal="right" vertical="center"/>
    </xf>
    <xf numFmtId="165" fontId="188" fillId="0" borderId="336" xfId="2" applyNumberFormat="1" applyFont="1" applyBorder="1" applyAlignment="1">
      <alignment horizontal="right" vertical="center"/>
    </xf>
    <xf numFmtId="165" fontId="188" fillId="0" borderId="337" xfId="2" applyNumberFormat="1" applyFont="1" applyBorder="1" applyAlignment="1">
      <alignment horizontal="right" vertical="center"/>
    </xf>
    <xf numFmtId="3" fontId="187" fillId="0" borderId="318" xfId="2" applyNumberFormat="1" applyFont="1" applyBorder="1" applyAlignment="1">
      <alignment horizontal="center" vertical="center"/>
    </xf>
    <xf numFmtId="3" fontId="187" fillId="0" borderId="338" xfId="2" applyNumberFormat="1" applyFont="1" applyBorder="1" applyAlignment="1">
      <alignment horizontal="center" vertical="center"/>
    </xf>
    <xf numFmtId="3" fontId="187" fillId="0" borderId="339" xfId="2" applyNumberFormat="1" applyFont="1" applyBorder="1" applyAlignment="1">
      <alignment horizontal="center" vertical="center"/>
    </xf>
    <xf numFmtId="3" fontId="187" fillId="0" borderId="340" xfId="2" applyNumberFormat="1" applyFont="1" applyBorder="1" applyAlignment="1">
      <alignment horizontal="center" vertical="center"/>
    </xf>
    <xf numFmtId="3" fontId="187" fillId="0" borderId="341" xfId="2" applyNumberFormat="1" applyFont="1" applyBorder="1" applyAlignment="1">
      <alignment horizontal="center" vertical="center"/>
    </xf>
    <xf numFmtId="3" fontId="187" fillId="0" borderId="342" xfId="2" applyNumberFormat="1" applyFont="1" applyBorder="1" applyAlignment="1">
      <alignment horizontal="center" vertical="center"/>
    </xf>
    <xf numFmtId="3" fontId="187" fillId="0" borderId="343" xfId="2" applyNumberFormat="1" applyFont="1" applyBorder="1" applyAlignment="1">
      <alignment horizontal="center" vertical="center"/>
    </xf>
    <xf numFmtId="165" fontId="187" fillId="0" borderId="344" xfId="48" applyNumberFormat="1" applyFont="1" applyFill="1" applyBorder="1" applyAlignment="1" applyProtection="1">
      <alignment horizontal="center" vertical="center"/>
      <protection locked="0"/>
    </xf>
    <xf numFmtId="165" fontId="187" fillId="0" borderId="345" xfId="48" applyNumberFormat="1" applyFont="1" applyFill="1" applyBorder="1" applyAlignment="1" applyProtection="1">
      <alignment horizontal="center" vertical="center"/>
      <protection locked="0"/>
    </xf>
    <xf numFmtId="165" fontId="187" fillId="0" borderId="346" xfId="48" applyNumberFormat="1" applyFont="1" applyFill="1" applyBorder="1" applyAlignment="1" applyProtection="1">
      <alignment horizontal="center" vertical="center"/>
      <protection locked="0"/>
    </xf>
    <xf numFmtId="165" fontId="187" fillId="0" borderId="347" xfId="48" applyNumberFormat="1" applyFont="1" applyFill="1" applyBorder="1" applyAlignment="1" applyProtection="1">
      <alignment horizontal="center" vertical="center"/>
      <protection locked="0"/>
    </xf>
    <xf numFmtId="165" fontId="187" fillId="0" borderId="339" xfId="41" applyNumberFormat="1" applyFont="1" applyFill="1" applyBorder="1" applyAlignment="1">
      <alignment horizontal="center" vertical="center"/>
    </xf>
    <xf numFmtId="165" fontId="187" fillId="0" borderId="340" xfId="41" applyNumberFormat="1" applyFont="1" applyFill="1" applyBorder="1" applyAlignment="1">
      <alignment horizontal="center" vertical="center"/>
    </xf>
    <xf numFmtId="165" fontId="187" fillId="0" borderId="343" xfId="41" applyNumberFormat="1" applyFont="1" applyFill="1" applyBorder="1" applyAlignment="1">
      <alignment horizontal="center" vertical="center"/>
    </xf>
    <xf numFmtId="3" fontId="187" fillId="0" borderId="0" xfId="2" applyNumberFormat="1" applyFont="1" applyAlignment="1">
      <alignment horizontal="center" vertical="center"/>
    </xf>
    <xf numFmtId="165" fontId="187" fillId="0" borderId="0" xfId="48" applyNumberFormat="1" applyFont="1" applyFill="1" applyBorder="1" applyAlignment="1" applyProtection="1">
      <alignment horizontal="center" vertical="center"/>
      <protection locked="0"/>
    </xf>
    <xf numFmtId="10" fontId="187" fillId="0" borderId="0" xfId="48" applyNumberFormat="1" applyFont="1" applyFill="1" applyBorder="1" applyAlignment="1" applyProtection="1">
      <alignment horizontal="center" vertical="center"/>
      <protection locked="0"/>
    </xf>
    <xf numFmtId="10" fontId="187" fillId="0" borderId="348" xfId="48" applyNumberFormat="1" applyFont="1" applyFill="1" applyBorder="1" applyAlignment="1" applyProtection="1">
      <alignment horizontal="center" vertical="center"/>
      <protection locked="0"/>
    </xf>
    <xf numFmtId="3" fontId="189" fillId="0" borderId="349" xfId="2" applyNumberFormat="1" applyFont="1" applyBorder="1" applyAlignment="1" applyProtection="1">
      <alignment horizontal="right" vertical="center"/>
      <protection locked="0"/>
    </xf>
    <xf numFmtId="3" fontId="189" fillId="0" borderId="350" xfId="2" applyNumberFormat="1" applyFont="1" applyBorder="1" applyAlignment="1" applyProtection="1">
      <alignment horizontal="right" vertical="center"/>
      <protection locked="0"/>
    </xf>
    <xf numFmtId="3" fontId="189" fillId="0" borderId="351" xfId="2" applyNumberFormat="1" applyFont="1" applyBorder="1" applyAlignment="1" applyProtection="1">
      <alignment horizontal="right" vertical="center"/>
      <protection locked="0"/>
    </xf>
    <xf numFmtId="3" fontId="189" fillId="0" borderId="352" xfId="2" applyNumberFormat="1" applyFont="1" applyBorder="1" applyAlignment="1" applyProtection="1">
      <alignment horizontal="right" vertical="center"/>
      <protection locked="0"/>
    </xf>
    <xf numFmtId="3" fontId="189" fillId="0" borderId="353" xfId="2" applyNumberFormat="1" applyFont="1" applyBorder="1" applyAlignment="1" applyProtection="1">
      <alignment horizontal="right" vertical="center"/>
      <protection locked="0"/>
    </xf>
    <xf numFmtId="3" fontId="189" fillId="0" borderId="354" xfId="2" applyNumberFormat="1" applyFont="1" applyBorder="1" applyAlignment="1" applyProtection="1">
      <alignment horizontal="right" vertical="center"/>
      <protection locked="0"/>
    </xf>
    <xf numFmtId="165" fontId="189" fillId="0" borderId="349" xfId="2" applyNumberFormat="1" applyFont="1" applyBorder="1" applyAlignment="1" applyProtection="1">
      <alignment horizontal="right" vertical="center"/>
      <protection locked="0"/>
    </xf>
    <xf numFmtId="165" fontId="189" fillId="0" borderId="355" xfId="2" applyNumberFormat="1" applyFont="1" applyBorder="1" applyAlignment="1" applyProtection="1">
      <alignment horizontal="right" vertical="center"/>
      <protection locked="0"/>
    </xf>
    <xf numFmtId="165" fontId="189" fillId="0" borderId="356" xfId="2" applyNumberFormat="1" applyFont="1" applyBorder="1" applyAlignment="1" applyProtection="1">
      <alignment horizontal="right" vertical="center"/>
      <protection locked="0"/>
    </xf>
    <xf numFmtId="165" fontId="189" fillId="0" borderId="357" xfId="2" applyNumberFormat="1" applyFont="1" applyBorder="1" applyAlignment="1" applyProtection="1">
      <alignment horizontal="right" vertical="center"/>
      <protection locked="0"/>
    </xf>
    <xf numFmtId="165" fontId="189" fillId="0" borderId="358" xfId="41" applyNumberFormat="1" applyFont="1" applyFill="1" applyBorder="1" applyAlignment="1" applyProtection="1">
      <alignment horizontal="right" vertical="center"/>
      <protection locked="0"/>
    </xf>
    <xf numFmtId="165" fontId="189" fillId="0" borderId="359" xfId="41" applyNumberFormat="1" applyFont="1" applyFill="1" applyBorder="1" applyAlignment="1" applyProtection="1">
      <alignment horizontal="right" vertical="center"/>
      <protection locked="0"/>
    </xf>
    <xf numFmtId="3" fontId="189" fillId="0" borderId="338" xfId="2" applyNumberFormat="1" applyFont="1" applyBorder="1" applyAlignment="1" applyProtection="1">
      <alignment horizontal="right" vertical="center"/>
      <protection locked="0"/>
    </xf>
    <xf numFmtId="3" fontId="189" fillId="0" borderId="339" xfId="2" applyNumberFormat="1" applyFont="1" applyBorder="1" applyAlignment="1" applyProtection="1">
      <alignment horizontal="right" vertical="center"/>
      <protection locked="0"/>
    </xf>
    <xf numFmtId="3" fontId="189" fillId="0" borderId="340" xfId="2" applyNumberFormat="1" applyFont="1" applyBorder="1" applyAlignment="1" applyProtection="1">
      <alignment horizontal="right" vertical="center"/>
      <protection locked="0"/>
    </xf>
    <xf numFmtId="3" fontId="189" fillId="0" borderId="341" xfId="2" applyNumberFormat="1" applyFont="1" applyBorder="1" applyAlignment="1" applyProtection="1">
      <alignment horizontal="right" vertical="center"/>
      <protection locked="0"/>
    </xf>
    <xf numFmtId="3" fontId="189" fillId="0" borderId="318" xfId="2" applyNumberFormat="1" applyFont="1" applyBorder="1" applyAlignment="1" applyProtection="1">
      <alignment horizontal="right" vertical="center"/>
      <protection locked="0"/>
    </xf>
    <xf numFmtId="3" fontId="189" fillId="0" borderId="343" xfId="2" applyNumberFormat="1" applyFont="1" applyBorder="1" applyAlignment="1" applyProtection="1">
      <alignment horizontal="right" vertical="center"/>
      <protection locked="0"/>
    </xf>
    <xf numFmtId="165" fontId="189" fillId="0" borderId="338" xfId="2" applyNumberFormat="1" applyFont="1" applyBorder="1" applyAlignment="1" applyProtection="1">
      <alignment horizontal="right" vertical="center"/>
      <protection locked="0"/>
    </xf>
    <xf numFmtId="165" fontId="189" fillId="0" borderId="360" xfId="2" applyNumberFormat="1" applyFont="1" applyBorder="1" applyAlignment="1" applyProtection="1">
      <alignment horizontal="right" vertical="center"/>
      <protection locked="0"/>
    </xf>
    <xf numFmtId="165" fontId="189" fillId="0" borderId="346" xfId="2" applyNumberFormat="1" applyFont="1" applyBorder="1" applyAlignment="1" applyProtection="1">
      <alignment horizontal="right" vertical="center"/>
      <protection locked="0"/>
    </xf>
    <xf numFmtId="165" fontId="189" fillId="0" borderId="361" xfId="2" applyNumberFormat="1" applyFont="1" applyBorder="1" applyAlignment="1" applyProtection="1">
      <alignment horizontal="right" vertical="center"/>
      <protection locked="0"/>
    </xf>
    <xf numFmtId="165" fontId="189" fillId="0" borderId="344" xfId="41" applyNumberFormat="1" applyFont="1" applyFill="1" applyBorder="1" applyAlignment="1" applyProtection="1">
      <alignment horizontal="right" vertical="center"/>
      <protection locked="0"/>
    </xf>
    <xf numFmtId="165" fontId="189" fillId="0" borderId="362" xfId="41" applyNumberFormat="1" applyFont="1" applyFill="1" applyBorder="1" applyAlignment="1" applyProtection="1">
      <alignment horizontal="right" vertical="center"/>
      <protection locked="0"/>
    </xf>
    <xf numFmtId="0" fontId="10" fillId="0" borderId="363" xfId="27" applyBorder="1"/>
    <xf numFmtId="0" fontId="63" fillId="0" borderId="363" xfId="27" applyFont="1" applyBorder="1"/>
    <xf numFmtId="0" fontId="63" fillId="0" borderId="315" xfId="27" applyFont="1" applyBorder="1"/>
    <xf numFmtId="0" fontId="178" fillId="0" borderId="0" xfId="0" applyFont="1" applyBorder="1" applyAlignment="1">
      <alignment horizontal="center" vertical="center" wrapText="1"/>
    </xf>
    <xf numFmtId="3" fontId="179" fillId="0" borderId="0" xfId="0" applyNumberFormat="1" applyFont="1" applyBorder="1" applyAlignment="1">
      <alignment horizontal="center" vertical="center"/>
    </xf>
    <xf numFmtId="3" fontId="174" fillId="0" borderId="0" xfId="0" applyNumberFormat="1" applyFont="1" applyBorder="1" applyAlignment="1">
      <alignment horizontal="right" vertical="center" indent="1"/>
    </xf>
    <xf numFmtId="0" fontId="10" fillId="0" borderId="364" xfId="27" applyBorder="1"/>
    <xf numFmtId="0" fontId="10" fillId="0" borderId="365" xfId="27" applyBorder="1"/>
    <xf numFmtId="0" fontId="175" fillId="0" borderId="0" xfId="45" applyFont="1" applyFill="1" applyAlignment="1">
      <alignment horizontal="left" vertical="center" indent="1"/>
    </xf>
    <xf numFmtId="0" fontId="0" fillId="0" borderId="0" xfId="0" applyFill="1"/>
    <xf numFmtId="0" fontId="10" fillId="0" borderId="315" xfId="27" applyFill="1" applyBorder="1"/>
    <xf numFmtId="0" fontId="190" fillId="0" borderId="283" xfId="50" applyFont="1" applyBorder="1" applyAlignment="1">
      <alignment horizontal="left" indent="1"/>
    </xf>
    <xf numFmtId="0" fontId="191" fillId="0" borderId="315" xfId="27" applyFont="1" applyBorder="1"/>
    <xf numFmtId="0" fontId="192" fillId="0" borderId="315" xfId="27" applyFont="1" applyBorder="1"/>
    <xf numFmtId="0" fontId="192" fillId="0" borderId="366" xfId="27" applyFont="1" applyBorder="1"/>
    <xf numFmtId="0" fontId="192" fillId="0" borderId="367" xfId="27" applyFont="1" applyBorder="1"/>
    <xf numFmtId="0" fontId="34" fillId="37" borderId="32" xfId="4" applyFont="1" applyFill="1" applyBorder="1" applyAlignment="1">
      <alignment horizontal="center"/>
    </xf>
    <xf numFmtId="0" fontId="34" fillId="37" borderId="12" xfId="4" applyFont="1" applyFill="1" applyBorder="1" applyAlignment="1">
      <alignment horizontal="center"/>
    </xf>
    <xf numFmtId="0" fontId="34" fillId="37" borderId="21" xfId="4" applyFont="1" applyFill="1" applyBorder="1" applyAlignment="1">
      <alignment horizontal="center"/>
    </xf>
    <xf numFmtId="0" fontId="34" fillId="37" borderId="13" xfId="4" applyFont="1" applyFill="1" applyBorder="1" applyAlignment="1">
      <alignment horizontal="center"/>
    </xf>
    <xf numFmtId="0" fontId="34" fillId="37" borderId="8" xfId="4" applyFont="1" applyFill="1" applyBorder="1" applyAlignment="1">
      <alignment horizontal="center" wrapText="1"/>
    </xf>
    <xf numFmtId="0" fontId="34" fillId="37" borderId="16" xfId="4" applyFont="1" applyFill="1" applyBorder="1" applyAlignment="1">
      <alignment horizontal="center" wrapText="1"/>
    </xf>
    <xf numFmtId="0" fontId="34" fillId="37" borderId="9" xfId="4" applyFont="1" applyFill="1" applyBorder="1" applyAlignment="1">
      <alignment horizontal="center" wrapText="1"/>
    </xf>
    <xf numFmtId="0" fontId="34" fillId="37" borderId="48" xfId="4" applyFont="1" applyFill="1" applyBorder="1" applyAlignment="1">
      <alignment horizontal="center" wrapText="1"/>
    </xf>
    <xf numFmtId="0" fontId="34" fillId="37" borderId="8" xfId="4" applyFont="1" applyFill="1" applyBorder="1" applyAlignment="1">
      <alignment horizontal="center"/>
    </xf>
    <xf numFmtId="0" fontId="6" fillId="0" borderId="195" xfId="4" applyFont="1" applyBorder="1" applyAlignment="1">
      <alignment horizontal="center"/>
    </xf>
    <xf numFmtId="0" fontId="6" fillId="0" borderId="229" xfId="4" applyFont="1" applyBorder="1" applyAlignment="1">
      <alignment horizontal="center"/>
    </xf>
    <xf numFmtId="0" fontId="34" fillId="37" borderId="183" xfId="4" applyFont="1" applyFill="1" applyBorder="1" applyAlignment="1">
      <alignment horizontal="center"/>
    </xf>
    <xf numFmtId="0" fontId="34" fillId="37" borderId="208" xfId="4" applyFont="1" applyFill="1" applyBorder="1" applyAlignment="1">
      <alignment horizontal="center"/>
    </xf>
    <xf numFmtId="0" fontId="34" fillId="37" borderId="171" xfId="4" applyFont="1" applyFill="1" applyBorder="1" applyAlignment="1">
      <alignment horizontal="center"/>
    </xf>
    <xf numFmtId="0" fontId="42" fillId="0" borderId="45" xfId="0" applyFont="1" applyBorder="1" applyAlignment="1">
      <alignment horizontal="center" vertical="center" textRotation="90"/>
    </xf>
    <xf numFmtId="0" fontId="130" fillId="0" borderId="0" xfId="4" applyFont="1" applyAlignment="1">
      <alignment horizontal="center" vertical="center"/>
    </xf>
    <xf numFmtId="0" fontId="7" fillId="149" borderId="183" xfId="4" applyFont="1" applyFill="1" applyBorder="1" applyAlignment="1">
      <alignment horizontal="center"/>
    </xf>
    <xf numFmtId="0" fontId="7" fillId="149" borderId="208" xfId="4" applyFont="1" applyFill="1" applyBorder="1" applyAlignment="1">
      <alignment horizontal="center"/>
    </xf>
    <xf numFmtId="0" fontId="7" fillId="149" borderId="171" xfId="4" applyFont="1" applyFill="1" applyBorder="1" applyAlignment="1">
      <alignment horizontal="center"/>
    </xf>
    <xf numFmtId="1" fontId="9" fillId="32" borderId="191" xfId="13" applyNumberFormat="1" applyFont="1" applyFill="1" applyBorder="1" applyAlignment="1">
      <alignment horizontal="center" vertical="center"/>
    </xf>
    <xf numFmtId="1" fontId="9" fillId="32" borderId="192" xfId="13" applyNumberFormat="1" applyFont="1" applyFill="1" applyBorder="1" applyAlignment="1">
      <alignment horizontal="center" vertical="center"/>
    </xf>
    <xf numFmtId="1" fontId="9" fillId="32" borderId="199" xfId="13" applyNumberFormat="1" applyFont="1" applyFill="1" applyBorder="1" applyAlignment="1">
      <alignment horizontal="center" vertical="center"/>
    </xf>
    <xf numFmtId="0" fontId="6" fillId="0" borderId="45" xfId="4" applyFont="1" applyBorder="1" applyAlignment="1">
      <alignment horizontal="center" vertical="center"/>
    </xf>
    <xf numFmtId="0" fontId="10" fillId="0" borderId="45" xfId="4" applyBorder="1" applyAlignment="1">
      <alignment horizontal="center" vertical="center"/>
    </xf>
    <xf numFmtId="3" fontId="10" fillId="0" borderId="224" xfId="4" applyNumberFormat="1" applyBorder="1" applyAlignment="1">
      <alignment horizontal="center" vertical="center"/>
    </xf>
    <xf numFmtId="3" fontId="10" fillId="0" borderId="226" xfId="4" applyNumberFormat="1" applyBorder="1" applyAlignment="1">
      <alignment horizontal="center" vertical="center"/>
    </xf>
    <xf numFmtId="3" fontId="10" fillId="0" borderId="225" xfId="4" applyNumberFormat="1" applyBorder="1" applyAlignment="1">
      <alignment horizontal="center" vertical="center"/>
    </xf>
    <xf numFmtId="1" fontId="9" fillId="32" borderId="271" xfId="13" applyNumberFormat="1" applyFont="1" applyFill="1" applyBorder="1" applyAlignment="1">
      <alignment horizontal="center" vertical="center"/>
    </xf>
    <xf numFmtId="1" fontId="9" fillId="32" borderId="272" xfId="13" applyNumberFormat="1" applyFont="1" applyFill="1" applyBorder="1" applyAlignment="1">
      <alignment horizontal="center" vertical="center"/>
    </xf>
    <xf numFmtId="0" fontId="34" fillId="37" borderId="16" xfId="4" applyFont="1" applyFill="1" applyBorder="1" applyAlignment="1">
      <alignment horizontal="center"/>
    </xf>
    <xf numFmtId="0" fontId="34" fillId="37" borderId="9" xfId="4" applyFont="1" applyFill="1" applyBorder="1" applyAlignment="1">
      <alignment horizontal="center"/>
    </xf>
    <xf numFmtId="0" fontId="34" fillId="37" borderId="48" xfId="4" applyFont="1" applyFill="1" applyBorder="1" applyAlignment="1">
      <alignment horizontal="center"/>
    </xf>
    <xf numFmtId="0" fontId="34" fillId="37" borderId="12" xfId="4" applyFont="1" applyFill="1" applyBorder="1" applyAlignment="1">
      <alignment horizontal="center" wrapText="1"/>
    </xf>
    <xf numFmtId="0" fontId="34" fillId="37" borderId="21" xfId="4" applyFont="1" applyFill="1" applyBorder="1" applyAlignment="1">
      <alignment horizontal="center" wrapText="1"/>
    </xf>
    <xf numFmtId="0" fontId="34" fillId="37" borderId="13" xfId="4" applyFont="1" applyFill="1" applyBorder="1" applyAlignment="1">
      <alignment horizontal="center" wrapText="1"/>
    </xf>
    <xf numFmtId="0" fontId="10" fillId="0" borderId="195" xfId="4" applyBorder="1" applyAlignment="1">
      <alignment horizontal="center"/>
    </xf>
    <xf numFmtId="0" fontId="10" fillId="0" borderId="229" xfId="4" applyBorder="1" applyAlignment="1">
      <alignment horizontal="center"/>
    </xf>
    <xf numFmtId="0" fontId="10" fillId="0" borderId="224" xfId="4" applyBorder="1" applyAlignment="1">
      <alignment horizontal="center" vertical="center"/>
    </xf>
    <xf numFmtId="0" fontId="10" fillId="0" borderId="226" xfId="4" applyBorder="1" applyAlignment="1">
      <alignment horizontal="center" vertical="center"/>
    </xf>
    <xf numFmtId="0" fontId="10" fillId="0" borderId="225" xfId="4" applyBorder="1" applyAlignment="1">
      <alignment horizontal="center" vertical="center"/>
    </xf>
    <xf numFmtId="0" fontId="7" fillId="69" borderId="183" xfId="4" applyFont="1" applyFill="1" applyBorder="1" applyAlignment="1">
      <alignment horizontal="center" vertical="center"/>
    </xf>
    <xf numFmtId="0" fontId="7" fillId="69" borderId="171" xfId="4" applyFont="1" applyFill="1" applyBorder="1" applyAlignment="1">
      <alignment horizontal="center" vertical="center"/>
    </xf>
    <xf numFmtId="0" fontId="5" fillId="74" borderId="12" xfId="19" applyFont="1" applyFill="1" applyBorder="1" applyAlignment="1">
      <alignment horizontal="center"/>
    </xf>
    <xf numFmtId="0" fontId="5" fillId="74" borderId="21" xfId="19" applyFont="1" applyFill="1" applyBorder="1" applyAlignment="1">
      <alignment horizontal="center"/>
    </xf>
    <xf numFmtId="0" fontId="5" fillId="74" borderId="13" xfId="19" applyFont="1" applyFill="1" applyBorder="1" applyAlignment="1">
      <alignment horizontal="center"/>
    </xf>
    <xf numFmtId="0" fontId="1" fillId="70" borderId="32" xfId="19" applyFill="1" applyBorder="1" applyAlignment="1">
      <alignment horizontal="justify" vertical="center" wrapText="1"/>
    </xf>
    <xf numFmtId="0" fontId="1" fillId="70" borderId="74" xfId="19" applyFill="1" applyBorder="1" applyAlignment="1">
      <alignment horizontal="justify" vertical="center" wrapText="1"/>
    </xf>
    <xf numFmtId="0" fontId="1" fillId="70" borderId="19" xfId="19" applyFill="1" applyBorder="1" applyAlignment="1">
      <alignment horizontal="center"/>
    </xf>
    <xf numFmtId="0" fontId="1" fillId="70" borderId="14" xfId="19" applyFill="1" applyBorder="1" applyAlignment="1">
      <alignment horizontal="center"/>
    </xf>
    <xf numFmtId="0" fontId="1" fillId="81" borderId="32" xfId="19" applyFill="1" applyBorder="1" applyAlignment="1">
      <alignment horizontal="justify" vertical="center" wrapText="1"/>
    </xf>
    <xf numFmtId="0" fontId="1" fillId="81" borderId="74" xfId="19" applyFill="1" applyBorder="1" applyAlignment="1">
      <alignment horizontal="justify" vertical="center" wrapText="1"/>
    </xf>
    <xf numFmtId="0" fontId="1" fillId="81" borderId="19" xfId="19" applyFill="1" applyBorder="1" applyAlignment="1">
      <alignment horizontal="center"/>
    </xf>
    <xf numFmtId="0" fontId="1" fillId="81" borderId="14" xfId="19" applyFill="1" applyBorder="1" applyAlignment="1">
      <alignment horizontal="center"/>
    </xf>
    <xf numFmtId="0" fontId="1" fillId="82" borderId="32" xfId="19" applyFill="1" applyBorder="1" applyAlignment="1">
      <alignment horizontal="justify" vertical="center" wrapText="1"/>
    </xf>
    <xf numFmtId="0" fontId="1" fillId="82" borderId="34" xfId="19" applyFill="1" applyBorder="1" applyAlignment="1">
      <alignment horizontal="justify" vertical="center" wrapText="1"/>
    </xf>
    <xf numFmtId="0" fontId="1" fillId="82" borderId="19" xfId="19" applyFill="1" applyBorder="1" applyAlignment="1">
      <alignment horizontal="center"/>
    </xf>
    <xf numFmtId="0" fontId="1" fillId="82" borderId="14" xfId="19" applyFill="1" applyBorder="1" applyAlignment="1">
      <alignment horizontal="center"/>
    </xf>
    <xf numFmtId="0" fontId="1" fillId="77" borderId="32" xfId="19" applyFill="1" applyBorder="1" applyAlignment="1">
      <alignment horizontal="justify" vertical="center" wrapText="1"/>
    </xf>
    <xf numFmtId="0" fontId="1" fillId="77" borderId="74" xfId="19" applyFill="1" applyBorder="1" applyAlignment="1">
      <alignment horizontal="justify" vertical="center" wrapText="1"/>
    </xf>
    <xf numFmtId="0" fontId="1" fillId="77" borderId="34" xfId="19" applyFill="1" applyBorder="1" applyAlignment="1">
      <alignment horizontal="justify" vertical="center" wrapText="1"/>
    </xf>
    <xf numFmtId="0" fontId="1" fillId="77" borderId="14" xfId="19" applyFill="1" applyBorder="1" applyAlignment="1">
      <alignment horizontal="center"/>
    </xf>
    <xf numFmtId="0" fontId="44" fillId="67" borderId="32" xfId="19" applyFont="1" applyFill="1" applyBorder="1" applyAlignment="1">
      <alignment horizontal="justify" vertical="center" wrapText="1"/>
    </xf>
    <xf numFmtId="0" fontId="44" fillId="67" borderId="74" xfId="19" applyFont="1" applyFill="1" applyBorder="1" applyAlignment="1">
      <alignment horizontal="justify" vertical="center" wrapText="1"/>
    </xf>
    <xf numFmtId="0" fontId="44" fillId="67" borderId="34" xfId="19" applyFont="1" applyFill="1" applyBorder="1" applyAlignment="1">
      <alignment horizontal="justify" vertical="center" wrapText="1"/>
    </xf>
    <xf numFmtId="0" fontId="44" fillId="67" borderId="19" xfId="19" applyFont="1" applyFill="1" applyBorder="1" applyAlignment="1">
      <alignment horizontal="center"/>
    </xf>
    <xf numFmtId="0" fontId="44" fillId="67" borderId="14" xfId="19" applyFont="1" applyFill="1" applyBorder="1" applyAlignment="1">
      <alignment horizontal="center"/>
    </xf>
    <xf numFmtId="0" fontId="1" fillId="80" borderId="32" xfId="19" applyFill="1" applyBorder="1" applyAlignment="1">
      <alignment horizontal="justify" vertical="center" wrapText="1"/>
    </xf>
    <xf numFmtId="0" fontId="1" fillId="80" borderId="74" xfId="19" applyFill="1" applyBorder="1" applyAlignment="1">
      <alignment horizontal="justify" vertical="center" wrapText="1"/>
    </xf>
    <xf numFmtId="0" fontId="1" fillId="80" borderId="19" xfId="19" applyFill="1" applyBorder="1" applyAlignment="1">
      <alignment horizontal="center"/>
    </xf>
    <xf numFmtId="0" fontId="1" fillId="80" borderId="14" xfId="19" applyFill="1" applyBorder="1" applyAlignment="1">
      <alignment horizontal="center"/>
    </xf>
    <xf numFmtId="0" fontId="1" fillId="76" borderId="32" xfId="19" applyFill="1" applyBorder="1" applyAlignment="1">
      <alignment horizontal="justify" vertical="center" wrapText="1"/>
    </xf>
    <xf numFmtId="0" fontId="1" fillId="76" borderId="74" xfId="19" applyFill="1" applyBorder="1" applyAlignment="1">
      <alignment horizontal="justify" vertical="center" wrapText="1"/>
    </xf>
    <xf numFmtId="0" fontId="1" fillId="76" borderId="34" xfId="19" applyFill="1" applyBorder="1" applyAlignment="1">
      <alignment horizontal="justify" vertical="center" wrapText="1"/>
    </xf>
    <xf numFmtId="0" fontId="1" fillId="76" borderId="14" xfId="19" applyFill="1" applyBorder="1" applyAlignment="1">
      <alignment horizontal="center"/>
    </xf>
    <xf numFmtId="0" fontId="1" fillId="64" borderId="32" xfId="19" applyFill="1" applyBorder="1" applyAlignment="1">
      <alignment horizontal="justify" vertical="center" wrapText="1"/>
    </xf>
    <xf numFmtId="0" fontId="1" fillId="64" borderId="34" xfId="19" applyFill="1" applyBorder="1" applyAlignment="1">
      <alignment horizontal="justify" vertical="center" wrapText="1"/>
    </xf>
    <xf numFmtId="0" fontId="1" fillId="64" borderId="14" xfId="19" applyFill="1" applyBorder="1" applyAlignment="1">
      <alignment horizontal="center"/>
    </xf>
    <xf numFmtId="0" fontId="1" fillId="79" borderId="32" xfId="19" applyFill="1" applyBorder="1" applyAlignment="1">
      <alignment horizontal="justify" vertical="center" wrapText="1"/>
    </xf>
    <xf numFmtId="0" fontId="1" fillId="79" borderId="74" xfId="19" applyFill="1" applyBorder="1" applyAlignment="1">
      <alignment horizontal="justify" vertical="center" wrapText="1"/>
    </xf>
    <xf numFmtId="0" fontId="1" fillId="79" borderId="34" xfId="19" applyFill="1" applyBorder="1" applyAlignment="1">
      <alignment horizontal="justify" vertical="center" wrapText="1"/>
    </xf>
    <xf numFmtId="0" fontId="1" fillId="79" borderId="14" xfId="19" applyFill="1" applyBorder="1" applyAlignment="1">
      <alignment horizontal="center"/>
    </xf>
    <xf numFmtId="0" fontId="1" fillId="26" borderId="32" xfId="19" applyFill="1" applyBorder="1" applyAlignment="1">
      <alignment horizontal="justify" vertical="center" wrapText="1"/>
    </xf>
    <xf numFmtId="0" fontId="1" fillId="26" borderId="74" xfId="19" applyFill="1" applyBorder="1" applyAlignment="1">
      <alignment horizontal="justify" vertical="center" wrapText="1"/>
    </xf>
    <xf numFmtId="0" fontId="1" fillId="26" borderId="34" xfId="19" applyFill="1" applyBorder="1" applyAlignment="1">
      <alignment horizontal="justify" vertical="center" wrapText="1"/>
    </xf>
    <xf numFmtId="0" fontId="1" fillId="0" borderId="9" xfId="19" applyBorder="1" applyAlignment="1">
      <alignment horizontal="justify" vertical="center" wrapText="1"/>
    </xf>
    <xf numFmtId="0" fontId="1" fillId="0" borderId="0" xfId="19" applyAlignment="1">
      <alignment horizontal="justify" vertical="center" wrapText="1"/>
    </xf>
    <xf numFmtId="0" fontId="1" fillId="0" borderId="14" xfId="19" applyBorder="1" applyAlignment="1">
      <alignment horizontal="justify" vertical="center" wrapText="1"/>
    </xf>
    <xf numFmtId="0" fontId="1" fillId="26" borderId="0" xfId="19" applyFill="1" applyAlignment="1">
      <alignment horizontal="center"/>
    </xf>
    <xf numFmtId="0" fontId="2" fillId="78" borderId="0" xfId="19" applyFont="1" applyFill="1" applyAlignment="1">
      <alignment horizontal="center" vertical="center" wrapText="1"/>
    </xf>
    <xf numFmtId="0" fontId="2" fillId="78" borderId="40" xfId="19" applyFont="1" applyFill="1" applyBorder="1" applyAlignment="1">
      <alignment horizontal="center" vertical="center" wrapText="1"/>
    </xf>
    <xf numFmtId="0" fontId="1" fillId="19" borderId="32" xfId="19" applyFill="1" applyBorder="1" applyAlignment="1">
      <alignment horizontal="justify" vertical="center" wrapText="1"/>
    </xf>
    <xf numFmtId="0" fontId="1" fillId="19" borderId="74" xfId="19" applyFill="1" applyBorder="1" applyAlignment="1">
      <alignment horizontal="justify" vertical="center" wrapText="1"/>
    </xf>
    <xf numFmtId="0" fontId="1" fillId="19" borderId="34" xfId="19" applyFill="1" applyBorder="1" applyAlignment="1">
      <alignment horizontal="justify" vertical="center" wrapText="1"/>
    </xf>
    <xf numFmtId="0" fontId="1" fillId="19" borderId="14" xfId="19" applyFill="1" applyBorder="1" applyAlignment="1">
      <alignment horizontal="center"/>
    </xf>
    <xf numFmtId="0" fontId="1" fillId="19" borderId="75" xfId="19" applyFill="1" applyBorder="1" applyAlignment="1">
      <alignment horizontal="center"/>
    </xf>
    <xf numFmtId="0" fontId="1" fillId="62" borderId="32" xfId="19" applyFill="1" applyBorder="1" applyAlignment="1">
      <alignment horizontal="justify" vertical="center" wrapText="1"/>
    </xf>
    <xf numFmtId="0" fontId="1" fillId="62" borderId="74" xfId="19" applyFill="1" applyBorder="1" applyAlignment="1">
      <alignment horizontal="justify" vertical="center" wrapText="1"/>
    </xf>
    <xf numFmtId="0" fontId="1" fillId="62" borderId="34" xfId="19" applyFill="1" applyBorder="1" applyAlignment="1">
      <alignment horizontal="justify" vertical="center" wrapText="1"/>
    </xf>
    <xf numFmtId="0" fontId="1" fillId="62" borderId="14" xfId="19" applyFill="1" applyBorder="1" applyAlignment="1">
      <alignment horizontal="center"/>
    </xf>
    <xf numFmtId="0" fontId="1" fillId="62" borderId="75" xfId="19" applyFill="1" applyBorder="1" applyAlignment="1">
      <alignment horizontal="center"/>
    </xf>
    <xf numFmtId="0" fontId="1" fillId="75" borderId="32" xfId="19" applyFill="1" applyBorder="1" applyAlignment="1">
      <alignment horizontal="justify" vertical="center" wrapText="1"/>
    </xf>
    <xf numFmtId="0" fontId="1" fillId="75" borderId="74" xfId="19" applyFill="1" applyBorder="1" applyAlignment="1">
      <alignment horizontal="justify" vertical="center" wrapText="1"/>
    </xf>
    <xf numFmtId="0" fontId="1" fillId="75" borderId="34" xfId="19" applyFill="1" applyBorder="1" applyAlignment="1">
      <alignment horizontal="justify" vertical="center" wrapText="1"/>
    </xf>
    <xf numFmtId="1" fontId="46" fillId="78" borderId="41" xfId="19" applyNumberFormat="1" applyFont="1" applyFill="1" applyBorder="1" applyAlignment="1">
      <alignment horizontal="center" vertical="center"/>
    </xf>
    <xf numFmtId="0" fontId="1" fillId="75" borderId="14" xfId="19" applyFill="1" applyBorder="1" applyAlignment="1">
      <alignment horizontal="center"/>
    </xf>
    <xf numFmtId="0" fontId="1" fillId="75" borderId="75" xfId="19" applyFill="1" applyBorder="1" applyAlignment="1">
      <alignment horizontal="center"/>
    </xf>
    <xf numFmtId="0" fontId="10" fillId="0" borderId="18" xfId="2" applyFont="1" applyBorder="1" applyAlignment="1">
      <alignment horizontal="center"/>
    </xf>
    <xf numFmtId="0" fontId="10" fillId="0" borderId="22" xfId="2" applyFont="1" applyBorder="1" applyAlignment="1">
      <alignment horizontal="center"/>
    </xf>
    <xf numFmtId="0" fontId="10" fillId="0" borderId="26" xfId="2" applyFont="1" applyBorder="1" applyAlignment="1">
      <alignment horizontal="center"/>
    </xf>
    <xf numFmtId="0" fontId="52" fillId="0" borderId="89" xfId="3" applyFont="1" applyBorder="1" applyAlignment="1" applyProtection="1">
      <alignment wrapText="1"/>
    </xf>
    <xf numFmtId="0" fontId="52" fillId="0" borderId="90" xfId="3" applyFont="1" applyBorder="1" applyAlignment="1" applyProtection="1">
      <alignment wrapText="1"/>
    </xf>
    <xf numFmtId="0" fontId="57" fillId="2" borderId="91" xfId="27" applyFont="1" applyFill="1" applyBorder="1" applyAlignment="1">
      <alignment horizontal="center" vertical="center" wrapText="1"/>
    </xf>
    <xf numFmtId="0" fontId="57" fillId="2" borderId="292" xfId="27" applyFont="1" applyFill="1" applyBorder="1" applyAlignment="1">
      <alignment horizontal="center" vertical="center" wrapText="1"/>
    </xf>
    <xf numFmtId="0" fontId="61" fillId="2" borderId="292" xfId="27" applyFont="1" applyFill="1" applyBorder="1" applyAlignment="1">
      <alignment horizontal="center" vertical="center" wrapText="1"/>
    </xf>
    <xf numFmtId="0" fontId="12" fillId="6" borderId="95" xfId="2" applyFont="1" applyFill="1" applyBorder="1" applyAlignment="1">
      <alignment horizontal="center" vertical="center"/>
    </xf>
    <xf numFmtId="0" fontId="12" fillId="6" borderId="20" xfId="2" applyFont="1" applyFill="1" applyBorder="1" applyAlignment="1">
      <alignment horizontal="center" vertical="center"/>
    </xf>
    <xf numFmtId="0" fontId="12" fillId="6" borderId="96" xfId="2" applyFont="1" applyFill="1" applyBorder="1" applyAlignment="1">
      <alignment horizontal="center" vertical="center"/>
    </xf>
    <xf numFmtId="0" fontId="12" fillId="6" borderId="97" xfId="2" applyFont="1" applyFill="1" applyBorder="1" applyAlignment="1">
      <alignment horizontal="center" vertical="center"/>
    </xf>
    <xf numFmtId="0" fontId="12" fillId="6" borderId="98" xfId="2" applyFont="1" applyFill="1" applyBorder="1" applyAlignment="1">
      <alignment horizontal="center" vertical="center"/>
    </xf>
    <xf numFmtId="0" fontId="12" fillId="6" borderId="99" xfId="2" applyFont="1" applyFill="1" applyBorder="1" applyAlignment="1">
      <alignment horizontal="center" vertical="center"/>
    </xf>
    <xf numFmtId="0" fontId="12" fillId="6" borderId="100" xfId="2" applyFont="1" applyFill="1" applyBorder="1" applyAlignment="1">
      <alignment horizontal="center" vertical="center"/>
    </xf>
    <xf numFmtId="0" fontId="12" fillId="6" borderId="101" xfId="2" applyFont="1" applyFill="1" applyBorder="1" applyAlignment="1">
      <alignment horizontal="center" vertical="center"/>
    </xf>
    <xf numFmtId="0" fontId="12" fillId="6" borderId="16" xfId="2" applyFont="1" applyFill="1" applyBorder="1" applyAlignment="1">
      <alignment horizontal="center" vertical="center"/>
    </xf>
    <xf numFmtId="0" fontId="12" fillId="6" borderId="9" xfId="2" applyFont="1" applyFill="1" applyBorder="1" applyAlignment="1">
      <alignment horizontal="center" vertical="center"/>
    </xf>
    <xf numFmtId="0" fontId="12" fillId="6" borderId="48" xfId="2" applyFont="1" applyFill="1" applyBorder="1" applyAlignment="1">
      <alignment horizontal="center" vertical="center"/>
    </xf>
    <xf numFmtId="0" fontId="12" fillId="6" borderId="35" xfId="5" applyFont="1" applyFill="1" applyBorder="1" applyAlignment="1">
      <alignment horizontal="center" vertical="center" wrapText="1"/>
    </xf>
    <xf numFmtId="10" fontId="12" fillId="6" borderId="35" xfId="5" applyNumberFormat="1" applyFont="1" applyFill="1" applyBorder="1" applyAlignment="1">
      <alignment horizontal="center" vertical="center" wrapText="1"/>
    </xf>
    <xf numFmtId="10" fontId="12" fillId="6" borderId="42" xfId="5" applyNumberFormat="1" applyFont="1" applyFill="1" applyBorder="1" applyAlignment="1">
      <alignment horizontal="center" vertical="center" wrapText="1"/>
    </xf>
    <xf numFmtId="10" fontId="12" fillId="6" borderId="44" xfId="5" applyNumberFormat="1" applyFont="1" applyFill="1" applyBorder="1" applyAlignment="1">
      <alignment horizontal="center" vertical="center" wrapText="1"/>
    </xf>
    <xf numFmtId="10" fontId="12" fillId="6" borderId="43" xfId="5" applyNumberFormat="1" applyFont="1" applyFill="1" applyBorder="1" applyAlignment="1">
      <alignment horizontal="center" vertical="center" wrapText="1"/>
    </xf>
    <xf numFmtId="0" fontId="9" fillId="0" borderId="33" xfId="5" applyFont="1" applyBorder="1" applyAlignment="1">
      <alignment horizontal="center" vertical="center" wrapText="1"/>
    </xf>
    <xf numFmtId="0" fontId="11" fillId="0" borderId="111" xfId="5" applyFont="1" applyBorder="1" applyAlignment="1">
      <alignment horizontal="center" vertical="center" wrapText="1"/>
    </xf>
    <xf numFmtId="0" fontId="11" fillId="0" borderId="62" xfId="5" applyFont="1" applyBorder="1" applyAlignment="1">
      <alignment horizontal="center" vertical="center" wrapText="1"/>
    </xf>
    <xf numFmtId="0" fontId="11" fillId="0" borderId="109" xfId="5" applyFont="1" applyBorder="1" applyAlignment="1">
      <alignment horizontal="center" vertical="center" wrapText="1"/>
    </xf>
    <xf numFmtId="0" fontId="11" fillId="0" borderId="63" xfId="5" applyFont="1" applyBorder="1" applyAlignment="1">
      <alignment horizontal="center" vertical="center" wrapText="1"/>
    </xf>
    <xf numFmtId="10" fontId="11" fillId="0" borderId="109" xfId="5" applyNumberFormat="1" applyFont="1" applyBorder="1" applyAlignment="1">
      <alignment horizontal="center" vertical="center" wrapText="1"/>
    </xf>
    <xf numFmtId="10" fontId="11" fillId="0" borderId="63" xfId="5" applyNumberFormat="1" applyFont="1" applyBorder="1" applyAlignment="1">
      <alignment horizontal="center" vertical="center" wrapText="1"/>
    </xf>
    <xf numFmtId="10" fontId="11" fillId="0" borderId="112" xfId="5" applyNumberFormat="1" applyFont="1" applyBorder="1" applyAlignment="1">
      <alignment horizontal="center" vertical="center" wrapText="1"/>
    </xf>
    <xf numFmtId="10" fontId="11" fillId="0" borderId="100" xfId="5" applyNumberFormat="1" applyFont="1" applyBorder="1" applyAlignment="1">
      <alignment horizontal="center" vertical="center" wrapText="1"/>
    </xf>
    <xf numFmtId="10" fontId="11" fillId="0" borderId="101" xfId="5" applyNumberFormat="1" applyFont="1" applyBorder="1" applyAlignment="1">
      <alignment horizontal="center" vertical="center" wrapText="1"/>
    </xf>
    <xf numFmtId="3" fontId="11" fillId="0" borderId="109" xfId="5" applyNumberFormat="1" applyFont="1" applyBorder="1" applyAlignment="1">
      <alignment horizontal="center" vertical="center" wrapText="1"/>
    </xf>
    <xf numFmtId="3" fontId="11" fillId="0" borderId="63" xfId="5" applyNumberFormat="1" applyFont="1" applyBorder="1" applyAlignment="1">
      <alignment horizontal="center" vertical="center" wrapText="1"/>
    </xf>
    <xf numFmtId="10" fontId="11" fillId="0" borderId="110" xfId="5" applyNumberFormat="1" applyFont="1" applyBorder="1" applyAlignment="1">
      <alignment horizontal="center" vertical="center" wrapText="1"/>
    </xf>
    <xf numFmtId="10" fontId="11" fillId="0" borderId="5" xfId="5" applyNumberFormat="1" applyFont="1" applyBorder="1" applyAlignment="1">
      <alignment horizontal="center" vertical="center" wrapText="1"/>
    </xf>
    <xf numFmtId="166" fontId="11" fillId="0" borderId="17" xfId="5" applyNumberFormat="1" applyFont="1" applyBorder="1" applyAlignment="1">
      <alignment horizontal="center" vertical="center" wrapText="1"/>
    </xf>
    <xf numFmtId="0" fontId="11" fillId="0" borderId="0" xfId="5" applyFont="1" applyAlignment="1">
      <alignment horizontal="center" vertical="center" wrapText="1"/>
    </xf>
    <xf numFmtId="3" fontId="11" fillId="0" borderId="52" xfId="5" applyNumberFormat="1" applyFont="1" applyBorder="1" applyAlignment="1">
      <alignment horizontal="center" vertical="center" wrapText="1"/>
    </xf>
    <xf numFmtId="3" fontId="11" fillId="0" borderId="83" xfId="5" applyNumberFormat="1" applyFont="1" applyBorder="1" applyAlignment="1">
      <alignment horizontal="center" vertical="center" wrapText="1"/>
    </xf>
    <xf numFmtId="0" fontId="11" fillId="0" borderId="112" xfId="5" applyFont="1" applyBorder="1" applyAlignment="1">
      <alignment horizontal="center" vertical="center" wrapText="1"/>
    </xf>
    <xf numFmtId="0" fontId="11" fillId="0" borderId="100" xfId="5" applyFont="1" applyBorder="1" applyAlignment="1">
      <alignment horizontal="center" vertical="center" wrapText="1"/>
    </xf>
    <xf numFmtId="0" fontId="11" fillId="0" borderId="101" xfId="5" applyFont="1" applyBorder="1" applyAlignment="1">
      <alignment horizontal="center" vertical="center" wrapText="1"/>
    </xf>
    <xf numFmtId="10" fontId="11" fillId="0" borderId="52" xfId="5" applyNumberFormat="1" applyFont="1" applyBorder="1" applyAlignment="1">
      <alignment horizontal="center" vertical="center" wrapText="1"/>
    </xf>
    <xf numFmtId="10" fontId="11" fillId="0" borderId="83" xfId="5" applyNumberFormat="1" applyFont="1" applyBorder="1" applyAlignment="1">
      <alignment horizontal="center" vertical="center" wrapText="1"/>
    </xf>
    <xf numFmtId="0" fontId="11" fillId="0" borderId="52" xfId="5" applyFont="1" applyBorder="1" applyAlignment="1">
      <alignment horizontal="center" vertical="center" wrapText="1"/>
    </xf>
    <xf numFmtId="0" fontId="11" fillId="0" borderId="83" xfId="5" applyFont="1" applyBorder="1" applyAlignment="1">
      <alignment horizontal="center" vertical="center" wrapText="1"/>
    </xf>
    <xf numFmtId="0" fontId="12" fillId="6" borderId="41" xfId="5" applyFont="1" applyFill="1" applyBorder="1" applyAlignment="1">
      <alignment horizontal="center" vertical="center" wrapText="1"/>
    </xf>
    <xf numFmtId="10" fontId="12" fillId="6" borderId="41" xfId="5" applyNumberFormat="1" applyFont="1" applyFill="1" applyBorder="1" applyAlignment="1">
      <alignment horizontal="center" vertical="center" wrapText="1"/>
    </xf>
    <xf numFmtId="0" fontId="11" fillId="0" borderId="230" xfId="5" applyFont="1" applyBorder="1" applyAlignment="1">
      <alignment horizontal="center" vertical="center" wrapText="1"/>
    </xf>
    <xf numFmtId="0" fontId="11" fillId="0" borderId="239" xfId="5" applyFont="1" applyBorder="1" applyAlignment="1">
      <alignment horizontal="center" vertical="center" wrapText="1"/>
    </xf>
    <xf numFmtId="10" fontId="11" fillId="0" borderId="239" xfId="5" applyNumberFormat="1" applyFont="1" applyBorder="1" applyAlignment="1">
      <alignment horizontal="center" vertical="center" wrapText="1"/>
    </xf>
    <xf numFmtId="10" fontId="11" fillId="0" borderId="242" xfId="5" applyNumberFormat="1" applyFont="1" applyBorder="1" applyAlignment="1">
      <alignment horizontal="center" vertical="center" wrapText="1"/>
    </xf>
    <xf numFmtId="10" fontId="11" fillId="0" borderId="243" xfId="5" applyNumberFormat="1" applyFont="1" applyBorder="1" applyAlignment="1">
      <alignment horizontal="center" vertical="center" wrapText="1"/>
    </xf>
    <xf numFmtId="10" fontId="11" fillId="0" borderId="244" xfId="5" applyNumberFormat="1" applyFont="1" applyBorder="1" applyAlignment="1">
      <alignment horizontal="center" vertical="center" wrapText="1"/>
    </xf>
    <xf numFmtId="3" fontId="11" fillId="0" borderId="239" xfId="5" applyNumberFormat="1" applyFont="1" applyBorder="1" applyAlignment="1">
      <alignment horizontal="center" vertical="center" wrapText="1"/>
    </xf>
    <xf numFmtId="10" fontId="11" fillId="0" borderId="240" xfId="5" applyNumberFormat="1" applyFont="1" applyBorder="1" applyAlignment="1">
      <alignment horizontal="center" vertical="center" wrapText="1"/>
    </xf>
    <xf numFmtId="0" fontId="11" fillId="0" borderId="54" xfId="5" applyFont="1" applyBorder="1" applyAlignment="1">
      <alignment horizontal="center" vertical="center" wrapText="1"/>
    </xf>
    <xf numFmtId="0" fontId="11" fillId="0" borderId="9" xfId="5" applyFont="1" applyBorder="1" applyAlignment="1">
      <alignment horizontal="center" vertical="center" wrapText="1"/>
    </xf>
    <xf numFmtId="0" fontId="11" fillId="0" borderId="48" xfId="5" applyFont="1" applyBorder="1" applyAlignment="1">
      <alignment horizontal="center" vertical="center" wrapText="1"/>
    </xf>
    <xf numFmtId="0" fontId="11" fillId="0" borderId="42" xfId="2" applyFont="1" applyBorder="1" applyAlignment="1">
      <alignment horizontal="center" vertical="center"/>
    </xf>
    <xf numFmtId="0" fontId="11" fillId="0" borderId="44" xfId="2" applyFont="1" applyBorder="1" applyAlignment="1">
      <alignment horizontal="center" vertical="center"/>
    </xf>
    <xf numFmtId="0" fontId="11" fillId="0" borderId="43" xfId="2" applyFont="1" applyBorder="1" applyAlignment="1">
      <alignment horizontal="center" vertical="center"/>
    </xf>
    <xf numFmtId="0" fontId="76" fillId="0" borderId="0" xfId="5" applyFont="1" applyAlignment="1">
      <alignment horizontal="center" vertical="center" wrapText="1"/>
    </xf>
    <xf numFmtId="3" fontId="76" fillId="0" borderId="0" xfId="5" applyNumberFormat="1" applyFont="1" applyAlignment="1">
      <alignment horizontal="center" vertical="center" wrapText="1"/>
    </xf>
    <xf numFmtId="10" fontId="76" fillId="0" borderId="0" xfId="5" applyNumberFormat="1" applyFont="1" applyAlignment="1">
      <alignment horizontal="center" vertical="center" wrapText="1"/>
    </xf>
    <xf numFmtId="10" fontId="12" fillId="6" borderId="39" xfId="5" applyNumberFormat="1" applyFont="1" applyFill="1" applyBorder="1" applyAlignment="1">
      <alignment horizontal="center" vertical="center" wrapText="1"/>
    </xf>
    <xf numFmtId="10" fontId="12" fillId="6" borderId="40" xfId="5" applyNumberFormat="1" applyFont="1" applyFill="1" applyBorder="1" applyAlignment="1">
      <alignment horizontal="center" vertical="center" wrapText="1"/>
    </xf>
    <xf numFmtId="0" fontId="12" fillId="6" borderId="38" xfId="5" applyFont="1" applyFill="1" applyBorder="1" applyAlignment="1">
      <alignment horizontal="center" vertical="center" wrapText="1"/>
    </xf>
    <xf numFmtId="0" fontId="12" fillId="6" borderId="37" xfId="5" applyFont="1" applyFill="1" applyBorder="1" applyAlignment="1">
      <alignment horizontal="center" vertical="center" wrapText="1"/>
    </xf>
    <xf numFmtId="0" fontId="67" fillId="101" borderId="33" xfId="1" applyFont="1" applyFill="1" applyBorder="1" applyAlignment="1">
      <alignment horizontal="center" vertical="center" wrapText="1"/>
    </xf>
    <xf numFmtId="0" fontId="100" fillId="27" borderId="11" xfId="2" applyFont="1" applyFill="1" applyBorder="1" applyAlignment="1">
      <alignment horizontal="center" vertical="center" wrapText="1"/>
    </xf>
    <xf numFmtId="0" fontId="100" fillId="27" borderId="20" xfId="2" applyFont="1" applyFill="1" applyBorder="1" applyAlignment="1">
      <alignment horizontal="center" vertical="center" wrapText="1"/>
    </xf>
    <xf numFmtId="0" fontId="100" fillId="27" borderId="18" xfId="2" applyFont="1" applyFill="1" applyBorder="1" applyAlignment="1">
      <alignment horizontal="center" vertical="center"/>
    </xf>
    <xf numFmtId="0" fontId="100" fillId="27" borderId="22" xfId="2" applyFont="1" applyFill="1" applyBorder="1" applyAlignment="1">
      <alignment horizontal="center" vertical="center"/>
    </xf>
    <xf numFmtId="0" fontId="100" fillId="27" borderId="26" xfId="2" applyFont="1" applyFill="1" applyBorder="1" applyAlignment="1">
      <alignment horizontal="center" vertical="center"/>
    </xf>
    <xf numFmtId="0" fontId="99" fillId="0" borderId="18" xfId="2" applyFont="1" applyBorder="1" applyAlignment="1">
      <alignment horizontal="center" vertical="center"/>
    </xf>
    <xf numFmtId="0" fontId="99" fillId="0" borderId="26" xfId="2" applyFont="1" applyBorder="1" applyAlignment="1">
      <alignment horizontal="center" vertical="center"/>
    </xf>
    <xf numFmtId="0" fontId="99" fillId="0" borderId="33" xfId="2" applyFont="1" applyBorder="1" applyAlignment="1">
      <alignment horizontal="center" vertical="center"/>
    </xf>
    <xf numFmtId="0" fontId="11" fillId="0" borderId="18" xfId="2" applyFont="1" applyBorder="1" applyAlignment="1">
      <alignment horizontal="center" vertical="center"/>
    </xf>
    <xf numFmtId="0" fontId="11" fillId="0" borderId="22" xfId="2" applyFont="1" applyBorder="1" applyAlignment="1">
      <alignment horizontal="center" vertical="center"/>
    </xf>
    <xf numFmtId="0" fontId="11" fillId="0" borderId="26" xfId="2" applyFont="1" applyBorder="1" applyAlignment="1">
      <alignment horizontal="center" vertical="center"/>
    </xf>
    <xf numFmtId="0" fontId="9" fillId="0" borderId="18" xfId="2" applyFont="1" applyBorder="1" applyAlignment="1">
      <alignment horizontal="center" vertical="center"/>
    </xf>
    <xf numFmtId="0" fontId="9" fillId="0" borderId="26" xfId="2" applyFont="1" applyBorder="1" applyAlignment="1">
      <alignment horizontal="center" vertical="center"/>
    </xf>
    <xf numFmtId="0" fontId="9" fillId="0" borderId="33" xfId="2" applyFont="1" applyBorder="1" applyAlignment="1">
      <alignment horizontal="center" vertical="center"/>
    </xf>
    <xf numFmtId="0" fontId="95" fillId="101" borderId="56" xfId="2" applyFont="1" applyFill="1" applyBorder="1" applyAlignment="1">
      <alignment horizontal="left" vertical="center" wrapText="1"/>
    </xf>
    <xf numFmtId="0" fontId="95" fillId="101" borderId="77" xfId="2" applyFont="1" applyFill="1" applyBorder="1" applyAlignment="1">
      <alignment horizontal="left" vertical="center" wrapText="1"/>
    </xf>
    <xf numFmtId="0" fontId="98" fillId="101" borderId="12" xfId="2" applyFont="1" applyFill="1" applyBorder="1" applyAlignment="1">
      <alignment horizontal="center" vertical="center" wrapText="1"/>
    </xf>
    <xf numFmtId="0" fontId="98" fillId="101" borderId="13" xfId="2" applyFont="1" applyFill="1" applyBorder="1" applyAlignment="1">
      <alignment horizontal="center" vertical="center" wrapText="1"/>
    </xf>
    <xf numFmtId="0" fontId="92" fillId="102" borderId="1" xfId="5" applyFont="1" applyFill="1" applyBorder="1" applyAlignment="1">
      <alignment horizontal="left" vertical="center"/>
    </xf>
    <xf numFmtId="0" fontId="92" fillId="102" borderId="3" xfId="5" applyFont="1" applyFill="1" applyBorder="1" applyAlignment="1">
      <alignment horizontal="left" vertical="center"/>
    </xf>
    <xf numFmtId="0" fontId="92" fillId="102" borderId="4" xfId="5" applyFont="1" applyFill="1" applyBorder="1" applyAlignment="1">
      <alignment horizontal="left" vertical="center"/>
    </xf>
    <xf numFmtId="0" fontId="67" fillId="101" borderId="16" xfId="1" applyNumberFormat="1" applyFont="1" applyFill="1" applyBorder="1" applyAlignment="1" applyProtection="1">
      <alignment horizontal="center" vertical="center" wrapText="1"/>
    </xf>
    <xf numFmtId="0" fontId="67" fillId="101" borderId="19" xfId="1" applyNumberFormat="1" applyFont="1" applyFill="1" applyBorder="1" applyAlignment="1" applyProtection="1">
      <alignment horizontal="center" vertical="center" wrapText="1"/>
    </xf>
    <xf numFmtId="3" fontId="9" fillId="0" borderId="0" xfId="2" applyNumberFormat="1" applyFont="1" applyAlignment="1">
      <alignment horizontal="center" vertical="center"/>
    </xf>
    <xf numFmtId="0" fontId="94" fillId="100" borderId="12" xfId="2" applyFont="1" applyFill="1" applyBorder="1" applyAlignment="1">
      <alignment horizontal="center" vertical="center" wrapText="1"/>
    </xf>
    <xf numFmtId="0" fontId="67" fillId="101" borderId="119" xfId="1" applyNumberFormat="1" applyFont="1" applyFill="1" applyBorder="1" applyAlignment="1" applyProtection="1">
      <alignment horizontal="center" vertical="center" wrapText="1"/>
    </xf>
    <xf numFmtId="0" fontId="67" fillId="101" borderId="32" xfId="1" applyNumberFormat="1" applyFont="1" applyFill="1" applyBorder="1" applyAlignment="1" applyProtection="1">
      <alignment horizontal="center" vertical="center" wrapText="1"/>
    </xf>
    <xf numFmtId="0" fontId="67" fillId="101" borderId="120" xfId="1" applyNumberFormat="1" applyFont="1" applyFill="1" applyBorder="1" applyAlignment="1" applyProtection="1">
      <alignment horizontal="center" vertical="center" wrapText="1"/>
    </xf>
    <xf numFmtId="3" fontId="9" fillId="0" borderId="18" xfId="2" applyNumberFormat="1" applyFont="1" applyBorder="1" applyAlignment="1">
      <alignment horizontal="center" vertical="center"/>
    </xf>
    <xf numFmtId="3" fontId="9" fillId="0" borderId="25" xfId="2" applyNumberFormat="1" applyFont="1" applyBorder="1" applyAlignment="1">
      <alignment horizontal="center" vertical="center"/>
    </xf>
    <xf numFmtId="3" fontId="11" fillId="0" borderId="11" xfId="2" applyNumberFormat="1" applyFont="1" applyBorder="1" applyAlignment="1">
      <alignment horizontal="center" vertical="center"/>
    </xf>
    <xf numFmtId="3" fontId="9" fillId="0" borderId="22" xfId="2" applyNumberFormat="1" applyFont="1" applyBorder="1" applyAlignment="1">
      <alignment horizontal="center" vertical="center"/>
    </xf>
    <xf numFmtId="3" fontId="9" fillId="0" borderId="28" xfId="2" applyNumberFormat="1" applyFont="1" applyBorder="1" applyAlignment="1">
      <alignment horizontal="center" vertical="center"/>
    </xf>
    <xf numFmtId="3" fontId="11" fillId="0" borderId="20" xfId="2" applyNumberFormat="1" applyFont="1" applyBorder="1" applyAlignment="1">
      <alignment horizontal="center" vertical="center"/>
    </xf>
    <xf numFmtId="0" fontId="0" fillId="0" borderId="76" xfId="0" applyBorder="1"/>
    <xf numFmtId="0" fontId="106" fillId="107" borderId="76" xfId="0" applyFont="1" applyFill="1" applyBorder="1" applyAlignment="1">
      <alignment horizontal="left" vertical="center"/>
    </xf>
    <xf numFmtId="0" fontId="106" fillId="106" borderId="76" xfId="0" applyFont="1" applyFill="1" applyBorder="1" applyAlignment="1">
      <alignment horizontal="left" vertical="center"/>
    </xf>
    <xf numFmtId="0" fontId="42" fillId="0" borderId="247" xfId="0" applyFont="1" applyBorder="1" applyAlignment="1">
      <alignment horizontal="center" vertical="center" textRotation="90"/>
    </xf>
    <xf numFmtId="0" fontId="42" fillId="0" borderId="251" xfId="0" applyFont="1" applyBorder="1" applyAlignment="1">
      <alignment horizontal="center" vertical="center" textRotation="90"/>
    </xf>
    <xf numFmtId="0" fontId="42" fillId="0" borderId="252" xfId="0" applyFont="1" applyBorder="1" applyAlignment="1">
      <alignment horizontal="center" vertical="center" textRotation="90"/>
    </xf>
    <xf numFmtId="0" fontId="155" fillId="0" borderId="0" xfId="0" applyFont="1" applyAlignment="1">
      <alignment horizontal="left" wrapText="1"/>
    </xf>
    <xf numFmtId="0" fontId="7" fillId="0" borderId="0" xfId="0" applyFont="1" applyAlignment="1">
      <alignment horizontal="left" wrapText="1"/>
    </xf>
    <xf numFmtId="0" fontId="7" fillId="2" borderId="249" xfId="0" applyFont="1" applyFill="1" applyBorder="1" applyAlignment="1">
      <alignment horizontal="center" vertical="center"/>
    </xf>
    <xf numFmtId="0" fontId="7" fillId="0" borderId="253" xfId="2" applyFont="1" applyBorder="1" applyAlignment="1">
      <alignment horizontal="center"/>
    </xf>
    <xf numFmtId="0" fontId="157" fillId="2" borderId="249" xfId="0" applyFont="1" applyFill="1" applyBorder="1" applyAlignment="1">
      <alignment horizontal="center" vertical="center"/>
    </xf>
    <xf numFmtId="0" fontId="157" fillId="152" borderId="249" xfId="0" applyFont="1" applyFill="1" applyBorder="1" applyAlignment="1">
      <alignment horizontal="center" vertical="center"/>
    </xf>
    <xf numFmtId="0" fontId="6" fillId="63" borderId="256" xfId="2" applyFill="1" applyBorder="1" applyAlignment="1">
      <alignment horizontal="center" vertical="center"/>
    </xf>
    <xf numFmtId="0" fontId="6" fillId="0" borderId="256" xfId="2" applyBorder="1" applyAlignment="1">
      <alignment horizontal="center" vertical="center"/>
    </xf>
    <xf numFmtId="3" fontId="7" fillId="152" borderId="45" xfId="2" applyNumberFormat="1" applyFont="1" applyFill="1" applyBorder="1" applyAlignment="1">
      <alignment horizontal="center" vertical="center"/>
    </xf>
    <xf numFmtId="3" fontId="7" fillId="152" borderId="45" xfId="42" applyNumberFormat="1" applyFont="1" applyFill="1" applyBorder="1" applyAlignment="1">
      <alignment horizontal="center" vertical="center"/>
    </xf>
    <xf numFmtId="3" fontId="7" fillId="152" borderId="207" xfId="42" applyNumberFormat="1" applyFont="1" applyFill="1" applyBorder="1" applyAlignment="1">
      <alignment horizontal="center" vertical="center"/>
    </xf>
    <xf numFmtId="3" fontId="7" fillId="152" borderId="56" xfId="42" applyNumberFormat="1" applyFont="1" applyFill="1" applyBorder="1" applyAlignment="1">
      <alignment horizontal="center" vertical="center"/>
    </xf>
    <xf numFmtId="3" fontId="7" fillId="152" borderId="59" xfId="42" applyNumberFormat="1" applyFont="1" applyFill="1" applyBorder="1" applyAlignment="1">
      <alignment horizontal="center" vertical="center"/>
    </xf>
    <xf numFmtId="0" fontId="7" fillId="2" borderId="161" xfId="2" applyFont="1" applyFill="1" applyBorder="1" applyAlignment="1">
      <alignment horizontal="center" vertical="center"/>
    </xf>
    <xf numFmtId="0" fontId="7" fillId="2" borderId="209" xfId="2" applyFont="1" applyFill="1" applyBorder="1" applyAlignment="1">
      <alignment horizontal="center" vertical="center"/>
    </xf>
    <xf numFmtId="0" fontId="7" fillId="2" borderId="210" xfId="2" applyFont="1" applyFill="1" applyBorder="1" applyAlignment="1">
      <alignment horizontal="center" vertical="center"/>
    </xf>
    <xf numFmtId="0" fontId="7" fillId="2" borderId="211" xfId="2" applyFont="1" applyFill="1" applyBorder="1" applyAlignment="1">
      <alignment horizontal="center" vertical="center"/>
    </xf>
    <xf numFmtId="0" fontId="48" fillId="0" borderId="76" xfId="29" applyBorder="1"/>
    <xf numFmtId="0" fontId="106" fillId="107" borderId="76" xfId="29" applyFont="1" applyFill="1" applyBorder="1" applyAlignment="1">
      <alignment horizontal="left" vertical="center"/>
    </xf>
    <xf numFmtId="0" fontId="106" fillId="106" borderId="76" xfId="29" applyFont="1" applyFill="1" applyBorder="1" applyAlignment="1">
      <alignment horizontal="left" vertical="center"/>
    </xf>
    <xf numFmtId="0" fontId="6" fillId="0" borderId="24" xfId="2" applyBorder="1" applyAlignment="1">
      <alignment horizontal="center"/>
    </xf>
    <xf numFmtId="0" fontId="6" fillId="0" borderId="23" xfId="2" applyBorder="1" applyAlignment="1">
      <alignment horizontal="center"/>
    </xf>
    <xf numFmtId="0" fontId="6" fillId="0" borderId="25" xfId="2" applyBorder="1" applyAlignment="1">
      <alignment horizontal="center"/>
    </xf>
    <xf numFmtId="0" fontId="10" fillId="11" borderId="33" xfId="2" applyFont="1" applyFill="1" applyBorder="1" applyAlignment="1">
      <alignment horizontal="center"/>
    </xf>
    <xf numFmtId="0" fontId="6" fillId="11" borderId="33" xfId="2" applyFill="1" applyBorder="1" applyAlignment="1">
      <alignment horizontal="center"/>
    </xf>
    <xf numFmtId="0" fontId="10" fillId="11" borderId="33" xfId="2" applyFont="1" applyFill="1" applyBorder="1" applyAlignment="1">
      <alignment horizontal="center" wrapText="1"/>
    </xf>
    <xf numFmtId="0" fontId="6" fillId="11" borderId="33" xfId="2" applyFill="1" applyBorder="1" applyAlignment="1">
      <alignment horizontal="center" wrapText="1"/>
    </xf>
    <xf numFmtId="0" fontId="6" fillId="26" borderId="1" xfId="2" applyFill="1" applyBorder="1" applyAlignment="1">
      <alignment horizontal="center" vertical="center" textRotation="90"/>
    </xf>
    <xf numFmtId="0" fontId="6" fillId="26" borderId="3" xfId="2" applyFill="1" applyBorder="1" applyAlignment="1">
      <alignment horizontal="center" vertical="center" textRotation="90"/>
    </xf>
    <xf numFmtId="0" fontId="6" fillId="26" borderId="4" xfId="2" applyFill="1" applyBorder="1" applyAlignment="1">
      <alignment horizontal="center" vertical="center" textRotation="90"/>
    </xf>
    <xf numFmtId="0" fontId="6" fillId="0" borderId="16" xfId="2" applyBorder="1" applyAlignment="1">
      <alignment horizontal="center" wrapText="1"/>
    </xf>
    <xf numFmtId="0" fontId="6" fillId="0" borderId="9" xfId="2" applyBorder="1" applyAlignment="1">
      <alignment horizontal="center" wrapText="1"/>
    </xf>
    <xf numFmtId="0" fontId="6" fillId="0" borderId="48" xfId="2" applyBorder="1" applyAlignment="1">
      <alignment horizontal="center" wrapText="1"/>
    </xf>
    <xf numFmtId="0" fontId="10" fillId="144" borderId="1" xfId="2" applyFont="1" applyFill="1" applyBorder="1" applyAlignment="1">
      <alignment horizontal="center" vertical="center" textRotation="90"/>
    </xf>
    <xf numFmtId="0" fontId="10" fillId="144" borderId="3" xfId="2" applyFont="1" applyFill="1" applyBorder="1" applyAlignment="1">
      <alignment horizontal="center" vertical="center" textRotation="90"/>
    </xf>
    <xf numFmtId="0" fontId="10" fillId="144" borderId="4" xfId="2" applyFont="1" applyFill="1" applyBorder="1" applyAlignment="1">
      <alignment horizontal="center" vertical="center" textRotation="90"/>
    </xf>
    <xf numFmtId="0" fontId="6" fillId="71" borderId="1" xfId="2" applyFill="1" applyBorder="1" applyAlignment="1">
      <alignment horizontal="center"/>
    </xf>
    <xf numFmtId="0" fontId="6" fillId="71" borderId="3" xfId="2" applyFill="1" applyBorder="1" applyAlignment="1">
      <alignment horizontal="center"/>
    </xf>
    <xf numFmtId="0" fontId="6" fillId="71" borderId="4" xfId="2" applyFill="1" applyBorder="1" applyAlignment="1">
      <alignment horizontal="center"/>
    </xf>
    <xf numFmtId="0" fontId="10" fillId="11" borderId="33" xfId="2" applyFont="1" applyFill="1" applyBorder="1" applyAlignment="1">
      <alignment horizontal="center" vertical="center" wrapText="1"/>
    </xf>
    <xf numFmtId="0" fontId="6" fillId="11" borderId="33" xfId="2" applyFill="1" applyBorder="1" applyAlignment="1">
      <alignment horizontal="center" vertical="center" wrapText="1"/>
    </xf>
    <xf numFmtId="0" fontId="7" fillId="10" borderId="183" xfId="2" applyFont="1" applyFill="1" applyBorder="1" applyAlignment="1">
      <alignment horizontal="center"/>
    </xf>
    <xf numFmtId="0" fontId="7" fillId="10" borderId="171" xfId="2" applyFont="1" applyFill="1" applyBorder="1" applyAlignment="1">
      <alignment horizontal="center"/>
    </xf>
    <xf numFmtId="0" fontId="146" fillId="151" borderId="18" xfId="21" applyFont="1" applyFill="1" applyBorder="1" applyAlignment="1">
      <alignment horizontal="center"/>
    </xf>
    <xf numFmtId="0" fontId="146" fillId="151" borderId="22" xfId="21" applyFont="1" applyFill="1" applyBorder="1" applyAlignment="1">
      <alignment horizontal="center"/>
    </xf>
    <xf numFmtId="0" fontId="146" fillId="151" borderId="26" xfId="21" applyFont="1" applyFill="1" applyBorder="1" applyAlignment="1">
      <alignment horizontal="center"/>
    </xf>
    <xf numFmtId="0" fontId="5" fillId="151" borderId="136" xfId="21" applyFont="1" applyFill="1" applyBorder="1" applyAlignment="1">
      <alignment horizontal="center" vertical="center"/>
    </xf>
    <xf numFmtId="0" fontId="5" fillId="151" borderId="185" xfId="21" applyFont="1" applyFill="1" applyBorder="1" applyAlignment="1">
      <alignment horizontal="center" vertical="center"/>
    </xf>
    <xf numFmtId="0" fontId="5" fillId="151" borderId="188" xfId="21" applyFont="1" applyFill="1" applyBorder="1" applyAlignment="1">
      <alignment horizontal="center" vertical="center"/>
    </xf>
    <xf numFmtId="0" fontId="146" fillId="149" borderId="191" xfId="21" applyFont="1" applyFill="1" applyBorder="1" applyAlignment="1">
      <alignment horizontal="center"/>
    </xf>
    <xf numFmtId="0" fontId="146" fillId="149" borderId="192" xfId="21" applyFont="1" applyFill="1" applyBorder="1" applyAlignment="1">
      <alignment horizontal="center"/>
    </xf>
    <xf numFmtId="0" fontId="146" fillId="149" borderId="193" xfId="21" applyFont="1" applyFill="1" applyBorder="1" applyAlignment="1">
      <alignment horizontal="center"/>
    </xf>
    <xf numFmtId="0" fontId="1" fillId="149" borderId="71" xfId="21" applyFill="1" applyBorder="1" applyAlignment="1">
      <alignment horizontal="center" vertical="center"/>
    </xf>
    <xf numFmtId="0" fontId="1" fillId="149" borderId="201" xfId="21" applyFill="1" applyBorder="1" applyAlignment="1">
      <alignment horizontal="center" vertical="center"/>
    </xf>
  </cellXfs>
  <cellStyles count="51">
    <cellStyle name="Hipervínculo 2" xfId="3" xr:uid="{00000000-0005-0000-0000-000001000000}"/>
    <cellStyle name="Millares" xfId="44" builtinId="3"/>
    <cellStyle name="Millares [0] 2" xfId="17" xr:uid="{00000000-0005-0000-0000-000003000000}"/>
    <cellStyle name="Millares 2" xfId="11" xr:uid="{00000000-0005-0000-0000-000004000000}"/>
    <cellStyle name="Millares 3" xfId="12" xr:uid="{00000000-0005-0000-0000-000005000000}"/>
    <cellStyle name="Millares 4" xfId="35" xr:uid="{00000000-0005-0000-0000-000006000000}"/>
    <cellStyle name="Millares 5" xfId="42" xr:uid="{00000000-0005-0000-0000-000007000000}"/>
    <cellStyle name="Millares 6" xfId="46" xr:uid="{00000000-0005-0000-0000-000008000000}"/>
    <cellStyle name="Moneda 2" xfId="8" xr:uid="{00000000-0005-0000-0000-000009000000}"/>
    <cellStyle name="Normal" xfId="0" builtinId="0"/>
    <cellStyle name="Normal 10" xfId="19" xr:uid="{00000000-0005-0000-0000-00000B000000}"/>
    <cellStyle name="Normal 11" xfId="36" xr:uid="{00000000-0005-0000-0000-00000C000000}"/>
    <cellStyle name="Normal 12" xfId="29" xr:uid="{00000000-0005-0000-0000-00000D000000}"/>
    <cellStyle name="Normal 13" xfId="4" xr:uid="{00000000-0005-0000-0000-00000E000000}"/>
    <cellStyle name="Normal 14" xfId="23" xr:uid="{00000000-0005-0000-0000-00000F000000}"/>
    <cellStyle name="Normal 15" xfId="16" xr:uid="{00000000-0005-0000-0000-000010000000}"/>
    <cellStyle name="Normal 2" xfId="2" xr:uid="{00000000-0005-0000-0000-000011000000}"/>
    <cellStyle name="Normal 2 2" xfId="5" xr:uid="{00000000-0005-0000-0000-000012000000}"/>
    <cellStyle name="Normal 2 6" xfId="15" xr:uid="{00000000-0005-0000-0000-000013000000}"/>
    <cellStyle name="Normal 2 7" xfId="20" xr:uid="{00000000-0005-0000-0000-000014000000}"/>
    <cellStyle name="Normal 2 8" xfId="7" xr:uid="{00000000-0005-0000-0000-000015000000}"/>
    <cellStyle name="Normal 2 9" xfId="25" xr:uid="{00000000-0005-0000-0000-000016000000}"/>
    <cellStyle name="Normal 3" xfId="10" xr:uid="{00000000-0005-0000-0000-000017000000}"/>
    <cellStyle name="Normal 3 2" xfId="45" xr:uid="{00000000-0005-0000-0000-000018000000}"/>
    <cellStyle name="Normal 3 3" xfId="49" xr:uid="{60CE737D-1B64-4B87-B80A-88953C105DCB}"/>
    <cellStyle name="Normal 4 6" xfId="21" xr:uid="{00000000-0005-0000-0000-000019000000}"/>
    <cellStyle name="Normal 6" xfId="27" xr:uid="{00000000-0005-0000-0000-00001A000000}"/>
    <cellStyle name="Normal 7" xfId="14" xr:uid="{00000000-0005-0000-0000-00001B000000}"/>
    <cellStyle name="Normal 9" xfId="26" xr:uid="{00000000-0005-0000-0000-00001C000000}"/>
    <cellStyle name="Normal_Envases ligeros" xfId="39" xr:uid="{00000000-0005-0000-0000-00001E000000}"/>
    <cellStyle name="Normal_Envases ligeros_1" xfId="38" xr:uid="{00000000-0005-0000-0000-00001F000000}"/>
    <cellStyle name="Normal_Hoja2" xfId="40" xr:uid="{00000000-0005-0000-0000-000020000000}"/>
    <cellStyle name="Normala 2" xfId="50" xr:uid="{2B1185D1-0459-40D2-847E-4F0D668291E7}"/>
    <cellStyle name="Normala_2014-gipuzkoako-WEB DFG_2016.02.22" xfId="32" xr:uid="{00000000-0005-0000-0000-000021000000}"/>
    <cellStyle name="Normala_2015-gipuzkoako-datu-orria_hilabetez_2016.02.15_sinUR" xfId="30" xr:uid="{00000000-0005-0000-0000-000022000000}"/>
    <cellStyle name="Normala_2015-gipuzkoako-datu-orria_hilabetez_2016.02.15_UR Junio" xfId="34" xr:uid="{00000000-0005-0000-0000-000023000000}"/>
    <cellStyle name="Normala_Sasieta hilabetez herrika" xfId="33" xr:uid="{00000000-0005-0000-0000-000024000000}"/>
    <cellStyle name="Porcentaje" xfId="41" builtinId="5"/>
    <cellStyle name="Porcentaje 2" xfId="6" xr:uid="{00000000-0005-0000-0000-000026000000}"/>
    <cellStyle name="Porcentaje 2 2" xfId="48" xr:uid="{00000000-0005-0000-0000-000027000000}"/>
    <cellStyle name="Porcentaje 3" xfId="37" xr:uid="{00000000-0005-0000-0000-000028000000}"/>
    <cellStyle name="Porcentaje 4" xfId="22" xr:uid="{00000000-0005-0000-0000-000029000000}"/>
    <cellStyle name="Porcentaje 5" xfId="31" xr:uid="{00000000-0005-0000-0000-00002A000000}"/>
    <cellStyle name="Porcentaje 6" xfId="9" xr:uid="{00000000-0005-0000-0000-00002B000000}"/>
    <cellStyle name="Porcentaje 7" xfId="24" xr:uid="{00000000-0005-0000-0000-00002C000000}"/>
    <cellStyle name="Porcentaje 8" xfId="18" xr:uid="{00000000-0005-0000-0000-00002D000000}"/>
    <cellStyle name="Porcentaje 9" xfId="47" xr:uid="{00000000-0005-0000-0000-00002E000000}"/>
    <cellStyle name="Porcentual 2" xfId="13" xr:uid="{00000000-0005-0000-0000-00002F000000}"/>
    <cellStyle name="Porcentual 7" xfId="28" xr:uid="{00000000-0005-0000-0000-000030000000}"/>
    <cellStyle name="Salida" xfId="43" builtinId="21"/>
    <cellStyle name="Texto explicativo" xfId="1" builtinId="53"/>
  </cellStyles>
  <dxfs count="189">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00000000-0011-0000-FFFF-FFFF00000000}"/>
  </tableStyles>
  <colors>
    <mruColors>
      <color rgb="FFCC0000"/>
      <color rgb="FF33CCCC"/>
      <color rgb="FFFF99FF"/>
      <color rgb="FFFF00FF"/>
      <color rgb="FFFFCC99"/>
      <color rgb="FFFF33CC"/>
      <color rgb="FFFF99CC"/>
      <color rgb="FF008000"/>
      <color rgb="FF66FF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55"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57" Type="http://schemas.openxmlformats.org/officeDocument/2006/relationships/customXml" Target="../customXml/item4.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microsoft.com/office/2017/10/relationships/person" Target="persons/perso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0.15671837427507312"/>
          <c:y val="0"/>
          <c:w val="0.68308123909660989"/>
          <c:h val="0.97132616487455159"/>
        </c:manualLayout>
      </c:layout>
      <c:pie3DChart>
        <c:varyColors val="1"/>
        <c:ser>
          <c:idx val="0"/>
          <c:order val="0"/>
          <c:explosion val="25"/>
          <c:dLbls>
            <c:dLbl>
              <c:idx val="0"/>
              <c:layout>
                <c:manualLayout>
                  <c:x val="3.6471030673404813E-2"/>
                  <c:y val="2.0602263426749219E-3"/>
                </c:manualLayout>
              </c:layout>
              <c:numFmt formatCode="0.0%" sourceLinked="0"/>
              <c:spPr>
                <a:noFill/>
                <a:ln w="25400">
                  <a:noFill/>
                </a:ln>
              </c:spPr>
              <c:txPr>
                <a:bodyPr/>
                <a:lstStyle/>
                <a:p>
                  <a:pPr>
                    <a:defRPr sz="800"/>
                  </a:pPr>
                  <a:endParaRPr lang="es-ES"/>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4D-4628-9C76-67FBD82BF895}"/>
                </c:ext>
              </c:extLst>
            </c:dLbl>
            <c:dLbl>
              <c:idx val="1"/>
              <c:layout>
                <c:manualLayout>
                  <c:x val="-0.14712939240803846"/>
                  <c:y val="5.2118364236728651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4D-4628-9C76-67FBD82BF895}"/>
                </c:ext>
              </c:extLst>
            </c:dLbl>
            <c:dLbl>
              <c:idx val="2"/>
              <c:layout>
                <c:manualLayout>
                  <c:x val="-7.356571473341951E-2"/>
                  <c:y val="-0.1632918465836935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34D-4628-9C76-67FBD82BF895}"/>
                </c:ext>
              </c:extLst>
            </c:dLbl>
            <c:dLbl>
              <c:idx val="3"/>
              <c:layout>
                <c:manualLayout>
                  <c:x val="4.0753398362518116E-2"/>
                  <c:y val="-0.25835294781700774"/>
                </c:manualLayout>
              </c:layout>
              <c:numFmt formatCode="0%" sourceLinked="0"/>
              <c:spPr>
                <a:noFill/>
                <a:ln w="25400">
                  <a:noFill/>
                </a:ln>
              </c:spPr>
              <c:txPr>
                <a:bodyPr/>
                <a:lstStyle/>
                <a:p>
                  <a:pPr>
                    <a:defRPr sz="800">
                      <a:solidFill>
                        <a:schemeClr val="bg1"/>
                      </a:solidFill>
                    </a:defRPr>
                  </a:pPr>
                  <a:endParaRPr lang="es-ES"/>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34D-4628-9C76-67FBD82BF895}"/>
                </c:ext>
              </c:extLst>
            </c:dLbl>
            <c:dLbl>
              <c:idx val="4"/>
              <c:layout>
                <c:manualLayout>
                  <c:x val="0.13087711051043993"/>
                  <c:y val="4.6066378799424268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34D-4628-9C76-67FBD82BF895}"/>
                </c:ext>
              </c:extLst>
            </c:dLbl>
            <c:dLbl>
              <c:idx val="5"/>
              <c:layout>
                <c:manualLayout>
                  <c:x val="-2.5089826458259971E-2"/>
                  <c:y val="2.8290012135579897E-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34D-4628-9C76-67FBD82BF895}"/>
                </c:ext>
              </c:extLst>
            </c:dLbl>
            <c:numFmt formatCode="0%" sourceLinked="0"/>
            <c:spPr>
              <a:noFill/>
              <a:ln w="25400">
                <a:noFill/>
              </a:ln>
            </c:spPr>
            <c:txPr>
              <a:bodyPr/>
              <a:lstStyle/>
              <a:p>
                <a:pPr>
                  <a:defRPr sz="800"/>
                </a:pPr>
                <a:endParaRPr lang="es-ES"/>
              </a:p>
            </c:txPr>
            <c:showLegendKey val="0"/>
            <c:showVal val="1"/>
            <c:showCatName val="0"/>
            <c:showSerName val="0"/>
            <c:showPercent val="0"/>
            <c:showBubbleSize val="0"/>
            <c:showLeaderLines val="1"/>
            <c:extLst>
              <c:ext xmlns:c15="http://schemas.microsoft.com/office/drawing/2012/chart" uri="{CE6537A1-D6FC-4f65-9D91-7224C49458BB}"/>
            </c:extLst>
          </c:dLbls>
          <c:cat>
            <c:strRef>
              <c:f>'Gestion final CAPV 2018'!$E$94:$J$94</c:f>
              <c:strCache>
                <c:ptCount val="6"/>
                <c:pt idx="0">
                  <c:v>% PREP. PARA LA REUTILIZACIÓN</c:v>
                </c:pt>
                <c:pt idx="1">
                  <c:v>% RECICLAJE</c:v>
                </c:pt>
                <c:pt idx="2">
                  <c:v>% COMPOSTAJE</c:v>
                </c:pt>
                <c:pt idx="3">
                  <c:v>% VALORIZACIÓN ENERGÉTICA</c:v>
                </c:pt>
                <c:pt idx="4">
                  <c:v>% ELIMINACIÓN</c:v>
                </c:pt>
                <c:pt idx="5">
                  <c:v>% ALMACENAMIENTO BIOESTABILIZADO</c:v>
                </c:pt>
              </c:strCache>
            </c:strRef>
          </c:cat>
          <c:val>
            <c:numRef>
              <c:f>'Gestion final CAPV 2018'!$E$97:$J$97</c:f>
              <c:numCache>
                <c:formatCode>0%</c:formatCode>
                <c:ptCount val="6"/>
                <c:pt idx="0" formatCode="0.0%">
                  <c:v>0</c:v>
                </c:pt>
                <c:pt idx="1">
                  <c:v>0</c:v>
                </c:pt>
                <c:pt idx="2">
                  <c:v>0</c:v>
                </c:pt>
                <c:pt idx="3">
                  <c:v>0</c:v>
                </c:pt>
                <c:pt idx="4">
                  <c:v>0</c:v>
                </c:pt>
                <c:pt idx="5">
                  <c:v>0</c:v>
                </c:pt>
              </c:numCache>
            </c:numRef>
          </c:val>
          <c:extLst>
            <c:ext xmlns:c16="http://schemas.microsoft.com/office/drawing/2014/chart" uri="{C3380CC4-5D6E-409C-BE32-E72D297353CC}">
              <c16:uniqueId val="{00000006-F34D-4628-9C76-67FBD82BF895}"/>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2.9780564263322883E-2"/>
          <c:y val="0.84900521113006122"/>
          <c:w val="0.92633228840125392"/>
          <c:h val="0.12820548490219044"/>
        </c:manualLayout>
      </c:layout>
      <c:overlay val="0"/>
      <c:spPr>
        <a:ln>
          <a:solidFill>
            <a:srgbClr val="01017F"/>
          </a:solidFill>
        </a:ln>
      </c:spPr>
      <c:txPr>
        <a:bodyPr/>
        <a:lstStyle/>
        <a:p>
          <a:pPr rtl="0">
            <a:defRPr/>
          </a:pPr>
          <a:endParaRPr lang="es-ES"/>
        </a:p>
      </c:txPr>
    </c:legend>
    <c:plotVisOnly val="1"/>
    <c:dispBlanksAs val="zero"/>
    <c:showDLblsOverMax val="0"/>
  </c:chart>
  <c:spPr>
    <a:ln>
      <a:noFill/>
    </a:ln>
  </c:spPr>
  <c:printSettings>
    <c:headerFooter/>
    <c:pageMargins b="0.75000000000000377" l="0.70000000000000062" r="0.70000000000000062" t="0.75000000000000377"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emf"/></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31</xdr:col>
      <xdr:colOff>247650</xdr:colOff>
      <xdr:row>53</xdr:row>
      <xdr:rowOff>123825</xdr:rowOff>
    </xdr:from>
    <xdr:to>
      <xdr:col>39</xdr:col>
      <xdr:colOff>792085</xdr:colOff>
      <xdr:row>64</xdr:row>
      <xdr:rowOff>104324</xdr:rowOff>
    </xdr:to>
    <xdr:pic>
      <xdr:nvPicPr>
        <xdr:cNvPr id="2" name="Imagen 1">
          <a:extLst>
            <a:ext uri="{FF2B5EF4-FFF2-40B4-BE49-F238E27FC236}">
              <a16:creationId xmlns:a16="http://schemas.microsoft.com/office/drawing/2014/main" id="{8E314619-B416-1342-F62D-DE2C401C3FBD}"/>
            </a:ext>
          </a:extLst>
        </xdr:cNvPr>
        <xdr:cNvPicPr>
          <a:picLocks noChangeAspect="1"/>
        </xdr:cNvPicPr>
      </xdr:nvPicPr>
      <xdr:blipFill>
        <a:blip xmlns:r="http://schemas.openxmlformats.org/officeDocument/2006/relationships" r:embed="rId1"/>
        <a:stretch>
          <a:fillRect/>
        </a:stretch>
      </xdr:blipFill>
      <xdr:spPr>
        <a:xfrm>
          <a:off x="30108525" y="7696200"/>
          <a:ext cx="5847619" cy="36095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425823</xdr:colOff>
      <xdr:row>92</xdr:row>
      <xdr:rowOff>100853</xdr:rowOff>
    </xdr:from>
    <xdr:to>
      <xdr:col>9</xdr:col>
      <xdr:colOff>721098</xdr:colOff>
      <xdr:row>115</xdr:row>
      <xdr:rowOff>96370</xdr:rowOff>
    </xdr:to>
    <xdr:pic>
      <xdr:nvPicPr>
        <xdr:cNvPr id="2" name="Imagen 1">
          <a:extLst>
            <a:ext uri="{FF2B5EF4-FFF2-40B4-BE49-F238E27FC236}">
              <a16:creationId xmlns:a16="http://schemas.microsoft.com/office/drawing/2014/main" id="{00000000-0008-0000-3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5823" y="18150728"/>
          <a:ext cx="7153275" cy="37197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29</xdr:row>
      <xdr:rowOff>0</xdr:rowOff>
    </xdr:from>
    <xdr:to>
      <xdr:col>1</xdr:col>
      <xdr:colOff>69850</xdr:colOff>
      <xdr:row>29</xdr:row>
      <xdr:rowOff>190500</xdr:rowOff>
    </xdr:to>
    <xdr:sp macro="" textlink="">
      <xdr:nvSpPr>
        <xdr:cNvPr id="2" name="Text Box 1">
          <a:extLst>
            <a:ext uri="{FF2B5EF4-FFF2-40B4-BE49-F238E27FC236}">
              <a16:creationId xmlns:a16="http://schemas.microsoft.com/office/drawing/2014/main" id="{00000000-0008-0000-1900-000002000000}"/>
            </a:ext>
          </a:extLst>
        </xdr:cNvPr>
        <xdr:cNvSpPr txBox="1">
          <a:spLocks noChangeArrowheads="1"/>
        </xdr:cNvSpPr>
      </xdr:nvSpPr>
      <xdr:spPr bwMode="auto">
        <a:xfrm>
          <a:off x="9058275" y="5200650"/>
          <a:ext cx="66675" cy="190500"/>
        </a:xfrm>
        <a:prstGeom prst="rect">
          <a:avLst/>
        </a:prstGeom>
        <a:noFill/>
        <a:ln w="9525">
          <a:noFill/>
          <a:miter lim="800000"/>
          <a:headEnd/>
          <a:tailEnd/>
        </a:ln>
      </xdr:spPr>
    </xdr:sp>
    <xdr:clientData/>
  </xdr:twoCellAnchor>
  <xdr:twoCellAnchor editAs="oneCell">
    <xdr:from>
      <xdr:col>1</xdr:col>
      <xdr:colOff>0</xdr:colOff>
      <xdr:row>29</xdr:row>
      <xdr:rowOff>0</xdr:rowOff>
    </xdr:from>
    <xdr:to>
      <xdr:col>1</xdr:col>
      <xdr:colOff>69850</xdr:colOff>
      <xdr:row>29</xdr:row>
      <xdr:rowOff>190500</xdr:rowOff>
    </xdr:to>
    <xdr:sp macro="" textlink="">
      <xdr:nvSpPr>
        <xdr:cNvPr id="3" name="Text Box 2">
          <a:extLst>
            <a:ext uri="{FF2B5EF4-FFF2-40B4-BE49-F238E27FC236}">
              <a16:creationId xmlns:a16="http://schemas.microsoft.com/office/drawing/2014/main" id="{00000000-0008-0000-1900-000003000000}"/>
            </a:ext>
          </a:extLst>
        </xdr:cNvPr>
        <xdr:cNvSpPr txBox="1">
          <a:spLocks noChangeArrowheads="1"/>
        </xdr:cNvSpPr>
      </xdr:nvSpPr>
      <xdr:spPr bwMode="auto">
        <a:xfrm>
          <a:off x="9058275" y="5200650"/>
          <a:ext cx="66675" cy="190500"/>
        </a:xfrm>
        <a:prstGeom prst="rect">
          <a:avLst/>
        </a:prstGeom>
        <a:noFill/>
        <a:ln w="9525">
          <a:noFill/>
          <a:miter lim="800000"/>
          <a:headEnd/>
          <a:tailEnd/>
        </a:ln>
      </xdr:spPr>
    </xdr:sp>
    <xdr:clientData/>
  </xdr:twoCellAnchor>
  <xdr:twoCellAnchor editAs="oneCell">
    <xdr:from>
      <xdr:col>1</xdr:col>
      <xdr:colOff>0</xdr:colOff>
      <xdr:row>26</xdr:row>
      <xdr:rowOff>0</xdr:rowOff>
    </xdr:from>
    <xdr:to>
      <xdr:col>1</xdr:col>
      <xdr:colOff>69850</xdr:colOff>
      <xdr:row>27</xdr:row>
      <xdr:rowOff>31750</xdr:rowOff>
    </xdr:to>
    <xdr:sp macro="" textlink="">
      <xdr:nvSpPr>
        <xdr:cNvPr id="4" name="Text Box 3">
          <a:extLst>
            <a:ext uri="{FF2B5EF4-FFF2-40B4-BE49-F238E27FC236}">
              <a16:creationId xmlns:a16="http://schemas.microsoft.com/office/drawing/2014/main" id="{00000000-0008-0000-1900-000004000000}"/>
            </a:ext>
          </a:extLst>
        </xdr:cNvPr>
        <xdr:cNvSpPr txBox="1">
          <a:spLocks noChangeArrowheads="1"/>
        </xdr:cNvSpPr>
      </xdr:nvSpPr>
      <xdr:spPr bwMode="auto">
        <a:xfrm>
          <a:off x="9058275" y="4600575"/>
          <a:ext cx="66675" cy="190500"/>
        </a:xfrm>
        <a:prstGeom prst="rect">
          <a:avLst/>
        </a:prstGeom>
        <a:noFill/>
        <a:ln w="9525">
          <a:noFill/>
          <a:miter lim="800000"/>
          <a:headEnd/>
          <a:tailEnd/>
        </a:ln>
      </xdr:spPr>
    </xdr:sp>
    <xdr:clientData/>
  </xdr:twoCellAnchor>
  <xdr:twoCellAnchor editAs="oneCell">
    <xdr:from>
      <xdr:col>1</xdr:col>
      <xdr:colOff>0</xdr:colOff>
      <xdr:row>25</xdr:row>
      <xdr:rowOff>0</xdr:rowOff>
    </xdr:from>
    <xdr:to>
      <xdr:col>1</xdr:col>
      <xdr:colOff>69850</xdr:colOff>
      <xdr:row>26</xdr:row>
      <xdr:rowOff>19050</xdr:rowOff>
    </xdr:to>
    <xdr:sp macro="" textlink="">
      <xdr:nvSpPr>
        <xdr:cNvPr id="5" name="Text Box 4">
          <a:extLst>
            <a:ext uri="{FF2B5EF4-FFF2-40B4-BE49-F238E27FC236}">
              <a16:creationId xmlns:a16="http://schemas.microsoft.com/office/drawing/2014/main" id="{00000000-0008-0000-1900-000005000000}"/>
            </a:ext>
          </a:extLst>
        </xdr:cNvPr>
        <xdr:cNvSpPr txBox="1">
          <a:spLocks noChangeArrowheads="1"/>
        </xdr:cNvSpPr>
      </xdr:nvSpPr>
      <xdr:spPr bwMode="auto">
        <a:xfrm>
          <a:off x="9058275" y="4429125"/>
          <a:ext cx="66675" cy="190500"/>
        </a:xfrm>
        <a:prstGeom prst="rect">
          <a:avLst/>
        </a:prstGeom>
        <a:noFill/>
        <a:ln w="9525">
          <a:noFill/>
          <a:miter lim="800000"/>
          <a:headEnd/>
          <a:tailEnd/>
        </a:ln>
      </xdr:spPr>
    </xdr:sp>
    <xdr:clientData/>
  </xdr:twoCellAnchor>
  <xdr:twoCellAnchor editAs="oneCell">
    <xdr:from>
      <xdr:col>1</xdr:col>
      <xdr:colOff>0</xdr:colOff>
      <xdr:row>25</xdr:row>
      <xdr:rowOff>0</xdr:rowOff>
    </xdr:from>
    <xdr:to>
      <xdr:col>1</xdr:col>
      <xdr:colOff>69850</xdr:colOff>
      <xdr:row>26</xdr:row>
      <xdr:rowOff>19050</xdr:rowOff>
    </xdr:to>
    <xdr:sp macro="" textlink="">
      <xdr:nvSpPr>
        <xdr:cNvPr id="6" name="Text Box 5">
          <a:extLst>
            <a:ext uri="{FF2B5EF4-FFF2-40B4-BE49-F238E27FC236}">
              <a16:creationId xmlns:a16="http://schemas.microsoft.com/office/drawing/2014/main" id="{00000000-0008-0000-1900-000006000000}"/>
            </a:ext>
          </a:extLst>
        </xdr:cNvPr>
        <xdr:cNvSpPr txBox="1">
          <a:spLocks noChangeArrowheads="1"/>
        </xdr:cNvSpPr>
      </xdr:nvSpPr>
      <xdr:spPr bwMode="auto">
        <a:xfrm>
          <a:off x="9058275" y="4429125"/>
          <a:ext cx="66675" cy="19050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295275</xdr:colOff>
      <xdr:row>0</xdr:row>
      <xdr:rowOff>0</xdr:rowOff>
    </xdr:from>
    <xdr:to>
      <xdr:col>1</xdr:col>
      <xdr:colOff>361950</xdr:colOff>
      <xdr:row>0</xdr:row>
      <xdr:rowOff>190500</xdr:rowOff>
    </xdr:to>
    <xdr:sp macro="" textlink="">
      <xdr:nvSpPr>
        <xdr:cNvPr id="2" name="Text Box 2">
          <a:extLst>
            <a:ext uri="{FF2B5EF4-FFF2-40B4-BE49-F238E27FC236}">
              <a16:creationId xmlns:a16="http://schemas.microsoft.com/office/drawing/2014/main" id="{00000000-0008-0000-1C00-000002000000}"/>
            </a:ext>
          </a:extLst>
        </xdr:cNvPr>
        <xdr:cNvSpPr txBox="1">
          <a:spLocks noChangeArrowheads="1"/>
        </xdr:cNvSpPr>
      </xdr:nvSpPr>
      <xdr:spPr bwMode="auto">
        <a:xfrm>
          <a:off x="2857500" y="0"/>
          <a:ext cx="66675" cy="190500"/>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3" name="Text Box 1">
          <a:extLst>
            <a:ext uri="{FF2B5EF4-FFF2-40B4-BE49-F238E27FC236}">
              <a16:creationId xmlns:a16="http://schemas.microsoft.com/office/drawing/2014/main" id="{00000000-0008-0000-1C00-000003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 name="Text Box 4">
          <a:extLst>
            <a:ext uri="{FF2B5EF4-FFF2-40B4-BE49-F238E27FC236}">
              <a16:creationId xmlns:a16="http://schemas.microsoft.com/office/drawing/2014/main" id="{00000000-0008-0000-1C00-000004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5" name="Text Box 5">
          <a:extLst>
            <a:ext uri="{FF2B5EF4-FFF2-40B4-BE49-F238E27FC236}">
              <a16:creationId xmlns:a16="http://schemas.microsoft.com/office/drawing/2014/main" id="{00000000-0008-0000-1C00-000005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295275</xdr:colOff>
      <xdr:row>0</xdr:row>
      <xdr:rowOff>0</xdr:rowOff>
    </xdr:from>
    <xdr:to>
      <xdr:col>1</xdr:col>
      <xdr:colOff>361950</xdr:colOff>
      <xdr:row>0</xdr:row>
      <xdr:rowOff>190500</xdr:rowOff>
    </xdr:to>
    <xdr:sp macro="" textlink="">
      <xdr:nvSpPr>
        <xdr:cNvPr id="2" name="Text Box 2">
          <a:extLst>
            <a:ext uri="{FF2B5EF4-FFF2-40B4-BE49-F238E27FC236}">
              <a16:creationId xmlns:a16="http://schemas.microsoft.com/office/drawing/2014/main" id="{00000000-0008-0000-1D00-000002000000}"/>
            </a:ext>
          </a:extLst>
        </xdr:cNvPr>
        <xdr:cNvSpPr txBox="1">
          <a:spLocks noChangeArrowheads="1"/>
        </xdr:cNvSpPr>
      </xdr:nvSpPr>
      <xdr:spPr bwMode="auto">
        <a:xfrm>
          <a:off x="2857500" y="0"/>
          <a:ext cx="66675" cy="190500"/>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3" name="Text Box 2">
          <a:extLst>
            <a:ext uri="{FF2B5EF4-FFF2-40B4-BE49-F238E27FC236}">
              <a16:creationId xmlns:a16="http://schemas.microsoft.com/office/drawing/2014/main" id="{00000000-0008-0000-1D00-000003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 name="Text Box 4">
          <a:extLst>
            <a:ext uri="{FF2B5EF4-FFF2-40B4-BE49-F238E27FC236}">
              <a16:creationId xmlns:a16="http://schemas.microsoft.com/office/drawing/2014/main" id="{00000000-0008-0000-1D00-000004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5" name="Text Box 5">
          <a:extLst>
            <a:ext uri="{FF2B5EF4-FFF2-40B4-BE49-F238E27FC236}">
              <a16:creationId xmlns:a16="http://schemas.microsoft.com/office/drawing/2014/main" id="{00000000-0008-0000-1D00-000005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6" name="Text Box 6">
          <a:extLst>
            <a:ext uri="{FF2B5EF4-FFF2-40B4-BE49-F238E27FC236}">
              <a16:creationId xmlns:a16="http://schemas.microsoft.com/office/drawing/2014/main" id="{00000000-0008-0000-1D00-000006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295275</xdr:colOff>
      <xdr:row>0</xdr:row>
      <xdr:rowOff>0</xdr:rowOff>
    </xdr:from>
    <xdr:to>
      <xdr:col>1</xdr:col>
      <xdr:colOff>361950</xdr:colOff>
      <xdr:row>0</xdr:row>
      <xdr:rowOff>190500</xdr:rowOff>
    </xdr:to>
    <xdr:sp macro="" textlink="">
      <xdr:nvSpPr>
        <xdr:cNvPr id="2" name="Text Box 2">
          <a:extLst>
            <a:ext uri="{FF2B5EF4-FFF2-40B4-BE49-F238E27FC236}">
              <a16:creationId xmlns:a16="http://schemas.microsoft.com/office/drawing/2014/main" id="{00000000-0008-0000-1E00-000002000000}"/>
            </a:ext>
          </a:extLst>
        </xdr:cNvPr>
        <xdr:cNvSpPr txBox="1">
          <a:spLocks noChangeArrowheads="1"/>
        </xdr:cNvSpPr>
      </xdr:nvSpPr>
      <xdr:spPr bwMode="auto">
        <a:xfrm>
          <a:off x="2857500" y="0"/>
          <a:ext cx="66675" cy="190500"/>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3" name="Text Box 3">
          <a:extLst>
            <a:ext uri="{FF2B5EF4-FFF2-40B4-BE49-F238E27FC236}">
              <a16:creationId xmlns:a16="http://schemas.microsoft.com/office/drawing/2014/main" id="{00000000-0008-0000-1E00-000003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 name="Text Box 4">
          <a:extLst>
            <a:ext uri="{FF2B5EF4-FFF2-40B4-BE49-F238E27FC236}">
              <a16:creationId xmlns:a16="http://schemas.microsoft.com/office/drawing/2014/main" id="{00000000-0008-0000-1E00-000004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5" name="Text Box 6">
          <a:extLst>
            <a:ext uri="{FF2B5EF4-FFF2-40B4-BE49-F238E27FC236}">
              <a16:creationId xmlns:a16="http://schemas.microsoft.com/office/drawing/2014/main" id="{00000000-0008-0000-1E00-000005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6" name="Text Box 8">
          <a:extLst>
            <a:ext uri="{FF2B5EF4-FFF2-40B4-BE49-F238E27FC236}">
              <a16:creationId xmlns:a16="http://schemas.microsoft.com/office/drawing/2014/main" id="{00000000-0008-0000-1E00-000006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7" name="Text Box 9">
          <a:extLst>
            <a:ext uri="{FF2B5EF4-FFF2-40B4-BE49-F238E27FC236}">
              <a16:creationId xmlns:a16="http://schemas.microsoft.com/office/drawing/2014/main" id="{00000000-0008-0000-1E00-000007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8" name="Text Box 10">
          <a:extLst>
            <a:ext uri="{FF2B5EF4-FFF2-40B4-BE49-F238E27FC236}">
              <a16:creationId xmlns:a16="http://schemas.microsoft.com/office/drawing/2014/main" id="{00000000-0008-0000-1E00-000008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9" name="Text Box 2">
          <a:extLst>
            <a:ext uri="{FF2B5EF4-FFF2-40B4-BE49-F238E27FC236}">
              <a16:creationId xmlns:a16="http://schemas.microsoft.com/office/drawing/2014/main" id="{00000000-0008-0000-1E00-000009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10" name="Text Box 2">
          <a:extLst>
            <a:ext uri="{FF2B5EF4-FFF2-40B4-BE49-F238E27FC236}">
              <a16:creationId xmlns:a16="http://schemas.microsoft.com/office/drawing/2014/main" id="{00000000-0008-0000-1E00-00000A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38100</xdr:colOff>
      <xdr:row>103</xdr:row>
      <xdr:rowOff>22225</xdr:rowOff>
    </xdr:from>
    <xdr:to>
      <xdr:col>9</xdr:col>
      <xdr:colOff>533400</xdr:colOff>
      <xdr:row>123</xdr:row>
      <xdr:rowOff>130175</xdr:rowOff>
    </xdr:to>
    <xdr:graphicFrame macro="">
      <xdr:nvGraphicFramePr>
        <xdr:cNvPr id="2" name="1 Gráfico">
          <a:extLst>
            <a:ext uri="{FF2B5EF4-FFF2-40B4-BE49-F238E27FC236}">
              <a16:creationId xmlns:a16="http://schemas.microsoft.com/office/drawing/2014/main" id="{00000000-0008-0000-2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381001</xdr:colOff>
      <xdr:row>49</xdr:row>
      <xdr:rowOff>22411</xdr:rowOff>
    </xdr:from>
    <xdr:to>
      <xdr:col>20</xdr:col>
      <xdr:colOff>163436</xdr:colOff>
      <xdr:row>67</xdr:row>
      <xdr:rowOff>113848</xdr:rowOff>
    </xdr:to>
    <xdr:pic>
      <xdr:nvPicPr>
        <xdr:cNvPr id="2" name="Imagen 1">
          <a:extLst>
            <a:ext uri="{FF2B5EF4-FFF2-40B4-BE49-F238E27FC236}">
              <a16:creationId xmlns:a16="http://schemas.microsoft.com/office/drawing/2014/main" id="{671A28E3-3725-4904-B64C-EFE015F27990}"/>
            </a:ext>
          </a:extLst>
        </xdr:cNvPr>
        <xdr:cNvPicPr>
          <a:picLocks noChangeAspect="1"/>
        </xdr:cNvPicPr>
      </xdr:nvPicPr>
      <xdr:blipFill>
        <a:blip xmlns:r="http://schemas.openxmlformats.org/officeDocument/2006/relationships" r:embed="rId1"/>
        <a:stretch>
          <a:fillRect/>
        </a:stretch>
      </xdr:blipFill>
      <xdr:spPr>
        <a:xfrm>
          <a:off x="14309913" y="9681882"/>
          <a:ext cx="5878435" cy="362129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775607</xdr:colOff>
      <xdr:row>49</xdr:row>
      <xdr:rowOff>149678</xdr:rowOff>
    </xdr:from>
    <xdr:to>
      <xdr:col>16</xdr:col>
      <xdr:colOff>297602</xdr:colOff>
      <xdr:row>69</xdr:row>
      <xdr:rowOff>187297</xdr:rowOff>
    </xdr:to>
    <xdr:pic>
      <xdr:nvPicPr>
        <xdr:cNvPr id="3" name="Imagen 2">
          <a:extLst>
            <a:ext uri="{FF2B5EF4-FFF2-40B4-BE49-F238E27FC236}">
              <a16:creationId xmlns:a16="http://schemas.microsoft.com/office/drawing/2014/main" id="{FF2725E4-99BA-4DBE-BFC6-5B7AC1C555BA}"/>
            </a:ext>
          </a:extLst>
        </xdr:cNvPr>
        <xdr:cNvPicPr>
          <a:picLocks noChangeAspect="1"/>
        </xdr:cNvPicPr>
      </xdr:nvPicPr>
      <xdr:blipFill>
        <a:blip xmlns:r="http://schemas.openxmlformats.org/officeDocument/2006/relationships" r:embed="rId1"/>
        <a:stretch>
          <a:fillRect/>
        </a:stretch>
      </xdr:blipFill>
      <xdr:spPr>
        <a:xfrm>
          <a:off x="15675428" y="2503714"/>
          <a:ext cx="4447781" cy="384761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19050</xdr:colOff>
      <xdr:row>148</xdr:row>
      <xdr:rowOff>161924</xdr:rowOff>
    </xdr:from>
    <xdr:to>
      <xdr:col>4</xdr:col>
      <xdr:colOff>879934</xdr:colOff>
      <xdr:row>188</xdr:row>
      <xdr:rowOff>142874</xdr:rowOff>
    </xdr:to>
    <xdr:pic>
      <xdr:nvPicPr>
        <xdr:cNvPr id="2" name="Imagen 1">
          <a:extLst>
            <a:ext uri="{FF2B5EF4-FFF2-40B4-BE49-F238E27FC236}">
              <a16:creationId xmlns:a16="http://schemas.microsoft.com/office/drawing/2014/main" id="{00000000-0008-0000-3D00-000002000000}"/>
            </a:ext>
          </a:extLst>
        </xdr:cNvPr>
        <xdr:cNvPicPr>
          <a:picLocks noChangeAspect="1"/>
        </xdr:cNvPicPr>
      </xdr:nvPicPr>
      <xdr:blipFill rotWithShape="1">
        <a:blip xmlns:r="http://schemas.openxmlformats.org/officeDocument/2006/relationships" r:embed="rId1"/>
        <a:srcRect l="3421" r="2981"/>
        <a:stretch/>
      </xdr:blipFill>
      <xdr:spPr>
        <a:xfrm>
          <a:off x="19050" y="24545924"/>
          <a:ext cx="7785559" cy="6457950"/>
        </a:xfrm>
        <a:prstGeom prst="rect">
          <a:avLst/>
        </a:prstGeom>
      </xdr:spPr>
    </xdr:pic>
    <xdr:clientData/>
  </xdr:twoCellAnchor>
  <xdr:twoCellAnchor editAs="oneCell">
    <xdr:from>
      <xdr:col>3</xdr:col>
      <xdr:colOff>695325</xdr:colOff>
      <xdr:row>97</xdr:row>
      <xdr:rowOff>57150</xdr:rowOff>
    </xdr:from>
    <xdr:to>
      <xdr:col>10</xdr:col>
      <xdr:colOff>104004</xdr:colOff>
      <xdr:row>122</xdr:row>
      <xdr:rowOff>94739</xdr:rowOff>
    </xdr:to>
    <xdr:pic>
      <xdr:nvPicPr>
        <xdr:cNvPr id="3" name="Imagen 2">
          <a:extLst>
            <a:ext uri="{FF2B5EF4-FFF2-40B4-BE49-F238E27FC236}">
              <a16:creationId xmlns:a16="http://schemas.microsoft.com/office/drawing/2014/main" id="{00000000-0008-0000-3D00-000003000000}"/>
            </a:ext>
          </a:extLst>
        </xdr:cNvPr>
        <xdr:cNvPicPr>
          <a:picLocks noChangeAspect="1"/>
        </xdr:cNvPicPr>
      </xdr:nvPicPr>
      <xdr:blipFill>
        <a:blip xmlns:r="http://schemas.openxmlformats.org/officeDocument/2006/relationships" r:embed="rId2"/>
        <a:stretch>
          <a:fillRect/>
        </a:stretch>
      </xdr:blipFill>
      <xdr:spPr>
        <a:xfrm>
          <a:off x="6858000" y="16182975"/>
          <a:ext cx="6171429" cy="4085714"/>
        </a:xfrm>
        <a:prstGeom prst="rect">
          <a:avLst/>
        </a:prstGeom>
      </xdr:spPr>
    </xdr:pic>
    <xdr:clientData/>
  </xdr:twoCellAnchor>
  <xdr:twoCellAnchor editAs="oneCell">
    <xdr:from>
      <xdr:col>4</xdr:col>
      <xdr:colOff>1304925</xdr:colOff>
      <xdr:row>148</xdr:row>
      <xdr:rowOff>47625</xdr:rowOff>
    </xdr:from>
    <xdr:to>
      <xdr:col>10</xdr:col>
      <xdr:colOff>456556</xdr:colOff>
      <xdr:row>166</xdr:row>
      <xdr:rowOff>18689</xdr:rowOff>
    </xdr:to>
    <xdr:pic>
      <xdr:nvPicPr>
        <xdr:cNvPr id="4" name="Imagen 3">
          <a:extLst>
            <a:ext uri="{FF2B5EF4-FFF2-40B4-BE49-F238E27FC236}">
              <a16:creationId xmlns:a16="http://schemas.microsoft.com/office/drawing/2014/main" id="{00000000-0008-0000-3D00-000004000000}"/>
            </a:ext>
          </a:extLst>
        </xdr:cNvPr>
        <xdr:cNvPicPr>
          <a:picLocks noChangeAspect="1"/>
        </xdr:cNvPicPr>
      </xdr:nvPicPr>
      <xdr:blipFill>
        <a:blip xmlns:r="http://schemas.openxmlformats.org/officeDocument/2006/relationships" r:embed="rId3"/>
        <a:stretch>
          <a:fillRect/>
        </a:stretch>
      </xdr:blipFill>
      <xdr:spPr>
        <a:xfrm>
          <a:off x="8229600" y="24431625"/>
          <a:ext cx="5152381" cy="2885714"/>
        </a:xfrm>
        <a:prstGeom prst="rect">
          <a:avLst/>
        </a:prstGeom>
      </xdr:spPr>
    </xdr:pic>
    <xdr:clientData/>
  </xdr:twoCellAnchor>
  <xdr:twoCellAnchor editAs="oneCell">
    <xdr:from>
      <xdr:col>0</xdr:col>
      <xdr:colOff>285750</xdr:colOff>
      <xdr:row>97</xdr:row>
      <xdr:rowOff>123825</xdr:rowOff>
    </xdr:from>
    <xdr:to>
      <xdr:col>2</xdr:col>
      <xdr:colOff>3942614</xdr:colOff>
      <xdr:row>119</xdr:row>
      <xdr:rowOff>85284</xdr:rowOff>
    </xdr:to>
    <xdr:pic>
      <xdr:nvPicPr>
        <xdr:cNvPr id="5" name="Imagen 4">
          <a:extLst>
            <a:ext uri="{FF2B5EF4-FFF2-40B4-BE49-F238E27FC236}">
              <a16:creationId xmlns:a16="http://schemas.microsoft.com/office/drawing/2014/main" id="{00000000-0008-0000-3D00-000005000000}"/>
            </a:ext>
          </a:extLst>
        </xdr:cNvPr>
        <xdr:cNvPicPr>
          <a:picLocks noChangeAspect="1"/>
        </xdr:cNvPicPr>
      </xdr:nvPicPr>
      <xdr:blipFill>
        <a:blip xmlns:r="http://schemas.openxmlformats.org/officeDocument/2006/relationships" r:embed="rId4"/>
        <a:stretch>
          <a:fillRect/>
        </a:stretch>
      </xdr:blipFill>
      <xdr:spPr>
        <a:xfrm>
          <a:off x="285750" y="16249650"/>
          <a:ext cx="5876189" cy="3523809"/>
        </a:xfrm>
        <a:prstGeom prst="rect">
          <a:avLst/>
        </a:prstGeom>
      </xdr:spPr>
    </xdr:pic>
    <xdr:clientData/>
  </xdr:twoCellAnchor>
  <xdr:twoCellAnchor editAs="oneCell">
    <xdr:from>
      <xdr:col>0</xdr:col>
      <xdr:colOff>133350</xdr:colOff>
      <xdr:row>121</xdr:row>
      <xdr:rowOff>114300</xdr:rowOff>
    </xdr:from>
    <xdr:to>
      <xdr:col>3</xdr:col>
      <xdr:colOff>161150</xdr:colOff>
      <xdr:row>143</xdr:row>
      <xdr:rowOff>75759</xdr:rowOff>
    </xdr:to>
    <xdr:pic>
      <xdr:nvPicPr>
        <xdr:cNvPr id="6" name="Imagen 5">
          <a:extLst>
            <a:ext uri="{FF2B5EF4-FFF2-40B4-BE49-F238E27FC236}">
              <a16:creationId xmlns:a16="http://schemas.microsoft.com/office/drawing/2014/main" id="{00000000-0008-0000-3D00-000006000000}"/>
            </a:ext>
          </a:extLst>
        </xdr:cNvPr>
        <xdr:cNvPicPr>
          <a:picLocks noChangeAspect="1"/>
        </xdr:cNvPicPr>
      </xdr:nvPicPr>
      <xdr:blipFill>
        <a:blip xmlns:r="http://schemas.openxmlformats.org/officeDocument/2006/relationships" r:embed="rId5"/>
        <a:stretch>
          <a:fillRect/>
        </a:stretch>
      </xdr:blipFill>
      <xdr:spPr>
        <a:xfrm>
          <a:off x="133350" y="20126325"/>
          <a:ext cx="6190475" cy="352380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one Aldape" id="{13B279B5-B39A-4C1C-BE1D-D183CDD83D96}" userId="Jone Aldape" providerId="None"/>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G52" dT="2021-06-07T08:51:28.75" personId="{13B279B5-B39A-4C1C-BE1D-D183CDD83D96}" id="{BD12BFFE-E4DB-44ED-997A-5641A8453480}">
    <text>Tomamos como criterio que el 25% de las entradas será de perdidas, el resto almacenamiento</text>
  </threadedComment>
</ThreadedComments>
</file>

<file path=xl/threadedComments/threadedComment2.xml><?xml version="1.0" encoding="utf-8"?>
<ThreadedComments xmlns="http://schemas.microsoft.com/office/spreadsheetml/2018/threadedcomments" xmlns:x="http://schemas.openxmlformats.org/spreadsheetml/2006/main">
  <threadedComment ref="AG52" dT="2021-06-07T08:51:28.75" personId="{13B279B5-B39A-4C1C-BE1D-D183CDD83D96}" id="{D6E1B854-F2E9-4D2E-9C96-63D0BF7E0737}">
    <text>Tomamos como criterio que el 25% de las entradas será de perdidas, el resto almacenamiento</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34.bin"/><Relationship Id="rId4" Type="http://schemas.openxmlformats.org/officeDocument/2006/relationships/comments" Target="../comments10.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microsoft.com/office/2017/10/relationships/threadedComment" Target="../threadedComments/threadedComment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CB9FA-B24D-49F3-883F-D8981873085A}">
  <sheetPr>
    <tabColor rgb="FFFFC000"/>
  </sheetPr>
  <dimension ref="A1:BW55"/>
  <sheetViews>
    <sheetView topLeftCell="AD13" zoomScale="85" zoomScaleNormal="85" workbookViewId="0">
      <selection activeCell="BL7" sqref="BL7:BU30"/>
    </sheetView>
  </sheetViews>
  <sheetFormatPr baseColWidth="10" defaultColWidth="10.6640625" defaultRowHeight="14.4" x14ac:dyDescent="0.3"/>
  <cols>
    <col min="1" max="1" width="31.109375" style="52" customWidth="1"/>
    <col min="2" max="5" width="11.88671875" style="52" customWidth="1"/>
    <col min="6" max="6" width="15.44140625" style="52" customWidth="1"/>
    <col min="7" max="7" width="15.33203125" style="52" customWidth="1"/>
    <col min="8" max="8" width="17.109375" style="52" customWidth="1"/>
    <col min="9" max="9" width="12.44140625" style="52" customWidth="1"/>
    <col min="10" max="10" width="14.109375" style="52" customWidth="1"/>
    <col min="11" max="11" width="16.109375" style="52" customWidth="1"/>
    <col min="12" max="18" width="11.88671875" style="52" customWidth="1"/>
    <col min="19" max="19" width="14" style="52" customWidth="1"/>
    <col min="20" max="20" width="11.88671875" style="52" customWidth="1"/>
    <col min="21" max="21" width="28.5546875" style="52" customWidth="1"/>
    <col min="22" max="32" width="11.88671875" style="52" customWidth="1"/>
    <col min="33" max="35" width="10.6640625" style="52" customWidth="1"/>
    <col min="36" max="37" width="12.109375" style="52" customWidth="1"/>
    <col min="38" max="39" width="10.6640625" style="52" customWidth="1"/>
    <col min="40" max="40" width="12" style="52" customWidth="1"/>
    <col min="41" max="43" width="10.6640625" style="52" customWidth="1"/>
    <col min="44" max="45" width="12" style="52" customWidth="1"/>
    <col min="46" max="47" width="10.6640625" style="52" customWidth="1"/>
    <col min="48" max="48" width="10.6640625" style="62"/>
    <col min="49" max="69" width="10.6640625" style="52"/>
    <col min="70" max="70" width="20.88671875" style="52" customWidth="1"/>
    <col min="71" max="71" width="10.6640625" style="52"/>
    <col min="72" max="72" width="23.109375" style="52" customWidth="1"/>
    <col min="73" max="16384" width="10.6640625" style="52"/>
  </cols>
  <sheetData>
    <row r="1" spans="1:74" s="2487" customFormat="1" ht="40.200000000000003" thickBot="1" x14ac:dyDescent="0.35">
      <c r="A1" s="3330" t="s">
        <v>189</v>
      </c>
      <c r="C1" s="3168" t="s">
        <v>150</v>
      </c>
      <c r="D1" s="3331">
        <v>330692</v>
      </c>
      <c r="F1" s="3168" t="s">
        <v>11</v>
      </c>
      <c r="G1" s="3332">
        <v>74321.800492021139</v>
      </c>
      <c r="H1" s="3168" t="s">
        <v>99</v>
      </c>
      <c r="I1" s="3332">
        <v>11125.873507978868</v>
      </c>
      <c r="J1" s="3333" t="s">
        <v>190</v>
      </c>
      <c r="K1" s="3334">
        <v>85447.673999999999</v>
      </c>
      <c r="N1" s="3008" t="s">
        <v>191</v>
      </c>
      <c r="O1" s="3007">
        <v>76902.906600000002</v>
      </c>
      <c r="P1" s="3008" t="s">
        <v>192</v>
      </c>
      <c r="Q1" s="3007">
        <v>63601.906600000002</v>
      </c>
      <c r="R1" s="3009" t="s">
        <v>124</v>
      </c>
      <c r="S1" s="3007">
        <v>13301</v>
      </c>
      <c r="T1" s="3335"/>
      <c r="U1" s="3221"/>
      <c r="V1" s="3221"/>
      <c r="W1" s="3221"/>
      <c r="AC1" s="3336"/>
      <c r="AD1" s="3336"/>
      <c r="AV1" s="3337"/>
    </row>
    <row r="2" spans="1:74" ht="15" thickBot="1" x14ac:dyDescent="0.35">
      <c r="A2" s="63" t="s">
        <v>183</v>
      </c>
      <c r="B2" s="61"/>
      <c r="G2" s="3091">
        <v>86.979313786845907</v>
      </c>
      <c r="H2" s="3091"/>
      <c r="I2" s="3091">
        <v>13.020686213154107</v>
      </c>
      <c r="L2" s="61"/>
      <c r="AD2" s="61">
        <f>K1-O1</f>
        <v>8544.767399999997</v>
      </c>
      <c r="AH2" s="3162"/>
      <c r="AI2" s="3162"/>
    </row>
    <row r="3" spans="1:74" ht="16.5" customHeight="1" thickBot="1" x14ac:dyDescent="0.35">
      <c r="A3" s="3010">
        <v>2021</v>
      </c>
      <c r="B3" s="61"/>
      <c r="M3" s="3734" t="s">
        <v>193</v>
      </c>
      <c r="N3" s="3735"/>
      <c r="O3" s="3735"/>
      <c r="P3" s="3735"/>
      <c r="Q3" s="3735"/>
      <c r="R3" s="3736"/>
      <c r="S3" s="3734" t="s">
        <v>194</v>
      </c>
      <c r="T3" s="3735"/>
      <c r="U3" s="3735"/>
      <c r="V3" s="3735"/>
      <c r="W3" s="3735"/>
      <c r="X3" s="3735"/>
      <c r="Y3" s="3735"/>
      <c r="Z3" s="3736"/>
      <c r="AA3" s="3737" t="s">
        <v>134</v>
      </c>
      <c r="AB3" s="3737"/>
      <c r="AC3" s="3738" t="s">
        <v>133</v>
      </c>
      <c r="AD3" s="3739"/>
      <c r="AE3" s="3740"/>
      <c r="AF3" s="3741" t="s">
        <v>195</v>
      </c>
      <c r="AG3" s="3741"/>
      <c r="AH3" s="3741"/>
      <c r="AI3" s="3741"/>
      <c r="AJ3" s="3741"/>
      <c r="AK3" s="3741"/>
      <c r="AL3" s="3741"/>
      <c r="AM3" s="3741"/>
      <c r="AN3" s="3733" t="s">
        <v>196</v>
      </c>
      <c r="AO3" s="3733"/>
      <c r="AP3" s="3733"/>
      <c r="AQ3" s="3733"/>
      <c r="AR3" s="3733"/>
      <c r="AS3" s="3733"/>
      <c r="AT3" s="3733"/>
      <c r="AU3" s="3733"/>
      <c r="AV3" s="65" t="s">
        <v>197</v>
      </c>
    </row>
    <row r="4" spans="1:74" ht="53.4" thickBot="1" x14ac:dyDescent="0.3">
      <c r="A4" s="8" t="s">
        <v>198</v>
      </c>
      <c r="B4" s="3244" t="s">
        <v>9</v>
      </c>
      <c r="C4" s="3245" t="s">
        <v>199</v>
      </c>
      <c r="D4" s="3245" t="s">
        <v>158</v>
      </c>
      <c r="E4" s="3246" t="s">
        <v>200</v>
      </c>
      <c r="F4" s="3201" t="s">
        <v>201</v>
      </c>
      <c r="G4" s="3247" t="s">
        <v>11</v>
      </c>
      <c r="H4" s="3247" t="s">
        <v>202</v>
      </c>
      <c r="I4" s="3247" t="s">
        <v>99</v>
      </c>
      <c r="J4" s="3247" t="s">
        <v>203</v>
      </c>
      <c r="K4" s="3248" t="s">
        <v>204</v>
      </c>
      <c r="L4" s="3202" t="s">
        <v>205</v>
      </c>
      <c r="M4" s="277" t="s">
        <v>206</v>
      </c>
      <c r="N4" s="3200" t="s">
        <v>207</v>
      </c>
      <c r="O4" s="2518" t="s">
        <v>140</v>
      </c>
      <c r="P4" s="76" t="s">
        <v>208</v>
      </c>
      <c r="Q4" s="76" t="s">
        <v>209</v>
      </c>
      <c r="R4" s="76" t="s">
        <v>210</v>
      </c>
      <c r="S4" s="2568" t="s">
        <v>211</v>
      </c>
      <c r="T4" s="2569" t="s">
        <v>212</v>
      </c>
      <c r="U4" s="2570" t="s">
        <v>213</v>
      </c>
      <c r="V4" s="2570" t="s">
        <v>122</v>
      </c>
      <c r="W4" s="2570" t="s">
        <v>214</v>
      </c>
      <c r="X4" s="2570" t="s">
        <v>215</v>
      </c>
      <c r="Y4" s="2570" t="s">
        <v>216</v>
      </c>
      <c r="Z4" s="2571" t="s">
        <v>217</v>
      </c>
      <c r="AA4" s="78" t="s">
        <v>218</v>
      </c>
      <c r="AB4" s="79" t="s">
        <v>208</v>
      </c>
      <c r="AC4" s="80" t="s">
        <v>209</v>
      </c>
      <c r="AD4" s="81" t="s">
        <v>219</v>
      </c>
      <c r="AE4" s="82" t="s">
        <v>162</v>
      </c>
      <c r="AF4" s="2574" t="s">
        <v>220</v>
      </c>
      <c r="AG4" s="2575" t="s">
        <v>221</v>
      </c>
      <c r="AH4" s="2576" t="s">
        <v>222</v>
      </c>
      <c r="AI4" s="2577" t="s">
        <v>223</v>
      </c>
      <c r="AJ4" s="2578" t="s">
        <v>224</v>
      </c>
      <c r="AK4" s="2579" t="s">
        <v>225</v>
      </c>
      <c r="AL4" s="2580" t="s">
        <v>226</v>
      </c>
      <c r="AM4" s="2581" t="s">
        <v>227</v>
      </c>
      <c r="AN4" s="88" t="s">
        <v>228</v>
      </c>
      <c r="AO4" s="89" t="s">
        <v>229</v>
      </c>
      <c r="AP4" s="90" t="s">
        <v>230</v>
      </c>
      <c r="AQ4" s="83" t="s">
        <v>231</v>
      </c>
      <c r="AR4" s="84" t="s">
        <v>232</v>
      </c>
      <c r="AS4" s="91" t="s">
        <v>233</v>
      </c>
      <c r="AT4" s="86" t="s">
        <v>234</v>
      </c>
      <c r="AU4" s="87" t="s">
        <v>235</v>
      </c>
      <c r="AV4" s="52"/>
      <c r="AX4" s="61"/>
    </row>
    <row r="5" spans="1:74" ht="22.5" customHeight="1" x14ac:dyDescent="0.3">
      <c r="A5" s="8" t="s">
        <v>113</v>
      </c>
      <c r="B5" s="3006">
        <v>48742.908222031896</v>
      </c>
      <c r="C5" s="3249">
        <v>0.3652990230264932</v>
      </c>
      <c r="D5" s="3006">
        <v>53616.148222031894</v>
      </c>
      <c r="E5" s="3250">
        <v>0.40182105004352242</v>
      </c>
      <c r="F5" s="3251">
        <v>0.98997000000000002</v>
      </c>
      <c r="G5" s="3252">
        <v>73578.582487100924</v>
      </c>
      <c r="H5" s="3253">
        <v>0.99870000000000003</v>
      </c>
      <c r="I5" s="3252">
        <v>11111.409872418495</v>
      </c>
      <c r="J5" s="3515"/>
      <c r="K5" s="3254">
        <v>84689.992359519412</v>
      </c>
      <c r="L5" s="3101">
        <v>133432.90058155134</v>
      </c>
      <c r="M5" s="3262">
        <v>639.66881567799578</v>
      </c>
      <c r="N5" s="3263">
        <v>34694.203523859265</v>
      </c>
      <c r="O5" s="3105">
        <v>6578.7709999999997</v>
      </c>
      <c r="P5" s="3105">
        <v>1884.054790760295</v>
      </c>
      <c r="Q5" s="3105">
        <v>4946.2100917343478</v>
      </c>
      <c r="R5" s="3264">
        <v>0</v>
      </c>
      <c r="S5" s="3108">
        <v>13301</v>
      </c>
      <c r="T5" s="3265">
        <v>76220.993123567489</v>
      </c>
      <c r="U5" s="3265">
        <v>66515.752359519436</v>
      </c>
      <c r="V5" s="3265">
        <v>4873.2399999999989</v>
      </c>
      <c r="W5" s="3265">
        <v>0</v>
      </c>
      <c r="X5" s="3265">
        <v>15380.46</v>
      </c>
      <c r="Y5" s="3265">
        <v>42666.293123567484</v>
      </c>
      <c r="Z5" s="3266">
        <v>0</v>
      </c>
      <c r="AA5" s="3267">
        <v>0</v>
      </c>
      <c r="AB5" s="3268">
        <v>1884.054790760295</v>
      </c>
      <c r="AC5" s="3269">
        <v>62992.963215301832</v>
      </c>
      <c r="AD5" s="3269">
        <v>8468.9992359519401</v>
      </c>
      <c r="AE5" s="3270">
        <v>13301</v>
      </c>
      <c r="AF5" s="3271">
        <v>639.66881567799578</v>
      </c>
      <c r="AG5" s="3031">
        <v>39567.443523859263</v>
      </c>
      <c r="AH5" s="3061">
        <v>6578.7709999999997</v>
      </c>
      <c r="AI5" s="3063">
        <v>46785.883339537257</v>
      </c>
      <c r="AJ5" s="3065">
        <v>1884.054790760295</v>
      </c>
      <c r="AK5" s="3067">
        <v>48669.938130297553</v>
      </c>
      <c r="AL5" s="3272">
        <v>71461.96245125377</v>
      </c>
      <c r="AM5" s="3273">
        <v>13301</v>
      </c>
      <c r="AN5" s="3275">
        <v>4.7939362247996992E-3</v>
      </c>
      <c r="AO5" s="3080">
        <v>0.29653438808127003</v>
      </c>
      <c r="AP5" s="3082">
        <v>4.9303964549426815E-2</v>
      </c>
      <c r="AQ5" s="3084">
        <v>0.35063228885549652</v>
      </c>
      <c r="AR5" s="3086">
        <v>1.4119866858539892E-2</v>
      </c>
      <c r="AS5" s="3088">
        <v>0.36475215571403641</v>
      </c>
      <c r="AT5" s="3276">
        <v>0.53556478304672506</v>
      </c>
      <c r="AU5" s="3158">
        <v>9.9683061239238466E-2</v>
      </c>
      <c r="AV5" s="3221">
        <v>0</v>
      </c>
      <c r="AW5" s="2487">
        <v>0</v>
      </c>
      <c r="AX5" s="61"/>
    </row>
    <row r="6" spans="1:74" x14ac:dyDescent="0.3">
      <c r="A6" s="8" t="s">
        <v>236</v>
      </c>
      <c r="B6" s="3006">
        <v>53594.908222031896</v>
      </c>
      <c r="C6" s="3249">
        <v>0.38545679579258807</v>
      </c>
      <c r="D6" s="3006">
        <v>58468.148222031894</v>
      </c>
      <c r="E6" s="3250">
        <v>0.42050533935471857</v>
      </c>
      <c r="F6" s="3255">
        <v>0.99997000000000003</v>
      </c>
      <c r="G6" s="3256">
        <v>74321.800492021139</v>
      </c>
      <c r="H6" s="3257">
        <v>1</v>
      </c>
      <c r="I6" s="3256">
        <v>11125.873507978868</v>
      </c>
      <c r="J6" s="3516"/>
      <c r="K6" s="3026">
        <v>85447.673999999999</v>
      </c>
      <c r="L6" s="3101">
        <v>139042.58222203192</v>
      </c>
      <c r="M6" s="3104">
        <v>639.66881567799578</v>
      </c>
      <c r="N6" s="3032">
        <v>38478.763523859263</v>
      </c>
      <c r="O6" s="3106">
        <v>6578.7709999999997</v>
      </c>
      <c r="P6" s="3106">
        <v>1884.054790760295</v>
      </c>
      <c r="Q6" s="3106">
        <v>6013.6500917343474</v>
      </c>
      <c r="R6" s="3107">
        <v>0</v>
      </c>
      <c r="S6" s="3109">
        <v>13301</v>
      </c>
      <c r="T6" s="3041">
        <v>76902.906600000017</v>
      </c>
      <c r="U6" s="3041">
        <v>67273.434000000023</v>
      </c>
      <c r="V6" s="3041">
        <v>4873.2399999999989</v>
      </c>
      <c r="W6" s="3041">
        <v>0</v>
      </c>
      <c r="X6" s="3041">
        <v>15380.46</v>
      </c>
      <c r="Y6" s="3041">
        <v>43348.206600000012</v>
      </c>
      <c r="Z6" s="3110">
        <v>0</v>
      </c>
      <c r="AA6" s="3049">
        <v>0</v>
      </c>
      <c r="AB6" s="3051">
        <v>1884.054790760295</v>
      </c>
      <c r="AC6" s="3274">
        <v>64742.316691734362</v>
      </c>
      <c r="AD6" s="3274">
        <v>8544.7673999999988</v>
      </c>
      <c r="AE6" s="3121">
        <v>13301</v>
      </c>
      <c r="AF6" s="3271">
        <v>639.66881567799578</v>
      </c>
      <c r="AG6" s="3031">
        <v>43352.003523859261</v>
      </c>
      <c r="AH6" s="3061">
        <v>6578.7709999999997</v>
      </c>
      <c r="AI6" s="3063">
        <v>50570.443339537254</v>
      </c>
      <c r="AJ6" s="3065">
        <v>1884.054790760295</v>
      </c>
      <c r="AK6" s="3067">
        <v>52454.49813029755</v>
      </c>
      <c r="AL6" s="3272">
        <v>73287.084091734359</v>
      </c>
      <c r="AM6" s="3273">
        <v>13301</v>
      </c>
      <c r="AN6" s="3275">
        <v>4.6005245692037891E-3</v>
      </c>
      <c r="AO6" s="3080">
        <v>0.31178940171459174</v>
      </c>
      <c r="AP6" s="3082">
        <v>4.7314793028617699E-2</v>
      </c>
      <c r="AQ6" s="3084">
        <v>0.36370471931241322</v>
      </c>
      <c r="AR6" s="3086">
        <v>1.3550199950628923E-2</v>
      </c>
      <c r="AS6" s="3088">
        <v>0.37725491926304211</v>
      </c>
      <c r="AT6" s="3276">
        <v>0.52708373881250958</v>
      </c>
      <c r="AU6" s="3158">
        <v>9.5661341924448209E-2</v>
      </c>
      <c r="AV6" s="3221">
        <v>0</v>
      </c>
      <c r="AW6" s="2487">
        <v>0</v>
      </c>
      <c r="AX6" s="3305" t="s">
        <v>198</v>
      </c>
      <c r="AY6" s="3305" t="s">
        <v>395</v>
      </c>
      <c r="AZ6" s="3305" t="s">
        <v>156</v>
      </c>
      <c r="BA6" s="3305" t="s">
        <v>220</v>
      </c>
      <c r="BB6" s="3305" t="s">
        <v>221</v>
      </c>
      <c r="BC6" s="3305" t="s">
        <v>222</v>
      </c>
      <c r="BD6" s="3305" t="s">
        <v>223</v>
      </c>
      <c r="BE6" s="3305" t="s">
        <v>224</v>
      </c>
      <c r="BF6" s="3305" t="s">
        <v>225</v>
      </c>
      <c r="BG6" s="3305" t="s">
        <v>226</v>
      </c>
      <c r="BH6" s="3305" t="s">
        <v>227</v>
      </c>
      <c r="BI6" s="3305" t="s">
        <v>259</v>
      </c>
      <c r="BK6" s="3305" t="s">
        <v>198</v>
      </c>
      <c r="BL6" s="3305" t="s">
        <v>395</v>
      </c>
      <c r="BM6" s="3305" t="s">
        <v>156</v>
      </c>
      <c r="BN6" s="3305" t="s">
        <v>228</v>
      </c>
      <c r="BO6" s="3305" t="s">
        <v>229</v>
      </c>
      <c r="BP6" s="3305" t="s">
        <v>230</v>
      </c>
      <c r="BQ6" s="3305" t="s">
        <v>231</v>
      </c>
      <c r="BR6" s="3305" t="s">
        <v>232</v>
      </c>
      <c r="BS6" s="3305" t="s">
        <v>233</v>
      </c>
      <c r="BT6" s="3305" t="s">
        <v>234</v>
      </c>
      <c r="BU6" s="3305" t="s">
        <v>235</v>
      </c>
      <c r="BV6" s="3305" t="s">
        <v>260</v>
      </c>
    </row>
    <row r="7" spans="1:74" x14ac:dyDescent="0.3">
      <c r="A7" s="8" t="s">
        <v>14</v>
      </c>
      <c r="B7" s="3006">
        <v>8559.1409999999996</v>
      </c>
      <c r="C7" s="3249">
        <v>0.37959201311056862</v>
      </c>
      <c r="D7" s="3258">
        <v>11249.160094848339</v>
      </c>
      <c r="E7" s="3250">
        <v>0.49889250874667868</v>
      </c>
      <c r="F7" s="3199">
        <v>0.16769999999999999</v>
      </c>
      <c r="G7" s="3256">
        <v>12463.765942511944</v>
      </c>
      <c r="H7" s="3024">
        <v>0.1371</v>
      </c>
      <c r="I7" s="3256">
        <v>1525.3572579439028</v>
      </c>
      <c r="J7" s="3516"/>
      <c r="K7" s="3026">
        <v>13989.123200455846</v>
      </c>
      <c r="L7" s="3101">
        <v>22548.264200455844</v>
      </c>
      <c r="M7" s="3104">
        <v>0</v>
      </c>
      <c r="N7" s="3209">
        <v>6533.1923252999995</v>
      </c>
      <c r="O7" s="3106">
        <v>0</v>
      </c>
      <c r="P7" s="3190">
        <v>113.83657529999999</v>
      </c>
      <c r="Q7" s="3190">
        <v>1912.1120993999998</v>
      </c>
      <c r="R7" s="3107">
        <v>0</v>
      </c>
      <c r="S7" s="3109"/>
      <c r="T7" s="3041">
        <v>12590.210880410261</v>
      </c>
      <c r="U7" s="3041">
        <v>11299.104105607508</v>
      </c>
      <c r="V7" s="3111">
        <v>2690.0190948483387</v>
      </c>
      <c r="W7" s="3041"/>
      <c r="X7" s="3041"/>
      <c r="Y7" s="3041">
        <v>9900.1917855619213</v>
      </c>
      <c r="Z7" s="3110"/>
      <c r="AA7" s="3049"/>
      <c r="AB7" s="3051">
        <v>113.83657529999999</v>
      </c>
      <c r="AC7" s="3274">
        <v>11812.303884961921</v>
      </c>
      <c r="AD7" s="3274">
        <v>1398.9123200455851</v>
      </c>
      <c r="AE7" s="3121">
        <v>0</v>
      </c>
      <c r="AF7" s="3271">
        <v>0</v>
      </c>
      <c r="AG7" s="3031">
        <v>9223.2114201483382</v>
      </c>
      <c r="AH7" s="3061">
        <v>0</v>
      </c>
      <c r="AI7" s="3063">
        <v>9223.2114201483382</v>
      </c>
      <c r="AJ7" s="3065">
        <v>113.83657529999999</v>
      </c>
      <c r="AK7" s="3067">
        <v>9337.047995448338</v>
      </c>
      <c r="AL7" s="3272">
        <v>13211.216205007506</v>
      </c>
      <c r="AM7" s="3273">
        <v>0</v>
      </c>
      <c r="AN7" s="3275" t="s">
        <v>153</v>
      </c>
      <c r="AO7" s="3080">
        <v>0.40904307924340705</v>
      </c>
      <c r="AP7" s="3082" t="s">
        <v>153</v>
      </c>
      <c r="AQ7" s="3084">
        <v>0.40904307924340705</v>
      </c>
      <c r="AR7" s="3086">
        <v>5.0485737743705622E-3</v>
      </c>
      <c r="AS7" s="3088">
        <v>0.41409165301777762</v>
      </c>
      <c r="AT7" s="3276">
        <v>0.58590834698222238</v>
      </c>
      <c r="AU7" s="3158" t="s">
        <v>153</v>
      </c>
      <c r="AV7" s="3221">
        <v>0</v>
      </c>
      <c r="AW7" s="2487">
        <v>0</v>
      </c>
      <c r="AX7" s="643" t="s">
        <v>14</v>
      </c>
      <c r="AY7" s="615">
        <v>22548.264200455844</v>
      </c>
      <c r="AZ7" s="3306">
        <v>0.37959201311056862</v>
      </c>
      <c r="BA7" s="615">
        <v>0</v>
      </c>
      <c r="BB7" s="615">
        <v>9223.2114201483382</v>
      </c>
      <c r="BC7" s="615">
        <v>0</v>
      </c>
      <c r="BD7" s="615">
        <v>9223.2114201483382</v>
      </c>
      <c r="BE7" s="615">
        <v>113.83657529999999</v>
      </c>
      <c r="BF7" s="615">
        <v>9337.047995448338</v>
      </c>
      <c r="BG7" s="615">
        <v>13211.216205007506</v>
      </c>
      <c r="BH7" s="615">
        <v>0</v>
      </c>
      <c r="BI7" s="615" t="s">
        <v>153</v>
      </c>
      <c r="BK7" s="643" t="s">
        <v>14</v>
      </c>
      <c r="BL7" s="615">
        <v>22548.264200455844</v>
      </c>
      <c r="BM7" s="3309">
        <v>0.37959201311056862</v>
      </c>
      <c r="BN7" s="3309" t="s">
        <v>153</v>
      </c>
      <c r="BO7" s="3309">
        <v>0.40904307924340705</v>
      </c>
      <c r="BP7" s="3309" t="s">
        <v>153</v>
      </c>
      <c r="BQ7" s="3309">
        <v>0.40904307924340705</v>
      </c>
      <c r="BR7" s="3309">
        <v>5.0485737743705622E-3</v>
      </c>
      <c r="BS7" s="3309">
        <v>0.41409165301777762</v>
      </c>
      <c r="BT7" s="3309">
        <v>0.58590834698222238</v>
      </c>
      <c r="BU7" s="3309" t="s">
        <v>153</v>
      </c>
      <c r="BV7" s="3309"/>
    </row>
    <row r="8" spans="1:74" x14ac:dyDescent="0.3">
      <c r="A8" s="8" t="s">
        <v>32</v>
      </c>
      <c r="B8" s="3006">
        <v>8563.0409999999993</v>
      </c>
      <c r="C8" s="3249">
        <v>0.79457806734387559</v>
      </c>
      <c r="D8" s="3258">
        <v>9027.6060072219534</v>
      </c>
      <c r="E8" s="3250">
        <v>0.83768578638831481</v>
      </c>
      <c r="F8" s="3199">
        <v>1.8200000000000001E-2</v>
      </c>
      <c r="G8" s="3256">
        <v>1352.6567689547849</v>
      </c>
      <c r="H8" s="3024">
        <v>7.7399999999999997E-2</v>
      </c>
      <c r="I8" s="3256">
        <v>861.14260951756432</v>
      </c>
      <c r="J8" s="3516"/>
      <c r="K8" s="3026">
        <v>2213.7993784723494</v>
      </c>
      <c r="L8" s="3101">
        <v>10776.840378472349</v>
      </c>
      <c r="M8" s="3104">
        <v>0</v>
      </c>
      <c r="N8" s="3032">
        <v>8391.7801799999997</v>
      </c>
      <c r="O8" s="3106">
        <v>0</v>
      </c>
      <c r="P8" s="3106">
        <v>0</v>
      </c>
      <c r="Q8" s="3106">
        <v>171.26082</v>
      </c>
      <c r="R8" s="3107">
        <v>0</v>
      </c>
      <c r="S8" s="3109"/>
      <c r="T8" s="3041">
        <v>1992.4194406251147</v>
      </c>
      <c r="U8" s="3041">
        <v>1749.2343712503948</v>
      </c>
      <c r="V8" s="3112">
        <v>464.56500722195472</v>
      </c>
      <c r="W8" s="3041"/>
      <c r="X8" s="3041"/>
      <c r="Y8" s="3041">
        <v>1527.8544334031599</v>
      </c>
      <c r="Z8" s="3110"/>
      <c r="AA8" s="3049"/>
      <c r="AB8" s="3051">
        <v>0</v>
      </c>
      <c r="AC8" s="3274">
        <v>1699.1152534031598</v>
      </c>
      <c r="AD8" s="3274">
        <v>221.37993784723471</v>
      </c>
      <c r="AE8" s="3121">
        <v>0</v>
      </c>
      <c r="AF8" s="3271">
        <v>0</v>
      </c>
      <c r="AG8" s="3031">
        <v>8856.3451872219539</v>
      </c>
      <c r="AH8" s="3061">
        <v>0</v>
      </c>
      <c r="AI8" s="3063">
        <v>8856.3451872219539</v>
      </c>
      <c r="AJ8" s="3065">
        <v>0</v>
      </c>
      <c r="AK8" s="3067">
        <v>8856.3451872219539</v>
      </c>
      <c r="AL8" s="3272">
        <v>1920.4951912503946</v>
      </c>
      <c r="AM8" s="3273">
        <v>0</v>
      </c>
      <c r="AN8" s="3275" t="s">
        <v>153</v>
      </c>
      <c r="AO8" s="3080">
        <v>0.82179422504143729</v>
      </c>
      <c r="AP8" s="3082" t="s">
        <v>153</v>
      </c>
      <c r="AQ8" s="3084">
        <v>0.82179422504143729</v>
      </c>
      <c r="AR8" s="3086" t="s">
        <v>153</v>
      </c>
      <c r="AS8" s="3088">
        <v>0.82179422504143729</v>
      </c>
      <c r="AT8" s="3276">
        <v>0.17820577495856266</v>
      </c>
      <c r="AU8" s="3158" t="s">
        <v>153</v>
      </c>
      <c r="AV8" s="3221">
        <v>0</v>
      </c>
      <c r="AW8" s="2487">
        <v>0</v>
      </c>
      <c r="AX8" s="643" t="s">
        <v>32</v>
      </c>
      <c r="AY8" s="615">
        <v>10776.840378472349</v>
      </c>
      <c r="AZ8" s="3306">
        <v>0.79457806734387559</v>
      </c>
      <c r="BA8" s="615">
        <v>0</v>
      </c>
      <c r="BB8" s="615">
        <v>8856.3451872219539</v>
      </c>
      <c r="BC8" s="615">
        <v>0</v>
      </c>
      <c r="BD8" s="615">
        <v>8856.3451872219539</v>
      </c>
      <c r="BE8" s="615">
        <v>0</v>
      </c>
      <c r="BF8" s="615">
        <v>8856.3451872219539</v>
      </c>
      <c r="BG8" s="615">
        <v>1920.4951912503946</v>
      </c>
      <c r="BH8" s="615">
        <v>0</v>
      </c>
      <c r="BI8" s="615"/>
      <c r="BK8" s="643" t="s">
        <v>32</v>
      </c>
      <c r="BL8" s="615">
        <v>10776.840378472349</v>
      </c>
      <c r="BM8" s="3309">
        <v>0.79457806734387559</v>
      </c>
      <c r="BN8" s="3309" t="s">
        <v>153</v>
      </c>
      <c r="BO8" s="3309">
        <v>0.82179422504143729</v>
      </c>
      <c r="BP8" s="3309" t="s">
        <v>153</v>
      </c>
      <c r="BQ8" s="3309">
        <v>0.82179422504143729</v>
      </c>
      <c r="BR8" s="3309" t="s">
        <v>153</v>
      </c>
      <c r="BS8" s="3309">
        <v>0.82179422504143729</v>
      </c>
      <c r="BT8" s="3309">
        <v>0.17820577495856266</v>
      </c>
      <c r="BU8" s="3309" t="s">
        <v>153</v>
      </c>
      <c r="BV8" s="3309"/>
    </row>
    <row r="9" spans="1:74" x14ac:dyDescent="0.3">
      <c r="A9" s="8" t="s">
        <v>47</v>
      </c>
      <c r="B9" s="3006">
        <v>176.91899999999998</v>
      </c>
      <c r="C9" s="3249">
        <v>0.50447086974042499</v>
      </c>
      <c r="D9" s="3258">
        <v>176.91899999999998</v>
      </c>
      <c r="E9" s="3250">
        <v>0.50447086974042499</v>
      </c>
      <c r="F9" s="3199">
        <v>1.47E-3</v>
      </c>
      <c r="G9" s="3256">
        <v>109.25304672327107</v>
      </c>
      <c r="H9" s="3024">
        <v>5.8000000000000005E-3</v>
      </c>
      <c r="I9" s="3256">
        <v>64.530066346277437</v>
      </c>
      <c r="J9" s="3516"/>
      <c r="K9" s="3026">
        <v>173.78311306954851</v>
      </c>
      <c r="L9" s="3101">
        <v>350.70211306954849</v>
      </c>
      <c r="M9" s="3104">
        <v>0</v>
      </c>
      <c r="N9" s="3032">
        <v>76.075169999999986</v>
      </c>
      <c r="O9" s="3106">
        <v>0</v>
      </c>
      <c r="P9" s="3106">
        <v>79.613549999999989</v>
      </c>
      <c r="Q9" s="3106">
        <v>21.230279999999997</v>
      </c>
      <c r="R9" s="3107">
        <v>0</v>
      </c>
      <c r="S9" s="3109"/>
      <c r="T9" s="3041">
        <v>156.40480176259365</v>
      </c>
      <c r="U9" s="3041">
        <v>173.78311306954851</v>
      </c>
      <c r="V9" s="3041"/>
      <c r="W9" s="3041"/>
      <c r="X9" s="3041"/>
      <c r="Y9" s="3041">
        <v>156.40480176259365</v>
      </c>
      <c r="Z9" s="3110"/>
      <c r="AA9" s="3049"/>
      <c r="AB9" s="3051">
        <v>79.613549999999989</v>
      </c>
      <c r="AC9" s="3274">
        <v>177.63508176259364</v>
      </c>
      <c r="AD9" s="3274">
        <v>17.378311306954856</v>
      </c>
      <c r="AE9" s="3121">
        <v>0</v>
      </c>
      <c r="AF9" s="3271">
        <v>0</v>
      </c>
      <c r="AG9" s="3031">
        <v>76.075169999999986</v>
      </c>
      <c r="AH9" s="3061">
        <v>0</v>
      </c>
      <c r="AI9" s="3063">
        <v>76.075169999999986</v>
      </c>
      <c r="AJ9" s="3065">
        <v>79.613549999999989</v>
      </c>
      <c r="AK9" s="3067">
        <v>155.68871999999999</v>
      </c>
      <c r="AL9" s="3272">
        <v>195.0133930695485</v>
      </c>
      <c r="AM9" s="3273">
        <v>0</v>
      </c>
      <c r="AN9" s="3275" t="s">
        <v>153</v>
      </c>
      <c r="AO9" s="3080">
        <v>0.21692247398838271</v>
      </c>
      <c r="AP9" s="3082" t="s">
        <v>153</v>
      </c>
      <c r="AQ9" s="3084">
        <v>0.21692247398838271</v>
      </c>
      <c r="AR9" s="3086">
        <v>0.22701189138319122</v>
      </c>
      <c r="AS9" s="3088">
        <v>0.44393436537157399</v>
      </c>
      <c r="AT9" s="3276">
        <v>0.55606563462842606</v>
      </c>
      <c r="AU9" s="3158" t="s">
        <v>153</v>
      </c>
      <c r="AV9" s="3221">
        <v>0</v>
      </c>
      <c r="AW9" s="2487">
        <v>0</v>
      </c>
      <c r="AX9" s="643" t="s">
        <v>47</v>
      </c>
      <c r="AY9" s="615">
        <v>350.70211306954849</v>
      </c>
      <c r="AZ9" s="3306">
        <v>0.50447086974042499</v>
      </c>
      <c r="BA9" s="615">
        <v>0</v>
      </c>
      <c r="BB9" s="615">
        <v>76.075169999999986</v>
      </c>
      <c r="BC9" s="615">
        <v>0</v>
      </c>
      <c r="BD9" s="615">
        <v>76.075169999999986</v>
      </c>
      <c r="BE9" s="615">
        <v>79.613549999999989</v>
      </c>
      <c r="BF9" s="615">
        <v>155.68871999999999</v>
      </c>
      <c r="BG9" s="615">
        <v>195.0133930695485</v>
      </c>
      <c r="BH9" s="615">
        <v>0</v>
      </c>
      <c r="BI9" s="615"/>
      <c r="BK9" s="643" t="s">
        <v>47</v>
      </c>
      <c r="BL9" s="615">
        <v>350.70211306954849</v>
      </c>
      <c r="BM9" s="3309">
        <v>0.50447086974042499</v>
      </c>
      <c r="BN9" s="3309" t="s">
        <v>153</v>
      </c>
      <c r="BO9" s="3309">
        <v>0.21692247398838271</v>
      </c>
      <c r="BP9" s="3309" t="s">
        <v>153</v>
      </c>
      <c r="BQ9" s="3309">
        <v>0.21692247398838271</v>
      </c>
      <c r="BR9" s="3309">
        <v>0.22701189138319122</v>
      </c>
      <c r="BS9" s="3309">
        <v>0.44393436537157399</v>
      </c>
      <c r="BT9" s="3309">
        <v>0.55606563462842606</v>
      </c>
      <c r="BU9" s="3309" t="s">
        <v>153</v>
      </c>
      <c r="BV9" s="3309"/>
    </row>
    <row r="10" spans="1:74" x14ac:dyDescent="0.3">
      <c r="A10" s="8" t="s">
        <v>1</v>
      </c>
      <c r="B10" s="3006">
        <v>2288.452525753677</v>
      </c>
      <c r="C10" s="3249">
        <v>0.81477136989715482</v>
      </c>
      <c r="D10" s="3258">
        <v>2288.452525753677</v>
      </c>
      <c r="E10" s="3250">
        <v>0.81477136989715482</v>
      </c>
      <c r="F10" s="3199">
        <v>7.0000000000000001E-3</v>
      </c>
      <c r="G10" s="3256">
        <v>520.25260344414801</v>
      </c>
      <c r="H10" s="3024">
        <v>0</v>
      </c>
      <c r="I10" s="3256">
        <v>0</v>
      </c>
      <c r="J10" s="3516"/>
      <c r="K10" s="3026">
        <v>520.25260344414801</v>
      </c>
      <c r="L10" s="3101">
        <v>2808.705129197825</v>
      </c>
      <c r="M10" s="3104">
        <v>2.6130238779955706</v>
      </c>
      <c r="N10" s="3032">
        <v>1886.7346671321441</v>
      </c>
      <c r="O10" s="3106">
        <v>0</v>
      </c>
      <c r="P10" s="3106">
        <v>124.74774224230744</v>
      </c>
      <c r="Q10" s="3106">
        <v>274.35709250122972</v>
      </c>
      <c r="R10" s="3107">
        <v>0</v>
      </c>
      <c r="S10" s="3109"/>
      <c r="T10" s="3041">
        <v>468.22734309973322</v>
      </c>
      <c r="U10" s="3041">
        <v>520.25260344414801</v>
      </c>
      <c r="V10" s="3041"/>
      <c r="W10" s="3041"/>
      <c r="X10" s="3041"/>
      <c r="Y10" s="3041">
        <v>468.22734309973322</v>
      </c>
      <c r="Z10" s="3110"/>
      <c r="AA10" s="3049"/>
      <c r="AB10" s="3051">
        <v>124.74774224230744</v>
      </c>
      <c r="AC10" s="3274">
        <v>742.58443560096293</v>
      </c>
      <c r="AD10" s="3274">
        <v>52.025260344414789</v>
      </c>
      <c r="AE10" s="3121">
        <v>0</v>
      </c>
      <c r="AF10" s="3271">
        <v>2.6130238779955706</v>
      </c>
      <c r="AG10" s="3031">
        <v>1886.7346671321441</v>
      </c>
      <c r="AH10" s="3061">
        <v>0</v>
      </c>
      <c r="AI10" s="3063">
        <v>1889.3476910101397</v>
      </c>
      <c r="AJ10" s="3065">
        <v>124.74774224230744</v>
      </c>
      <c r="AK10" s="3067">
        <v>2014.095433252447</v>
      </c>
      <c r="AL10" s="3272">
        <v>794.60969594537778</v>
      </c>
      <c r="AM10" s="3273">
        <v>0</v>
      </c>
      <c r="AN10" s="3275">
        <v>9.303304397574331E-4</v>
      </c>
      <c r="AO10" s="3080">
        <v>0.67174537031981041</v>
      </c>
      <c r="AP10" s="3082" t="s">
        <v>153</v>
      </c>
      <c r="AQ10" s="3084">
        <v>0.67267570075956795</v>
      </c>
      <c r="AR10" s="3086">
        <v>4.4414680966504937E-2</v>
      </c>
      <c r="AS10" s="3088">
        <v>0.71709038172607287</v>
      </c>
      <c r="AT10" s="3276">
        <v>0.28290961827392708</v>
      </c>
      <c r="AU10" s="3158" t="s">
        <v>153</v>
      </c>
      <c r="AV10" s="3221">
        <v>0</v>
      </c>
      <c r="AW10" s="2487">
        <v>0</v>
      </c>
      <c r="AX10" s="643" t="s">
        <v>1</v>
      </c>
      <c r="AY10" s="615">
        <v>2808.705129197825</v>
      </c>
      <c r="AZ10" s="3306">
        <v>0.81477136989715482</v>
      </c>
      <c r="BA10" s="615">
        <v>2.6130238779955706</v>
      </c>
      <c r="BB10" s="615">
        <v>1886.7346671321441</v>
      </c>
      <c r="BC10" s="615">
        <v>0</v>
      </c>
      <c r="BD10" s="615">
        <v>1889.3476910101397</v>
      </c>
      <c r="BE10" s="615">
        <v>124.74774224230744</v>
      </c>
      <c r="BF10" s="615">
        <v>2014.095433252447</v>
      </c>
      <c r="BG10" s="615">
        <v>794.60969594537778</v>
      </c>
      <c r="BH10" s="615">
        <v>0</v>
      </c>
      <c r="BI10" s="615"/>
      <c r="BK10" s="643" t="s">
        <v>1</v>
      </c>
      <c r="BL10" s="615">
        <v>2808.705129197825</v>
      </c>
      <c r="BM10" s="3309">
        <v>0.81477136989715482</v>
      </c>
      <c r="BN10" s="3309">
        <v>9.303304397574331E-4</v>
      </c>
      <c r="BO10" s="3309">
        <v>0.67174537031981041</v>
      </c>
      <c r="BP10" s="3309" t="s">
        <v>153</v>
      </c>
      <c r="BQ10" s="3309">
        <v>0.67267570075956795</v>
      </c>
      <c r="BR10" s="3309">
        <v>4.4414680966504937E-2</v>
      </c>
      <c r="BS10" s="3309">
        <v>0.71709038172607287</v>
      </c>
      <c r="BT10" s="3309">
        <v>0.28290961827392708</v>
      </c>
      <c r="BU10" s="3309" t="s">
        <v>153</v>
      </c>
      <c r="BV10" s="3309"/>
    </row>
    <row r="11" spans="1:74" x14ac:dyDescent="0.3">
      <c r="A11" s="8" t="s">
        <v>5</v>
      </c>
      <c r="B11" s="3006">
        <v>7884.71</v>
      </c>
      <c r="C11" s="3249">
        <v>0.17153171404414391</v>
      </c>
      <c r="D11" s="3258">
        <v>7884.71</v>
      </c>
      <c r="E11" s="3250">
        <v>0.17153171404414391</v>
      </c>
      <c r="F11" s="3199">
        <v>0.46290000000000003</v>
      </c>
      <c r="G11" s="3256">
        <v>34403.56144775659</v>
      </c>
      <c r="H11" s="3024">
        <v>0.3306</v>
      </c>
      <c r="I11" s="3256">
        <v>3678.2137817378139</v>
      </c>
      <c r="J11" s="3517"/>
      <c r="K11" s="3026">
        <v>38081.775229494408</v>
      </c>
      <c r="L11" s="3101">
        <v>45966.485229494407</v>
      </c>
      <c r="M11" s="3104">
        <v>0</v>
      </c>
      <c r="N11" s="3032">
        <v>0</v>
      </c>
      <c r="O11" s="3106">
        <v>6578.7709999999997</v>
      </c>
      <c r="P11" s="3106">
        <v>1088.2825</v>
      </c>
      <c r="Q11" s="3106">
        <v>217.65650000000002</v>
      </c>
      <c r="R11" s="3107">
        <v>0</v>
      </c>
      <c r="S11" s="3109">
        <v>13301</v>
      </c>
      <c r="T11" s="3041">
        <v>34273.59770654497</v>
      </c>
      <c r="U11" s="3041">
        <v>24780.775229494408</v>
      </c>
      <c r="V11" s="3041"/>
      <c r="W11" s="3041"/>
      <c r="X11" s="3112">
        <v>15380.46</v>
      </c>
      <c r="Y11" s="3041">
        <v>5592.1377065449706</v>
      </c>
      <c r="Z11" s="3113"/>
      <c r="AA11" s="3049"/>
      <c r="AB11" s="3051">
        <v>1088.2825</v>
      </c>
      <c r="AC11" s="3274">
        <v>21190.254206544967</v>
      </c>
      <c r="AD11" s="3274">
        <v>3808.1775229494378</v>
      </c>
      <c r="AE11" s="3121">
        <v>13301</v>
      </c>
      <c r="AF11" s="3271">
        <v>0</v>
      </c>
      <c r="AG11" s="3031">
        <v>0</v>
      </c>
      <c r="AH11" s="3061">
        <v>6578.7709999999997</v>
      </c>
      <c r="AI11" s="3063">
        <v>6578.7709999999997</v>
      </c>
      <c r="AJ11" s="3065">
        <v>1088.2825</v>
      </c>
      <c r="AK11" s="3067">
        <v>7667.0535</v>
      </c>
      <c r="AL11" s="3272">
        <v>24998.431729494405</v>
      </c>
      <c r="AM11" s="3273">
        <v>13301</v>
      </c>
      <c r="AN11" s="3275" t="s">
        <v>153</v>
      </c>
      <c r="AO11" s="3080" t="s">
        <v>153</v>
      </c>
      <c r="AP11" s="3082">
        <v>0.1431210362757675</v>
      </c>
      <c r="AQ11" s="3084">
        <v>0.1431210362757675</v>
      </c>
      <c r="AR11" s="3086">
        <v>2.3675564806980354E-2</v>
      </c>
      <c r="AS11" s="3088">
        <v>0.16679660108274785</v>
      </c>
      <c r="AT11" s="3276">
        <v>0.54384040034138081</v>
      </c>
      <c r="AU11" s="3158">
        <v>0.28936299857587133</v>
      </c>
      <c r="AV11" s="3221">
        <v>0</v>
      </c>
      <c r="AW11" s="2487">
        <v>0</v>
      </c>
      <c r="AX11" s="643" t="s">
        <v>5</v>
      </c>
      <c r="AY11" s="615">
        <v>45966.485229494407</v>
      </c>
      <c r="AZ11" s="3306">
        <v>0.17153171404414391</v>
      </c>
      <c r="BA11" s="615">
        <v>0</v>
      </c>
      <c r="BB11" s="615">
        <v>0</v>
      </c>
      <c r="BC11" s="615">
        <v>6578.7709999999997</v>
      </c>
      <c r="BD11" s="615">
        <v>6578.7709999999997</v>
      </c>
      <c r="BE11" s="615">
        <v>1088.2825</v>
      </c>
      <c r="BF11" s="615">
        <v>7667.0535</v>
      </c>
      <c r="BG11" s="615">
        <v>24998.431729494405</v>
      </c>
      <c r="BH11" s="615">
        <v>13301</v>
      </c>
      <c r="BI11" s="615"/>
      <c r="BK11" s="643" t="s">
        <v>5</v>
      </c>
      <c r="BL11" s="615">
        <v>45966.485229494407</v>
      </c>
      <c r="BM11" s="3309">
        <v>0.17153171404414391</v>
      </c>
      <c r="BN11" s="3309" t="s">
        <v>153</v>
      </c>
      <c r="BO11" s="3309" t="s">
        <v>153</v>
      </c>
      <c r="BP11" s="3309">
        <v>0.1431210362757675</v>
      </c>
      <c r="BQ11" s="3309">
        <v>0.1431210362757675</v>
      </c>
      <c r="BR11" s="3309">
        <v>2.3675564806980354E-2</v>
      </c>
      <c r="BS11" s="3309">
        <v>0.16679660108274785</v>
      </c>
      <c r="BT11" s="3309">
        <v>0.54384040034138081</v>
      </c>
      <c r="BU11" s="3309">
        <v>0.28936299857587133</v>
      </c>
      <c r="BV11" s="3309"/>
    </row>
    <row r="12" spans="1:74" x14ac:dyDescent="0.3">
      <c r="A12" s="8" t="s">
        <v>28</v>
      </c>
      <c r="B12" s="3006">
        <v>12269.31940284162</v>
      </c>
      <c r="C12" s="3249">
        <v>0.58458403978862572</v>
      </c>
      <c r="D12" s="3258">
        <v>13861.275753347156</v>
      </c>
      <c r="E12" s="3250">
        <v>0.66043439823068772</v>
      </c>
      <c r="F12" s="3199">
        <v>7.8299999999999995E-2</v>
      </c>
      <c r="G12" s="3256">
        <v>5819.3969785252548</v>
      </c>
      <c r="H12" s="3024">
        <v>0.2606</v>
      </c>
      <c r="I12" s="3256">
        <v>2899.402636179293</v>
      </c>
      <c r="J12" s="3516"/>
      <c r="K12" s="3026">
        <v>8718.7996147045487</v>
      </c>
      <c r="L12" s="3101">
        <v>20988.119017546167</v>
      </c>
      <c r="M12" s="3104">
        <v>0</v>
      </c>
      <c r="N12" s="3032">
        <v>11655.853432699538</v>
      </c>
      <c r="O12" s="3106">
        <v>0</v>
      </c>
      <c r="P12" s="3106">
        <v>0</v>
      </c>
      <c r="Q12" s="3106">
        <v>613.46597014208101</v>
      </c>
      <c r="R12" s="3107">
        <v>0</v>
      </c>
      <c r="S12" s="3109"/>
      <c r="T12" s="3041">
        <v>7846.9196532340939</v>
      </c>
      <c r="U12" s="3041">
        <v>7126.8432641990121</v>
      </c>
      <c r="V12" s="3112">
        <v>1591.9563505055366</v>
      </c>
      <c r="W12" s="3041"/>
      <c r="X12" s="3041"/>
      <c r="Y12" s="3041">
        <v>6254.9633027285572</v>
      </c>
      <c r="Z12" s="3110"/>
      <c r="AA12" s="3049"/>
      <c r="AB12" s="3051">
        <v>0</v>
      </c>
      <c r="AC12" s="3274">
        <v>6868.4292728706387</v>
      </c>
      <c r="AD12" s="3274">
        <v>871.87996147045487</v>
      </c>
      <c r="AE12" s="3121">
        <v>0</v>
      </c>
      <c r="AF12" s="3271">
        <v>0</v>
      </c>
      <c r="AG12" s="3031">
        <v>13247.809783205073</v>
      </c>
      <c r="AH12" s="3061">
        <v>0</v>
      </c>
      <c r="AI12" s="3063">
        <v>13247.809783205073</v>
      </c>
      <c r="AJ12" s="3065">
        <v>0</v>
      </c>
      <c r="AK12" s="3067">
        <v>13247.809783205073</v>
      </c>
      <c r="AL12" s="3272">
        <v>7740.3092343410935</v>
      </c>
      <c r="AM12" s="3273">
        <v>0</v>
      </c>
      <c r="AN12" s="3275" t="s">
        <v>153</v>
      </c>
      <c r="AO12" s="3080">
        <v>0.63120519624125637</v>
      </c>
      <c r="AP12" s="3082" t="s">
        <v>153</v>
      </c>
      <c r="AQ12" s="3084">
        <v>0.63120519624125637</v>
      </c>
      <c r="AR12" s="3086" t="s">
        <v>153</v>
      </c>
      <c r="AS12" s="3088">
        <v>0.63120519624125637</v>
      </c>
      <c r="AT12" s="3276">
        <v>0.36879480375874363</v>
      </c>
      <c r="AU12" s="3158" t="s">
        <v>153</v>
      </c>
      <c r="AV12" s="3221">
        <v>0</v>
      </c>
      <c r="AW12" s="2487">
        <v>0</v>
      </c>
      <c r="AX12" s="643" t="s">
        <v>28</v>
      </c>
      <c r="AY12" s="615">
        <v>20988.119017546167</v>
      </c>
      <c r="AZ12" s="3306">
        <v>0.58458403978862572</v>
      </c>
      <c r="BA12" s="615">
        <v>0</v>
      </c>
      <c r="BB12" s="615">
        <v>13247.809783205073</v>
      </c>
      <c r="BC12" s="615">
        <v>0</v>
      </c>
      <c r="BD12" s="615">
        <v>13247.809783205073</v>
      </c>
      <c r="BE12" s="615">
        <v>0</v>
      </c>
      <c r="BF12" s="615">
        <v>13247.809783205073</v>
      </c>
      <c r="BG12" s="615">
        <v>7740.3092343410935</v>
      </c>
      <c r="BH12" s="615">
        <v>0</v>
      </c>
      <c r="BI12" s="615"/>
      <c r="BK12" s="643" t="s">
        <v>28</v>
      </c>
      <c r="BL12" s="615">
        <v>20988.119017546167</v>
      </c>
      <c r="BM12" s="3309">
        <v>0.58458403978862572</v>
      </c>
      <c r="BN12" s="3309" t="s">
        <v>153</v>
      </c>
      <c r="BO12" s="3309">
        <v>0.63120519624125637</v>
      </c>
      <c r="BP12" s="3309" t="s">
        <v>153</v>
      </c>
      <c r="BQ12" s="3309">
        <v>0.63120519624125637</v>
      </c>
      <c r="BR12" s="3309" t="s">
        <v>153</v>
      </c>
      <c r="BS12" s="3309">
        <v>0.63120519624125637</v>
      </c>
      <c r="BT12" s="3309">
        <v>0.36879480375874363</v>
      </c>
      <c r="BU12" s="3309" t="s">
        <v>153</v>
      </c>
      <c r="BV12" s="3309"/>
    </row>
    <row r="13" spans="1:74" x14ac:dyDescent="0.3">
      <c r="A13" s="8" t="s">
        <v>17</v>
      </c>
      <c r="B13" s="3006">
        <v>543.86</v>
      </c>
      <c r="C13" s="3259">
        <v>0.50005107370884549</v>
      </c>
      <c r="D13" s="3260">
        <v>543.86</v>
      </c>
      <c r="E13" s="3261">
        <v>0.50005107370884549</v>
      </c>
      <c r="F13" s="3199">
        <v>5.4000000000000003E-3</v>
      </c>
      <c r="G13" s="3256">
        <v>401.3377226569142</v>
      </c>
      <c r="H13" s="3024">
        <v>1.2800000000000001E-2</v>
      </c>
      <c r="I13" s="3256">
        <v>142.4111809021295</v>
      </c>
      <c r="J13" s="3516"/>
      <c r="K13" s="3026">
        <v>543.7489035590437</v>
      </c>
      <c r="L13" s="3101">
        <v>1087.6089035590437</v>
      </c>
      <c r="M13" s="3104">
        <v>0</v>
      </c>
      <c r="N13" s="3032">
        <v>516.66700000000003</v>
      </c>
      <c r="O13" s="3106">
        <v>0</v>
      </c>
      <c r="P13" s="3106">
        <v>0</v>
      </c>
      <c r="Q13" s="3106">
        <v>27.193000000000001</v>
      </c>
      <c r="R13" s="3107">
        <v>0</v>
      </c>
      <c r="S13" s="3109"/>
      <c r="T13" s="3041">
        <v>489.37401320313933</v>
      </c>
      <c r="U13" s="3041">
        <v>543.7489035590437</v>
      </c>
      <c r="V13" s="3041"/>
      <c r="W13" s="3041"/>
      <c r="X13" s="3041"/>
      <c r="Y13" s="3041">
        <v>489.37401320313933</v>
      </c>
      <c r="Z13" s="3110"/>
      <c r="AA13" s="3049"/>
      <c r="AB13" s="3051">
        <v>0</v>
      </c>
      <c r="AC13" s="3274">
        <v>516.56701320313937</v>
      </c>
      <c r="AD13" s="3274">
        <v>54.37489035590437</v>
      </c>
      <c r="AE13" s="3121">
        <v>0</v>
      </c>
      <c r="AF13" s="3271">
        <v>0</v>
      </c>
      <c r="AG13" s="3031">
        <v>516.66700000000003</v>
      </c>
      <c r="AH13" s="3061">
        <v>0</v>
      </c>
      <c r="AI13" s="3063">
        <v>516.66700000000003</v>
      </c>
      <c r="AJ13" s="3065">
        <v>0</v>
      </c>
      <c r="AK13" s="3067">
        <v>516.66700000000003</v>
      </c>
      <c r="AL13" s="3272">
        <v>570.94190355904379</v>
      </c>
      <c r="AM13" s="3273">
        <v>0</v>
      </c>
      <c r="AN13" s="3277" t="s">
        <v>153</v>
      </c>
      <c r="AO13" s="3278">
        <v>0.47504852002340325</v>
      </c>
      <c r="AP13" s="3279" t="s">
        <v>153</v>
      </c>
      <c r="AQ13" s="3280">
        <v>0.47504852002340325</v>
      </c>
      <c r="AR13" s="3281" t="s">
        <v>153</v>
      </c>
      <c r="AS13" s="3282">
        <v>0.47504852002340325</v>
      </c>
      <c r="AT13" s="3283">
        <v>0.52495147997659686</v>
      </c>
      <c r="AU13" s="3159" t="s">
        <v>153</v>
      </c>
      <c r="AV13" s="3221">
        <v>0</v>
      </c>
      <c r="AW13" s="2487">
        <v>0</v>
      </c>
      <c r="AX13" s="643" t="s">
        <v>17</v>
      </c>
      <c r="AY13" s="615">
        <v>1087.6089035590437</v>
      </c>
      <c r="AZ13" s="3306">
        <v>0.50005107370884549</v>
      </c>
      <c r="BA13" s="615">
        <v>0</v>
      </c>
      <c r="BB13" s="615">
        <v>516.66700000000003</v>
      </c>
      <c r="BC13" s="615">
        <v>0</v>
      </c>
      <c r="BD13" s="615">
        <v>516.66700000000003</v>
      </c>
      <c r="BE13" s="615">
        <v>0</v>
      </c>
      <c r="BF13" s="615">
        <v>516.66700000000003</v>
      </c>
      <c r="BG13" s="615">
        <v>570.94190355904379</v>
      </c>
      <c r="BH13" s="615">
        <v>0</v>
      </c>
      <c r="BI13" s="615"/>
      <c r="BK13" s="643" t="s">
        <v>17</v>
      </c>
      <c r="BL13" s="615">
        <v>1087.6089035590437</v>
      </c>
      <c r="BM13" s="3309">
        <v>0.50005107370884549</v>
      </c>
      <c r="BN13" s="3309" t="s">
        <v>153</v>
      </c>
      <c r="BO13" s="3309">
        <v>0.47504852002340325</v>
      </c>
      <c r="BP13" s="3309" t="s">
        <v>153</v>
      </c>
      <c r="BQ13" s="3309">
        <v>0.47504852002340325</v>
      </c>
      <c r="BR13" s="3309" t="s">
        <v>153</v>
      </c>
      <c r="BS13" s="3309">
        <v>0.47504852002340325</v>
      </c>
      <c r="BT13" s="3309">
        <v>0.52495147997659686</v>
      </c>
      <c r="BU13" s="3309" t="s">
        <v>153</v>
      </c>
      <c r="BV13" s="3309"/>
    </row>
    <row r="14" spans="1:74" x14ac:dyDescent="0.3">
      <c r="A14" s="8" t="s">
        <v>29</v>
      </c>
      <c r="B14" s="3006">
        <v>3538.2200000000003</v>
      </c>
      <c r="C14" s="3249">
        <v>0.73473150309829394</v>
      </c>
      <c r="D14" s="3258">
        <v>3664.9195474241697</v>
      </c>
      <c r="E14" s="3250">
        <v>0.76104138459826665</v>
      </c>
      <c r="F14" s="3199">
        <v>1.6199999999999999E-2</v>
      </c>
      <c r="G14" s="3256">
        <v>1204.0131679707424</v>
      </c>
      <c r="H14" s="3024">
        <v>6.5999999999999991E-3</v>
      </c>
      <c r="I14" s="3256">
        <v>73.430765152660513</v>
      </c>
      <c r="J14" s="3516"/>
      <c r="K14" s="3026">
        <v>1277.443933123403</v>
      </c>
      <c r="L14" s="3101">
        <v>4815.6639331234037</v>
      </c>
      <c r="M14" s="3104">
        <v>0</v>
      </c>
      <c r="N14" s="3032">
        <v>3078.2514000000001</v>
      </c>
      <c r="O14" s="3106">
        <v>0</v>
      </c>
      <c r="P14" s="3106">
        <v>0</v>
      </c>
      <c r="Q14" s="3106">
        <v>459.96860000000004</v>
      </c>
      <c r="R14" s="3107">
        <v>0</v>
      </c>
      <c r="S14" s="3109"/>
      <c r="T14" s="3041">
        <v>1149.6995398110628</v>
      </c>
      <c r="U14" s="3041">
        <v>1150.7443856992336</v>
      </c>
      <c r="V14" s="3112">
        <v>126.69954742416947</v>
      </c>
      <c r="W14" s="3041"/>
      <c r="X14" s="3041"/>
      <c r="Y14" s="3041">
        <v>1022.9999923868933</v>
      </c>
      <c r="Z14" s="3110"/>
      <c r="AA14" s="3049"/>
      <c r="AB14" s="3051">
        <v>0</v>
      </c>
      <c r="AC14" s="3274">
        <v>1482.9685923868933</v>
      </c>
      <c r="AD14" s="3274">
        <v>127.74439331234021</v>
      </c>
      <c r="AE14" s="3121">
        <v>0</v>
      </c>
      <c r="AF14" s="3271">
        <v>0</v>
      </c>
      <c r="AG14" s="3031">
        <v>3204.9509474241695</v>
      </c>
      <c r="AH14" s="3061">
        <v>0</v>
      </c>
      <c r="AI14" s="3063">
        <v>3204.9509474241695</v>
      </c>
      <c r="AJ14" s="3065">
        <v>0</v>
      </c>
      <c r="AK14" s="3067">
        <v>3204.9509474241695</v>
      </c>
      <c r="AL14" s="3272">
        <v>1610.7129856992335</v>
      </c>
      <c r="AM14" s="3273">
        <v>0</v>
      </c>
      <c r="AN14" s="3275" t="s">
        <v>153</v>
      </c>
      <c r="AO14" s="3080">
        <v>0.6655262891954884</v>
      </c>
      <c r="AP14" s="3082" t="s">
        <v>153</v>
      </c>
      <c r="AQ14" s="3084">
        <v>0.6655262891954884</v>
      </c>
      <c r="AR14" s="3086" t="s">
        <v>153</v>
      </c>
      <c r="AS14" s="3088">
        <v>0.6655262891954884</v>
      </c>
      <c r="AT14" s="3276">
        <v>0.33447371080451144</v>
      </c>
      <c r="AU14" s="3158" t="s">
        <v>153</v>
      </c>
      <c r="AV14" s="3221">
        <v>0</v>
      </c>
      <c r="AW14" s="2487">
        <v>0</v>
      </c>
      <c r="AX14" s="643" t="s">
        <v>29</v>
      </c>
      <c r="AY14" s="615">
        <v>4815.6639331234037</v>
      </c>
      <c r="AZ14" s="3306">
        <v>0.73473150309829394</v>
      </c>
      <c r="BA14" s="615">
        <v>0</v>
      </c>
      <c r="BB14" s="615">
        <v>3204.9509474241695</v>
      </c>
      <c r="BC14" s="615">
        <v>0</v>
      </c>
      <c r="BD14" s="615">
        <v>3204.9509474241695</v>
      </c>
      <c r="BE14" s="615">
        <v>0</v>
      </c>
      <c r="BF14" s="615">
        <v>3204.9509474241695</v>
      </c>
      <c r="BG14" s="615">
        <v>1610.7129856992335</v>
      </c>
      <c r="BH14" s="615">
        <v>0</v>
      </c>
      <c r="BI14" s="615"/>
      <c r="BK14" s="643" t="s">
        <v>29</v>
      </c>
      <c r="BL14" s="615">
        <v>4815.6639331234037</v>
      </c>
      <c r="BM14" s="3309">
        <v>0.73473150309829394</v>
      </c>
      <c r="BN14" s="3309" t="s">
        <v>153</v>
      </c>
      <c r="BO14" s="3309">
        <v>0.6655262891954884</v>
      </c>
      <c r="BP14" s="3309" t="s">
        <v>153</v>
      </c>
      <c r="BQ14" s="3309">
        <v>0.6655262891954884</v>
      </c>
      <c r="BR14" s="3309" t="s">
        <v>153</v>
      </c>
      <c r="BS14" s="3309">
        <v>0.6655262891954884</v>
      </c>
      <c r="BT14" s="3309">
        <v>0.33447371080451144</v>
      </c>
      <c r="BU14" s="3309" t="s">
        <v>153</v>
      </c>
      <c r="BV14" s="3309"/>
    </row>
    <row r="15" spans="1:74" x14ac:dyDescent="0.3">
      <c r="A15" s="518" t="s">
        <v>308</v>
      </c>
      <c r="B15" s="3006">
        <v>57.786000000000001</v>
      </c>
      <c r="C15" s="3249">
        <v>0.75678232570691351</v>
      </c>
      <c r="D15" s="3258">
        <v>57.786000000000001</v>
      </c>
      <c r="E15" s="3250">
        <v>0.75678232570691351</v>
      </c>
      <c r="F15" s="3199">
        <v>1.9000000000000001E-4</v>
      </c>
      <c r="G15" s="3256">
        <v>14.121142093484018</v>
      </c>
      <c r="H15" s="3024">
        <v>4.0000000000000002E-4</v>
      </c>
      <c r="I15" s="3256">
        <v>4.4503494031915469</v>
      </c>
      <c r="J15" s="3516"/>
      <c r="K15" s="3026">
        <v>18.571491496675563</v>
      </c>
      <c r="L15" s="3101">
        <v>76.357491496675564</v>
      </c>
      <c r="M15" s="3104">
        <v>0</v>
      </c>
      <c r="N15" s="3032">
        <v>28.511612400000001</v>
      </c>
      <c r="O15" s="3106">
        <v>0</v>
      </c>
      <c r="P15" s="3106">
        <v>0.46228800000000003</v>
      </c>
      <c r="Q15" s="3106">
        <v>28.8120996</v>
      </c>
      <c r="R15" s="3107">
        <v>0</v>
      </c>
      <c r="S15" s="3109"/>
      <c r="T15" s="3041">
        <v>16.714342347008007</v>
      </c>
      <c r="U15" s="3041">
        <v>18.571491496675563</v>
      </c>
      <c r="V15" s="3041"/>
      <c r="W15" s="3041"/>
      <c r="X15" s="3041"/>
      <c r="Y15" s="3041">
        <v>16.714342347008007</v>
      </c>
      <c r="Z15" s="3110"/>
      <c r="AA15" s="3049"/>
      <c r="AB15" s="3051">
        <v>0.46228800000000003</v>
      </c>
      <c r="AC15" s="3274">
        <v>45.52644194700801</v>
      </c>
      <c r="AD15" s="3274">
        <v>1.8571491496675563</v>
      </c>
      <c r="AE15" s="3121">
        <v>0</v>
      </c>
      <c r="AF15" s="3271">
        <v>0</v>
      </c>
      <c r="AG15" s="3031">
        <v>28.511612400000001</v>
      </c>
      <c r="AH15" s="3061">
        <v>0</v>
      </c>
      <c r="AI15" s="3063">
        <v>28.511612400000001</v>
      </c>
      <c r="AJ15" s="3065">
        <v>0.46228800000000003</v>
      </c>
      <c r="AK15" s="3067">
        <v>28.973900400000002</v>
      </c>
      <c r="AL15" s="3272">
        <v>47.383591096675566</v>
      </c>
      <c r="AM15" s="3273">
        <v>0</v>
      </c>
      <c r="AN15" s="3275" t="s">
        <v>153</v>
      </c>
      <c r="AO15" s="3080">
        <v>0.37339639950379111</v>
      </c>
      <c r="AP15" s="3082" t="s">
        <v>153</v>
      </c>
      <c r="AQ15" s="3084">
        <v>0.37339639950379111</v>
      </c>
      <c r="AR15" s="3086">
        <v>6.0542586056553079E-3</v>
      </c>
      <c r="AS15" s="3088">
        <v>0.37945065810944639</v>
      </c>
      <c r="AT15" s="3276">
        <v>0.62054934189055366</v>
      </c>
      <c r="AU15" s="3158" t="s">
        <v>153</v>
      </c>
      <c r="AV15" s="3221">
        <v>0</v>
      </c>
      <c r="AW15" s="2487">
        <v>0</v>
      </c>
      <c r="AX15" s="643" t="s">
        <v>308</v>
      </c>
      <c r="AY15" s="615">
        <v>76.357491496675564</v>
      </c>
      <c r="AZ15" s="3306">
        <v>0.75678232570691351</v>
      </c>
      <c r="BA15" s="615">
        <v>0</v>
      </c>
      <c r="BB15" s="615">
        <v>28.511612400000001</v>
      </c>
      <c r="BC15" s="615">
        <v>0</v>
      </c>
      <c r="BD15" s="615">
        <v>28.511612400000001</v>
      </c>
      <c r="BE15" s="615">
        <v>0.46228800000000003</v>
      </c>
      <c r="BF15" s="615">
        <v>28.973900400000002</v>
      </c>
      <c r="BG15" s="615">
        <v>47.383591096675566</v>
      </c>
      <c r="BH15" s="615">
        <v>0</v>
      </c>
      <c r="BI15" s="615"/>
      <c r="BK15" s="643" t="s">
        <v>308</v>
      </c>
      <c r="BL15" s="615">
        <v>76.357491496675564</v>
      </c>
      <c r="BM15" s="3309">
        <v>0.75678232570691351</v>
      </c>
      <c r="BN15" s="3309" t="s">
        <v>153</v>
      </c>
      <c r="BO15" s="3309">
        <v>0.37339639950379111</v>
      </c>
      <c r="BP15" s="3309" t="s">
        <v>153</v>
      </c>
      <c r="BQ15" s="3309">
        <v>0.37339639950379111</v>
      </c>
      <c r="BR15" s="3309">
        <v>6.0542586056553079E-3</v>
      </c>
      <c r="BS15" s="3309">
        <v>0.37945065810944639</v>
      </c>
      <c r="BT15" s="3309">
        <v>0.62054934189055366</v>
      </c>
      <c r="BU15" s="3309" t="s">
        <v>153</v>
      </c>
      <c r="BV15" s="3309"/>
    </row>
    <row r="16" spans="1:74" x14ac:dyDescent="0.3">
      <c r="A16" s="2110" t="s">
        <v>60</v>
      </c>
      <c r="B16" s="3006">
        <v>0</v>
      </c>
      <c r="C16" s="3249">
        <v>0</v>
      </c>
      <c r="D16" s="3258">
        <v>0</v>
      </c>
      <c r="E16" s="3250">
        <v>0</v>
      </c>
      <c r="F16" s="3199">
        <v>0</v>
      </c>
      <c r="G16" s="3256">
        <v>0</v>
      </c>
      <c r="H16" s="3024">
        <v>0</v>
      </c>
      <c r="I16" s="3256">
        <v>0</v>
      </c>
      <c r="J16" s="3516"/>
      <c r="K16" s="3026">
        <v>0</v>
      </c>
      <c r="L16" s="3101">
        <v>0</v>
      </c>
      <c r="M16" s="3104">
        <v>0</v>
      </c>
      <c r="N16" s="3032">
        <v>0</v>
      </c>
      <c r="O16" s="3106">
        <v>0</v>
      </c>
      <c r="P16" s="3106">
        <v>0</v>
      </c>
      <c r="Q16" s="3106">
        <v>0</v>
      </c>
      <c r="R16" s="3107">
        <v>0</v>
      </c>
      <c r="S16" s="3109"/>
      <c r="T16" s="3041">
        <v>0</v>
      </c>
      <c r="U16" s="3041">
        <v>0</v>
      </c>
      <c r="V16" s="3041"/>
      <c r="W16" s="3041"/>
      <c r="X16" s="3041"/>
      <c r="Y16" s="3041">
        <v>0</v>
      </c>
      <c r="Z16" s="3110"/>
      <c r="AA16" s="3049"/>
      <c r="AB16" s="3051">
        <v>0</v>
      </c>
      <c r="AC16" s="3274">
        <v>0</v>
      </c>
      <c r="AD16" s="3274">
        <v>0</v>
      </c>
      <c r="AE16" s="3121">
        <v>0</v>
      </c>
      <c r="AF16" s="3271">
        <v>0</v>
      </c>
      <c r="AG16" s="3031">
        <v>0</v>
      </c>
      <c r="AH16" s="3061">
        <v>0</v>
      </c>
      <c r="AI16" s="3063">
        <v>0</v>
      </c>
      <c r="AJ16" s="3065">
        <v>0</v>
      </c>
      <c r="AK16" s="3067">
        <v>0</v>
      </c>
      <c r="AL16" s="3272">
        <v>0</v>
      </c>
      <c r="AM16" s="3273">
        <v>0</v>
      </c>
      <c r="AN16" s="3275" t="s">
        <v>153</v>
      </c>
      <c r="AO16" s="3080" t="s">
        <v>153</v>
      </c>
      <c r="AP16" s="3082" t="s">
        <v>153</v>
      </c>
      <c r="AQ16" s="3084" t="s">
        <v>153</v>
      </c>
      <c r="AR16" s="3086" t="s">
        <v>153</v>
      </c>
      <c r="AS16" s="3088" t="s">
        <v>153</v>
      </c>
      <c r="AT16" s="3276" t="s">
        <v>153</v>
      </c>
      <c r="AU16" s="3158" t="s">
        <v>153</v>
      </c>
      <c r="AV16" s="3221">
        <v>0</v>
      </c>
      <c r="AW16" s="2487">
        <v>0</v>
      </c>
      <c r="AX16" s="643" t="s">
        <v>60</v>
      </c>
      <c r="AY16" s="615">
        <v>0</v>
      </c>
      <c r="AZ16" s="3306">
        <v>0</v>
      </c>
      <c r="BA16" s="615">
        <v>0</v>
      </c>
      <c r="BB16" s="615">
        <v>0</v>
      </c>
      <c r="BC16" s="615">
        <v>0</v>
      </c>
      <c r="BD16" s="615">
        <v>0</v>
      </c>
      <c r="BE16" s="615">
        <v>0</v>
      </c>
      <c r="BF16" s="615">
        <v>0</v>
      </c>
      <c r="BG16" s="615">
        <v>0</v>
      </c>
      <c r="BH16" s="615">
        <v>0</v>
      </c>
      <c r="BI16" s="615"/>
      <c r="BK16" s="643" t="s">
        <v>60</v>
      </c>
      <c r="BL16" s="615">
        <v>0</v>
      </c>
      <c r="BM16" s="3309">
        <v>0</v>
      </c>
      <c r="BN16" s="3309" t="s">
        <v>153</v>
      </c>
      <c r="BO16" s="3309" t="s">
        <v>153</v>
      </c>
      <c r="BP16" s="3309" t="s">
        <v>153</v>
      </c>
      <c r="BQ16" s="3309" t="s">
        <v>153</v>
      </c>
      <c r="BR16" s="3309" t="s">
        <v>153</v>
      </c>
      <c r="BS16" s="3309" t="s">
        <v>153</v>
      </c>
      <c r="BT16" s="3309" t="s">
        <v>153</v>
      </c>
      <c r="BU16" s="3309" t="s">
        <v>153</v>
      </c>
      <c r="BV16" s="3309"/>
    </row>
    <row r="17" spans="1:75" x14ac:dyDescent="0.3">
      <c r="A17" s="8" t="s">
        <v>57</v>
      </c>
      <c r="B17" s="3006">
        <v>1058.4860000000001</v>
      </c>
      <c r="C17" s="3249">
        <v>0.19188564043151479</v>
      </c>
      <c r="D17" s="3258">
        <v>1058.4860000000001</v>
      </c>
      <c r="E17" s="3250">
        <v>0.19188564043151479</v>
      </c>
      <c r="F17" s="3199">
        <v>5.7000000000000002E-2</v>
      </c>
      <c r="G17" s="3256">
        <v>4236.3426280452049</v>
      </c>
      <c r="H17" s="3024">
        <v>1.9900000000000001E-2</v>
      </c>
      <c r="I17" s="3256">
        <v>221.40488280877946</v>
      </c>
      <c r="J17" s="3516"/>
      <c r="K17" s="3026">
        <v>4457.7475108539847</v>
      </c>
      <c r="L17" s="3101">
        <v>5516.2335108539846</v>
      </c>
      <c r="M17" s="3104">
        <v>627.99974380000015</v>
      </c>
      <c r="N17" s="3032">
        <v>236.35992380000002</v>
      </c>
      <c r="O17" s="3106">
        <v>0</v>
      </c>
      <c r="P17" s="3106">
        <v>194.12633240000002</v>
      </c>
      <c r="Q17" s="3106">
        <v>0</v>
      </c>
      <c r="R17" s="3107">
        <v>0</v>
      </c>
      <c r="S17" s="3109"/>
      <c r="T17" s="3041">
        <v>4011.9727597685865</v>
      </c>
      <c r="U17" s="3041">
        <v>4457.7475108539847</v>
      </c>
      <c r="V17" s="3041"/>
      <c r="W17" s="3041"/>
      <c r="X17" s="3041"/>
      <c r="Y17" s="3041">
        <v>4011.9727597685865</v>
      </c>
      <c r="Z17" s="3110"/>
      <c r="AA17" s="3049"/>
      <c r="AB17" s="3051">
        <v>194.12633240000002</v>
      </c>
      <c r="AC17" s="3274">
        <v>4011.9727597685865</v>
      </c>
      <c r="AD17" s="3274">
        <v>445.77475108539829</v>
      </c>
      <c r="AE17" s="3121">
        <v>0</v>
      </c>
      <c r="AF17" s="3271">
        <v>627.99974380000015</v>
      </c>
      <c r="AG17" s="3031">
        <v>236.35992380000002</v>
      </c>
      <c r="AH17" s="3061">
        <v>0</v>
      </c>
      <c r="AI17" s="3063">
        <v>864.35966760000019</v>
      </c>
      <c r="AJ17" s="3065">
        <v>194.12633240000002</v>
      </c>
      <c r="AK17" s="3067">
        <v>1058.4860000000003</v>
      </c>
      <c r="AL17" s="3272">
        <v>4457.7475108539847</v>
      </c>
      <c r="AM17" s="3273">
        <v>0</v>
      </c>
      <c r="AN17" s="3275">
        <v>0.11384575046801773</v>
      </c>
      <c r="AO17" s="3080">
        <v>4.2848063508357251E-2</v>
      </c>
      <c r="AP17" s="3082" t="s">
        <v>153</v>
      </c>
      <c r="AQ17" s="3084">
        <v>0.156693813976375</v>
      </c>
      <c r="AR17" s="3086">
        <v>3.519182645513981E-2</v>
      </c>
      <c r="AS17" s="3088">
        <v>0.19188564043151482</v>
      </c>
      <c r="AT17" s="3276">
        <v>0.80811435956848521</v>
      </c>
      <c r="AU17" s="3158" t="s">
        <v>153</v>
      </c>
      <c r="AV17" s="3221">
        <v>0</v>
      </c>
      <c r="AW17" s="2487">
        <v>0</v>
      </c>
      <c r="AX17" s="643" t="s">
        <v>57</v>
      </c>
      <c r="AY17" s="615">
        <v>5516.2335108539846</v>
      </c>
      <c r="AZ17" s="3306">
        <v>0.19188564043151479</v>
      </c>
      <c r="BA17" s="615">
        <v>627.99974380000015</v>
      </c>
      <c r="BB17" s="615">
        <v>236.35992380000002</v>
      </c>
      <c r="BC17" s="615">
        <v>0</v>
      </c>
      <c r="BD17" s="615">
        <v>864.35966760000019</v>
      </c>
      <c r="BE17" s="615">
        <v>194.12633240000002</v>
      </c>
      <c r="BF17" s="615">
        <v>1058.4860000000003</v>
      </c>
      <c r="BG17" s="615">
        <v>4457.7475108539847</v>
      </c>
      <c r="BH17" s="615">
        <v>0</v>
      </c>
      <c r="BI17" s="615"/>
      <c r="BK17" s="643" t="s">
        <v>57</v>
      </c>
      <c r="BL17" s="615">
        <v>5516.2335108539846</v>
      </c>
      <c r="BM17" s="3309">
        <v>0.19188564043151479</v>
      </c>
      <c r="BN17" s="3309">
        <v>0.11384575046801773</v>
      </c>
      <c r="BO17" s="3309">
        <v>4.2848063508357251E-2</v>
      </c>
      <c r="BP17" s="3309" t="s">
        <v>153</v>
      </c>
      <c r="BQ17" s="3309">
        <v>0.156693813976375</v>
      </c>
      <c r="BR17" s="3309">
        <v>3.519182645513981E-2</v>
      </c>
      <c r="BS17" s="3309">
        <v>0.19188564043151482</v>
      </c>
      <c r="BT17" s="3309">
        <v>0.80811435956848521</v>
      </c>
      <c r="BU17" s="3309" t="s">
        <v>153</v>
      </c>
      <c r="BV17" s="3309"/>
    </row>
    <row r="18" spans="1:75" x14ac:dyDescent="0.3">
      <c r="A18" s="8" t="s">
        <v>35</v>
      </c>
      <c r="B18" s="3006">
        <v>132.185</v>
      </c>
      <c r="C18" s="3249">
        <v>1</v>
      </c>
      <c r="D18" s="3258">
        <v>132.185</v>
      </c>
      <c r="E18" s="3250">
        <v>1</v>
      </c>
      <c r="F18" s="3199">
        <v>0</v>
      </c>
      <c r="G18" s="3256">
        <v>0</v>
      </c>
      <c r="H18" s="3024">
        <v>0</v>
      </c>
      <c r="I18" s="3256">
        <v>0</v>
      </c>
      <c r="J18" s="3516"/>
      <c r="K18" s="3026">
        <v>0</v>
      </c>
      <c r="L18" s="3101">
        <v>132.185</v>
      </c>
      <c r="M18" s="3104">
        <v>0</v>
      </c>
      <c r="N18" s="3032">
        <v>109.71355</v>
      </c>
      <c r="O18" s="3106">
        <v>0</v>
      </c>
      <c r="P18" s="3106">
        <v>9.2529500000000002</v>
      </c>
      <c r="Q18" s="3106">
        <v>13.218500000000001</v>
      </c>
      <c r="R18" s="3107">
        <v>0</v>
      </c>
      <c r="S18" s="3109"/>
      <c r="T18" s="3041">
        <v>0</v>
      </c>
      <c r="U18" s="3041">
        <v>0</v>
      </c>
      <c r="V18" s="3041"/>
      <c r="W18" s="3041"/>
      <c r="X18" s="3041"/>
      <c r="Y18" s="3041">
        <v>0</v>
      </c>
      <c r="Z18" s="3110"/>
      <c r="AA18" s="3049"/>
      <c r="AB18" s="3051">
        <v>9.2529500000000002</v>
      </c>
      <c r="AC18" s="3274">
        <v>13.218500000000001</v>
      </c>
      <c r="AD18" s="3274">
        <v>0</v>
      </c>
      <c r="AE18" s="3121">
        <v>0</v>
      </c>
      <c r="AF18" s="3271">
        <v>0</v>
      </c>
      <c r="AG18" s="3031">
        <v>109.71355</v>
      </c>
      <c r="AH18" s="3061">
        <v>0</v>
      </c>
      <c r="AI18" s="3063">
        <v>109.71355</v>
      </c>
      <c r="AJ18" s="3065">
        <v>9.2529500000000002</v>
      </c>
      <c r="AK18" s="3067">
        <v>118.9665</v>
      </c>
      <c r="AL18" s="3272">
        <v>13.218500000000001</v>
      </c>
      <c r="AM18" s="3273">
        <v>0</v>
      </c>
      <c r="AN18" s="3275" t="s">
        <v>153</v>
      </c>
      <c r="AO18" s="3080">
        <v>0.83</v>
      </c>
      <c r="AP18" s="3082" t="s">
        <v>153</v>
      </c>
      <c r="AQ18" s="3084">
        <v>0.83</v>
      </c>
      <c r="AR18" s="3086">
        <v>7.0000000000000007E-2</v>
      </c>
      <c r="AS18" s="3088">
        <v>0.89999999999999991</v>
      </c>
      <c r="AT18" s="3276">
        <v>0.1</v>
      </c>
      <c r="AU18" s="3158" t="s">
        <v>153</v>
      </c>
      <c r="AV18" s="3221">
        <v>0</v>
      </c>
      <c r="AW18" s="2487">
        <v>0</v>
      </c>
      <c r="AX18" s="643" t="s">
        <v>35</v>
      </c>
      <c r="AY18" s="615">
        <v>132.185</v>
      </c>
      <c r="AZ18" s="3306">
        <v>1</v>
      </c>
      <c r="BA18" s="615">
        <v>0</v>
      </c>
      <c r="BB18" s="615">
        <v>109.71355</v>
      </c>
      <c r="BC18" s="615">
        <v>0</v>
      </c>
      <c r="BD18" s="615">
        <v>109.71355</v>
      </c>
      <c r="BE18" s="615">
        <v>9.2529500000000002</v>
      </c>
      <c r="BF18" s="615">
        <v>118.9665</v>
      </c>
      <c r="BG18" s="615">
        <v>13.218500000000001</v>
      </c>
      <c r="BH18" s="615">
        <v>0</v>
      </c>
      <c r="BI18" s="615"/>
      <c r="BK18" s="643" t="s">
        <v>35</v>
      </c>
      <c r="BL18" s="615">
        <v>132.185</v>
      </c>
      <c r="BM18" s="3309">
        <v>1</v>
      </c>
      <c r="BN18" s="3309" t="s">
        <v>153</v>
      </c>
      <c r="BO18" s="3309">
        <v>0.83</v>
      </c>
      <c r="BP18" s="3309" t="s">
        <v>153</v>
      </c>
      <c r="BQ18" s="3309">
        <v>0.83</v>
      </c>
      <c r="BR18" s="3309">
        <v>7.0000000000000007E-2</v>
      </c>
      <c r="BS18" s="3309">
        <v>0.89999999999999991</v>
      </c>
      <c r="BT18" s="3309">
        <v>0.1</v>
      </c>
      <c r="BU18" s="3309" t="s">
        <v>153</v>
      </c>
      <c r="BV18" s="3309"/>
    </row>
    <row r="19" spans="1:75" x14ac:dyDescent="0.3">
      <c r="A19" s="8" t="s">
        <v>67</v>
      </c>
      <c r="B19" s="3006">
        <v>70.64</v>
      </c>
      <c r="C19" s="3249">
        <v>1</v>
      </c>
      <c r="D19" s="3258">
        <v>70.64</v>
      </c>
      <c r="E19" s="3250">
        <v>1</v>
      </c>
      <c r="F19" s="3199">
        <v>0</v>
      </c>
      <c r="G19" s="3256">
        <v>0</v>
      </c>
      <c r="H19" s="3024">
        <v>0</v>
      </c>
      <c r="I19" s="3256">
        <v>0</v>
      </c>
      <c r="J19" s="3516"/>
      <c r="K19" s="3026">
        <v>0</v>
      </c>
      <c r="L19" s="3101">
        <v>70.64</v>
      </c>
      <c r="M19" s="3104">
        <v>9.0560480000000005</v>
      </c>
      <c r="N19" s="3032">
        <v>31.364160000000002</v>
      </c>
      <c r="O19" s="3106">
        <v>0</v>
      </c>
      <c r="P19" s="3106">
        <v>30.219792000000002</v>
      </c>
      <c r="Q19" s="3106">
        <v>0</v>
      </c>
      <c r="R19" s="3107">
        <v>0</v>
      </c>
      <c r="S19" s="3109"/>
      <c r="T19" s="3041">
        <v>0</v>
      </c>
      <c r="U19" s="3041">
        <v>0</v>
      </c>
      <c r="V19" s="3041"/>
      <c r="W19" s="3041"/>
      <c r="X19" s="3041"/>
      <c r="Y19" s="3041">
        <v>0</v>
      </c>
      <c r="Z19" s="3110"/>
      <c r="AA19" s="3049"/>
      <c r="AB19" s="3051">
        <v>30.219792000000002</v>
      </c>
      <c r="AC19" s="3274">
        <v>0</v>
      </c>
      <c r="AD19" s="3274">
        <v>0</v>
      </c>
      <c r="AE19" s="3121">
        <v>0</v>
      </c>
      <c r="AF19" s="3271">
        <v>9.0560480000000005</v>
      </c>
      <c r="AG19" s="3031">
        <v>31.364160000000002</v>
      </c>
      <c r="AH19" s="3061">
        <v>0</v>
      </c>
      <c r="AI19" s="3063">
        <v>40.420208000000002</v>
      </c>
      <c r="AJ19" s="3065">
        <v>30.219792000000002</v>
      </c>
      <c r="AK19" s="3067">
        <v>70.64</v>
      </c>
      <c r="AL19" s="3272">
        <v>0</v>
      </c>
      <c r="AM19" s="3273">
        <v>0</v>
      </c>
      <c r="AN19" s="3275">
        <v>0.12820000000000001</v>
      </c>
      <c r="AO19" s="3080">
        <v>0.44400000000000001</v>
      </c>
      <c r="AP19" s="3082" t="s">
        <v>153</v>
      </c>
      <c r="AQ19" s="3084">
        <v>0.57220000000000004</v>
      </c>
      <c r="AR19" s="3086">
        <v>0.42780000000000001</v>
      </c>
      <c r="AS19" s="3088">
        <v>1</v>
      </c>
      <c r="AT19" s="3276" t="s">
        <v>153</v>
      </c>
      <c r="AU19" s="3158" t="s">
        <v>153</v>
      </c>
      <c r="AV19" s="3221">
        <v>0</v>
      </c>
      <c r="AW19" s="2487">
        <v>0</v>
      </c>
      <c r="AX19" s="643" t="s">
        <v>67</v>
      </c>
      <c r="AY19" s="615">
        <v>70.64</v>
      </c>
      <c r="AZ19" s="3306">
        <v>1</v>
      </c>
      <c r="BA19" s="615">
        <v>9.0560480000000005</v>
      </c>
      <c r="BB19" s="615">
        <v>31.364160000000002</v>
      </c>
      <c r="BC19" s="615">
        <v>0</v>
      </c>
      <c r="BD19" s="615">
        <v>40.420208000000002</v>
      </c>
      <c r="BE19" s="615">
        <v>30.219792000000002</v>
      </c>
      <c r="BF19" s="615">
        <v>70.64</v>
      </c>
      <c r="BG19" s="615">
        <v>0</v>
      </c>
      <c r="BH19" s="615">
        <v>0</v>
      </c>
      <c r="BI19" s="615"/>
      <c r="BK19" s="643" t="s">
        <v>67</v>
      </c>
      <c r="BL19" s="615">
        <v>70.64</v>
      </c>
      <c r="BM19" s="3309">
        <v>1</v>
      </c>
      <c r="BN19" s="3309">
        <v>0.12820000000000001</v>
      </c>
      <c r="BO19" s="3309">
        <v>0.44400000000000001</v>
      </c>
      <c r="BP19" s="3309" t="s">
        <v>153</v>
      </c>
      <c r="BQ19" s="3309">
        <v>0.57220000000000004</v>
      </c>
      <c r="BR19" s="3309">
        <v>0.42780000000000001</v>
      </c>
      <c r="BS19" s="3309">
        <v>1</v>
      </c>
      <c r="BT19" s="3309" t="s">
        <v>153</v>
      </c>
      <c r="BU19" s="3309" t="s">
        <v>153</v>
      </c>
      <c r="BV19" s="3309"/>
    </row>
    <row r="20" spans="1:75" x14ac:dyDescent="0.3">
      <c r="A20" s="8" t="s">
        <v>76</v>
      </c>
      <c r="B20" s="3006">
        <v>3024.4859999999999</v>
      </c>
      <c r="C20" s="3249">
        <v>1</v>
      </c>
      <c r="D20" s="3258">
        <v>3024.4859999999999</v>
      </c>
      <c r="E20" s="3250">
        <v>1</v>
      </c>
      <c r="F20" s="3199">
        <v>0</v>
      </c>
      <c r="G20" s="3256">
        <v>0</v>
      </c>
      <c r="H20" s="3024">
        <v>0</v>
      </c>
      <c r="I20" s="3256">
        <v>0</v>
      </c>
      <c r="J20" s="3516"/>
      <c r="K20" s="3026">
        <v>0</v>
      </c>
      <c r="L20" s="3101">
        <v>3024.4859999999999</v>
      </c>
      <c r="M20" s="3104">
        <v>0</v>
      </c>
      <c r="N20" s="3032">
        <v>1844.9364599999999</v>
      </c>
      <c r="O20" s="3106">
        <v>0</v>
      </c>
      <c r="P20" s="3106">
        <v>0</v>
      </c>
      <c r="Q20" s="3106">
        <v>1179.54954</v>
      </c>
      <c r="R20" s="3107">
        <v>0</v>
      </c>
      <c r="S20" s="3109"/>
      <c r="T20" s="3041">
        <v>0</v>
      </c>
      <c r="U20" s="3041">
        <v>0</v>
      </c>
      <c r="V20" s="3041"/>
      <c r="W20" s="3041"/>
      <c r="X20" s="3041"/>
      <c r="Y20" s="3041">
        <v>0</v>
      </c>
      <c r="Z20" s="3110"/>
      <c r="AA20" s="3049"/>
      <c r="AB20" s="3051">
        <v>0</v>
      </c>
      <c r="AC20" s="3274">
        <v>1179.54954</v>
      </c>
      <c r="AD20" s="3274">
        <v>0</v>
      </c>
      <c r="AE20" s="3121">
        <v>0</v>
      </c>
      <c r="AF20" s="3271">
        <v>0</v>
      </c>
      <c r="AG20" s="3031">
        <v>1844.9364599999999</v>
      </c>
      <c r="AH20" s="3061">
        <v>0</v>
      </c>
      <c r="AI20" s="3063">
        <v>1844.9364599999999</v>
      </c>
      <c r="AJ20" s="3065">
        <v>0</v>
      </c>
      <c r="AK20" s="3067">
        <v>1844.9364599999999</v>
      </c>
      <c r="AL20" s="3272">
        <v>1179.54954</v>
      </c>
      <c r="AM20" s="3273">
        <v>0</v>
      </c>
      <c r="AN20" s="3275" t="s">
        <v>153</v>
      </c>
      <c r="AO20" s="3080">
        <v>0.61</v>
      </c>
      <c r="AP20" s="3082" t="s">
        <v>153</v>
      </c>
      <c r="AQ20" s="3084">
        <v>0.61</v>
      </c>
      <c r="AR20" s="3086" t="s">
        <v>153</v>
      </c>
      <c r="AS20" s="3088">
        <v>0.61</v>
      </c>
      <c r="AT20" s="3276">
        <v>0.39</v>
      </c>
      <c r="AU20" s="3158" t="s">
        <v>153</v>
      </c>
      <c r="AV20" s="3221">
        <v>0</v>
      </c>
      <c r="AW20" s="2487">
        <v>0</v>
      </c>
      <c r="AX20" s="643" t="s">
        <v>76</v>
      </c>
      <c r="AY20" s="615">
        <v>3024.4859999999999</v>
      </c>
      <c r="AZ20" s="3306">
        <v>1</v>
      </c>
      <c r="BA20" s="615">
        <v>0</v>
      </c>
      <c r="BB20" s="615">
        <v>1844.9364599999999</v>
      </c>
      <c r="BC20" s="615">
        <v>0</v>
      </c>
      <c r="BD20" s="615">
        <v>1844.9364599999999</v>
      </c>
      <c r="BE20" s="615">
        <v>0</v>
      </c>
      <c r="BF20" s="615">
        <v>1844.9364599999999</v>
      </c>
      <c r="BG20" s="615">
        <v>1179.54954</v>
      </c>
      <c r="BH20" s="615">
        <v>0</v>
      </c>
      <c r="BI20" s="615"/>
      <c r="BK20" s="643" t="s">
        <v>76</v>
      </c>
      <c r="BL20" s="615">
        <v>3024.4859999999999</v>
      </c>
      <c r="BM20" s="3309">
        <v>1</v>
      </c>
      <c r="BN20" s="3309" t="s">
        <v>153</v>
      </c>
      <c r="BO20" s="3309">
        <v>0.61</v>
      </c>
      <c r="BP20" s="3309" t="s">
        <v>153</v>
      </c>
      <c r="BQ20" s="3309">
        <v>0.61</v>
      </c>
      <c r="BR20" s="3309" t="s">
        <v>153</v>
      </c>
      <c r="BS20" s="3309">
        <v>0.61</v>
      </c>
      <c r="BT20" s="3309">
        <v>0.39</v>
      </c>
      <c r="BU20" s="3309" t="s">
        <v>153</v>
      </c>
      <c r="BV20" s="3309"/>
    </row>
    <row r="21" spans="1:75" x14ac:dyDescent="0.3">
      <c r="A21" s="8" t="s">
        <v>62</v>
      </c>
      <c r="B21" s="3006">
        <v>272.77300000000002</v>
      </c>
      <c r="C21" s="3249">
        <v>1</v>
      </c>
      <c r="D21" s="3258">
        <v>272.77300000000002</v>
      </c>
      <c r="E21" s="3250">
        <v>1</v>
      </c>
      <c r="F21" s="3199">
        <v>0</v>
      </c>
      <c r="G21" s="3256">
        <v>0</v>
      </c>
      <c r="H21" s="3024">
        <v>0</v>
      </c>
      <c r="I21" s="3256">
        <v>0</v>
      </c>
      <c r="J21" s="3516"/>
      <c r="K21" s="3026">
        <v>0</v>
      </c>
      <c r="L21" s="3101">
        <v>272.77300000000002</v>
      </c>
      <c r="M21" s="3104">
        <v>0</v>
      </c>
      <c r="N21" s="3032">
        <v>27.277300000000004</v>
      </c>
      <c r="O21" s="3106">
        <v>0</v>
      </c>
      <c r="P21" s="3106">
        <v>231.85705000000002</v>
      </c>
      <c r="Q21" s="3106">
        <v>13.638650000000002</v>
      </c>
      <c r="R21" s="3107">
        <v>0</v>
      </c>
      <c r="S21" s="3109"/>
      <c r="T21" s="3041">
        <v>0</v>
      </c>
      <c r="U21" s="3041">
        <v>0</v>
      </c>
      <c r="V21" s="3041"/>
      <c r="W21" s="3041"/>
      <c r="X21" s="3041"/>
      <c r="Y21" s="3041">
        <v>0</v>
      </c>
      <c r="Z21" s="3110"/>
      <c r="AA21" s="3049"/>
      <c r="AB21" s="3051">
        <v>231.85705000000002</v>
      </c>
      <c r="AC21" s="3274">
        <v>13.638650000000002</v>
      </c>
      <c r="AD21" s="3274">
        <v>0</v>
      </c>
      <c r="AE21" s="3121">
        <v>0</v>
      </c>
      <c r="AF21" s="3271">
        <v>0</v>
      </c>
      <c r="AG21" s="3031">
        <v>27.277300000000004</v>
      </c>
      <c r="AH21" s="3061">
        <v>0</v>
      </c>
      <c r="AI21" s="3063">
        <v>27.277300000000004</v>
      </c>
      <c r="AJ21" s="3065">
        <v>231.85705000000002</v>
      </c>
      <c r="AK21" s="3067">
        <v>259.13435000000004</v>
      </c>
      <c r="AL21" s="3272">
        <v>13.638650000000002</v>
      </c>
      <c r="AM21" s="3273">
        <v>0</v>
      </c>
      <c r="AN21" s="3275" t="s">
        <v>153</v>
      </c>
      <c r="AO21" s="3080">
        <v>0.1</v>
      </c>
      <c r="AP21" s="3082" t="s">
        <v>153</v>
      </c>
      <c r="AQ21" s="3084">
        <v>0.1</v>
      </c>
      <c r="AR21" s="3086">
        <v>0.85</v>
      </c>
      <c r="AS21" s="3088">
        <v>0.95000000000000007</v>
      </c>
      <c r="AT21" s="3276">
        <v>0.05</v>
      </c>
      <c r="AU21" s="3158" t="s">
        <v>153</v>
      </c>
      <c r="AV21" s="3221">
        <v>0</v>
      </c>
      <c r="AW21" s="2487">
        <v>0</v>
      </c>
      <c r="AX21" s="643" t="s">
        <v>62</v>
      </c>
      <c r="AY21" s="615">
        <v>272.77300000000002</v>
      </c>
      <c r="AZ21" s="3306">
        <v>1</v>
      </c>
      <c r="BA21" s="615">
        <v>0</v>
      </c>
      <c r="BB21" s="615">
        <v>27.277300000000004</v>
      </c>
      <c r="BC21" s="615">
        <v>0</v>
      </c>
      <c r="BD21" s="615">
        <v>27.277300000000004</v>
      </c>
      <c r="BE21" s="615">
        <v>231.85705000000002</v>
      </c>
      <c r="BF21" s="615">
        <v>259.13435000000004</v>
      </c>
      <c r="BG21" s="615">
        <v>13.638650000000002</v>
      </c>
      <c r="BH21" s="615">
        <v>0</v>
      </c>
      <c r="BI21" s="615"/>
      <c r="BK21" s="643" t="s">
        <v>62</v>
      </c>
      <c r="BL21" s="615">
        <v>272.77300000000002</v>
      </c>
      <c r="BM21" s="3309">
        <v>1</v>
      </c>
      <c r="BN21" s="3309" t="s">
        <v>153</v>
      </c>
      <c r="BO21" s="3309">
        <v>0.1</v>
      </c>
      <c r="BP21" s="3309" t="s">
        <v>153</v>
      </c>
      <c r="BQ21" s="3309">
        <v>0.1</v>
      </c>
      <c r="BR21" s="3309">
        <v>0.85</v>
      </c>
      <c r="BS21" s="3309">
        <v>0.95000000000000007</v>
      </c>
      <c r="BT21" s="3309">
        <v>0.05</v>
      </c>
      <c r="BU21" s="3309" t="s">
        <v>153</v>
      </c>
      <c r="BV21" s="3309"/>
    </row>
    <row r="22" spans="1:75" x14ac:dyDescent="0.3">
      <c r="A22" s="8" t="s">
        <v>16</v>
      </c>
      <c r="B22" s="3006">
        <v>245.911</v>
      </c>
      <c r="C22" s="3259">
        <v>0.12303571454549066</v>
      </c>
      <c r="D22" s="3260">
        <v>245.911</v>
      </c>
      <c r="E22" s="3261">
        <v>0.12303571454549066</v>
      </c>
      <c r="F22" s="3199">
        <v>1.55E-2</v>
      </c>
      <c r="G22" s="3256">
        <v>1151.9879076263276</v>
      </c>
      <c r="H22" s="3024">
        <v>5.4000000000000006E-2</v>
      </c>
      <c r="I22" s="3256">
        <v>600.79716943085896</v>
      </c>
      <c r="J22" s="3516"/>
      <c r="K22" s="3026">
        <v>1752.7850770571865</v>
      </c>
      <c r="L22" s="3101">
        <v>1998.6960770571866</v>
      </c>
      <c r="M22" s="3104">
        <v>0</v>
      </c>
      <c r="N22" s="3032">
        <v>233.61544999999998</v>
      </c>
      <c r="O22" s="3106">
        <v>0</v>
      </c>
      <c r="P22" s="3106">
        <v>0</v>
      </c>
      <c r="Q22" s="3106">
        <v>12.29555</v>
      </c>
      <c r="R22" s="3107">
        <v>0</v>
      </c>
      <c r="S22" s="3109"/>
      <c r="T22" s="3041">
        <v>1577.506569351468</v>
      </c>
      <c r="U22" s="3041">
        <v>1752.7850770571865</v>
      </c>
      <c r="V22" s="3041"/>
      <c r="W22" s="3041"/>
      <c r="X22" s="3041"/>
      <c r="Y22" s="3041">
        <v>1577.506569351468</v>
      </c>
      <c r="Z22" s="3110"/>
      <c r="AA22" s="3049"/>
      <c r="AB22" s="3051">
        <v>0</v>
      </c>
      <c r="AC22" s="3274">
        <v>1589.802119351468</v>
      </c>
      <c r="AD22" s="3274">
        <v>175.27850770571854</v>
      </c>
      <c r="AE22" s="3121">
        <v>0</v>
      </c>
      <c r="AF22" s="3271">
        <v>0</v>
      </c>
      <c r="AG22" s="3031">
        <v>233.61544999999998</v>
      </c>
      <c r="AH22" s="3061">
        <v>0</v>
      </c>
      <c r="AI22" s="3063">
        <v>233.61544999999998</v>
      </c>
      <c r="AJ22" s="3065">
        <v>0</v>
      </c>
      <c r="AK22" s="3067">
        <v>233.61544999999998</v>
      </c>
      <c r="AL22" s="3272">
        <v>1765.0806270571866</v>
      </c>
      <c r="AM22" s="3273">
        <v>0</v>
      </c>
      <c r="AN22" s="3277" t="s">
        <v>153</v>
      </c>
      <c r="AO22" s="3278">
        <v>0.11688392881821612</v>
      </c>
      <c r="AP22" s="3279" t="s">
        <v>153</v>
      </c>
      <c r="AQ22" s="3280">
        <v>0.11688392881821612</v>
      </c>
      <c r="AR22" s="3281" t="s">
        <v>153</v>
      </c>
      <c r="AS22" s="3282">
        <v>0.11688392881821612</v>
      </c>
      <c r="AT22" s="3283">
        <v>0.88311607118178392</v>
      </c>
      <c r="AU22" s="3159" t="s">
        <v>153</v>
      </c>
      <c r="AV22" s="3221">
        <v>0</v>
      </c>
      <c r="AW22" s="2487">
        <v>0</v>
      </c>
      <c r="AX22" s="643" t="s">
        <v>16</v>
      </c>
      <c r="AY22" s="615">
        <v>1998.6960770571866</v>
      </c>
      <c r="AZ22" s="3306">
        <v>0.12303571454549066</v>
      </c>
      <c r="BA22" s="615">
        <v>0</v>
      </c>
      <c r="BB22" s="615">
        <v>233.61544999999998</v>
      </c>
      <c r="BC22" s="615">
        <v>0</v>
      </c>
      <c r="BD22" s="615">
        <v>233.61544999999998</v>
      </c>
      <c r="BE22" s="615">
        <v>0</v>
      </c>
      <c r="BF22" s="615">
        <v>233.61544999999998</v>
      </c>
      <c r="BG22" s="615">
        <v>1765.0806270571866</v>
      </c>
      <c r="BH22" s="615">
        <v>0</v>
      </c>
      <c r="BI22" s="615"/>
      <c r="BK22" s="643" t="s">
        <v>16</v>
      </c>
      <c r="BL22" s="615">
        <v>1998.6960770571866</v>
      </c>
      <c r="BM22" s="3309">
        <v>0.12303571454549066</v>
      </c>
      <c r="BN22" s="3309" t="s">
        <v>153</v>
      </c>
      <c r="BO22" s="3309">
        <v>0.11688392881821612</v>
      </c>
      <c r="BP22" s="3309" t="s">
        <v>153</v>
      </c>
      <c r="BQ22" s="3309">
        <v>0.11688392881821612</v>
      </c>
      <c r="BR22" s="3309" t="s">
        <v>153</v>
      </c>
      <c r="BS22" s="3309">
        <v>0.11688392881821612</v>
      </c>
      <c r="BT22" s="3309">
        <v>0.88311607118178392</v>
      </c>
      <c r="BU22" s="3309" t="s">
        <v>153</v>
      </c>
      <c r="BV22" s="3309"/>
    </row>
    <row r="23" spans="1:75" x14ac:dyDescent="0.3">
      <c r="A23" s="8" t="s">
        <v>95</v>
      </c>
      <c r="B23" s="3006">
        <v>0</v>
      </c>
      <c r="C23" s="3249"/>
      <c r="D23" s="3258">
        <v>0</v>
      </c>
      <c r="E23" s="3250"/>
      <c r="F23" s="3199">
        <v>0</v>
      </c>
      <c r="G23" s="3256">
        <v>0</v>
      </c>
      <c r="H23" s="3024">
        <v>0</v>
      </c>
      <c r="I23" s="3256">
        <v>0</v>
      </c>
      <c r="J23" s="3516"/>
      <c r="K23" s="3026">
        <v>0</v>
      </c>
      <c r="L23" s="3101">
        <v>0</v>
      </c>
      <c r="M23" s="3104">
        <v>0</v>
      </c>
      <c r="N23" s="3032">
        <v>0</v>
      </c>
      <c r="O23" s="3106">
        <v>0</v>
      </c>
      <c r="P23" s="3106">
        <v>0</v>
      </c>
      <c r="Q23" s="3106">
        <v>0</v>
      </c>
      <c r="R23" s="3107">
        <v>0</v>
      </c>
      <c r="S23" s="3109"/>
      <c r="T23" s="3041">
        <v>0</v>
      </c>
      <c r="U23" s="3041">
        <v>0</v>
      </c>
      <c r="V23" s="3041"/>
      <c r="W23" s="3041"/>
      <c r="X23" s="3041"/>
      <c r="Y23" s="3041">
        <v>0</v>
      </c>
      <c r="Z23" s="3110"/>
      <c r="AA23" s="3049"/>
      <c r="AB23" s="3051">
        <v>0</v>
      </c>
      <c r="AC23" s="3274">
        <v>0</v>
      </c>
      <c r="AD23" s="3274">
        <v>0</v>
      </c>
      <c r="AE23" s="3121">
        <v>0</v>
      </c>
      <c r="AF23" s="3271">
        <v>0</v>
      </c>
      <c r="AG23" s="3031">
        <v>0</v>
      </c>
      <c r="AH23" s="3061">
        <v>0</v>
      </c>
      <c r="AI23" s="3063">
        <v>0</v>
      </c>
      <c r="AJ23" s="3065">
        <v>0</v>
      </c>
      <c r="AK23" s="3067">
        <v>0</v>
      </c>
      <c r="AL23" s="3272">
        <v>0</v>
      </c>
      <c r="AM23" s="3273">
        <v>0</v>
      </c>
      <c r="AN23" s="3275" t="s">
        <v>153</v>
      </c>
      <c r="AO23" s="3080" t="s">
        <v>153</v>
      </c>
      <c r="AP23" s="3082" t="s">
        <v>153</v>
      </c>
      <c r="AQ23" s="3084" t="s">
        <v>153</v>
      </c>
      <c r="AR23" s="3086" t="s">
        <v>153</v>
      </c>
      <c r="AS23" s="3088" t="s">
        <v>153</v>
      </c>
      <c r="AT23" s="3276" t="s">
        <v>153</v>
      </c>
      <c r="AU23" s="3158" t="s">
        <v>153</v>
      </c>
      <c r="AV23" s="3221">
        <v>0</v>
      </c>
      <c r="AW23" s="2487">
        <v>0</v>
      </c>
      <c r="AX23" s="643" t="s">
        <v>95</v>
      </c>
      <c r="AY23" s="615">
        <v>0</v>
      </c>
      <c r="AZ23" s="3306">
        <v>0</v>
      </c>
      <c r="BA23" s="615">
        <v>0</v>
      </c>
      <c r="BB23" s="615">
        <v>0</v>
      </c>
      <c r="BC23" s="615">
        <v>0</v>
      </c>
      <c r="BD23" s="615">
        <v>0</v>
      </c>
      <c r="BE23" s="615">
        <v>0</v>
      </c>
      <c r="BF23" s="615">
        <v>0</v>
      </c>
      <c r="BG23" s="615">
        <v>0</v>
      </c>
      <c r="BH23" s="615">
        <v>0</v>
      </c>
      <c r="BI23" s="615"/>
      <c r="BK23" s="643" t="s">
        <v>95</v>
      </c>
      <c r="BL23" s="615">
        <v>0</v>
      </c>
      <c r="BM23" s="3309">
        <v>0</v>
      </c>
      <c r="BN23" s="3309" t="s">
        <v>153</v>
      </c>
      <c r="BO23" s="3309" t="s">
        <v>153</v>
      </c>
      <c r="BP23" s="3309" t="s">
        <v>153</v>
      </c>
      <c r="BQ23" s="3309" t="s">
        <v>153</v>
      </c>
      <c r="BR23" s="3309" t="s">
        <v>153</v>
      </c>
      <c r="BS23" s="3309" t="s">
        <v>153</v>
      </c>
      <c r="BT23" s="3309" t="s">
        <v>153</v>
      </c>
      <c r="BU23" s="3309" t="s">
        <v>153</v>
      </c>
      <c r="BV23" s="3309"/>
    </row>
    <row r="24" spans="1:75" x14ac:dyDescent="0.3">
      <c r="A24" s="8" t="s">
        <v>74</v>
      </c>
      <c r="B24" s="3006">
        <v>0.89</v>
      </c>
      <c r="C24" s="3249">
        <v>1</v>
      </c>
      <c r="D24" s="3258">
        <v>0.89</v>
      </c>
      <c r="E24" s="3250">
        <v>1</v>
      </c>
      <c r="F24" s="3199">
        <v>0</v>
      </c>
      <c r="G24" s="3256">
        <v>0</v>
      </c>
      <c r="H24" s="3024">
        <v>0</v>
      </c>
      <c r="I24" s="3256">
        <v>0</v>
      </c>
      <c r="J24" s="3516"/>
      <c r="K24" s="3026">
        <v>0</v>
      </c>
      <c r="L24" s="3101">
        <v>0.89</v>
      </c>
      <c r="M24" s="3104">
        <v>0</v>
      </c>
      <c r="N24" s="3032">
        <v>0.14674518201284797</v>
      </c>
      <c r="O24" s="3106">
        <v>0</v>
      </c>
      <c r="P24" s="3106">
        <v>0.74325481798715209</v>
      </c>
      <c r="Q24" s="3106">
        <v>0</v>
      </c>
      <c r="R24" s="3107">
        <v>0</v>
      </c>
      <c r="S24" s="3109"/>
      <c r="T24" s="3041">
        <v>0</v>
      </c>
      <c r="U24" s="3041">
        <v>0</v>
      </c>
      <c r="V24" s="3041"/>
      <c r="W24" s="3041"/>
      <c r="X24" s="3041"/>
      <c r="Y24" s="3041">
        <v>0</v>
      </c>
      <c r="Z24" s="3110"/>
      <c r="AA24" s="3049"/>
      <c r="AB24" s="3051">
        <v>0.74325481798715209</v>
      </c>
      <c r="AC24" s="3274">
        <v>0</v>
      </c>
      <c r="AD24" s="3274">
        <v>0</v>
      </c>
      <c r="AE24" s="3121">
        <v>0</v>
      </c>
      <c r="AF24" s="3271">
        <v>0</v>
      </c>
      <c r="AG24" s="3031">
        <v>0.14674518201284797</v>
      </c>
      <c r="AH24" s="3061">
        <v>0</v>
      </c>
      <c r="AI24" s="3063">
        <v>0.14674518201284797</v>
      </c>
      <c r="AJ24" s="3065">
        <v>0.74325481798715209</v>
      </c>
      <c r="AK24" s="3067">
        <v>0.89000000000000012</v>
      </c>
      <c r="AL24" s="3272">
        <v>0</v>
      </c>
      <c r="AM24" s="3273">
        <v>0</v>
      </c>
      <c r="AN24" s="3275" t="s">
        <v>153</v>
      </c>
      <c r="AO24" s="3080">
        <v>0.16488222698072805</v>
      </c>
      <c r="AP24" s="3082" t="s">
        <v>153</v>
      </c>
      <c r="AQ24" s="3084">
        <v>0.16488222698072805</v>
      </c>
      <c r="AR24" s="3086">
        <v>0.83511777301927204</v>
      </c>
      <c r="AS24" s="3088">
        <v>1.0000000000000002</v>
      </c>
      <c r="AT24" s="3276" t="s">
        <v>153</v>
      </c>
      <c r="AU24" s="3158" t="s">
        <v>153</v>
      </c>
      <c r="AV24" s="3221">
        <v>0</v>
      </c>
      <c r="AW24" s="2487">
        <v>0</v>
      </c>
      <c r="AX24" s="643" t="s">
        <v>74</v>
      </c>
      <c r="AY24" s="615">
        <v>0.89</v>
      </c>
      <c r="AZ24" s="3306">
        <v>1</v>
      </c>
      <c r="BA24" s="615">
        <v>0</v>
      </c>
      <c r="BB24" s="615">
        <v>0.14674518201284797</v>
      </c>
      <c r="BC24" s="615">
        <v>0</v>
      </c>
      <c r="BD24" s="615">
        <v>0.14674518201284797</v>
      </c>
      <c r="BE24" s="615">
        <v>0.74325481798715209</v>
      </c>
      <c r="BF24" s="615">
        <v>0.89000000000000012</v>
      </c>
      <c r="BG24" s="615">
        <v>0</v>
      </c>
      <c r="BH24" s="615">
        <v>0</v>
      </c>
      <c r="BI24" s="615"/>
      <c r="BK24" s="643" t="s">
        <v>74</v>
      </c>
      <c r="BL24" s="615">
        <v>0.89</v>
      </c>
      <c r="BM24" s="3309">
        <v>1</v>
      </c>
      <c r="BN24" s="3309" t="s">
        <v>153</v>
      </c>
      <c r="BO24" s="3309">
        <v>0.16488222698072805</v>
      </c>
      <c r="BP24" s="3309" t="s">
        <v>153</v>
      </c>
      <c r="BQ24" s="3309">
        <v>0.16488222698072805</v>
      </c>
      <c r="BR24" s="3309">
        <v>0.83511777301927204</v>
      </c>
      <c r="BS24" s="3309">
        <v>1.0000000000000002</v>
      </c>
      <c r="BT24" s="3309" t="s">
        <v>153</v>
      </c>
      <c r="BU24" s="3309" t="s">
        <v>153</v>
      </c>
      <c r="BV24" s="3309"/>
    </row>
    <row r="25" spans="1:75" x14ac:dyDescent="0.3">
      <c r="A25" s="8" t="s">
        <v>73</v>
      </c>
      <c r="B25" s="3006">
        <v>34.753999999999998</v>
      </c>
      <c r="C25" s="3249">
        <v>0.45089909170051562</v>
      </c>
      <c r="D25" s="3258">
        <v>34.753999999999998</v>
      </c>
      <c r="E25" s="3250">
        <v>0.45089909170051562</v>
      </c>
      <c r="F25" s="3199">
        <v>2.9999999999999997E-4</v>
      </c>
      <c r="G25" s="3256">
        <v>22.29654014760634</v>
      </c>
      <c r="H25" s="3024">
        <v>1.8E-3</v>
      </c>
      <c r="I25" s="3256">
        <v>20.02657231436196</v>
      </c>
      <c r="J25" s="3516"/>
      <c r="K25" s="3026">
        <v>42.3231124619683</v>
      </c>
      <c r="L25" s="3101">
        <v>77.077112461968298</v>
      </c>
      <c r="M25" s="3104">
        <v>0</v>
      </c>
      <c r="N25" s="3032">
        <v>23.80649</v>
      </c>
      <c r="O25" s="3106">
        <v>0</v>
      </c>
      <c r="P25" s="3106">
        <v>10.912756</v>
      </c>
      <c r="Q25" s="3106">
        <v>3.4754E-2</v>
      </c>
      <c r="R25" s="3107">
        <v>0</v>
      </c>
      <c r="S25" s="3109"/>
      <c r="T25" s="3041">
        <v>38.090801215771471</v>
      </c>
      <c r="U25" s="3041">
        <v>42.3231124619683</v>
      </c>
      <c r="V25" s="3041"/>
      <c r="W25" s="3041"/>
      <c r="X25" s="3041"/>
      <c r="Y25" s="3041">
        <v>38.090801215771471</v>
      </c>
      <c r="Z25" s="3110"/>
      <c r="AA25" s="3049"/>
      <c r="AB25" s="3051">
        <v>10.912756</v>
      </c>
      <c r="AC25" s="3274">
        <v>38.12555521577147</v>
      </c>
      <c r="AD25" s="3274">
        <v>4.2323112461968293</v>
      </c>
      <c r="AE25" s="3121">
        <v>0</v>
      </c>
      <c r="AF25" s="3271">
        <v>0</v>
      </c>
      <c r="AG25" s="3031">
        <v>23.80649</v>
      </c>
      <c r="AH25" s="3061">
        <v>0</v>
      </c>
      <c r="AI25" s="3063">
        <v>23.80649</v>
      </c>
      <c r="AJ25" s="3065">
        <v>10.912756</v>
      </c>
      <c r="AK25" s="3067">
        <v>34.719245999999998</v>
      </c>
      <c r="AL25" s="3272">
        <v>42.3578664619683</v>
      </c>
      <c r="AM25" s="3273">
        <v>0</v>
      </c>
      <c r="AN25" s="3275" t="s">
        <v>153</v>
      </c>
      <c r="AO25" s="3080">
        <v>0.3088658778148532</v>
      </c>
      <c r="AP25" s="3082" t="s">
        <v>153</v>
      </c>
      <c r="AQ25" s="3084">
        <v>0.3088658778148532</v>
      </c>
      <c r="AR25" s="3086">
        <v>0.14158231479396191</v>
      </c>
      <c r="AS25" s="3088">
        <v>0.45044819260881508</v>
      </c>
      <c r="AT25" s="3276">
        <v>0.54955180739118492</v>
      </c>
      <c r="AU25" s="3158" t="s">
        <v>153</v>
      </c>
      <c r="AV25" s="3221">
        <v>0</v>
      </c>
      <c r="AW25" s="2487">
        <v>0</v>
      </c>
      <c r="AX25" s="643" t="s">
        <v>73</v>
      </c>
      <c r="AY25" s="615">
        <v>77.077112461968298</v>
      </c>
      <c r="AZ25" s="3306">
        <v>0.45089909170051562</v>
      </c>
      <c r="BA25" s="615">
        <v>0</v>
      </c>
      <c r="BB25" s="615">
        <v>23.80649</v>
      </c>
      <c r="BC25" s="615">
        <v>0</v>
      </c>
      <c r="BD25" s="615">
        <v>23.80649</v>
      </c>
      <c r="BE25" s="615">
        <v>10.912756</v>
      </c>
      <c r="BF25" s="615">
        <v>34.719245999999998</v>
      </c>
      <c r="BG25" s="615">
        <v>42.3578664619683</v>
      </c>
      <c r="BH25" s="615">
        <v>0</v>
      </c>
      <c r="BI25" s="615"/>
      <c r="BK25" s="643" t="s">
        <v>73</v>
      </c>
      <c r="BL25" s="615">
        <v>77.077112461968298</v>
      </c>
      <c r="BM25" s="3309">
        <v>0.45089909170051562</v>
      </c>
      <c r="BN25" s="3309" t="s">
        <v>153</v>
      </c>
      <c r="BO25" s="3309">
        <v>0.3088658778148532</v>
      </c>
      <c r="BP25" s="3309" t="s">
        <v>153</v>
      </c>
      <c r="BQ25" s="3309">
        <v>0.3088658778148532</v>
      </c>
      <c r="BR25" s="3309">
        <v>0.14158231479396191</v>
      </c>
      <c r="BS25" s="3309">
        <v>0.45044819260881508</v>
      </c>
      <c r="BT25" s="3309">
        <v>0.54955180739118492</v>
      </c>
      <c r="BU25" s="3309" t="s">
        <v>153</v>
      </c>
      <c r="BV25" s="3309"/>
    </row>
    <row r="26" spans="1:75" x14ac:dyDescent="0.3">
      <c r="A26" s="8" t="s">
        <v>44</v>
      </c>
      <c r="B26" s="3006">
        <v>21.334293436602973</v>
      </c>
      <c r="C26" s="3249">
        <v>0.96633597011652439</v>
      </c>
      <c r="D26" s="3258">
        <v>21.334293436602973</v>
      </c>
      <c r="E26" s="3250">
        <v>0.96633597011652439</v>
      </c>
      <c r="F26" s="3199">
        <v>1.0000000000000001E-5</v>
      </c>
      <c r="G26" s="3256">
        <v>0.74321800492021139</v>
      </c>
      <c r="H26" s="3024">
        <v>0</v>
      </c>
      <c r="I26" s="3256">
        <v>0</v>
      </c>
      <c r="J26" s="3516"/>
      <c r="K26" s="3026">
        <v>0.74321800492021139</v>
      </c>
      <c r="L26" s="3101">
        <v>22.077511441523185</v>
      </c>
      <c r="M26" s="3104">
        <v>0</v>
      </c>
      <c r="N26" s="3032">
        <v>19.917657345565313</v>
      </c>
      <c r="O26" s="3106">
        <v>0</v>
      </c>
      <c r="P26" s="3106">
        <v>0</v>
      </c>
      <c r="Q26" s="3106">
        <v>1.4166360910376612</v>
      </c>
      <c r="R26" s="3107">
        <v>0</v>
      </c>
      <c r="S26" s="3109"/>
      <c r="T26" s="3041">
        <v>0.66889620442819031</v>
      </c>
      <c r="U26" s="3041">
        <v>0.74321800492021139</v>
      </c>
      <c r="V26" s="3041"/>
      <c r="W26" s="3041"/>
      <c r="X26" s="3041"/>
      <c r="Y26" s="3041">
        <v>0.66889620442819031</v>
      </c>
      <c r="Z26" s="3110"/>
      <c r="AA26" s="3049"/>
      <c r="AB26" s="3051">
        <v>0</v>
      </c>
      <c r="AC26" s="3274">
        <v>2.0855322954658515</v>
      </c>
      <c r="AD26" s="3274">
        <v>7.4321800492021084E-2</v>
      </c>
      <c r="AE26" s="3121">
        <v>0</v>
      </c>
      <c r="AF26" s="3271">
        <v>0</v>
      </c>
      <c r="AG26" s="3031">
        <v>19.917657345565313</v>
      </c>
      <c r="AH26" s="3061">
        <v>0</v>
      </c>
      <c r="AI26" s="3063">
        <v>19.917657345565313</v>
      </c>
      <c r="AJ26" s="3065">
        <v>0</v>
      </c>
      <c r="AK26" s="3067">
        <v>19.917657345565313</v>
      </c>
      <c r="AL26" s="3272">
        <v>2.1598540959578725</v>
      </c>
      <c r="AM26" s="3273">
        <v>0</v>
      </c>
      <c r="AN26" s="3275" t="s">
        <v>153</v>
      </c>
      <c r="AO26" s="3080">
        <v>0.90216949488719833</v>
      </c>
      <c r="AP26" s="3082" t="s">
        <v>153</v>
      </c>
      <c r="AQ26" s="3084">
        <v>0.90216949488719833</v>
      </c>
      <c r="AR26" s="3086" t="s">
        <v>153</v>
      </c>
      <c r="AS26" s="3088">
        <v>0.90216949488719833</v>
      </c>
      <c r="AT26" s="3276">
        <v>9.7830505112801724E-2</v>
      </c>
      <c r="AU26" s="3158" t="s">
        <v>153</v>
      </c>
      <c r="AV26" s="3221">
        <v>0</v>
      </c>
      <c r="AW26" s="2487">
        <v>0</v>
      </c>
      <c r="AX26" s="643" t="s">
        <v>44</v>
      </c>
      <c r="AY26" s="615">
        <v>22.077511441523185</v>
      </c>
      <c r="AZ26" s="3306">
        <v>0.96633597011652439</v>
      </c>
      <c r="BA26" s="615">
        <v>0</v>
      </c>
      <c r="BB26" s="615">
        <v>19.917657345565313</v>
      </c>
      <c r="BC26" s="615">
        <v>0</v>
      </c>
      <c r="BD26" s="615">
        <v>19.917657345565313</v>
      </c>
      <c r="BE26" s="615">
        <v>0</v>
      </c>
      <c r="BF26" s="615">
        <v>19.917657345565313</v>
      </c>
      <c r="BG26" s="615">
        <v>2.1598540959578725</v>
      </c>
      <c r="BH26" s="615">
        <v>0</v>
      </c>
      <c r="BI26" s="615"/>
      <c r="BK26" s="643" t="s">
        <v>44</v>
      </c>
      <c r="BL26" s="615">
        <v>22.077511441523185</v>
      </c>
      <c r="BM26" s="3309">
        <v>0.96633597011652439</v>
      </c>
      <c r="BN26" s="3309" t="s">
        <v>153</v>
      </c>
      <c r="BO26" s="3309">
        <v>0.90216949488719833</v>
      </c>
      <c r="BP26" s="3309" t="s">
        <v>153</v>
      </c>
      <c r="BQ26" s="3309">
        <v>0.90216949488719833</v>
      </c>
      <c r="BR26" s="3309" t="s">
        <v>153</v>
      </c>
      <c r="BS26" s="3309">
        <v>0.90216949488719833</v>
      </c>
      <c r="BT26" s="3309">
        <v>9.7830505112801724E-2</v>
      </c>
      <c r="BU26" s="3309" t="s">
        <v>153</v>
      </c>
      <c r="BV26" s="3309"/>
    </row>
    <row r="27" spans="1:75" x14ac:dyDescent="0.3">
      <c r="A27" s="8" t="s">
        <v>119</v>
      </c>
      <c r="B27" s="3006">
        <v>0</v>
      </c>
      <c r="C27" s="3249">
        <v>0</v>
      </c>
      <c r="D27" s="3258">
        <v>0</v>
      </c>
      <c r="E27" s="3250">
        <v>0</v>
      </c>
      <c r="F27" s="3199">
        <v>0.1598</v>
      </c>
      <c r="G27" s="3256">
        <v>11878.85337263974</v>
      </c>
      <c r="H27" s="3024">
        <v>9.1700000000000004E-2</v>
      </c>
      <c r="I27" s="3256">
        <v>1020.2426006816622</v>
      </c>
      <c r="J27" s="3516"/>
      <c r="K27" s="3026">
        <v>12899.095973321402</v>
      </c>
      <c r="L27" s="3101">
        <v>12899.095973321402</v>
      </c>
      <c r="M27" s="3104">
        <v>0</v>
      </c>
      <c r="N27" s="3032">
        <v>0</v>
      </c>
      <c r="O27" s="3106">
        <v>0</v>
      </c>
      <c r="P27" s="3106">
        <v>0</v>
      </c>
      <c r="Q27" s="3106">
        <v>0</v>
      </c>
      <c r="R27" s="3107">
        <v>0</v>
      </c>
      <c r="S27" s="3109"/>
      <c r="T27" s="3041">
        <v>11609.186375989262</v>
      </c>
      <c r="U27" s="3041">
        <v>12899.095973321402</v>
      </c>
      <c r="V27" s="3041"/>
      <c r="W27" s="3041"/>
      <c r="X27" s="3041"/>
      <c r="Y27" s="3041">
        <v>11609.186375989262</v>
      </c>
      <c r="Z27" s="3110"/>
      <c r="AA27" s="3049"/>
      <c r="AB27" s="3051">
        <v>0</v>
      </c>
      <c r="AC27" s="3274">
        <v>11609.186375989262</v>
      </c>
      <c r="AD27" s="3274">
        <v>1289.90959733214</v>
      </c>
      <c r="AE27" s="3121">
        <v>0</v>
      </c>
      <c r="AF27" s="3271">
        <v>0</v>
      </c>
      <c r="AG27" s="3031">
        <v>0</v>
      </c>
      <c r="AH27" s="3061">
        <v>0</v>
      </c>
      <c r="AI27" s="3063">
        <v>0</v>
      </c>
      <c r="AJ27" s="3065">
        <v>0</v>
      </c>
      <c r="AK27" s="3067">
        <v>0</v>
      </c>
      <c r="AL27" s="3272">
        <v>12899.095973321402</v>
      </c>
      <c r="AM27" s="3273">
        <v>0</v>
      </c>
      <c r="AN27" s="3275" t="s">
        <v>153</v>
      </c>
      <c r="AO27" s="3080" t="s">
        <v>153</v>
      </c>
      <c r="AP27" s="3082" t="s">
        <v>153</v>
      </c>
      <c r="AQ27" s="3084" t="s">
        <v>153</v>
      </c>
      <c r="AR27" s="3086" t="s">
        <v>153</v>
      </c>
      <c r="AS27" s="3088" t="s">
        <v>153</v>
      </c>
      <c r="AT27" s="3276">
        <v>1</v>
      </c>
      <c r="AU27" s="3158" t="s">
        <v>153</v>
      </c>
      <c r="AV27" s="3221">
        <v>0</v>
      </c>
      <c r="AW27" s="2487">
        <v>0</v>
      </c>
      <c r="AX27" s="643" t="s">
        <v>119</v>
      </c>
      <c r="AY27" s="615">
        <v>12899.095973321402</v>
      </c>
      <c r="AZ27" s="3306">
        <v>0</v>
      </c>
      <c r="BA27" s="615">
        <v>0</v>
      </c>
      <c r="BB27" s="615">
        <v>0</v>
      </c>
      <c r="BC27" s="615">
        <v>0</v>
      </c>
      <c r="BD27" s="615">
        <v>0</v>
      </c>
      <c r="BE27" s="615">
        <v>0</v>
      </c>
      <c r="BF27" s="615">
        <v>0</v>
      </c>
      <c r="BG27" s="615">
        <v>12899.095973321402</v>
      </c>
      <c r="BH27" s="615">
        <v>0</v>
      </c>
      <c r="BI27" s="615"/>
      <c r="BK27" s="643" t="s">
        <v>119</v>
      </c>
      <c r="BL27" s="615">
        <v>12899.095973321402</v>
      </c>
      <c r="BM27" s="3309">
        <v>0</v>
      </c>
      <c r="BN27" s="3309" t="s">
        <v>153</v>
      </c>
      <c r="BO27" s="3309" t="s">
        <v>153</v>
      </c>
      <c r="BP27" s="3309" t="s">
        <v>153</v>
      </c>
      <c r="BQ27" s="3309" t="s">
        <v>153</v>
      </c>
      <c r="BR27" s="3309" t="s">
        <v>153</v>
      </c>
      <c r="BS27" s="3309" t="s">
        <v>153</v>
      </c>
      <c r="BT27" s="3309">
        <v>1</v>
      </c>
      <c r="BU27" s="3309" t="s">
        <v>153</v>
      </c>
      <c r="BV27" s="3309"/>
    </row>
    <row r="28" spans="1:75" x14ac:dyDescent="0.3">
      <c r="A28" s="154" t="s">
        <v>82</v>
      </c>
      <c r="B28" s="3006">
        <v>4852</v>
      </c>
      <c r="C28" s="3249">
        <v>0.86493321920213762</v>
      </c>
      <c r="D28" s="3258">
        <v>4852</v>
      </c>
      <c r="E28" s="3250">
        <v>0.86493321920213762</v>
      </c>
      <c r="F28" s="3199">
        <v>0.01</v>
      </c>
      <c r="G28" s="3256">
        <v>743.21800492021146</v>
      </c>
      <c r="H28" s="3024">
        <v>1.2999999999999999E-3</v>
      </c>
      <c r="I28" s="3256">
        <v>14.463635560372527</v>
      </c>
      <c r="J28" s="3516"/>
      <c r="K28" s="3026">
        <v>757.68164048058395</v>
      </c>
      <c r="L28" s="3101">
        <v>5609.6816404805841</v>
      </c>
      <c r="M28" s="3104">
        <v>0</v>
      </c>
      <c r="N28" s="3032">
        <v>3784.56</v>
      </c>
      <c r="O28" s="3106">
        <v>0</v>
      </c>
      <c r="P28" s="3106">
        <v>0</v>
      </c>
      <c r="Q28" s="3106">
        <v>1067.44</v>
      </c>
      <c r="R28" s="3107">
        <v>0</v>
      </c>
      <c r="S28" s="3109"/>
      <c r="T28" s="3041">
        <v>681.91347643252561</v>
      </c>
      <c r="U28" s="3041">
        <v>757.68164048058395</v>
      </c>
      <c r="V28" s="3041"/>
      <c r="W28" s="3041"/>
      <c r="X28" s="3041"/>
      <c r="Y28" s="3041">
        <v>681.91347643252561</v>
      </c>
      <c r="Z28" s="3110"/>
      <c r="AA28" s="3049"/>
      <c r="AB28" s="3051">
        <v>0</v>
      </c>
      <c r="AC28" s="3274">
        <v>1749.3534764325257</v>
      </c>
      <c r="AD28" s="3274">
        <v>75.768164048058338</v>
      </c>
      <c r="AE28" s="3121">
        <v>0</v>
      </c>
      <c r="AF28" s="3271">
        <v>0</v>
      </c>
      <c r="AG28" s="3031">
        <v>3784.56</v>
      </c>
      <c r="AH28" s="3061">
        <v>0</v>
      </c>
      <c r="AI28" s="3063">
        <v>3784.56</v>
      </c>
      <c r="AJ28" s="3065">
        <v>0</v>
      </c>
      <c r="AK28" s="3067">
        <v>3784.56</v>
      </c>
      <c r="AL28" s="3272">
        <v>1825.1216404805841</v>
      </c>
      <c r="AM28" s="3273">
        <v>0</v>
      </c>
      <c r="AN28" s="3275" t="s">
        <v>153</v>
      </c>
      <c r="AO28" s="3080">
        <v>0.6746479109776673</v>
      </c>
      <c r="AP28" s="3082" t="s">
        <v>153</v>
      </c>
      <c r="AQ28" s="3084">
        <v>0.6746479109776673</v>
      </c>
      <c r="AR28" s="3086" t="s">
        <v>153</v>
      </c>
      <c r="AS28" s="3088">
        <v>0.6746479109776673</v>
      </c>
      <c r="AT28" s="3276">
        <v>0.32535208902233265</v>
      </c>
      <c r="AU28" s="3158" t="s">
        <v>153</v>
      </c>
      <c r="AV28" s="3221">
        <v>0</v>
      </c>
      <c r="AW28" s="2487">
        <v>0</v>
      </c>
      <c r="AX28" s="3305" t="s">
        <v>1475</v>
      </c>
      <c r="AY28" s="3307">
        <v>133432.90058155134</v>
      </c>
      <c r="AZ28" s="3308">
        <v>0.3652990230264932</v>
      </c>
      <c r="BA28" s="3307">
        <v>639.66881567799578</v>
      </c>
      <c r="BB28" s="3307">
        <v>39567.443523859263</v>
      </c>
      <c r="BC28" s="3307">
        <v>6578.7709999999997</v>
      </c>
      <c r="BD28" s="3307">
        <v>46785.883339537257</v>
      </c>
      <c r="BE28" s="3307">
        <v>1884.054790760295</v>
      </c>
      <c r="BF28" s="3307">
        <v>48669.938130297553</v>
      </c>
      <c r="BG28" s="3307">
        <v>71461.96245125377</v>
      </c>
      <c r="BH28" s="3307">
        <v>13301</v>
      </c>
      <c r="BI28" s="3307"/>
      <c r="BK28" s="3305" t="s">
        <v>1475</v>
      </c>
      <c r="BL28" s="3307">
        <v>133432.90058155134</v>
      </c>
      <c r="BM28" s="3310">
        <v>0.3652990230264932</v>
      </c>
      <c r="BN28" s="3310">
        <v>4.7939362247996992E-3</v>
      </c>
      <c r="BO28" s="3310">
        <v>0.29653438808127003</v>
      </c>
      <c r="BP28" s="3310">
        <v>4.9303964549426815E-2</v>
      </c>
      <c r="BQ28" s="3310">
        <v>0.35063228885549652</v>
      </c>
      <c r="BR28" s="3310">
        <v>1.4119866858539892E-2</v>
      </c>
      <c r="BS28" s="3310">
        <v>0.36475215571403641</v>
      </c>
      <c r="BT28" s="3310">
        <v>0.53556478304672506</v>
      </c>
      <c r="BU28" s="3310">
        <v>9.9683061239238466E-2</v>
      </c>
      <c r="BV28" s="3310"/>
    </row>
    <row r="29" spans="1:75" x14ac:dyDescent="0.3">
      <c r="A29" s="155" t="s">
        <v>20</v>
      </c>
      <c r="B29" s="3006">
        <v>2176.5650000000001</v>
      </c>
      <c r="C29" s="3249">
        <v>0.40919061213380997</v>
      </c>
      <c r="D29" s="3258">
        <v>2176.5650000000001</v>
      </c>
      <c r="E29" s="3250">
        <v>0.40919061213380997</v>
      </c>
      <c r="F29" s="3199">
        <v>3.8199999999999998E-2</v>
      </c>
      <c r="G29" s="3256">
        <v>2839.0927787952073</v>
      </c>
      <c r="H29" s="3024">
        <v>0</v>
      </c>
      <c r="I29" s="3256">
        <v>303.53805673446635</v>
      </c>
      <c r="J29" s="3516"/>
      <c r="K29" s="3026">
        <v>3142.6308355296737</v>
      </c>
      <c r="L29" s="3101">
        <v>5319.1958355296738</v>
      </c>
      <c r="M29" s="3104">
        <v>0</v>
      </c>
      <c r="N29" s="3032">
        <v>0</v>
      </c>
      <c r="O29" s="3106">
        <v>870.62600000000009</v>
      </c>
      <c r="P29" s="3106">
        <v>1088.2825</v>
      </c>
      <c r="Q29" s="3106">
        <v>217.65650000000002</v>
      </c>
      <c r="R29" s="3107">
        <v>0</v>
      </c>
      <c r="S29" s="3109"/>
      <c r="T29" s="3041">
        <v>2828.3677519767066</v>
      </c>
      <c r="U29" s="3041">
        <v>3142.6308355296737</v>
      </c>
      <c r="V29" s="3041"/>
      <c r="W29" s="3041"/>
      <c r="X29" s="3041"/>
      <c r="Y29" s="3041">
        <v>2828.3677519767066</v>
      </c>
      <c r="Z29" s="3110"/>
      <c r="AA29" s="3049"/>
      <c r="AB29" s="3051">
        <v>1088.2825</v>
      </c>
      <c r="AC29" s="3274">
        <v>3046.0242519767066</v>
      </c>
      <c r="AD29" s="3274">
        <v>314.26308355296715</v>
      </c>
      <c r="AE29" s="3121">
        <v>0</v>
      </c>
      <c r="AF29" s="3271">
        <v>0</v>
      </c>
      <c r="AG29" s="3031">
        <v>0</v>
      </c>
      <c r="AH29" s="3061">
        <v>870.62600000000009</v>
      </c>
      <c r="AI29" s="3063">
        <v>870.62600000000009</v>
      </c>
      <c r="AJ29" s="3065">
        <v>1088.2825</v>
      </c>
      <c r="AK29" s="3067">
        <v>1958.9085</v>
      </c>
      <c r="AL29" s="3272">
        <v>3360.2873355296738</v>
      </c>
      <c r="AM29" s="3273">
        <v>0</v>
      </c>
      <c r="AN29" s="3275" t="s">
        <v>153</v>
      </c>
      <c r="AO29" s="3080" t="s">
        <v>153</v>
      </c>
      <c r="AP29" s="3082">
        <v>0.163676244853524</v>
      </c>
      <c r="AQ29" s="3084">
        <v>0.163676244853524</v>
      </c>
      <c r="AR29" s="3086">
        <v>0.20459530606690499</v>
      </c>
      <c r="AS29" s="3088">
        <v>0.36827155092042896</v>
      </c>
      <c r="AT29" s="3276">
        <v>0.63172844907957104</v>
      </c>
      <c r="AU29" s="3158" t="s">
        <v>153</v>
      </c>
      <c r="AV29" s="3221">
        <v>0</v>
      </c>
      <c r="AW29" s="2487">
        <v>0</v>
      </c>
      <c r="AX29" s="643" t="s">
        <v>39</v>
      </c>
      <c r="AY29" s="615">
        <v>5609.6816404805841</v>
      </c>
      <c r="AZ29" s="3306">
        <v>0.86493321920213762</v>
      </c>
      <c r="BA29" s="615">
        <v>0</v>
      </c>
      <c r="BB29" s="615">
        <v>3784.56</v>
      </c>
      <c r="BC29" s="615">
        <v>0</v>
      </c>
      <c r="BD29" s="615">
        <v>3784.56</v>
      </c>
      <c r="BE29" s="615">
        <v>0</v>
      </c>
      <c r="BF29" s="615">
        <v>3784.56</v>
      </c>
      <c r="BG29" s="615">
        <v>1825.1216404805841</v>
      </c>
      <c r="BH29" s="615">
        <v>0</v>
      </c>
      <c r="BI29" s="615"/>
      <c r="BK29" s="3311" t="s">
        <v>39</v>
      </c>
      <c r="BL29" s="615">
        <v>5609.6816404805841</v>
      </c>
      <c r="BM29" s="3309">
        <v>0.86493321920213762</v>
      </c>
      <c r="BN29" s="3309" t="s">
        <v>153</v>
      </c>
      <c r="BO29" s="3309">
        <v>0.6746479109776673</v>
      </c>
      <c r="BP29" s="3309" t="s">
        <v>153</v>
      </c>
      <c r="BQ29" s="3309">
        <v>0.6746479109776673</v>
      </c>
      <c r="BR29" s="3309" t="s">
        <v>153</v>
      </c>
      <c r="BS29" s="3309">
        <v>0.6746479109776673</v>
      </c>
      <c r="BT29" s="3309">
        <v>0.32535208902233265</v>
      </c>
      <c r="BU29" s="3309" t="s">
        <v>153</v>
      </c>
      <c r="BV29" s="3309"/>
    </row>
    <row r="30" spans="1:75" ht="15" thickBot="1" x14ac:dyDescent="0.35">
      <c r="A30" s="155" t="s">
        <v>24</v>
      </c>
      <c r="B30" s="3006">
        <v>5708.1450000000004</v>
      </c>
      <c r="C30" s="3249">
        <v>0.14043113538703861</v>
      </c>
      <c r="D30" s="3258">
        <v>5708.1450000000004</v>
      </c>
      <c r="E30" s="3250">
        <v>0.14043113538703861</v>
      </c>
      <c r="F30" s="3199">
        <v>0.42470000000000002</v>
      </c>
      <c r="G30" s="3256">
        <v>31564.468668961381</v>
      </c>
      <c r="H30" s="3024">
        <v>0</v>
      </c>
      <c r="I30" s="3256">
        <v>3374.6757250033475</v>
      </c>
      <c r="J30" s="3516"/>
      <c r="K30" s="3026">
        <v>34939.144393964729</v>
      </c>
      <c r="L30" s="3101">
        <v>40647.289393964733</v>
      </c>
      <c r="M30" s="3104">
        <v>0</v>
      </c>
      <c r="N30" s="3032">
        <v>0</v>
      </c>
      <c r="O30" s="3106">
        <v>5708.1450000000004</v>
      </c>
      <c r="P30" s="3106">
        <v>0</v>
      </c>
      <c r="Q30" s="3106">
        <v>0</v>
      </c>
      <c r="R30" s="3107">
        <v>0</v>
      </c>
      <c r="S30" s="3109">
        <v>13301</v>
      </c>
      <c r="T30" s="3041">
        <v>31445.229954568258</v>
      </c>
      <c r="U30" s="3041">
        <v>21638.144393964729</v>
      </c>
      <c r="V30" s="3041"/>
      <c r="W30" s="3041"/>
      <c r="X30" s="3041">
        <v>15380.46</v>
      </c>
      <c r="Y30" s="3041">
        <v>2763.769954568259</v>
      </c>
      <c r="Z30" s="3113">
        <v>0</v>
      </c>
      <c r="AA30" s="3049"/>
      <c r="AB30" s="3051">
        <v>0</v>
      </c>
      <c r="AC30" s="3274">
        <v>18144.229954568258</v>
      </c>
      <c r="AD30" s="3274">
        <v>3493.9144393964707</v>
      </c>
      <c r="AE30" s="3121">
        <v>13301</v>
      </c>
      <c r="AF30" s="3271">
        <v>0</v>
      </c>
      <c r="AG30" s="3031">
        <v>0</v>
      </c>
      <c r="AH30" s="3061">
        <v>5708.1450000000004</v>
      </c>
      <c r="AI30" s="3063">
        <v>5708.1450000000004</v>
      </c>
      <c r="AJ30" s="3065">
        <v>0</v>
      </c>
      <c r="AK30" s="3067">
        <v>5708.1450000000004</v>
      </c>
      <c r="AL30" s="3272">
        <v>21638.144393964729</v>
      </c>
      <c r="AM30" s="3273">
        <v>13301</v>
      </c>
      <c r="AN30" s="3275" t="s">
        <v>153</v>
      </c>
      <c r="AO30" s="3080" t="s">
        <v>153</v>
      </c>
      <c r="AP30" s="3082">
        <v>0.14043113538703861</v>
      </c>
      <c r="AQ30" s="3084">
        <v>0.14043113538703861</v>
      </c>
      <c r="AR30" s="3086" t="s">
        <v>153</v>
      </c>
      <c r="AS30" s="3088">
        <v>0.14043113538703861</v>
      </c>
      <c r="AT30" s="3276">
        <v>0.53233917234288042</v>
      </c>
      <c r="AU30" s="3158">
        <v>0.32722969227008081</v>
      </c>
      <c r="AV30" s="3221">
        <v>0</v>
      </c>
      <c r="AW30" s="2487">
        <v>0</v>
      </c>
      <c r="AX30" s="643" t="s">
        <v>1474</v>
      </c>
      <c r="AY30" s="615">
        <v>139042.58222203192</v>
      </c>
      <c r="AZ30" s="3306">
        <v>0.38545679579258807</v>
      </c>
      <c r="BA30" s="615">
        <v>639.66881567799578</v>
      </c>
      <c r="BB30" s="615">
        <v>43352.003523859261</v>
      </c>
      <c r="BC30" s="615">
        <v>6578.7709999999997</v>
      </c>
      <c r="BD30" s="615">
        <v>50570.443339537254</v>
      </c>
      <c r="BE30" s="615">
        <v>1884.054790760295</v>
      </c>
      <c r="BF30" s="615">
        <v>52454.49813029755</v>
      </c>
      <c r="BG30" s="615">
        <v>73287.084091734359</v>
      </c>
      <c r="BH30" s="615">
        <v>13301</v>
      </c>
      <c r="BI30" s="615"/>
      <c r="BK30" s="3311" t="s">
        <v>1474</v>
      </c>
      <c r="BL30" s="615">
        <v>139042.58222203192</v>
      </c>
      <c r="BM30" s="3309">
        <v>0.38545679579258807</v>
      </c>
      <c r="BN30" s="3309">
        <v>4.6005245692037891E-3</v>
      </c>
      <c r="BO30" s="3309">
        <v>0.31178940171459174</v>
      </c>
      <c r="BP30" s="3309">
        <v>4.7314793028617699E-2</v>
      </c>
      <c r="BQ30" s="3309">
        <v>0.36370471931241322</v>
      </c>
      <c r="BR30" s="3309">
        <v>1.3550199950628923E-2</v>
      </c>
      <c r="BS30" s="3309">
        <v>0.37725491926304211</v>
      </c>
      <c r="BT30" s="3309">
        <v>0.52708373881250958</v>
      </c>
      <c r="BU30" s="3309">
        <v>9.5661341924448209E-2</v>
      </c>
      <c r="BV30" s="3309"/>
    </row>
    <row r="31" spans="1:75" ht="15" thickBot="1" x14ac:dyDescent="0.35">
      <c r="A31" s="155" t="s">
        <v>238</v>
      </c>
      <c r="B31" s="3006">
        <v>0</v>
      </c>
      <c r="C31" s="3243" t="e">
        <v>#DIV/0!</v>
      </c>
      <c r="D31" s="3013"/>
      <c r="E31" s="3015" t="e">
        <v>#DIV/0!</v>
      </c>
      <c r="F31" s="3199">
        <v>0</v>
      </c>
      <c r="G31" s="3095">
        <v>0</v>
      </c>
      <c r="H31" s="3098">
        <v>0</v>
      </c>
      <c r="I31" s="3023">
        <v>0</v>
      </c>
      <c r="J31" s="3023"/>
      <c r="K31" s="3026">
        <v>0</v>
      </c>
      <c r="L31" s="3101">
        <v>0</v>
      </c>
      <c r="M31" s="3104">
        <v>0</v>
      </c>
      <c r="N31" s="3032">
        <v>0</v>
      </c>
      <c r="O31" s="3106">
        <v>0</v>
      </c>
      <c r="P31" s="3106">
        <v>0</v>
      </c>
      <c r="Q31" s="3106">
        <v>0</v>
      </c>
      <c r="R31" s="3107">
        <v>0</v>
      </c>
      <c r="S31" s="3109"/>
      <c r="T31" s="3041">
        <v>0</v>
      </c>
      <c r="U31" s="3041">
        <v>0</v>
      </c>
      <c r="V31" s="3041"/>
      <c r="W31" s="3041"/>
      <c r="X31" s="3041"/>
      <c r="Y31" s="3041">
        <v>0</v>
      </c>
      <c r="Z31" s="3110"/>
      <c r="AA31" s="3049"/>
      <c r="AB31" s="3051">
        <v>0</v>
      </c>
      <c r="AC31" s="3118">
        <v>0</v>
      </c>
      <c r="AD31" s="3118">
        <v>0</v>
      </c>
      <c r="AE31" s="3121">
        <v>0</v>
      </c>
      <c r="AF31" s="3122">
        <v>0</v>
      </c>
      <c r="AG31" s="3124">
        <v>0</v>
      </c>
      <c r="AH31" s="3126">
        <v>0</v>
      </c>
      <c r="AI31" s="3128">
        <v>0</v>
      </c>
      <c r="AJ31" s="3130">
        <v>0</v>
      </c>
      <c r="AK31" s="3132">
        <v>0</v>
      </c>
      <c r="AL31" s="3050">
        <v>0</v>
      </c>
      <c r="AM31" s="3273">
        <v>0</v>
      </c>
      <c r="AN31" s="3137" t="s">
        <v>153</v>
      </c>
      <c r="AO31" s="3138" t="s">
        <v>153</v>
      </c>
      <c r="AP31" s="3143" t="s">
        <v>153</v>
      </c>
      <c r="AQ31" s="3146" t="s">
        <v>153</v>
      </c>
      <c r="AR31" s="3149" t="s">
        <v>153</v>
      </c>
      <c r="AS31" s="3152" t="s">
        <v>153</v>
      </c>
      <c r="AT31" s="3155" t="s">
        <v>153</v>
      </c>
      <c r="AU31" s="3158" t="s">
        <v>153</v>
      </c>
      <c r="AV31" s="3221">
        <v>0</v>
      </c>
      <c r="AW31" s="2487">
        <v>0</v>
      </c>
      <c r="AX31" s="61"/>
    </row>
    <row r="32" spans="1:75" s="187" customFormat="1" ht="15" thickBot="1" x14ac:dyDescent="0.35">
      <c r="A32" s="2572" t="s">
        <v>239</v>
      </c>
      <c r="B32" s="3006"/>
      <c r="C32" s="3243"/>
      <c r="D32" s="3014"/>
      <c r="E32" s="3016"/>
      <c r="F32" s="3164"/>
      <c r="G32" s="3095"/>
      <c r="H32" s="3098"/>
      <c r="I32" s="3023"/>
      <c r="J32" s="3023"/>
      <c r="K32" s="3026"/>
      <c r="L32" s="3101"/>
      <c r="M32" s="3104"/>
      <c r="N32" s="3032"/>
      <c r="O32" s="3106"/>
      <c r="P32" s="3106"/>
      <c r="Q32" s="3106"/>
      <c r="R32" s="3107"/>
      <c r="S32" s="3109"/>
      <c r="T32" s="3041"/>
      <c r="U32" s="3041"/>
      <c r="V32" s="3041"/>
      <c r="W32" s="3041"/>
      <c r="X32" s="3041"/>
      <c r="Y32" s="3041"/>
      <c r="Z32" s="3110"/>
      <c r="AA32" s="3049"/>
      <c r="AB32" s="3051"/>
      <c r="AC32" s="3118"/>
      <c r="AD32" s="3118"/>
      <c r="AE32" s="3121"/>
      <c r="AF32" s="3122"/>
      <c r="AG32" s="3124"/>
      <c r="AH32" s="3126"/>
      <c r="AI32" s="3128"/>
      <c r="AJ32" s="3130"/>
      <c r="AK32" s="3132"/>
      <c r="AL32" s="3050"/>
      <c r="AM32" s="3273"/>
      <c r="AN32" s="3139"/>
      <c r="AO32" s="3140"/>
      <c r="AP32" s="3144"/>
      <c r="AQ32" s="3147"/>
      <c r="AR32" s="3150"/>
      <c r="AS32" s="3153"/>
      <c r="AT32" s="3156"/>
      <c r="AU32" s="3159"/>
      <c r="AV32" s="3221"/>
      <c r="AW32" s="2487">
        <v>0</v>
      </c>
      <c r="AX32" s="186"/>
      <c r="BK32" s="219"/>
      <c r="BL32" s="219"/>
      <c r="BM32" s="219"/>
      <c r="BN32" s="219"/>
      <c r="BO32" s="219"/>
      <c r="BP32" s="219"/>
      <c r="BQ32" s="219"/>
      <c r="BR32" s="219"/>
      <c r="BS32" s="219"/>
      <c r="BT32" s="219"/>
      <c r="BU32" s="219"/>
      <c r="BV32" s="219"/>
      <c r="BW32" s="219"/>
    </row>
    <row r="33" spans="1:75" s="219" customFormat="1" ht="27" thickBot="1" x14ac:dyDescent="0.35">
      <c r="A33" s="2573" t="s">
        <v>240</v>
      </c>
      <c r="B33" s="3006"/>
      <c r="C33" s="3243"/>
      <c r="D33" s="3092"/>
      <c r="E33" s="3093"/>
      <c r="F33" s="3339"/>
      <c r="G33" s="3095"/>
      <c r="H33" s="3098"/>
      <c r="I33" s="3097"/>
      <c r="J33" s="3097"/>
      <c r="K33" s="3026"/>
      <c r="L33" s="3102"/>
      <c r="M33" s="3340"/>
      <c r="N33" s="3341"/>
      <c r="O33" s="3342"/>
      <c r="P33" s="3342"/>
      <c r="Q33" s="3342"/>
      <c r="R33" s="3343"/>
      <c r="S33" s="3344"/>
      <c r="T33" s="3041"/>
      <c r="U33" s="3115"/>
      <c r="V33" s="3115"/>
      <c r="W33" s="3115"/>
      <c r="X33" s="3115"/>
      <c r="Y33" s="3115"/>
      <c r="Z33" s="3345"/>
      <c r="AA33" s="3116"/>
      <c r="AB33" s="3051"/>
      <c r="AC33" s="3119"/>
      <c r="AD33" s="3119"/>
      <c r="AE33" s="3121"/>
      <c r="AF33" s="3123"/>
      <c r="AG33" s="3125"/>
      <c r="AH33" s="3127"/>
      <c r="AI33" s="3129"/>
      <c r="AJ33" s="3131"/>
      <c r="AK33" s="3133"/>
      <c r="AL33" s="3134"/>
      <c r="AM33" s="3136"/>
      <c r="AN33" s="3141"/>
      <c r="AO33" s="3142"/>
      <c r="AP33" s="3145"/>
      <c r="AQ33" s="3148"/>
      <c r="AR33" s="3151"/>
      <c r="AS33" s="3154"/>
      <c r="AT33" s="3157"/>
      <c r="AU33" s="3160"/>
      <c r="AV33" s="3221"/>
      <c r="AW33" s="3346">
        <v>0</v>
      </c>
      <c r="AX33" s="218"/>
      <c r="BK33" s="217"/>
      <c r="BL33" s="217"/>
      <c r="BM33" s="217"/>
      <c r="BN33" s="217"/>
      <c r="BO33" s="217"/>
      <c r="BP33" s="217"/>
      <c r="BQ33" s="217"/>
      <c r="BR33" s="217"/>
      <c r="BS33" s="217"/>
      <c r="BT33" s="217"/>
      <c r="BU33" s="217"/>
      <c r="BV33" s="217"/>
      <c r="BW33" s="217"/>
    </row>
    <row r="34" spans="1:75" s="217" customFormat="1" ht="15" thickBot="1" x14ac:dyDescent="0.35">
      <c r="A34" s="220" t="s">
        <v>241</v>
      </c>
      <c r="B34" s="3006">
        <v>1467.5300176519568</v>
      </c>
      <c r="C34" s="3243">
        <v>0.36934098071239979</v>
      </c>
      <c r="D34" s="3011">
        <v>2152.1300176519567</v>
      </c>
      <c r="E34" s="3093">
        <v>0.54163785529372477</v>
      </c>
      <c r="F34" s="3339">
        <v>3.1800000000000002E-2</v>
      </c>
      <c r="G34" s="3095">
        <v>2363.4332556462723</v>
      </c>
      <c r="H34" s="3098">
        <v>0</v>
      </c>
      <c r="I34" s="3097">
        <v>142.4111809021295</v>
      </c>
      <c r="J34" s="3097"/>
      <c r="K34" s="3099">
        <v>2505.844436548402</v>
      </c>
      <c r="L34" s="3102">
        <v>3973.3744542003587</v>
      </c>
      <c r="M34" s="3104">
        <v>0</v>
      </c>
      <c r="N34" s="3032">
        <v>1201.2669999999998</v>
      </c>
      <c r="O34" s="3106">
        <v>0</v>
      </c>
      <c r="P34" s="3106">
        <v>0</v>
      </c>
      <c r="Q34" s="3106">
        <v>266.26301765195677</v>
      </c>
      <c r="R34" s="3107">
        <v>0</v>
      </c>
      <c r="S34" s="3344"/>
      <c r="T34" s="3041">
        <v>2255.2599928935615</v>
      </c>
      <c r="U34" s="3115">
        <v>2505.844436548402</v>
      </c>
      <c r="V34" s="3115"/>
      <c r="W34" s="3115"/>
      <c r="X34" s="3115"/>
      <c r="Y34" s="3115">
        <v>2255.2599928935615</v>
      </c>
      <c r="Z34" s="3345"/>
      <c r="AA34" s="3116"/>
      <c r="AB34" s="3051">
        <v>0</v>
      </c>
      <c r="AC34" s="3119">
        <v>2521.5230105455184</v>
      </c>
      <c r="AD34" s="3119">
        <v>250.58444365484047</v>
      </c>
      <c r="AE34" s="3121">
        <v>0</v>
      </c>
      <c r="AF34" s="3123">
        <v>0</v>
      </c>
      <c r="AG34" s="3125">
        <v>1201.2669999999998</v>
      </c>
      <c r="AH34" s="3127">
        <v>0</v>
      </c>
      <c r="AI34" s="3129">
        <v>1201.2669999999998</v>
      </c>
      <c r="AJ34" s="3131">
        <v>0</v>
      </c>
      <c r="AK34" s="3133">
        <v>1201.2669999999998</v>
      </c>
      <c r="AL34" s="3134">
        <v>2772.1074542003589</v>
      </c>
      <c r="AM34" s="3136">
        <v>0</v>
      </c>
      <c r="AN34" s="3141" t="s">
        <v>153</v>
      </c>
      <c r="AO34" s="3142">
        <v>0.30232916978919738</v>
      </c>
      <c r="AP34" s="3145" t="s">
        <v>153</v>
      </c>
      <c r="AQ34" s="3148">
        <v>0.30232916978919738</v>
      </c>
      <c r="AR34" s="3151" t="s">
        <v>153</v>
      </c>
      <c r="AS34" s="3154">
        <v>0.30232916978919738</v>
      </c>
      <c r="AT34" s="3157">
        <v>0.69767083021080256</v>
      </c>
      <c r="AU34" s="3160" t="s">
        <v>153</v>
      </c>
      <c r="AV34" s="3221">
        <v>0</v>
      </c>
      <c r="AW34" s="3346">
        <v>0</v>
      </c>
      <c r="AX34" s="247"/>
    </row>
    <row r="35" spans="1:75" s="217" customFormat="1" ht="15" thickBot="1" x14ac:dyDescent="0.35">
      <c r="A35" s="220" t="s">
        <v>149</v>
      </c>
      <c r="B35" s="3006">
        <v>4288.7959825145708</v>
      </c>
      <c r="C35" s="3243">
        <v>0.3064471315437769</v>
      </c>
      <c r="D35" s="3092">
        <v>4288.7959825145708</v>
      </c>
      <c r="E35" s="3093">
        <v>0.3064471315437769</v>
      </c>
      <c r="F35" s="3339">
        <v>0.13059999999999999</v>
      </c>
      <c r="G35" s="3095">
        <v>9706.4271442579611</v>
      </c>
      <c r="H35" s="3098">
        <v>0</v>
      </c>
      <c r="I35" s="3097">
        <v>0</v>
      </c>
      <c r="J35" s="3097"/>
      <c r="K35" s="3099">
        <v>9706.4271442579611</v>
      </c>
      <c r="L35" s="3102">
        <v>13995.223126772533</v>
      </c>
      <c r="M35" s="3104">
        <v>0</v>
      </c>
      <c r="N35" s="3032">
        <v>3319.549557153372</v>
      </c>
      <c r="O35" s="3106">
        <v>0</v>
      </c>
      <c r="P35" s="3106">
        <v>53.770370267443795</v>
      </c>
      <c r="Q35" s="3106">
        <v>915.47605509375524</v>
      </c>
      <c r="R35" s="3107">
        <v>0</v>
      </c>
      <c r="S35" s="3344"/>
      <c r="T35" s="3041">
        <v>8735.7844298321652</v>
      </c>
      <c r="U35" s="3115">
        <v>9706.4271442579611</v>
      </c>
      <c r="V35" s="3115"/>
      <c r="W35" s="3115"/>
      <c r="X35" s="3115"/>
      <c r="Y35" s="3115">
        <v>8735.7844298321652</v>
      </c>
      <c r="Z35" s="3345"/>
      <c r="AA35" s="3116"/>
      <c r="AB35" s="3051">
        <v>53.770370267443795</v>
      </c>
      <c r="AC35" s="3119">
        <v>9651.2604849259205</v>
      </c>
      <c r="AD35" s="3119">
        <v>970.64271442579593</v>
      </c>
      <c r="AE35" s="3121">
        <v>0</v>
      </c>
      <c r="AF35" s="3123">
        <v>0</v>
      </c>
      <c r="AG35" s="3125">
        <v>3319.549557153372</v>
      </c>
      <c r="AH35" s="3127">
        <v>0</v>
      </c>
      <c r="AI35" s="3129">
        <v>3319.549557153372</v>
      </c>
      <c r="AJ35" s="3131">
        <v>53.770370267443795</v>
      </c>
      <c r="AK35" s="3133">
        <v>3373.3199274208159</v>
      </c>
      <c r="AL35" s="3134">
        <v>10621.903199351716</v>
      </c>
      <c r="AM35" s="3136">
        <v>0</v>
      </c>
      <c r="AN35" s="3141" t="s">
        <v>153</v>
      </c>
      <c r="AO35" s="3142">
        <v>0.23719161367303618</v>
      </c>
      <c r="AP35" s="3145" t="s">
        <v>153</v>
      </c>
      <c r="AQ35" s="3148">
        <v>0.23719161367303618</v>
      </c>
      <c r="AR35" s="3151">
        <v>3.8420516615117299E-3</v>
      </c>
      <c r="AS35" s="3154">
        <v>0.24103366533454793</v>
      </c>
      <c r="AT35" s="3157">
        <v>0.75896633466545205</v>
      </c>
      <c r="AU35" s="3160" t="s">
        <v>153</v>
      </c>
      <c r="AV35" s="3221">
        <v>0</v>
      </c>
      <c r="AW35" s="3346">
        <v>0</v>
      </c>
      <c r="AX35" s="247"/>
    </row>
    <row r="36" spans="1:75" s="217" customFormat="1" ht="15" thickBot="1" x14ac:dyDescent="0.35">
      <c r="A36" s="220" t="s">
        <v>242</v>
      </c>
      <c r="B36" s="3006">
        <v>24290.439205581093</v>
      </c>
      <c r="C36" s="3243">
        <v>0.53857498521306058</v>
      </c>
      <c r="D36" s="3011">
        <v>29389.031815014299</v>
      </c>
      <c r="E36" s="3093">
        <v>0.65162252692247435</v>
      </c>
      <c r="F36" s="3339">
        <v>0.22169999999999995</v>
      </c>
      <c r="G36" s="3095">
        <v>18424.374341972038</v>
      </c>
      <c r="H36" s="3098">
        <v>0</v>
      </c>
      <c r="I36" s="3097">
        <v>2386.4998674614671</v>
      </c>
      <c r="J36" s="3097"/>
      <c r="K36" s="3099">
        <v>20810.874209433503</v>
      </c>
      <c r="L36" s="3102">
        <v>45101.313415014592</v>
      </c>
      <c r="M36" s="3104">
        <v>0</v>
      </c>
      <c r="N36" s="3032">
        <v>21553.974495046485</v>
      </c>
      <c r="O36" s="3106">
        <v>0</v>
      </c>
      <c r="P36" s="3106">
        <v>113.83657529999999</v>
      </c>
      <c r="Q36" s="3106">
        <v>2622.62813523461</v>
      </c>
      <c r="R36" s="3107">
        <v>0</v>
      </c>
      <c r="S36" s="3344"/>
      <c r="T36" s="3041">
        <v>18729.786788490153</v>
      </c>
      <c r="U36" s="3115">
        <v>20810.874209433503</v>
      </c>
      <c r="V36" s="3115"/>
      <c r="W36" s="3115"/>
      <c r="X36" s="3115"/>
      <c r="Y36" s="3115">
        <v>18729.786788490153</v>
      </c>
      <c r="Z36" s="3345"/>
      <c r="AA36" s="3116"/>
      <c r="AB36" s="3051">
        <v>113.83657529999999</v>
      </c>
      <c r="AC36" s="3119">
        <v>21352.414923724762</v>
      </c>
      <c r="AD36" s="3119">
        <v>2081.0874209433496</v>
      </c>
      <c r="AE36" s="3121">
        <v>0</v>
      </c>
      <c r="AF36" s="3123">
        <v>0</v>
      </c>
      <c r="AG36" s="3125">
        <v>21553.974495046485</v>
      </c>
      <c r="AH36" s="3127">
        <v>0</v>
      </c>
      <c r="AI36" s="3129">
        <v>21553.974495046485</v>
      </c>
      <c r="AJ36" s="3131">
        <v>113.83657529999999</v>
      </c>
      <c r="AK36" s="3133">
        <v>21667.811070346484</v>
      </c>
      <c r="AL36" s="3134">
        <v>23433.502344668112</v>
      </c>
      <c r="AM36" s="3136">
        <v>0</v>
      </c>
      <c r="AN36" s="3141" t="s">
        <v>153</v>
      </c>
      <c r="AO36" s="3142">
        <v>0.47790125969748348</v>
      </c>
      <c r="AP36" s="3145" t="s">
        <v>153</v>
      </c>
      <c r="AQ36" s="3148">
        <v>0.47790125969748348</v>
      </c>
      <c r="AR36" s="3151">
        <v>2.5240190735133419E-3</v>
      </c>
      <c r="AS36" s="3154">
        <v>0.48042527877099683</v>
      </c>
      <c r="AT36" s="3157">
        <v>0.51957472122900328</v>
      </c>
      <c r="AU36" s="3160" t="s">
        <v>153</v>
      </c>
      <c r="AV36" s="3221">
        <v>0</v>
      </c>
      <c r="AW36" s="3346">
        <v>0</v>
      </c>
      <c r="AX36" s="247"/>
    </row>
    <row r="37" spans="1:75" ht="15" thickBot="1" x14ac:dyDescent="0.35">
      <c r="A37" s="155" t="s">
        <v>174</v>
      </c>
      <c r="B37" s="3006">
        <v>4042.8849825145712</v>
      </c>
      <c r="C37" s="3243">
        <v>0.32093204177200907</v>
      </c>
      <c r="D37" s="3014">
        <v>4042.8849825145712</v>
      </c>
      <c r="E37" s="3016">
        <v>0.32093204177200907</v>
      </c>
      <c r="F37" s="3164">
        <v>0.11509999999999999</v>
      </c>
      <c r="G37" s="3095">
        <v>8554.4392366316333</v>
      </c>
      <c r="H37" s="3098">
        <v>0</v>
      </c>
      <c r="I37" s="3023">
        <v>0</v>
      </c>
      <c r="J37" s="3023"/>
      <c r="K37" s="3026">
        <v>8554.4392366316333</v>
      </c>
      <c r="L37" s="3101">
        <v>12597.324219146205</v>
      </c>
      <c r="M37" s="3104">
        <v>0</v>
      </c>
      <c r="N37" s="3032">
        <v>3085.9341071533722</v>
      </c>
      <c r="O37" s="3106">
        <v>0</v>
      </c>
      <c r="P37" s="3106">
        <v>53.770370267443795</v>
      </c>
      <c r="Q37" s="3106">
        <v>903.18050509375519</v>
      </c>
      <c r="R37" s="3107">
        <v>0</v>
      </c>
      <c r="S37" s="3109"/>
      <c r="T37" s="3041">
        <v>7698.99531296847</v>
      </c>
      <c r="U37" s="3041">
        <v>8554.4392366316333</v>
      </c>
      <c r="V37" s="3041"/>
      <c r="W37" s="3041"/>
      <c r="X37" s="3041"/>
      <c r="Y37" s="3041">
        <v>7698.99531296847</v>
      </c>
      <c r="Z37" s="3110"/>
      <c r="AA37" s="3049"/>
      <c r="AB37" s="3051">
        <v>53.770370267443795</v>
      </c>
      <c r="AC37" s="3118">
        <v>8602.1758180622255</v>
      </c>
      <c r="AD37" s="3118">
        <v>855.44392366316333</v>
      </c>
      <c r="AE37" s="3121">
        <v>0</v>
      </c>
      <c r="AF37" s="3122">
        <v>0</v>
      </c>
      <c r="AG37" s="3124">
        <v>3085.9341071533722</v>
      </c>
      <c r="AH37" s="3126">
        <v>0</v>
      </c>
      <c r="AI37" s="3128">
        <v>3085.9341071533722</v>
      </c>
      <c r="AJ37" s="3130">
        <v>53.770370267443795</v>
      </c>
      <c r="AK37" s="3132">
        <v>3139.7044774208161</v>
      </c>
      <c r="AL37" s="3050">
        <v>9457.6197417253898</v>
      </c>
      <c r="AM37" s="3135">
        <v>0</v>
      </c>
      <c r="AN37" s="3139" t="s">
        <v>153</v>
      </c>
      <c r="AO37" s="3140">
        <v>0.24496742748457451</v>
      </c>
      <c r="AP37" s="3144" t="s">
        <v>153</v>
      </c>
      <c r="AQ37" s="3147">
        <v>0.24496742748457451</v>
      </c>
      <c r="AR37" s="3150">
        <v>4.26839615556772E-3</v>
      </c>
      <c r="AS37" s="3153">
        <v>0.24923582364014224</v>
      </c>
      <c r="AT37" s="3156">
        <v>0.75076417635985782</v>
      </c>
      <c r="AU37" s="3159" t="s">
        <v>153</v>
      </c>
      <c r="AV37" s="3221">
        <v>0</v>
      </c>
      <c r="AW37" s="2487">
        <v>0</v>
      </c>
      <c r="AX37" s="61"/>
    </row>
    <row r="38" spans="1:75" ht="15" thickBot="1" x14ac:dyDescent="0.35">
      <c r="A38" s="155" t="s">
        <v>243</v>
      </c>
      <c r="B38" s="3006">
        <v>2260.5294444444448</v>
      </c>
      <c r="C38" s="3243">
        <v>0.79175034061426319</v>
      </c>
      <c r="D38" s="3013">
        <v>2260.5294444444448</v>
      </c>
      <c r="E38" s="3015">
        <v>0.79175034061426319</v>
      </c>
      <c r="F38" s="3199">
        <v>8.0000000000000002E-3</v>
      </c>
      <c r="G38" s="3095">
        <v>594.57440393616912</v>
      </c>
      <c r="H38" s="3098">
        <v>0</v>
      </c>
      <c r="I38" s="3023">
        <v>0</v>
      </c>
      <c r="J38" s="3023"/>
      <c r="K38" s="3026">
        <v>594.57440393616912</v>
      </c>
      <c r="L38" s="3101">
        <v>2855.1038483806142</v>
      </c>
      <c r="M38" s="3104">
        <v>0</v>
      </c>
      <c r="N38" s="3032">
        <v>1966.660616666667</v>
      </c>
      <c r="O38" s="3106">
        <v>0</v>
      </c>
      <c r="P38" s="3106">
        <v>0</v>
      </c>
      <c r="Q38" s="3106">
        <v>293.86882777777782</v>
      </c>
      <c r="R38" s="3107">
        <v>0</v>
      </c>
      <c r="S38" s="3109"/>
      <c r="T38" s="3041">
        <v>535.1169635425523</v>
      </c>
      <c r="U38" s="3041">
        <v>594.57440393616912</v>
      </c>
      <c r="V38" s="3041"/>
      <c r="W38" s="3041"/>
      <c r="X38" s="3041"/>
      <c r="Y38" s="3041">
        <v>535.1169635425523</v>
      </c>
      <c r="Z38" s="3110"/>
      <c r="AA38" s="3049"/>
      <c r="AB38" s="3051">
        <v>0</v>
      </c>
      <c r="AC38" s="3118">
        <v>828.98579132033012</v>
      </c>
      <c r="AD38" s="3118">
        <v>59.457440393616821</v>
      </c>
      <c r="AE38" s="3121">
        <v>0</v>
      </c>
      <c r="AF38" s="3122">
        <v>0</v>
      </c>
      <c r="AG38" s="3124">
        <v>1966.660616666667</v>
      </c>
      <c r="AH38" s="3126">
        <v>0</v>
      </c>
      <c r="AI38" s="3128">
        <v>1966.660616666667</v>
      </c>
      <c r="AJ38" s="3130">
        <v>0</v>
      </c>
      <c r="AK38" s="3132">
        <v>1966.660616666667</v>
      </c>
      <c r="AL38" s="3050">
        <v>888.44323171394694</v>
      </c>
      <c r="AM38" s="3135">
        <v>0</v>
      </c>
      <c r="AN38" s="3137" t="s">
        <v>153</v>
      </c>
      <c r="AO38" s="3138">
        <v>0.6888227963344089</v>
      </c>
      <c r="AP38" s="3143" t="s">
        <v>153</v>
      </c>
      <c r="AQ38" s="3146">
        <v>0.6888227963344089</v>
      </c>
      <c r="AR38" s="3149" t="s">
        <v>153</v>
      </c>
      <c r="AS38" s="3152">
        <v>0.6888227963344089</v>
      </c>
      <c r="AT38" s="3155">
        <v>0.31117720366559098</v>
      </c>
      <c r="AU38" s="3158" t="s">
        <v>153</v>
      </c>
      <c r="AV38" s="3221">
        <v>0</v>
      </c>
      <c r="AW38" s="2487">
        <v>0</v>
      </c>
      <c r="AX38" s="61"/>
    </row>
    <row r="39" spans="1:75" ht="15" thickBot="1" x14ac:dyDescent="0.35">
      <c r="A39" s="155" t="s">
        <v>244</v>
      </c>
      <c r="B39" s="3006">
        <v>734.66609313655249</v>
      </c>
      <c r="C39" s="3243">
        <v>0.32532353055779567</v>
      </c>
      <c r="D39" s="3013">
        <v>1293.7060931365525</v>
      </c>
      <c r="E39" s="3015">
        <v>0.57287662743009971</v>
      </c>
      <c r="F39" s="3199">
        <v>2.0500000000000001E-2</v>
      </c>
      <c r="G39" s="3095">
        <v>1523.5969100864334</v>
      </c>
      <c r="H39" s="3098">
        <v>0</v>
      </c>
      <c r="I39" s="3023">
        <v>0</v>
      </c>
      <c r="J39" s="3023"/>
      <c r="K39" s="3026">
        <v>1523.5969100864334</v>
      </c>
      <c r="L39" s="3101">
        <v>2258.2630032229858</v>
      </c>
      <c r="M39" s="3104">
        <v>0</v>
      </c>
      <c r="N39" s="3032">
        <v>559.04</v>
      </c>
      <c r="O39" s="3106">
        <v>0</v>
      </c>
      <c r="P39" s="3106">
        <v>0</v>
      </c>
      <c r="Q39" s="3106">
        <v>175.62609313655253</v>
      </c>
      <c r="R39" s="3107">
        <v>0</v>
      </c>
      <c r="S39" s="3109"/>
      <c r="T39" s="3041">
        <v>1371.2372190777901</v>
      </c>
      <c r="U39" s="3041">
        <v>964.55691008643339</v>
      </c>
      <c r="V39" s="3112">
        <v>559.04</v>
      </c>
      <c r="W39" s="3041"/>
      <c r="X39" s="3041"/>
      <c r="Y39" s="3041">
        <v>812.19721907779012</v>
      </c>
      <c r="Z39" s="3110"/>
      <c r="AA39" s="3049"/>
      <c r="AB39" s="3051">
        <v>0</v>
      </c>
      <c r="AC39" s="3118">
        <v>987.82331221434265</v>
      </c>
      <c r="AD39" s="3118">
        <v>152.35969100864327</v>
      </c>
      <c r="AE39" s="3121">
        <v>0</v>
      </c>
      <c r="AF39" s="3122">
        <v>0</v>
      </c>
      <c r="AG39" s="3124">
        <v>1118.08</v>
      </c>
      <c r="AH39" s="3126">
        <v>0</v>
      </c>
      <c r="AI39" s="3128">
        <v>1118.08</v>
      </c>
      <c r="AJ39" s="3130">
        <v>0</v>
      </c>
      <c r="AK39" s="3132">
        <v>1118.08</v>
      </c>
      <c r="AL39" s="3050">
        <v>1140.1830032229859</v>
      </c>
      <c r="AM39" s="3135">
        <v>0</v>
      </c>
      <c r="AN39" s="3137" t="s">
        <v>153</v>
      </c>
      <c r="AO39" s="3138">
        <v>0.49510619374460801</v>
      </c>
      <c r="AP39" s="3143" t="s">
        <v>153</v>
      </c>
      <c r="AQ39" s="3146">
        <v>0.49510619374460801</v>
      </c>
      <c r="AR39" s="3149" t="s">
        <v>153</v>
      </c>
      <c r="AS39" s="3152">
        <v>0.49510619374460801</v>
      </c>
      <c r="AT39" s="3155">
        <v>0.50489380625539204</v>
      </c>
      <c r="AU39" s="3158" t="s">
        <v>153</v>
      </c>
      <c r="AV39" s="3221">
        <v>0</v>
      </c>
      <c r="AW39" s="2487">
        <v>0</v>
      </c>
      <c r="AX39" s="61"/>
    </row>
    <row r="40" spans="1:75" ht="15" thickBot="1" x14ac:dyDescent="0.35">
      <c r="A40" s="155" t="s">
        <v>245</v>
      </c>
      <c r="B40" s="3006">
        <v>189.00392451540424</v>
      </c>
      <c r="C40" s="3243">
        <v>0.30120025056950639</v>
      </c>
      <c r="D40" s="3013">
        <v>314.56392451540421</v>
      </c>
      <c r="E40" s="3015">
        <v>0.50129505578835198</v>
      </c>
      <c r="F40" s="3199">
        <v>5.8999999999999999E-3</v>
      </c>
      <c r="G40" s="3095">
        <v>438.49862290292469</v>
      </c>
      <c r="H40" s="3098">
        <v>0</v>
      </c>
      <c r="I40" s="3023">
        <v>0</v>
      </c>
      <c r="J40" s="3023"/>
      <c r="K40" s="3026">
        <v>438.49862290292469</v>
      </c>
      <c r="L40" s="3101">
        <v>627.50254741832896</v>
      </c>
      <c r="M40" s="3104">
        <v>0</v>
      </c>
      <c r="N40" s="3032">
        <v>125.56</v>
      </c>
      <c r="O40" s="3106">
        <v>0</v>
      </c>
      <c r="P40" s="3106">
        <v>0</v>
      </c>
      <c r="Q40" s="3106">
        <v>63.443924515404234</v>
      </c>
      <c r="R40" s="3107">
        <v>0</v>
      </c>
      <c r="S40" s="3109"/>
      <c r="T40" s="3041">
        <v>394.64876061263226</v>
      </c>
      <c r="U40" s="3041">
        <v>312.93862290292469</v>
      </c>
      <c r="V40" s="3112">
        <v>125.56</v>
      </c>
      <c r="W40" s="3041"/>
      <c r="X40" s="3041"/>
      <c r="Y40" s="3041">
        <v>269.08876061263226</v>
      </c>
      <c r="Z40" s="3110"/>
      <c r="AA40" s="3049"/>
      <c r="AB40" s="3051">
        <v>0</v>
      </c>
      <c r="AC40" s="3118">
        <v>332.53268512803652</v>
      </c>
      <c r="AD40" s="3118">
        <v>43.849862290292435</v>
      </c>
      <c r="AE40" s="3121">
        <v>0</v>
      </c>
      <c r="AF40" s="3122">
        <v>0</v>
      </c>
      <c r="AG40" s="3124">
        <v>251.12</v>
      </c>
      <c r="AH40" s="3126">
        <v>0</v>
      </c>
      <c r="AI40" s="3128">
        <v>251.12</v>
      </c>
      <c r="AJ40" s="3130">
        <v>0</v>
      </c>
      <c r="AK40" s="3132">
        <v>251.12</v>
      </c>
      <c r="AL40" s="3050">
        <v>376.38254741832895</v>
      </c>
      <c r="AM40" s="3135">
        <v>0</v>
      </c>
      <c r="AN40" s="3137" t="s">
        <v>153</v>
      </c>
      <c r="AO40" s="3138">
        <v>0.40018961043769136</v>
      </c>
      <c r="AP40" s="3143" t="s">
        <v>153</v>
      </c>
      <c r="AQ40" s="3146">
        <v>0.40018961043769136</v>
      </c>
      <c r="AR40" s="3149" t="s">
        <v>153</v>
      </c>
      <c r="AS40" s="3152">
        <v>0.40018961043769136</v>
      </c>
      <c r="AT40" s="3155">
        <v>0.5998103895623087</v>
      </c>
      <c r="AU40" s="3158" t="s">
        <v>153</v>
      </c>
      <c r="AV40" s="3221">
        <v>0</v>
      </c>
      <c r="AW40" s="2487">
        <v>0</v>
      </c>
      <c r="AX40" s="61"/>
    </row>
    <row r="41" spans="1:75" ht="15" thickBot="1" x14ac:dyDescent="0.35">
      <c r="A41" s="155" t="s">
        <v>246</v>
      </c>
      <c r="B41" s="3006">
        <v>6214.9537282973479</v>
      </c>
      <c r="C41" s="3243">
        <v>0.60762149325451431</v>
      </c>
      <c r="D41" s="3013">
        <v>6851.7362684995624</v>
      </c>
      <c r="E41" s="3015">
        <v>0.66987823318716599</v>
      </c>
      <c r="F41" s="3199">
        <v>5.3999999999999999E-2</v>
      </c>
      <c r="G41" s="3095">
        <v>4013.3772265691414</v>
      </c>
      <c r="H41" s="3098">
        <v>0</v>
      </c>
      <c r="I41" s="3023">
        <v>0</v>
      </c>
      <c r="J41" s="3023"/>
      <c r="K41" s="3026">
        <v>4013.3772265691414</v>
      </c>
      <c r="L41" s="3101">
        <v>10228.330954866489</v>
      </c>
      <c r="M41" s="3104">
        <v>0</v>
      </c>
      <c r="N41" s="3032">
        <v>5516.6613730798153</v>
      </c>
      <c r="O41" s="3106">
        <v>0</v>
      </c>
      <c r="P41" s="3106">
        <v>0</v>
      </c>
      <c r="Q41" s="3106">
        <v>698.29235521753208</v>
      </c>
      <c r="R41" s="3107">
        <v>0</v>
      </c>
      <c r="S41" s="3109"/>
      <c r="T41" s="3041">
        <v>3612.0395039122272</v>
      </c>
      <c r="U41" s="3041">
        <v>3376.5946863669269</v>
      </c>
      <c r="V41" s="3112">
        <v>636.7825402022147</v>
      </c>
      <c r="W41" s="3041"/>
      <c r="X41" s="3041"/>
      <c r="Y41" s="3041">
        <v>2975.2569637100123</v>
      </c>
      <c r="Z41" s="3110"/>
      <c r="AA41" s="3049"/>
      <c r="AB41" s="3051">
        <v>0</v>
      </c>
      <c r="AC41" s="3118">
        <v>3673.5493189275444</v>
      </c>
      <c r="AD41" s="3118">
        <v>401.33772265691414</v>
      </c>
      <c r="AE41" s="3121">
        <v>0</v>
      </c>
      <c r="AF41" s="3122">
        <v>0</v>
      </c>
      <c r="AG41" s="3124">
        <v>6153.4439132820298</v>
      </c>
      <c r="AH41" s="3126">
        <v>0</v>
      </c>
      <c r="AI41" s="3128">
        <v>6153.4439132820298</v>
      </c>
      <c r="AJ41" s="3130">
        <v>0</v>
      </c>
      <c r="AK41" s="3132">
        <v>6153.4439132820298</v>
      </c>
      <c r="AL41" s="3050">
        <v>4074.8870415844585</v>
      </c>
      <c r="AM41" s="3135">
        <v>0</v>
      </c>
      <c r="AN41" s="3137" t="s">
        <v>153</v>
      </c>
      <c r="AO41" s="3138">
        <v>0.6016078224721807</v>
      </c>
      <c r="AP41" s="3143" t="s">
        <v>153</v>
      </c>
      <c r="AQ41" s="3146">
        <v>0.6016078224721807</v>
      </c>
      <c r="AR41" s="3149" t="s">
        <v>153</v>
      </c>
      <c r="AS41" s="3152">
        <v>0.6016078224721807</v>
      </c>
      <c r="AT41" s="3155">
        <v>0.39839217752781919</v>
      </c>
      <c r="AU41" s="3158" t="s">
        <v>153</v>
      </c>
      <c r="AV41" s="3221">
        <v>0</v>
      </c>
      <c r="AW41" s="2487">
        <v>0</v>
      </c>
      <c r="AX41" s="61"/>
    </row>
    <row r="42" spans="1:75" ht="15" thickBot="1" x14ac:dyDescent="0.35">
      <c r="A42" s="155" t="s">
        <v>247</v>
      </c>
      <c r="B42" s="3006">
        <v>923.67001765195675</v>
      </c>
      <c r="C42" s="3243">
        <v>0.32007798327438136</v>
      </c>
      <c r="D42" s="3014">
        <v>1608.2700176519566</v>
      </c>
      <c r="E42" s="3016">
        <v>0.55731139256775186</v>
      </c>
      <c r="F42" s="3164">
        <v>2.64E-2</v>
      </c>
      <c r="G42" s="3095">
        <v>1962.0955329893582</v>
      </c>
      <c r="H42" s="3098">
        <v>0</v>
      </c>
      <c r="I42" s="3023">
        <v>0</v>
      </c>
      <c r="J42" s="3023"/>
      <c r="K42" s="3026">
        <v>1962.0955329893582</v>
      </c>
      <c r="L42" s="3101">
        <v>2885.7655506413148</v>
      </c>
      <c r="M42" s="3104">
        <v>0</v>
      </c>
      <c r="N42" s="3032">
        <v>684.59999999999991</v>
      </c>
      <c r="O42" s="3106">
        <v>0</v>
      </c>
      <c r="P42" s="3106">
        <v>0</v>
      </c>
      <c r="Q42" s="3106">
        <v>239.07001765195676</v>
      </c>
      <c r="R42" s="3107">
        <v>0</v>
      </c>
      <c r="S42" s="3109">
        <v>0</v>
      </c>
      <c r="T42" s="3041">
        <v>1765.8859796904223</v>
      </c>
      <c r="U42" s="3041">
        <v>1277.495532989358</v>
      </c>
      <c r="V42" s="3041">
        <v>684.59999999999991</v>
      </c>
      <c r="W42" s="3041">
        <v>0</v>
      </c>
      <c r="X42" s="3041">
        <v>0</v>
      </c>
      <c r="Y42" s="3041">
        <v>1081.2859796904224</v>
      </c>
      <c r="Z42" s="3110">
        <v>0</v>
      </c>
      <c r="AA42" s="3049">
        <v>0</v>
      </c>
      <c r="AB42" s="3051">
        <v>0</v>
      </c>
      <c r="AC42" s="3118">
        <v>1320.3559973423792</v>
      </c>
      <c r="AD42" s="3118">
        <v>196.2095532989357</v>
      </c>
      <c r="AE42" s="3121">
        <v>0</v>
      </c>
      <c r="AF42" s="3122">
        <v>0</v>
      </c>
      <c r="AG42" s="3124">
        <v>1369.1999999999998</v>
      </c>
      <c r="AH42" s="3126">
        <v>0</v>
      </c>
      <c r="AI42" s="3128">
        <v>1369.1999999999998</v>
      </c>
      <c r="AJ42" s="3130">
        <v>0</v>
      </c>
      <c r="AK42" s="3132">
        <v>1369.1999999999998</v>
      </c>
      <c r="AL42" s="3050">
        <v>1516.565550641315</v>
      </c>
      <c r="AM42" s="3135">
        <v>0</v>
      </c>
      <c r="AN42" s="3139" t="s">
        <v>153</v>
      </c>
      <c r="AO42" s="3140">
        <v>0.47446681858674111</v>
      </c>
      <c r="AP42" s="3144" t="s">
        <v>153</v>
      </c>
      <c r="AQ42" s="3147">
        <v>0.47446681858674111</v>
      </c>
      <c r="AR42" s="3150" t="s">
        <v>153</v>
      </c>
      <c r="AS42" s="3153">
        <v>0.47446681858674111</v>
      </c>
      <c r="AT42" s="3156">
        <v>0.52553318141325889</v>
      </c>
      <c r="AU42" s="3159" t="s">
        <v>153</v>
      </c>
      <c r="AV42" s="3221">
        <v>0</v>
      </c>
      <c r="AW42" s="2487">
        <v>0</v>
      </c>
      <c r="AX42" s="61"/>
    </row>
    <row r="43" spans="1:75" ht="15" thickBot="1" x14ac:dyDescent="0.35">
      <c r="A43" s="155" t="s">
        <v>178</v>
      </c>
      <c r="B43" s="3006">
        <v>0</v>
      </c>
      <c r="C43" s="3243">
        <v>0</v>
      </c>
      <c r="D43" s="3013">
        <v>0</v>
      </c>
      <c r="E43" s="3015">
        <v>0</v>
      </c>
      <c r="F43" s="3199">
        <v>4.0000000000000002E-4</v>
      </c>
      <c r="G43" s="3095">
        <v>29.728720196808457</v>
      </c>
      <c r="H43" s="3098">
        <v>0</v>
      </c>
      <c r="I43" s="3023">
        <v>0</v>
      </c>
      <c r="J43" s="3023"/>
      <c r="K43" s="3026">
        <v>29.728720196808457</v>
      </c>
      <c r="L43" s="3101">
        <v>29.728720196808457</v>
      </c>
      <c r="M43" s="3104">
        <v>0</v>
      </c>
      <c r="N43" s="3032">
        <v>0</v>
      </c>
      <c r="O43" s="3106">
        <v>0</v>
      </c>
      <c r="P43" s="3106">
        <v>0</v>
      </c>
      <c r="Q43" s="3106">
        <v>0</v>
      </c>
      <c r="R43" s="3107">
        <v>0</v>
      </c>
      <c r="S43" s="3109"/>
      <c r="T43" s="3041">
        <v>26.755848177127614</v>
      </c>
      <c r="U43" s="3041">
        <v>29.728720196808457</v>
      </c>
      <c r="V43" s="3041"/>
      <c r="W43" s="3041"/>
      <c r="X43" s="3041"/>
      <c r="Y43" s="3041">
        <v>26.755848177127614</v>
      </c>
      <c r="Z43" s="3110"/>
      <c r="AA43" s="3049"/>
      <c r="AB43" s="3051">
        <v>0</v>
      </c>
      <c r="AC43" s="3118">
        <v>26.755848177127614</v>
      </c>
      <c r="AD43" s="3118">
        <v>2.9728720196808425</v>
      </c>
      <c r="AE43" s="3121">
        <v>0</v>
      </c>
      <c r="AF43" s="3122">
        <v>0</v>
      </c>
      <c r="AG43" s="3124">
        <v>0</v>
      </c>
      <c r="AH43" s="3126">
        <v>0</v>
      </c>
      <c r="AI43" s="3128">
        <v>0</v>
      </c>
      <c r="AJ43" s="3130">
        <v>0</v>
      </c>
      <c r="AK43" s="3132">
        <v>0</v>
      </c>
      <c r="AL43" s="3050">
        <v>29.728720196808457</v>
      </c>
      <c r="AM43" s="3135">
        <v>0</v>
      </c>
      <c r="AN43" s="3137" t="s">
        <v>153</v>
      </c>
      <c r="AO43" s="3138" t="s">
        <v>153</v>
      </c>
      <c r="AP43" s="3143" t="s">
        <v>153</v>
      </c>
      <c r="AQ43" s="3146" t="s">
        <v>153</v>
      </c>
      <c r="AR43" s="3149" t="s">
        <v>153</v>
      </c>
      <c r="AS43" s="3152" t="s">
        <v>153</v>
      </c>
      <c r="AT43" s="3155">
        <v>1</v>
      </c>
      <c r="AU43" s="3158" t="s">
        <v>153</v>
      </c>
      <c r="AV43" s="3221">
        <v>0</v>
      </c>
      <c r="AW43" s="2487">
        <v>0</v>
      </c>
      <c r="AX43" s="61"/>
    </row>
    <row r="44" spans="1:75" ht="15" thickBot="1" x14ac:dyDescent="0.35">
      <c r="A44" s="155" t="s">
        <v>65</v>
      </c>
      <c r="B44" s="3006">
        <v>0</v>
      </c>
      <c r="C44" s="3243" t="e">
        <v>#DIV/0!</v>
      </c>
      <c r="D44" s="3019">
        <v>0</v>
      </c>
      <c r="E44" s="3094" t="e">
        <v>#DIV/0!</v>
      </c>
      <c r="F44" s="3312">
        <v>0</v>
      </c>
      <c r="G44" s="3095">
        <v>0</v>
      </c>
      <c r="H44" s="3098">
        <v>0</v>
      </c>
      <c r="I44" s="3096">
        <v>0</v>
      </c>
      <c r="J44" s="3096"/>
      <c r="K44" s="3100">
        <v>0</v>
      </c>
      <c r="L44" s="3103">
        <v>0</v>
      </c>
      <c r="M44" s="3347">
        <v>0</v>
      </c>
      <c r="N44" s="3348">
        <v>0</v>
      </c>
      <c r="O44" s="3349">
        <v>0</v>
      </c>
      <c r="P44" s="3349">
        <v>0</v>
      </c>
      <c r="Q44" s="3349">
        <v>0</v>
      </c>
      <c r="R44" s="3350">
        <v>0</v>
      </c>
      <c r="S44" s="3351"/>
      <c r="T44" s="3114">
        <v>0</v>
      </c>
      <c r="U44" s="3114">
        <v>0</v>
      </c>
      <c r="V44" s="3114"/>
      <c r="W44" s="3114"/>
      <c r="X44" s="3114"/>
      <c r="Y44" s="3114">
        <v>0</v>
      </c>
      <c r="Z44" s="3352"/>
      <c r="AA44" s="3117"/>
      <c r="AB44" s="3069">
        <v>0</v>
      </c>
      <c r="AC44" s="3120">
        <v>0</v>
      </c>
      <c r="AD44" s="3120">
        <v>0</v>
      </c>
      <c r="AE44" s="3121">
        <v>0</v>
      </c>
      <c r="AF44" s="3122">
        <v>0</v>
      </c>
      <c r="AG44" s="3124">
        <v>0</v>
      </c>
      <c r="AH44" s="3126">
        <v>0</v>
      </c>
      <c r="AI44" s="3128">
        <v>0</v>
      </c>
      <c r="AJ44" s="3130">
        <v>0</v>
      </c>
      <c r="AK44" s="3132">
        <v>0</v>
      </c>
      <c r="AL44" s="3050">
        <v>0</v>
      </c>
      <c r="AM44" s="3135">
        <v>0</v>
      </c>
      <c r="AN44" s="3137" t="s">
        <v>153</v>
      </c>
      <c r="AO44" s="3138" t="s">
        <v>153</v>
      </c>
      <c r="AP44" s="3143" t="s">
        <v>153</v>
      </c>
      <c r="AQ44" s="3146" t="s">
        <v>153</v>
      </c>
      <c r="AR44" s="3149" t="s">
        <v>153</v>
      </c>
      <c r="AS44" s="3152" t="s">
        <v>153</v>
      </c>
      <c r="AT44" s="3155" t="s">
        <v>153</v>
      </c>
      <c r="AU44" s="3158" t="s">
        <v>153</v>
      </c>
      <c r="AV44" s="3221">
        <v>0</v>
      </c>
      <c r="AW44" s="2487">
        <v>0</v>
      </c>
      <c r="AX44" s="61"/>
    </row>
    <row r="45" spans="1:75" x14ac:dyDescent="0.3">
      <c r="U45" s="2487"/>
      <c r="V45" s="3221"/>
      <c r="W45" s="61"/>
      <c r="X45" s="61"/>
      <c r="Y45" s="61"/>
      <c r="AV45" s="3337"/>
      <c r="AW45" s="2487"/>
    </row>
    <row r="46" spans="1:75" x14ac:dyDescent="0.3">
      <c r="A46" s="1" t="s">
        <v>1470</v>
      </c>
      <c r="B46" s="512">
        <v>0</v>
      </c>
      <c r="C46" s="512">
        <v>-0.37809003347670467</v>
      </c>
      <c r="D46" s="512">
        <v>0</v>
      </c>
      <c r="E46" s="512">
        <v>-0.37809003347670467</v>
      </c>
      <c r="F46" s="512">
        <v>0</v>
      </c>
      <c r="G46" s="512">
        <v>0</v>
      </c>
      <c r="H46" s="512">
        <v>0.3306</v>
      </c>
      <c r="I46" s="512">
        <v>0</v>
      </c>
      <c r="J46" s="512">
        <v>0</v>
      </c>
      <c r="K46" s="512">
        <v>0</v>
      </c>
      <c r="L46" s="512">
        <v>0</v>
      </c>
      <c r="M46" s="512">
        <v>0</v>
      </c>
      <c r="N46" s="512">
        <v>0</v>
      </c>
      <c r="O46" s="512">
        <v>0</v>
      </c>
      <c r="P46" s="512">
        <v>0</v>
      </c>
      <c r="Q46" s="512">
        <v>0</v>
      </c>
      <c r="R46" s="512">
        <v>0</v>
      </c>
      <c r="S46" s="512">
        <v>0</v>
      </c>
      <c r="T46" s="512">
        <v>0</v>
      </c>
      <c r="U46" s="512">
        <v>0</v>
      </c>
      <c r="V46" s="512">
        <v>0</v>
      </c>
      <c r="W46" s="512">
        <v>0</v>
      </c>
      <c r="X46" s="512">
        <v>0</v>
      </c>
      <c r="Y46" s="512">
        <v>5.0022208597511053E-12</v>
      </c>
      <c r="Z46" s="512">
        <v>0</v>
      </c>
      <c r="AA46" s="512">
        <v>0</v>
      </c>
      <c r="AB46" s="512">
        <v>0</v>
      </c>
      <c r="AC46" s="512">
        <v>0</v>
      </c>
      <c r="AD46" s="512">
        <v>0</v>
      </c>
      <c r="AE46" s="512">
        <v>0</v>
      </c>
      <c r="AF46" s="512">
        <v>0</v>
      </c>
      <c r="AG46" s="512">
        <v>0</v>
      </c>
      <c r="AH46" s="512">
        <v>0</v>
      </c>
      <c r="AI46" s="512">
        <v>0</v>
      </c>
      <c r="AJ46" s="512">
        <v>0</v>
      </c>
      <c r="AK46" s="512">
        <v>0</v>
      </c>
      <c r="AL46" s="512">
        <v>0</v>
      </c>
      <c r="AM46" s="512">
        <v>0</v>
      </c>
      <c r="AN46" s="512" t="e">
        <v>#VALUE!</v>
      </c>
      <c r="AO46" s="512" t="e">
        <v>#VALUE!</v>
      </c>
      <c r="AP46" s="512">
        <v>-0.16098634396479511</v>
      </c>
      <c r="AQ46" s="512">
        <v>-0.16098634396479511</v>
      </c>
      <c r="AR46" s="512" t="e">
        <v>#VALUE!</v>
      </c>
      <c r="AS46" s="512">
        <v>-0.34190608522471971</v>
      </c>
      <c r="AT46" s="512">
        <v>-0.62022722108107065</v>
      </c>
      <c r="AU46" s="512" t="e">
        <v>#VALUE!</v>
      </c>
      <c r="BK46" s="2953"/>
      <c r="BL46" s="2992"/>
      <c r="BM46" s="3206"/>
      <c r="BN46" s="3206"/>
      <c r="BO46" s="3206"/>
      <c r="BP46" s="3206"/>
      <c r="BQ46" s="3206"/>
      <c r="BR46" s="3206"/>
      <c r="BS46" s="3206"/>
      <c r="BT46" s="3206"/>
      <c r="BU46" s="3206"/>
      <c r="BV46" s="3206"/>
    </row>
    <row r="47" spans="1:75" x14ac:dyDescent="0.3">
      <c r="U47" s="266"/>
      <c r="V47" s="266"/>
    </row>
    <row r="48" spans="1:75" x14ac:dyDescent="0.3">
      <c r="D48" s="61"/>
      <c r="U48" s="266"/>
      <c r="V48" s="266"/>
      <c r="AL48" s="368"/>
      <c r="AM48" s="368"/>
    </row>
    <row r="49" spans="1:39" x14ac:dyDescent="0.3">
      <c r="A49" s="65" t="s">
        <v>183</v>
      </c>
      <c r="C49" s="61"/>
      <c r="L49" s="2487"/>
      <c r="T49" s="61"/>
      <c r="U49" s="266"/>
      <c r="V49" s="266"/>
      <c r="AL49" s="2472"/>
      <c r="AM49" s="368"/>
    </row>
    <row r="50" spans="1:39" x14ac:dyDescent="0.3">
      <c r="A50" s="52" t="s">
        <v>248</v>
      </c>
      <c r="L50" s="2487"/>
      <c r="U50" s="266"/>
      <c r="V50" s="266"/>
    </row>
    <row r="51" spans="1:39" x14ac:dyDescent="0.3">
      <c r="A51" s="52" t="s">
        <v>114</v>
      </c>
      <c r="B51" s="61"/>
      <c r="L51" s="2487"/>
      <c r="U51" s="266"/>
      <c r="V51" s="266"/>
    </row>
    <row r="52" spans="1:39" x14ac:dyDescent="0.3">
      <c r="A52" s="52" t="s">
        <v>151</v>
      </c>
      <c r="B52" s="61"/>
      <c r="L52" s="2487"/>
      <c r="U52" s="266"/>
      <c r="V52" s="266"/>
    </row>
    <row r="53" spans="1:39" x14ac:dyDescent="0.3">
      <c r="B53" s="61"/>
      <c r="L53" s="2487"/>
    </row>
    <row r="54" spans="1:39" x14ac:dyDescent="0.3">
      <c r="L54" s="2487"/>
    </row>
    <row r="55" spans="1:39" x14ac:dyDescent="0.3">
      <c r="L55" s="2487"/>
    </row>
  </sheetData>
  <autoFilter ref="A4:AZ49" xr:uid="{00000000-0009-0000-0000-000006000000}"/>
  <mergeCells count="6">
    <mergeCell ref="AN3:AU3"/>
    <mergeCell ref="M3:R3"/>
    <mergeCell ref="S3:Z3"/>
    <mergeCell ref="AA3:AB3"/>
    <mergeCell ref="AC3:AE3"/>
    <mergeCell ref="AF3:AM3"/>
  </mergeCell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tabColor theme="4"/>
  </sheetPr>
  <dimension ref="A1:AS105"/>
  <sheetViews>
    <sheetView workbookViewId="0"/>
  </sheetViews>
  <sheetFormatPr baseColWidth="10" defaultColWidth="11.44140625" defaultRowHeight="13.2" x14ac:dyDescent="0.25"/>
  <cols>
    <col min="1" max="1" width="30.44140625" style="1" customWidth="1"/>
    <col min="2" max="2" width="12.6640625" style="1" customWidth="1"/>
    <col min="3" max="4" width="12.33203125" style="1" bestFit="1" customWidth="1"/>
    <col min="5" max="5" width="11.44140625" style="1"/>
    <col min="6" max="7" width="12.33203125" style="1" bestFit="1" customWidth="1"/>
    <col min="8" max="9" width="11.44140625" style="1"/>
    <col min="10" max="10" width="12.33203125" style="1" bestFit="1" customWidth="1"/>
    <col min="11" max="12" width="11.44140625" style="1"/>
    <col min="13" max="13" width="12.33203125" style="1" bestFit="1" customWidth="1"/>
    <col min="14" max="15" width="11.44140625" style="1"/>
    <col min="16" max="16" width="12.33203125" style="1" bestFit="1" customWidth="1"/>
    <col min="17" max="18" width="11.44140625" style="1"/>
    <col min="19" max="19" width="12.33203125" style="1" bestFit="1" customWidth="1"/>
    <col min="20" max="21" width="11.44140625" style="1"/>
    <col min="22" max="22" width="12.33203125" style="1" bestFit="1" customWidth="1"/>
    <col min="23" max="24" width="11.44140625" style="1"/>
    <col min="25" max="25" width="12.33203125" style="1" bestFit="1" customWidth="1"/>
    <col min="26" max="27" width="11.44140625" style="1"/>
    <col min="28" max="28" width="12.33203125" style="1" bestFit="1" customWidth="1"/>
    <col min="29" max="30" width="11.44140625" style="1"/>
    <col min="31" max="31" width="12.33203125" style="1" bestFit="1" customWidth="1"/>
    <col min="32" max="32" width="11.44140625" style="1"/>
    <col min="33" max="33" width="11.6640625" style="1" bestFit="1" customWidth="1"/>
    <col min="34" max="34" width="12.33203125" style="1" bestFit="1" customWidth="1"/>
    <col min="35" max="35" width="21.5546875" style="1" customWidth="1"/>
    <col min="36" max="16384" width="11.44140625" style="1"/>
  </cols>
  <sheetData>
    <row r="1" spans="1:36" ht="13.8" thickBot="1" x14ac:dyDescent="0.3">
      <c r="A1" s="584" t="s">
        <v>183</v>
      </c>
      <c r="B1" s="585" t="s">
        <v>395</v>
      </c>
      <c r="C1" s="586"/>
      <c r="D1" s="587"/>
      <c r="E1" s="588" t="s">
        <v>9</v>
      </c>
      <c r="F1" s="586"/>
      <c r="G1" s="589"/>
      <c r="H1" s="590" t="s">
        <v>412</v>
      </c>
      <c r="I1" s="586"/>
      <c r="J1" s="586"/>
      <c r="K1" s="591" t="s">
        <v>135</v>
      </c>
      <c r="L1" s="592"/>
      <c r="M1" s="589"/>
      <c r="N1" s="590" t="s">
        <v>140</v>
      </c>
      <c r="O1" s="586"/>
      <c r="P1" s="587"/>
      <c r="Q1" s="588" t="s">
        <v>413</v>
      </c>
      <c r="R1" s="586"/>
      <c r="S1" s="589"/>
      <c r="T1" s="590" t="s">
        <v>414</v>
      </c>
      <c r="U1" s="586"/>
      <c r="V1" s="587"/>
      <c r="W1" s="588" t="s">
        <v>415</v>
      </c>
      <c r="X1" s="586"/>
      <c r="Y1" s="589"/>
      <c r="Z1" s="590" t="s">
        <v>416</v>
      </c>
      <c r="AA1" s="586"/>
      <c r="AB1" s="587"/>
      <c r="AC1" s="588" t="s">
        <v>417</v>
      </c>
      <c r="AD1" s="586"/>
      <c r="AE1" s="589"/>
      <c r="AF1" s="590" t="s">
        <v>418</v>
      </c>
      <c r="AG1" s="586"/>
      <c r="AH1" s="587"/>
      <c r="AI1" s="593" t="s">
        <v>419</v>
      </c>
    </row>
    <row r="2" spans="1:36" ht="13.8" thickBot="1" x14ac:dyDescent="0.3">
      <c r="A2" s="594"/>
      <c r="B2" s="595">
        <v>2018</v>
      </c>
      <c r="C2" s="596">
        <v>2019</v>
      </c>
      <c r="D2" s="597" t="s">
        <v>420</v>
      </c>
      <c r="E2" s="598">
        <v>2018</v>
      </c>
      <c r="F2" s="596">
        <v>2019</v>
      </c>
      <c r="G2" s="599" t="s">
        <v>420</v>
      </c>
      <c r="H2" s="595">
        <v>2018</v>
      </c>
      <c r="I2" s="596">
        <v>2019</v>
      </c>
      <c r="J2" s="596" t="s">
        <v>420</v>
      </c>
      <c r="K2" s="597">
        <v>2018</v>
      </c>
      <c r="L2" s="598">
        <v>2019</v>
      </c>
      <c r="M2" s="599" t="s">
        <v>420</v>
      </c>
      <c r="N2" s="595">
        <v>2018</v>
      </c>
      <c r="O2" s="596">
        <v>2019</v>
      </c>
      <c r="P2" s="597" t="s">
        <v>420</v>
      </c>
      <c r="Q2" s="598">
        <v>2018</v>
      </c>
      <c r="R2" s="596">
        <v>2019</v>
      </c>
      <c r="S2" s="599" t="s">
        <v>420</v>
      </c>
      <c r="T2" s="595">
        <v>2018</v>
      </c>
      <c r="U2" s="596">
        <v>2019</v>
      </c>
      <c r="V2" s="597" t="s">
        <v>420</v>
      </c>
      <c r="W2" s="598">
        <v>2018</v>
      </c>
      <c r="X2" s="596">
        <v>2019</v>
      </c>
      <c r="Y2" s="599" t="s">
        <v>420</v>
      </c>
      <c r="Z2" s="595">
        <v>2018</v>
      </c>
      <c r="AA2" s="596">
        <v>2019</v>
      </c>
      <c r="AB2" s="597" t="s">
        <v>420</v>
      </c>
      <c r="AC2" s="598">
        <v>2018</v>
      </c>
      <c r="AD2" s="596">
        <v>2019</v>
      </c>
      <c r="AE2" s="599" t="s">
        <v>420</v>
      </c>
      <c r="AF2" s="595">
        <v>2018</v>
      </c>
      <c r="AG2" s="596">
        <v>2019</v>
      </c>
      <c r="AH2" s="597" t="s">
        <v>420</v>
      </c>
      <c r="AI2" s="600"/>
    </row>
    <row r="3" spans="1:36" ht="14.4" x14ac:dyDescent="0.3">
      <c r="A3" s="601" t="s">
        <v>113</v>
      </c>
      <c r="B3" s="602" t="e">
        <f>VLOOKUP(VLOOKUP(A3,$A$82:$B$105,2,0),'Gestion final Araba 2018'!$B$72:$M$95,2,0)</f>
        <v>#REF!</v>
      </c>
      <c r="C3" s="603" t="e">
        <f>#REF!</f>
        <v>#REF!</v>
      </c>
      <c r="D3" s="604" t="str">
        <f t="shared" ref="D3:D23" si="0">IFERROR(C3/B3-1,"")</f>
        <v/>
      </c>
      <c r="E3" s="605" t="e">
        <f>VLOOKUP(VLOOKUP(A3,$A$82:$B$105,2,0),'Gestion final Araba 2018'!$B$72:$M$95,3,0)</f>
        <v>#REF!</v>
      </c>
      <c r="F3" s="606" t="e">
        <f>+#REF!</f>
        <v>#REF!</v>
      </c>
      <c r="G3" s="607" t="str">
        <f t="shared" ref="G3:G23" si="1">IFERROR(F3/E3-1,"")</f>
        <v/>
      </c>
      <c r="H3" s="608" t="e">
        <f>VLOOKUP(VLOOKUP(A3,$A$82:$B$105,2,0),'Gestion final Araba 2018'!$B$72:$M$95,4,0)</f>
        <v>#REF!</v>
      </c>
      <c r="I3" s="609" t="e">
        <f>+#REF!</f>
        <v>#REF!</v>
      </c>
      <c r="J3" s="610" t="str">
        <f t="shared" ref="J3:J23" si="2">IFERROR(I3/H3-1,"")</f>
        <v/>
      </c>
      <c r="K3" s="611" t="e">
        <f>VLOOKUP(VLOOKUP(A3,$A$82:$B$105,2,0),'Gestion final Araba 2018'!$B$72:$M$95,5,0)</f>
        <v>#REF!</v>
      </c>
      <c r="L3" s="612" t="e">
        <f>+#REF!</f>
        <v>#REF!</v>
      </c>
      <c r="M3" s="607" t="str">
        <f t="shared" ref="M3:M24" si="3">IFERROR(L3/K3-1,"")</f>
        <v/>
      </c>
      <c r="N3" s="608" t="e">
        <f>VLOOKUP(VLOOKUP(A3,$A$82:$B$105,2,0),'Gestion final Araba 2018'!$B$72:$M$95,6,0)</f>
        <v>#REF!</v>
      </c>
      <c r="O3" s="609" t="e">
        <f>+#REF!</f>
        <v>#REF!</v>
      </c>
      <c r="P3" s="613" t="str">
        <f t="shared" ref="P3:P23" si="4">IFERROR(O3/N3-1,"")</f>
        <v/>
      </c>
      <c r="Q3" s="614" t="e">
        <f>VLOOKUP(VLOOKUP(A3,$A$82:$B$105,2,0),'Gestion final Araba 2018'!$B$72:$M$95,7,0)</f>
        <v>#REF!</v>
      </c>
      <c r="R3" s="603" t="e">
        <f>+#REF!</f>
        <v>#REF!</v>
      </c>
      <c r="S3" s="607" t="str">
        <f t="shared" ref="S3:S23" si="5">IFERROR(R3/Q3-1,"")</f>
        <v/>
      </c>
      <c r="T3" s="602" t="e">
        <f>VLOOKUP(VLOOKUP(A3,$A$82:$B$105,2,0),'Gestion final Araba 2018'!$B$72:$M$95,8,0)</f>
        <v>#REF!</v>
      </c>
      <c r="U3" s="603"/>
      <c r="V3" s="604" t="str">
        <f t="shared" ref="V3:V23" si="6">IFERROR(U3/T3-1,"")</f>
        <v/>
      </c>
      <c r="W3" s="608" t="e">
        <f>VLOOKUP(VLOOKUP(A3,$A$82:$B$105,2,0),'Gestion final Araba 2018'!$B$72:$M$95,9,0)</f>
        <v>#REF!</v>
      </c>
      <c r="X3" s="609" t="e">
        <f>+#REF!</f>
        <v>#REF!</v>
      </c>
      <c r="Y3" s="613" t="str">
        <f t="shared" ref="Y3:Y23" si="7">IFERROR(X3/W3-1,"")</f>
        <v/>
      </c>
      <c r="Z3" s="602" t="e">
        <f>VLOOKUP(VLOOKUP(A3,$A$82:$B$105,2,0),'Gestion final Araba 2018'!$B$72:$M$95,10,0)</f>
        <v>#REF!</v>
      </c>
      <c r="AA3" s="603" t="e">
        <f>+#REF!+#REF!</f>
        <v>#REF!</v>
      </c>
      <c r="AB3" s="604" t="str">
        <f t="shared" ref="AB3:AB23" si="8">IFERROR(AA3/Z3-1,"")</f>
        <v/>
      </c>
      <c r="AC3" s="608" t="e">
        <f>VLOOKUP(VLOOKUP(A3,$A$82:$B$105,2,0),'Gestion final Araba 2018'!$B$72:$M$95,11,0)</f>
        <v>#REF!</v>
      </c>
      <c r="AD3" s="609" t="e">
        <f>+#REF!</f>
        <v>#REF!</v>
      </c>
      <c r="AE3" s="613" t="str">
        <f t="shared" ref="AE3:AE23" si="9">IFERROR(AD3/AC3-1,"")</f>
        <v/>
      </c>
      <c r="AF3" s="602" t="e">
        <f>VLOOKUP(VLOOKUP(A3,$A$82:$B$105,2,0),'Gestion final Araba 2018'!$B$72:$M$95,12,0)</f>
        <v>#REF!</v>
      </c>
      <c r="AG3" s="615" t="e">
        <f>+#REF!</f>
        <v>#REF!</v>
      </c>
      <c r="AH3" s="604" t="str">
        <f t="shared" ref="AH3:AH23" si="10">IFERROR(AG3/AF3-1,"")</f>
        <v/>
      </c>
      <c r="AI3" s="616" t="e">
        <f>+C3-SUM(I3,L3,O3,R3,U3,X3,AA3,AD3,AG3)</f>
        <v>#REF!</v>
      </c>
    </row>
    <row r="4" spans="1:36" ht="14.4" x14ac:dyDescent="0.3">
      <c r="A4" s="601" t="s">
        <v>236</v>
      </c>
      <c r="B4" s="617" t="e">
        <f>VLOOKUP(VLOOKUP(A4,$A$82:$B$105,2,0),'Gestion final Araba 2018'!$B$72:$M$95,2,0)</f>
        <v>#REF!</v>
      </c>
      <c r="C4" s="615" t="e">
        <f>#REF!</f>
        <v>#REF!</v>
      </c>
      <c r="D4" s="618" t="str">
        <f t="shared" si="0"/>
        <v/>
      </c>
      <c r="E4" s="619" t="e">
        <f>VLOOKUP(VLOOKUP(A4,$A$82:$B$105,2,0),'Gestion final Araba 2018'!$B$72:$M$95,3,0)</f>
        <v>#REF!</v>
      </c>
      <c r="F4" s="620" t="e">
        <f>+#REF!</f>
        <v>#REF!</v>
      </c>
      <c r="G4" s="621" t="str">
        <f t="shared" si="1"/>
        <v/>
      </c>
      <c r="H4" s="617" t="e">
        <f>VLOOKUP(VLOOKUP(A4,$A$82:$B$105,2,0),'Gestion final Araba 2018'!$B$72:$M$95,4,0)</f>
        <v>#REF!</v>
      </c>
      <c r="I4" s="615" t="e">
        <f>+#REF!</f>
        <v>#REF!</v>
      </c>
      <c r="J4" s="622" t="str">
        <f t="shared" si="2"/>
        <v/>
      </c>
      <c r="K4" s="623" t="e">
        <f>VLOOKUP(VLOOKUP(A4,$A$82:$B$105,2,0),'Gestion final Araba 2018'!$B$72:$M$95,5,0)</f>
        <v>#REF!</v>
      </c>
      <c r="L4" s="624" t="e">
        <f>+#REF!</f>
        <v>#REF!</v>
      </c>
      <c r="M4" s="621" t="str">
        <f t="shared" si="3"/>
        <v/>
      </c>
      <c r="N4" s="617" t="e">
        <f>VLOOKUP(VLOOKUP(A4,$A$82:$B$105,2,0),'Gestion final Araba 2018'!$B$72:$M$95,6,0)</f>
        <v>#REF!</v>
      </c>
      <c r="O4" s="615" t="e">
        <f>+#REF!</f>
        <v>#REF!</v>
      </c>
      <c r="P4" s="618" t="str">
        <f t="shared" si="4"/>
        <v/>
      </c>
      <c r="Q4" s="625" t="e">
        <f>VLOOKUP(VLOOKUP(A4,$A$82:$B$105,2,0),'Gestion final Araba 2018'!$B$72:$M$95,7,0)</f>
        <v>#REF!</v>
      </c>
      <c r="R4" s="615" t="e">
        <f>+#REF!</f>
        <v>#REF!</v>
      </c>
      <c r="S4" s="621" t="str">
        <f t="shared" si="5"/>
        <v/>
      </c>
      <c r="T4" s="617" t="e">
        <f>VLOOKUP(VLOOKUP(A4,$A$82:$B$105,2,0),'Gestion final Araba 2018'!$B$72:$M$95,8,0)</f>
        <v>#REF!</v>
      </c>
      <c r="U4" s="615"/>
      <c r="V4" s="618" t="str">
        <f t="shared" si="6"/>
        <v/>
      </c>
      <c r="W4" s="617" t="e">
        <f>VLOOKUP(VLOOKUP(A4,$A$82:$B$105,2,0),'Gestion final Araba 2018'!$B$72:$M$95,9,0)</f>
        <v>#REF!</v>
      </c>
      <c r="X4" s="615" t="e">
        <f>+#REF!</f>
        <v>#REF!</v>
      </c>
      <c r="Y4" s="618" t="str">
        <f t="shared" si="7"/>
        <v/>
      </c>
      <c r="Z4" s="617" t="e">
        <f>VLOOKUP(VLOOKUP(A4,$A$82:$B$105,2,0),'Gestion final Araba 2018'!$B$72:$M$95,10,0)</f>
        <v>#REF!</v>
      </c>
      <c r="AA4" s="615" t="e">
        <f>+#REF!+#REF!</f>
        <v>#REF!</v>
      </c>
      <c r="AB4" s="618" t="str">
        <f t="shared" si="8"/>
        <v/>
      </c>
      <c r="AC4" s="617" t="e">
        <f>VLOOKUP(VLOOKUP(A4,$A$82:$B$105,2,0),'Gestion final Araba 2018'!$B$72:$M$95,11,0)</f>
        <v>#REF!</v>
      </c>
      <c r="AD4" s="615" t="e">
        <f>+#REF!</f>
        <v>#REF!</v>
      </c>
      <c r="AE4" s="618" t="str">
        <f t="shared" si="9"/>
        <v/>
      </c>
      <c r="AF4" s="617" t="e">
        <f>VLOOKUP(VLOOKUP(A4,$A$82:$B$105,2,0),'Gestion final Araba 2018'!$B$72:$M$95,12,0)</f>
        <v>#REF!</v>
      </c>
      <c r="AG4" s="615" t="e">
        <f>+#REF!</f>
        <v>#REF!</v>
      </c>
      <c r="AH4" s="618" t="str">
        <f t="shared" si="10"/>
        <v/>
      </c>
      <c r="AI4" s="626" t="e">
        <f>+C4-SUM(I4,L4,O4,R4,U4,X4,AA4,AD4,AG4)</f>
        <v>#REF!</v>
      </c>
      <c r="AJ4" s="512"/>
    </row>
    <row r="5" spans="1:36" ht="14.4" x14ac:dyDescent="0.3">
      <c r="A5" s="601" t="s">
        <v>14</v>
      </c>
      <c r="B5" s="617" t="e">
        <f>VLOOKUP(VLOOKUP(A5,$A$82:$B$105,2,0),'Gestion final Araba 2018'!$B$72:$M$95,2,0)</f>
        <v>#REF!</v>
      </c>
      <c r="C5" s="615" t="e">
        <f>#REF!</f>
        <v>#REF!</v>
      </c>
      <c r="D5" s="618" t="str">
        <f t="shared" si="0"/>
        <v/>
      </c>
      <c r="E5" s="619" t="e">
        <f>VLOOKUP(VLOOKUP(A5,$A$82:$B$105,2,0),'Gestion final Araba 2018'!$B$72:$M$95,3,0)</f>
        <v>#REF!</v>
      </c>
      <c r="F5" s="620" t="e">
        <f>+#REF!</f>
        <v>#REF!</v>
      </c>
      <c r="G5" s="621" t="str">
        <f t="shared" si="1"/>
        <v/>
      </c>
      <c r="H5" s="617">
        <f>VLOOKUP(VLOOKUP(A5,$A$82:$B$105,2,0),'Gestion final Araba 2018'!$B$72:$M$95,4,0)</f>
        <v>0</v>
      </c>
      <c r="I5" s="615" t="e">
        <f>+#REF!</f>
        <v>#REF!</v>
      </c>
      <c r="J5" s="622" t="str">
        <f t="shared" si="2"/>
        <v/>
      </c>
      <c r="K5" s="623" t="e">
        <f>VLOOKUP(VLOOKUP(A5,$A$82:$B$105,2,0),'Gestion final Araba 2018'!$B$72:$M$95,5,0)</f>
        <v>#REF!</v>
      </c>
      <c r="L5" s="624" t="e">
        <f>+#REF!</f>
        <v>#REF!</v>
      </c>
      <c r="M5" s="621" t="str">
        <f t="shared" si="3"/>
        <v/>
      </c>
      <c r="N5" s="617">
        <f>VLOOKUP(VLOOKUP(A5,$A$82:$B$105,2,0),'Gestion final Araba 2018'!$B$72:$M$95,6,0)</f>
        <v>0</v>
      </c>
      <c r="O5" s="615" t="e">
        <f>+#REF!</f>
        <v>#REF!</v>
      </c>
      <c r="P5" s="618" t="str">
        <f t="shared" si="4"/>
        <v/>
      </c>
      <c r="Q5" s="625" t="e">
        <f>VLOOKUP(VLOOKUP(A5,$A$82:$B$105,2,0),'Gestion final Araba 2018'!$B$72:$M$95,7,0)</f>
        <v>#REF!</v>
      </c>
      <c r="R5" s="615" t="e">
        <f>+#REF!</f>
        <v>#REF!</v>
      </c>
      <c r="S5" s="621" t="str">
        <f t="shared" si="5"/>
        <v/>
      </c>
      <c r="T5" s="617">
        <f>VLOOKUP(VLOOKUP(A5,$A$82:$B$105,2,0),'Gestion final Araba 2018'!$B$72:$M$95,8,0)</f>
        <v>0</v>
      </c>
      <c r="U5" s="615"/>
      <c r="V5" s="618" t="str">
        <f t="shared" si="6"/>
        <v/>
      </c>
      <c r="W5" s="617">
        <f>VLOOKUP(VLOOKUP(A5,$A$82:$B$105,2,0),'Gestion final Araba 2018'!$B$72:$M$95,9,0)</f>
        <v>0</v>
      </c>
      <c r="X5" s="615" t="e">
        <f>+#REF!</f>
        <v>#REF!</v>
      </c>
      <c r="Y5" s="618" t="str">
        <f t="shared" si="7"/>
        <v/>
      </c>
      <c r="Z5" s="617" t="e">
        <f>VLOOKUP(VLOOKUP(A5,$A$82:$B$105,2,0),'Gestion final Araba 2018'!$B$72:$M$95,10,0)</f>
        <v>#REF!</v>
      </c>
      <c r="AA5" s="615" t="e">
        <f>+#REF!+#REF!</f>
        <v>#REF!</v>
      </c>
      <c r="AB5" s="618" t="str">
        <f t="shared" si="8"/>
        <v/>
      </c>
      <c r="AC5" s="617" t="e">
        <f>VLOOKUP(VLOOKUP(A5,$A$82:$B$105,2,0),'Gestion final Araba 2018'!$B$72:$M$95,11,0)</f>
        <v>#REF!</v>
      </c>
      <c r="AD5" s="615" t="e">
        <f>+#REF!</f>
        <v>#REF!</v>
      </c>
      <c r="AE5" s="618" t="str">
        <f t="shared" si="9"/>
        <v/>
      </c>
      <c r="AF5" s="617">
        <f>VLOOKUP(VLOOKUP(A5,$A$82:$B$105,2,0),'Gestion final Araba 2018'!$B$72:$M$95,12,0)</f>
        <v>0</v>
      </c>
      <c r="AG5" s="615" t="e">
        <f>+#REF!</f>
        <v>#REF!</v>
      </c>
      <c r="AH5" s="618" t="str">
        <f t="shared" si="10"/>
        <v/>
      </c>
      <c r="AI5" s="626" t="e">
        <f>+C5-SUM(I5,L5,O5,R5,U5,X5,AA5,AD5,AG5)</f>
        <v>#REF!</v>
      </c>
    </row>
    <row r="6" spans="1:36" ht="14.4" x14ac:dyDescent="0.3">
      <c r="A6" s="601" t="s">
        <v>32</v>
      </c>
      <c r="B6" s="617" t="e">
        <f>VLOOKUP(VLOOKUP(A6,$A$82:$B$105,2,0),'Gestion final Araba 2018'!$B$72:$M$95,2,0)</f>
        <v>#REF!</v>
      </c>
      <c r="C6" s="615" t="e">
        <f>#REF!</f>
        <v>#REF!</v>
      </c>
      <c r="D6" s="618" t="str">
        <f t="shared" si="0"/>
        <v/>
      </c>
      <c r="E6" s="619" t="e">
        <f>VLOOKUP(VLOOKUP(A6,$A$82:$B$105,2,0),'Gestion final Araba 2018'!$B$72:$M$95,3,0)</f>
        <v>#REF!</v>
      </c>
      <c r="F6" s="620" t="e">
        <f>+#REF!</f>
        <v>#REF!</v>
      </c>
      <c r="G6" s="621" t="str">
        <f t="shared" si="1"/>
        <v/>
      </c>
      <c r="H6" s="617">
        <f>VLOOKUP(VLOOKUP(A6,$A$82:$B$105,2,0),'Gestion final Araba 2018'!$B$72:$M$95,4,0)</f>
        <v>0</v>
      </c>
      <c r="I6" s="615" t="e">
        <f>+#REF!</f>
        <v>#REF!</v>
      </c>
      <c r="J6" s="622" t="str">
        <f t="shared" si="2"/>
        <v/>
      </c>
      <c r="K6" s="623" t="e">
        <f>VLOOKUP(VLOOKUP(A6,$A$82:$B$105,2,0),'Gestion final Araba 2018'!$B$72:$M$95,5,0)</f>
        <v>#REF!</v>
      </c>
      <c r="L6" s="624" t="e">
        <f>+#REF!</f>
        <v>#REF!</v>
      </c>
      <c r="M6" s="621" t="str">
        <f t="shared" si="3"/>
        <v/>
      </c>
      <c r="N6" s="617">
        <f>VLOOKUP(VLOOKUP(A6,$A$82:$B$105,2,0),'Gestion final Araba 2018'!$B$72:$M$95,6,0)</f>
        <v>0</v>
      </c>
      <c r="O6" s="615" t="e">
        <f>+#REF!</f>
        <v>#REF!</v>
      </c>
      <c r="P6" s="618" t="str">
        <f t="shared" si="4"/>
        <v/>
      </c>
      <c r="Q6" s="625">
        <f>VLOOKUP(VLOOKUP(A6,$A$82:$B$105,2,0),'Gestion final Araba 2018'!$B$72:$M$95,7,0)</f>
        <v>0</v>
      </c>
      <c r="R6" s="615" t="e">
        <f>+#REF!</f>
        <v>#REF!</v>
      </c>
      <c r="S6" s="621" t="str">
        <f t="shared" si="5"/>
        <v/>
      </c>
      <c r="T6" s="617">
        <f>VLOOKUP(VLOOKUP(A6,$A$82:$B$105,2,0),'Gestion final Araba 2018'!$B$72:$M$95,8,0)</f>
        <v>0</v>
      </c>
      <c r="U6" s="615"/>
      <c r="V6" s="618" t="str">
        <f t="shared" si="6"/>
        <v/>
      </c>
      <c r="W6" s="617">
        <f>VLOOKUP(VLOOKUP(A6,$A$82:$B$105,2,0),'Gestion final Araba 2018'!$B$72:$M$95,9,0)</f>
        <v>0</v>
      </c>
      <c r="X6" s="615" t="e">
        <f>+#REF!</f>
        <v>#REF!</v>
      </c>
      <c r="Y6" s="618" t="str">
        <f t="shared" si="7"/>
        <v/>
      </c>
      <c r="Z6" s="617" t="e">
        <f>VLOOKUP(VLOOKUP(A6,$A$82:$B$105,2,0),'Gestion final Araba 2018'!$B$72:$M$95,10,0)</f>
        <v>#REF!</v>
      </c>
      <c r="AA6" s="615" t="e">
        <f>+#REF!+#REF!</f>
        <v>#REF!</v>
      </c>
      <c r="AB6" s="618" t="str">
        <f t="shared" si="8"/>
        <v/>
      </c>
      <c r="AC6" s="617" t="e">
        <f>VLOOKUP(VLOOKUP(A6,$A$82:$B$105,2,0),'Gestion final Araba 2018'!$B$72:$M$95,11,0)</f>
        <v>#REF!</v>
      </c>
      <c r="AD6" s="615" t="e">
        <f>+#REF!</f>
        <v>#REF!</v>
      </c>
      <c r="AE6" s="618" t="str">
        <f t="shared" si="9"/>
        <v/>
      </c>
      <c r="AF6" s="617">
        <f>VLOOKUP(VLOOKUP(A6,$A$82:$B$105,2,0),'Gestion final Araba 2018'!$B$72:$M$95,12,0)</f>
        <v>0</v>
      </c>
      <c r="AG6" s="615" t="e">
        <f>+#REF!</f>
        <v>#REF!</v>
      </c>
      <c r="AH6" s="618" t="str">
        <f t="shared" si="10"/>
        <v/>
      </c>
      <c r="AI6" s="626" t="e">
        <f t="shared" ref="AI6:AI25" si="11">+C6-SUM(I6,L6,O6,R6,U6,X6,AA6,AD6,AG6)</f>
        <v>#REF!</v>
      </c>
    </row>
    <row r="7" spans="1:36" ht="14.4" x14ac:dyDescent="0.3">
      <c r="A7" s="601" t="s">
        <v>47</v>
      </c>
      <c r="B7" s="617" t="e">
        <f>VLOOKUP(VLOOKUP(A7,$A$82:$B$105,2,0),'Gestion final Araba 2018'!$B$72:$M$95,2,0)</f>
        <v>#REF!</v>
      </c>
      <c r="C7" s="615" t="e">
        <f>#REF!</f>
        <v>#REF!</v>
      </c>
      <c r="D7" s="618" t="str">
        <f t="shared" si="0"/>
        <v/>
      </c>
      <c r="E7" s="619" t="e">
        <f>VLOOKUP(VLOOKUP(A7,$A$82:$B$105,2,0),'Gestion final Araba 2018'!$B$72:$M$95,3,0)</f>
        <v>#REF!</v>
      </c>
      <c r="F7" s="620" t="e">
        <f>+#REF!</f>
        <v>#REF!</v>
      </c>
      <c r="G7" s="621" t="str">
        <f t="shared" si="1"/>
        <v/>
      </c>
      <c r="H7" s="617">
        <f>VLOOKUP(VLOOKUP(A7,$A$82:$B$105,2,0),'Gestion final Araba 2018'!$B$72:$M$95,4,0)</f>
        <v>0</v>
      </c>
      <c r="I7" s="615" t="e">
        <f>+#REF!</f>
        <v>#REF!</v>
      </c>
      <c r="J7" s="622" t="str">
        <f t="shared" si="2"/>
        <v/>
      </c>
      <c r="K7" s="623" t="e">
        <f>VLOOKUP(VLOOKUP(A7,$A$82:$B$105,2,0),'Gestion final Araba 2018'!$B$72:$M$95,5,0)</f>
        <v>#REF!</v>
      </c>
      <c r="L7" s="624" t="e">
        <f>+#REF!</f>
        <v>#REF!</v>
      </c>
      <c r="M7" s="621" t="str">
        <f t="shared" si="3"/>
        <v/>
      </c>
      <c r="N7" s="617">
        <f>VLOOKUP(VLOOKUP(A7,$A$82:$B$105,2,0),'Gestion final Araba 2018'!$B$72:$M$95,6,0)</f>
        <v>0</v>
      </c>
      <c r="O7" s="615" t="e">
        <f>+#REF!</f>
        <v>#REF!</v>
      </c>
      <c r="P7" s="618" t="str">
        <f t="shared" si="4"/>
        <v/>
      </c>
      <c r="Q7" s="625">
        <f>VLOOKUP(VLOOKUP(A7,$A$82:$B$105,2,0),'Gestion final Araba 2018'!$B$72:$M$95,7,0)</f>
        <v>0</v>
      </c>
      <c r="R7" s="615" t="e">
        <f>+#REF!</f>
        <v>#REF!</v>
      </c>
      <c r="S7" s="621" t="str">
        <f t="shared" si="5"/>
        <v/>
      </c>
      <c r="T7" s="617">
        <f>VLOOKUP(VLOOKUP(A7,$A$82:$B$105,2,0),'Gestion final Araba 2018'!$B$72:$M$95,8,0)</f>
        <v>0</v>
      </c>
      <c r="U7" s="615"/>
      <c r="V7" s="618" t="str">
        <f t="shared" si="6"/>
        <v/>
      </c>
      <c r="W7" s="617">
        <f>VLOOKUP(VLOOKUP(A7,$A$82:$B$105,2,0),'Gestion final Araba 2018'!$B$72:$M$95,9,0)</f>
        <v>0</v>
      </c>
      <c r="X7" s="615" t="e">
        <f>+#REF!</f>
        <v>#REF!</v>
      </c>
      <c r="Y7" s="618" t="str">
        <f t="shared" si="7"/>
        <v/>
      </c>
      <c r="Z7" s="617" t="e">
        <f>VLOOKUP(VLOOKUP(A7,$A$82:$B$105,2,0),'Gestion final Araba 2018'!$B$72:$M$95,10,0)</f>
        <v>#REF!</v>
      </c>
      <c r="AA7" s="615" t="e">
        <f>+#REF!+#REF!</f>
        <v>#REF!</v>
      </c>
      <c r="AB7" s="618" t="str">
        <f t="shared" si="8"/>
        <v/>
      </c>
      <c r="AC7" s="617" t="e">
        <f>VLOOKUP(VLOOKUP(A7,$A$82:$B$105,2,0),'Gestion final Araba 2018'!$B$72:$M$95,11,0)</f>
        <v>#REF!</v>
      </c>
      <c r="AD7" s="615" t="e">
        <f>+#REF!</f>
        <v>#REF!</v>
      </c>
      <c r="AE7" s="618" t="str">
        <f t="shared" si="9"/>
        <v/>
      </c>
      <c r="AF7" s="617">
        <f>VLOOKUP(VLOOKUP(A7,$A$82:$B$105,2,0),'Gestion final Araba 2018'!$B$72:$M$95,12,0)</f>
        <v>0</v>
      </c>
      <c r="AG7" s="615" t="e">
        <f>+#REF!</f>
        <v>#REF!</v>
      </c>
      <c r="AH7" s="618" t="str">
        <f t="shared" si="10"/>
        <v/>
      </c>
      <c r="AI7" s="626" t="e">
        <f t="shared" si="11"/>
        <v>#REF!</v>
      </c>
    </row>
    <row r="8" spans="1:36" ht="14.4" x14ac:dyDescent="0.3">
      <c r="A8" s="601" t="s">
        <v>1</v>
      </c>
      <c r="B8" s="617" t="e">
        <f>VLOOKUP(VLOOKUP(A8,$A$82:$B$105,2,0),'Gestion final Araba 2018'!$B$72:$M$95,2,0)</f>
        <v>#REF!</v>
      </c>
      <c r="C8" s="615" t="e">
        <f>#REF!</f>
        <v>#REF!</v>
      </c>
      <c r="D8" s="618" t="str">
        <f t="shared" si="0"/>
        <v/>
      </c>
      <c r="E8" s="619" t="e">
        <f>VLOOKUP(VLOOKUP(A8,$A$82:$B$105,2,0),'Gestion final Araba 2018'!$B$72:$M$95,3,0)</f>
        <v>#REF!</v>
      </c>
      <c r="F8" s="620" t="e">
        <f>+#REF!</f>
        <v>#REF!</v>
      </c>
      <c r="G8" s="621" t="str">
        <f t="shared" si="1"/>
        <v/>
      </c>
      <c r="H8" s="617" t="e">
        <f>VLOOKUP(VLOOKUP(A8,$A$82:$B$105,2,0),'Gestion final Araba 2018'!$B$72:$M$95,4,0)</f>
        <v>#REF!</v>
      </c>
      <c r="I8" s="615" t="e">
        <f>+#REF!</f>
        <v>#REF!</v>
      </c>
      <c r="J8" s="622" t="str">
        <f t="shared" si="2"/>
        <v/>
      </c>
      <c r="K8" s="623" t="e">
        <f>VLOOKUP(VLOOKUP(A8,$A$82:$B$105,2,0),'Gestion final Araba 2018'!$B$72:$M$95,5,0)</f>
        <v>#REF!</v>
      </c>
      <c r="L8" s="624" t="e">
        <f>+#REF!</f>
        <v>#REF!</v>
      </c>
      <c r="M8" s="621" t="str">
        <f t="shared" si="3"/>
        <v/>
      </c>
      <c r="N8" s="617">
        <f>VLOOKUP(VLOOKUP(A8,$A$82:$B$105,2,0),'Gestion final Araba 2018'!$B$72:$M$95,6,0)</f>
        <v>0</v>
      </c>
      <c r="O8" s="615" t="e">
        <f>+#REF!</f>
        <v>#REF!</v>
      </c>
      <c r="P8" s="618" t="str">
        <f t="shared" si="4"/>
        <v/>
      </c>
      <c r="Q8" s="625" t="e">
        <f>VLOOKUP(VLOOKUP(A8,$A$82:$B$105,2,0),'Gestion final Araba 2018'!$B$72:$M$95,7,0)</f>
        <v>#REF!</v>
      </c>
      <c r="R8" s="615" t="e">
        <f>+#REF!</f>
        <v>#REF!</v>
      </c>
      <c r="S8" s="621" t="str">
        <f t="shared" si="5"/>
        <v/>
      </c>
      <c r="T8" s="617">
        <f>VLOOKUP(VLOOKUP(A8,$A$82:$B$105,2,0),'Gestion final Araba 2018'!$B$72:$M$95,8,0)</f>
        <v>0</v>
      </c>
      <c r="U8" s="615"/>
      <c r="V8" s="618" t="str">
        <f t="shared" si="6"/>
        <v/>
      </c>
      <c r="W8" s="617">
        <f>VLOOKUP(VLOOKUP(A8,$A$82:$B$105,2,0),'Gestion final Araba 2018'!$B$72:$M$95,9,0)</f>
        <v>0</v>
      </c>
      <c r="X8" s="615" t="e">
        <f>+#REF!</f>
        <v>#REF!</v>
      </c>
      <c r="Y8" s="618" t="str">
        <f t="shared" si="7"/>
        <v/>
      </c>
      <c r="Z8" s="617" t="e">
        <f>VLOOKUP(VLOOKUP(A8,$A$82:$B$105,2,0),'Gestion final Araba 2018'!$B$72:$M$95,10,0)</f>
        <v>#REF!</v>
      </c>
      <c r="AA8" s="615" t="e">
        <f>+#REF!+#REF!</f>
        <v>#REF!</v>
      </c>
      <c r="AB8" s="618" t="str">
        <f t="shared" si="8"/>
        <v/>
      </c>
      <c r="AC8" s="617" t="e">
        <f>VLOOKUP(VLOOKUP(A8,$A$82:$B$105,2,0),'Gestion final Araba 2018'!$B$72:$M$95,11,0)</f>
        <v>#REF!</v>
      </c>
      <c r="AD8" s="615" t="e">
        <f>+#REF!</f>
        <v>#REF!</v>
      </c>
      <c r="AE8" s="618" t="str">
        <f t="shared" si="9"/>
        <v/>
      </c>
      <c r="AF8" s="617">
        <f>VLOOKUP(VLOOKUP(A8,$A$82:$B$105,2,0),'Gestion final Araba 2018'!$B$72:$M$95,12,0)</f>
        <v>0</v>
      </c>
      <c r="AG8" s="615" t="e">
        <f>+#REF!</f>
        <v>#REF!</v>
      </c>
      <c r="AH8" s="618" t="str">
        <f t="shared" si="10"/>
        <v/>
      </c>
      <c r="AI8" s="626" t="e">
        <f t="shared" si="11"/>
        <v>#REF!</v>
      </c>
    </row>
    <row r="9" spans="1:36" ht="14.4" x14ac:dyDescent="0.3">
      <c r="A9" s="601" t="s">
        <v>5</v>
      </c>
      <c r="B9" s="617" t="e">
        <f>VLOOKUP(VLOOKUP(A9,$A$82:$B$105,2,0),'Gestion final Araba 2018'!$B$72:$M$95,2,0)</f>
        <v>#REF!</v>
      </c>
      <c r="C9" s="615" t="e">
        <f>#REF!</f>
        <v>#REF!</v>
      </c>
      <c r="D9" s="618" t="str">
        <f t="shared" si="0"/>
        <v/>
      </c>
      <c r="E9" s="619" t="e">
        <f>VLOOKUP(VLOOKUP(A9,$A$82:$B$105,2,0),'Gestion final Araba 2018'!$B$72:$M$95,3,0)</f>
        <v>#REF!</v>
      </c>
      <c r="F9" s="620" t="e">
        <f>+#REF!</f>
        <v>#REF!</v>
      </c>
      <c r="G9" s="621" t="str">
        <f t="shared" si="1"/>
        <v/>
      </c>
      <c r="H9" s="617">
        <f>VLOOKUP(VLOOKUP(A9,$A$82:$B$105,2,0),'Gestion final Araba 2018'!$B$72:$M$95,4,0)</f>
        <v>0</v>
      </c>
      <c r="I9" s="615" t="e">
        <f>+#REF!</f>
        <v>#REF!</v>
      </c>
      <c r="J9" s="622" t="str">
        <f t="shared" si="2"/>
        <v/>
      </c>
      <c r="K9" s="623">
        <f>VLOOKUP(VLOOKUP(A9,$A$82:$B$105,2,0),'Gestion final Araba 2018'!$B$72:$M$95,5,0)</f>
        <v>0</v>
      </c>
      <c r="L9" s="624" t="e">
        <f>+#REF!</f>
        <v>#REF!</v>
      </c>
      <c r="M9" s="621" t="str">
        <f t="shared" si="3"/>
        <v/>
      </c>
      <c r="N9" s="617" t="e">
        <f>VLOOKUP(VLOOKUP(A9,$A$82:$B$105,2,0),'Gestion final Araba 2018'!$B$72:$M$95,6,0)</f>
        <v>#REF!</v>
      </c>
      <c r="O9" s="615" t="e">
        <f>+#REF!</f>
        <v>#REF!</v>
      </c>
      <c r="P9" s="618" t="str">
        <f t="shared" si="4"/>
        <v/>
      </c>
      <c r="Q9" s="625" t="e">
        <f>VLOOKUP(VLOOKUP(A9,$A$82:$B$105,2,0),'Gestion final Araba 2018'!$B$72:$M$95,7,0)</f>
        <v>#REF!</v>
      </c>
      <c r="R9" s="615" t="e">
        <f>+#REF!</f>
        <v>#REF!</v>
      </c>
      <c r="S9" s="621" t="str">
        <f t="shared" si="5"/>
        <v/>
      </c>
      <c r="T9" s="617" t="e">
        <f>VLOOKUP(VLOOKUP(A9,$A$82:$B$105,2,0),'Gestion final Araba 2018'!$B$72:$M$95,8,0)</f>
        <v>#REF!</v>
      </c>
      <c r="U9" s="615"/>
      <c r="V9" s="618" t="str">
        <f t="shared" si="6"/>
        <v/>
      </c>
      <c r="W9" s="617" t="e">
        <f>VLOOKUP(VLOOKUP(A9,$A$82:$B$105,2,0),'Gestion final Araba 2018'!$B$72:$M$95,9,0)</f>
        <v>#REF!</v>
      </c>
      <c r="X9" s="615" t="e">
        <f>+#REF!</f>
        <v>#REF!</v>
      </c>
      <c r="Y9" s="618" t="str">
        <f t="shared" si="7"/>
        <v/>
      </c>
      <c r="Z9" s="617" t="e">
        <f>VLOOKUP(VLOOKUP(A9,$A$82:$B$105,2,0),'Gestion final Araba 2018'!$B$72:$M$95,10,0)</f>
        <v>#REF!</v>
      </c>
      <c r="AA9" s="615" t="e">
        <f>+#REF!+#REF!</f>
        <v>#REF!</v>
      </c>
      <c r="AB9" s="618" t="str">
        <f t="shared" si="8"/>
        <v/>
      </c>
      <c r="AC9" s="617" t="e">
        <f>VLOOKUP(VLOOKUP(A9,$A$82:$B$105,2,0),'Gestion final Araba 2018'!$B$72:$M$95,11,0)</f>
        <v>#REF!</v>
      </c>
      <c r="AD9" s="615" t="e">
        <f>+#REF!</f>
        <v>#REF!</v>
      </c>
      <c r="AE9" s="618" t="str">
        <f t="shared" si="9"/>
        <v/>
      </c>
      <c r="AF9" s="617" t="e">
        <f>VLOOKUP(VLOOKUP(A9,$A$82:$B$105,2,0),'Gestion final Araba 2018'!$B$72:$M$95,12,0)</f>
        <v>#REF!</v>
      </c>
      <c r="AG9" s="615" t="e">
        <f>+#REF!</f>
        <v>#REF!</v>
      </c>
      <c r="AH9" s="618" t="str">
        <f t="shared" si="10"/>
        <v/>
      </c>
      <c r="AI9" s="626" t="e">
        <f t="shared" si="11"/>
        <v>#REF!</v>
      </c>
    </row>
    <row r="10" spans="1:36" ht="14.4" x14ac:dyDescent="0.3">
      <c r="A10" s="601" t="s">
        <v>28</v>
      </c>
      <c r="B10" s="617" t="e">
        <f>VLOOKUP(VLOOKUP(A10,$A$82:$B$105,2,0),'Gestion final Araba 2018'!$B$72:$M$95,2,0)</f>
        <v>#REF!</v>
      </c>
      <c r="C10" s="615" t="e">
        <f>#REF!</f>
        <v>#REF!</v>
      </c>
      <c r="D10" s="618" t="str">
        <f t="shared" si="0"/>
        <v/>
      </c>
      <c r="E10" s="619" t="e">
        <f>VLOOKUP(VLOOKUP(A10,$A$82:$B$105,2,0),'Gestion final Araba 2018'!$B$72:$M$95,3,0)</f>
        <v>#REF!</v>
      </c>
      <c r="F10" s="620" t="e">
        <f>+#REF!</f>
        <v>#REF!</v>
      </c>
      <c r="G10" s="621" t="str">
        <f t="shared" si="1"/>
        <v/>
      </c>
      <c r="H10" s="617">
        <f>VLOOKUP(VLOOKUP(A10,$A$82:$B$105,2,0),'Gestion final Araba 2018'!$B$72:$M$95,4,0)</f>
        <v>0</v>
      </c>
      <c r="I10" s="615" t="e">
        <f>+#REF!</f>
        <v>#REF!</v>
      </c>
      <c r="J10" s="622" t="str">
        <f t="shared" si="2"/>
        <v/>
      </c>
      <c r="K10" s="623" t="e">
        <f>VLOOKUP(VLOOKUP(A10,$A$82:$B$105,2,0),'Gestion final Araba 2018'!$B$72:$M$95,5,0)</f>
        <v>#REF!</v>
      </c>
      <c r="L10" s="624" t="e">
        <f>+#REF!</f>
        <v>#REF!</v>
      </c>
      <c r="M10" s="621" t="str">
        <f t="shared" si="3"/>
        <v/>
      </c>
      <c r="N10" s="617">
        <f>VLOOKUP(VLOOKUP(A10,$A$82:$B$105,2,0),'Gestion final Araba 2018'!$B$72:$M$95,6,0)</f>
        <v>0</v>
      </c>
      <c r="O10" s="615" t="e">
        <f>+#REF!</f>
        <v>#REF!</v>
      </c>
      <c r="P10" s="618" t="str">
        <f t="shared" si="4"/>
        <v/>
      </c>
      <c r="Q10" s="625">
        <f>VLOOKUP(VLOOKUP(A10,$A$82:$B$105,2,0),'Gestion final Araba 2018'!$B$72:$M$95,7,0)</f>
        <v>0</v>
      </c>
      <c r="R10" s="615" t="e">
        <f>+#REF!</f>
        <v>#REF!</v>
      </c>
      <c r="S10" s="621" t="str">
        <f t="shared" si="5"/>
        <v/>
      </c>
      <c r="T10" s="617">
        <f>VLOOKUP(VLOOKUP(A10,$A$82:$B$105,2,0),'Gestion final Araba 2018'!$B$72:$M$95,8,0)</f>
        <v>0</v>
      </c>
      <c r="U10" s="615"/>
      <c r="V10" s="618" t="str">
        <f t="shared" si="6"/>
        <v/>
      </c>
      <c r="W10" s="617">
        <f>VLOOKUP(VLOOKUP(A10,$A$82:$B$105,2,0),'Gestion final Araba 2018'!$B$72:$M$95,9,0)</f>
        <v>0</v>
      </c>
      <c r="X10" s="615" t="e">
        <f>+#REF!</f>
        <v>#REF!</v>
      </c>
      <c r="Y10" s="618" t="str">
        <f t="shared" si="7"/>
        <v/>
      </c>
      <c r="Z10" s="617" t="e">
        <f>VLOOKUP(VLOOKUP(A10,$A$82:$B$105,2,0),'Gestion final Araba 2018'!$B$72:$M$95,10,0)</f>
        <v>#REF!</v>
      </c>
      <c r="AA10" s="615" t="e">
        <f>+#REF!+#REF!</f>
        <v>#REF!</v>
      </c>
      <c r="AB10" s="618" t="str">
        <f t="shared" si="8"/>
        <v/>
      </c>
      <c r="AC10" s="617" t="e">
        <f>VLOOKUP(VLOOKUP(A10,$A$82:$B$105,2,0),'Gestion final Araba 2018'!$B$72:$M$95,11,0)</f>
        <v>#REF!</v>
      </c>
      <c r="AD10" s="615" t="e">
        <f>+#REF!</f>
        <v>#REF!</v>
      </c>
      <c r="AE10" s="618" t="str">
        <f t="shared" si="9"/>
        <v/>
      </c>
      <c r="AF10" s="617">
        <f>VLOOKUP(VLOOKUP(A10,$A$82:$B$105,2,0),'Gestion final Araba 2018'!$B$72:$M$95,12,0)</f>
        <v>0</v>
      </c>
      <c r="AG10" s="615" t="e">
        <f>+#REF!</f>
        <v>#REF!</v>
      </c>
      <c r="AH10" s="618" t="str">
        <f t="shared" si="10"/>
        <v/>
      </c>
      <c r="AI10" s="626" t="e">
        <f t="shared" si="11"/>
        <v>#REF!</v>
      </c>
    </row>
    <row r="11" spans="1:36" ht="14.4" x14ac:dyDescent="0.3">
      <c r="A11" s="627" t="s">
        <v>17</v>
      </c>
      <c r="B11" s="617" t="e">
        <f>VLOOKUP(VLOOKUP(A11,$A$82:$B$105,2,0),'Gestion final Araba 2018'!$B$72:$M$95,2,0)</f>
        <v>#REF!</v>
      </c>
      <c r="C11" s="615" t="e">
        <f>#REF!</f>
        <v>#REF!</v>
      </c>
      <c r="D11" s="618" t="str">
        <f t="shared" si="0"/>
        <v/>
      </c>
      <c r="E11" s="619" t="e">
        <f>VLOOKUP(VLOOKUP(A11,$A$82:$B$105,2,0),'Gestion final Araba 2018'!$B$72:$M$95,3,0)</f>
        <v>#REF!</v>
      </c>
      <c r="F11" s="620" t="e">
        <f>+#REF!</f>
        <v>#REF!</v>
      </c>
      <c r="G11" s="621" t="str">
        <f t="shared" si="1"/>
        <v/>
      </c>
      <c r="H11" s="617">
        <f>VLOOKUP(VLOOKUP(A11,$A$82:$B$105,2,0),'Gestion final Araba 2018'!$B$72:$M$95,4,0)</f>
        <v>0</v>
      </c>
      <c r="I11" s="615" t="e">
        <f>+#REF!</f>
        <v>#REF!</v>
      </c>
      <c r="J11" s="622" t="str">
        <f t="shared" si="2"/>
        <v/>
      </c>
      <c r="K11" s="623" t="e">
        <f>VLOOKUP(VLOOKUP(A11,$A$82:$B$105,2,0),'Gestion final Araba 2018'!$B$72:$M$95,5,0)</f>
        <v>#REF!</v>
      </c>
      <c r="L11" s="624" t="e">
        <f>+#REF!</f>
        <v>#REF!</v>
      </c>
      <c r="M11" s="621" t="str">
        <f t="shared" si="3"/>
        <v/>
      </c>
      <c r="N11" s="617">
        <f>VLOOKUP(VLOOKUP(A11,$A$82:$B$105,2,0),'Gestion final Araba 2018'!$B$72:$M$95,6,0)</f>
        <v>0</v>
      </c>
      <c r="O11" s="615" t="e">
        <f>+#REF!</f>
        <v>#REF!</v>
      </c>
      <c r="P11" s="618" t="str">
        <f t="shared" si="4"/>
        <v/>
      </c>
      <c r="Q11" s="625">
        <f>VLOOKUP(VLOOKUP(A11,$A$82:$B$105,2,0),'Gestion final Araba 2018'!$B$72:$M$95,7,0)</f>
        <v>0</v>
      </c>
      <c r="R11" s="615" t="e">
        <f>+#REF!</f>
        <v>#REF!</v>
      </c>
      <c r="S11" s="621" t="str">
        <f t="shared" si="5"/>
        <v/>
      </c>
      <c r="T11" s="617">
        <f>VLOOKUP(VLOOKUP(A11,$A$82:$B$105,2,0),'Gestion final Araba 2018'!$B$72:$M$95,8,0)</f>
        <v>0</v>
      </c>
      <c r="U11" s="615"/>
      <c r="V11" s="618" t="str">
        <f t="shared" si="6"/>
        <v/>
      </c>
      <c r="W11" s="617">
        <f>VLOOKUP(VLOOKUP(A11,$A$82:$B$105,2,0),'Gestion final Araba 2018'!$B$72:$M$95,9,0)</f>
        <v>0</v>
      </c>
      <c r="X11" s="615" t="e">
        <f>+#REF!</f>
        <v>#REF!</v>
      </c>
      <c r="Y11" s="618" t="str">
        <f t="shared" si="7"/>
        <v/>
      </c>
      <c r="Z11" s="617" t="e">
        <f>VLOOKUP(VLOOKUP(A11,$A$82:$B$105,2,0),'Gestion final Araba 2018'!$B$72:$M$95,10,0)</f>
        <v>#REF!</v>
      </c>
      <c r="AA11" s="615" t="e">
        <f>+#REF!+#REF!</f>
        <v>#REF!</v>
      </c>
      <c r="AB11" s="618" t="str">
        <f t="shared" si="8"/>
        <v/>
      </c>
      <c r="AC11" s="617" t="e">
        <f>VLOOKUP(VLOOKUP(A11,$A$82:$B$105,2,0),'Gestion final Araba 2018'!$B$72:$M$95,11,0)</f>
        <v>#REF!</v>
      </c>
      <c r="AD11" s="615" t="e">
        <f>+#REF!</f>
        <v>#REF!</v>
      </c>
      <c r="AE11" s="618" t="str">
        <f t="shared" si="9"/>
        <v/>
      </c>
      <c r="AF11" s="617">
        <f>VLOOKUP(VLOOKUP(A11,$A$82:$B$105,2,0),'Gestion final Araba 2018'!$B$72:$M$95,12,0)</f>
        <v>0</v>
      </c>
      <c r="AG11" s="615" t="e">
        <f>+#REF!</f>
        <v>#REF!</v>
      </c>
      <c r="AH11" s="618" t="str">
        <f t="shared" si="10"/>
        <v/>
      </c>
      <c r="AI11" s="626" t="e">
        <f t="shared" si="11"/>
        <v>#REF!</v>
      </c>
    </row>
    <row r="12" spans="1:36" ht="14.4" x14ac:dyDescent="0.3">
      <c r="A12" s="601" t="s">
        <v>29</v>
      </c>
      <c r="B12" s="617" t="e">
        <f>VLOOKUP(VLOOKUP(A12,$A$82:$B$105,2,0),'Gestion final Araba 2018'!$B$72:$M$95,2,0)</f>
        <v>#REF!</v>
      </c>
      <c r="C12" s="615" t="e">
        <f>#REF!</f>
        <v>#REF!</v>
      </c>
      <c r="D12" s="618" t="str">
        <f t="shared" si="0"/>
        <v/>
      </c>
      <c r="E12" s="619" t="e">
        <f>VLOOKUP(VLOOKUP(A12,$A$82:$B$105,2,0),'Gestion final Araba 2018'!$B$72:$M$95,3,0)</f>
        <v>#REF!</v>
      </c>
      <c r="F12" s="620" t="e">
        <f>+#REF!</f>
        <v>#REF!</v>
      </c>
      <c r="G12" s="621" t="str">
        <f t="shared" si="1"/>
        <v/>
      </c>
      <c r="H12" s="617">
        <f>VLOOKUP(VLOOKUP(A12,$A$82:$B$105,2,0),'Gestion final Araba 2018'!$B$72:$M$95,4,0)</f>
        <v>0</v>
      </c>
      <c r="I12" s="615" t="e">
        <f>+#REF!</f>
        <v>#REF!</v>
      </c>
      <c r="J12" s="622" t="str">
        <f t="shared" si="2"/>
        <v/>
      </c>
      <c r="K12" s="623" t="e">
        <f>VLOOKUP(VLOOKUP(A12,$A$82:$B$105,2,0),'Gestion final Araba 2018'!$B$72:$M$95,5,0)</f>
        <v>#REF!</v>
      </c>
      <c r="L12" s="624" t="e">
        <f>+#REF!</f>
        <v>#REF!</v>
      </c>
      <c r="M12" s="621" t="str">
        <f t="shared" si="3"/>
        <v/>
      </c>
      <c r="N12" s="617">
        <f>VLOOKUP(VLOOKUP(A12,$A$82:$B$105,2,0),'Gestion final Araba 2018'!$B$72:$M$95,6,0)</f>
        <v>0</v>
      </c>
      <c r="O12" s="615" t="e">
        <f>+#REF!</f>
        <v>#REF!</v>
      </c>
      <c r="P12" s="618" t="str">
        <f t="shared" si="4"/>
        <v/>
      </c>
      <c r="Q12" s="625" t="e">
        <f>VLOOKUP(VLOOKUP(A12,$A$82:$B$105,2,0),'Gestion final Araba 2018'!$B$72:$M$95,7,0)</f>
        <v>#REF!</v>
      </c>
      <c r="R12" s="615" t="e">
        <f>+#REF!</f>
        <v>#REF!</v>
      </c>
      <c r="S12" s="621" t="str">
        <f t="shared" si="5"/>
        <v/>
      </c>
      <c r="T12" s="617">
        <f>VLOOKUP(VLOOKUP(A12,$A$82:$B$105,2,0),'Gestion final Araba 2018'!$B$72:$M$95,8,0)</f>
        <v>0</v>
      </c>
      <c r="U12" s="615"/>
      <c r="V12" s="618" t="str">
        <f t="shared" si="6"/>
        <v/>
      </c>
      <c r="W12" s="617">
        <f>VLOOKUP(VLOOKUP(A12,$A$82:$B$105,2,0),'Gestion final Araba 2018'!$B$72:$M$95,9,0)</f>
        <v>0</v>
      </c>
      <c r="X12" s="615" t="e">
        <f>+#REF!</f>
        <v>#REF!</v>
      </c>
      <c r="Y12" s="618" t="str">
        <f t="shared" si="7"/>
        <v/>
      </c>
      <c r="Z12" s="617" t="e">
        <f>VLOOKUP(VLOOKUP(A12,$A$82:$B$105,2,0),'Gestion final Araba 2018'!$B$72:$M$95,10,0)</f>
        <v>#REF!</v>
      </c>
      <c r="AA12" s="615" t="e">
        <f>+#REF!+#REF!</f>
        <v>#REF!</v>
      </c>
      <c r="AB12" s="618" t="str">
        <f t="shared" si="8"/>
        <v/>
      </c>
      <c r="AC12" s="617" t="e">
        <f>VLOOKUP(VLOOKUP(A12,$A$82:$B$105,2,0),'Gestion final Araba 2018'!$B$72:$M$95,11,0)</f>
        <v>#REF!</v>
      </c>
      <c r="AD12" s="615" t="e">
        <f>+#REF!</f>
        <v>#REF!</v>
      </c>
      <c r="AE12" s="618" t="str">
        <f t="shared" si="9"/>
        <v/>
      </c>
      <c r="AF12" s="617">
        <f>VLOOKUP(VLOOKUP(A12,$A$82:$B$105,2,0),'Gestion final Araba 2018'!$B$72:$M$95,12,0)</f>
        <v>0</v>
      </c>
      <c r="AG12" s="615" t="e">
        <f>+#REF!</f>
        <v>#REF!</v>
      </c>
      <c r="AH12" s="618" t="str">
        <f t="shared" si="10"/>
        <v/>
      </c>
      <c r="AI12" s="626" t="e">
        <f t="shared" si="11"/>
        <v>#REF!</v>
      </c>
    </row>
    <row r="13" spans="1:36" ht="14.4" x14ac:dyDescent="0.3">
      <c r="A13" s="601" t="s">
        <v>42</v>
      </c>
      <c r="B13" s="617" t="e">
        <f>VLOOKUP(VLOOKUP(A13,$A$82:$B$105,2,0),'Gestion final Araba 2018'!$B$72:$M$95,2,0)</f>
        <v>#REF!</v>
      </c>
      <c r="C13" s="615" t="e">
        <f>#REF!</f>
        <v>#REF!</v>
      </c>
      <c r="D13" s="618" t="str">
        <f t="shared" si="0"/>
        <v/>
      </c>
      <c r="E13" s="619" t="e">
        <f>VLOOKUP(VLOOKUP(A13,$A$82:$B$105,2,0),'Gestion final Araba 2018'!$B$72:$M$95,3,0)</f>
        <v>#REF!</v>
      </c>
      <c r="F13" s="620" t="e">
        <f>+#REF!</f>
        <v>#REF!</v>
      </c>
      <c r="G13" s="621" t="str">
        <f t="shared" si="1"/>
        <v/>
      </c>
      <c r="H13" s="617">
        <f>VLOOKUP(VLOOKUP(A13,$A$82:$B$105,2,0),'Gestion final Araba 2018'!$B$72:$M$95,4,0)</f>
        <v>0</v>
      </c>
      <c r="I13" s="615" t="e">
        <f>+#REF!</f>
        <v>#REF!</v>
      </c>
      <c r="J13" s="622" t="str">
        <f t="shared" si="2"/>
        <v/>
      </c>
      <c r="K13" s="623" t="e">
        <f>VLOOKUP(VLOOKUP(A13,$A$82:$B$105,2,0),'Gestion final Araba 2018'!$B$72:$M$95,5,0)</f>
        <v>#REF!</v>
      </c>
      <c r="L13" s="624" t="e">
        <f>+#REF!</f>
        <v>#REF!</v>
      </c>
      <c r="M13" s="621" t="str">
        <f t="shared" si="3"/>
        <v/>
      </c>
      <c r="N13" s="617">
        <f>VLOOKUP(VLOOKUP(A13,$A$82:$B$105,2,0),'Gestion final Araba 2018'!$B$72:$M$95,6,0)</f>
        <v>0</v>
      </c>
      <c r="O13" s="615" t="e">
        <f>+#REF!</f>
        <v>#REF!</v>
      </c>
      <c r="P13" s="618" t="str">
        <f t="shared" si="4"/>
        <v/>
      </c>
      <c r="Q13" s="625" t="e">
        <f>VLOOKUP(VLOOKUP(A13,$A$82:$B$105,2,0),'Gestion final Araba 2018'!$B$72:$M$95,7,0)</f>
        <v>#REF!</v>
      </c>
      <c r="R13" s="615" t="e">
        <f>+#REF!</f>
        <v>#REF!</v>
      </c>
      <c r="S13" s="621" t="str">
        <f t="shared" si="5"/>
        <v/>
      </c>
      <c r="T13" s="617">
        <f>VLOOKUP(VLOOKUP(A13,$A$82:$B$105,2,0),'Gestion final Araba 2018'!$B$72:$M$95,8,0)</f>
        <v>0</v>
      </c>
      <c r="U13" s="615"/>
      <c r="V13" s="618" t="str">
        <f t="shared" si="6"/>
        <v/>
      </c>
      <c r="W13" s="617">
        <f>VLOOKUP(VLOOKUP(A13,$A$82:$B$105,2,0),'Gestion final Araba 2018'!$B$72:$M$95,9,0)</f>
        <v>0</v>
      </c>
      <c r="X13" s="615" t="e">
        <f>+#REF!</f>
        <v>#REF!</v>
      </c>
      <c r="Y13" s="618" t="str">
        <f t="shared" si="7"/>
        <v/>
      </c>
      <c r="Z13" s="617" t="e">
        <f>VLOOKUP(VLOOKUP(A13,$A$82:$B$105,2,0),'Gestion final Araba 2018'!$B$72:$M$95,10,0)</f>
        <v>#REF!</v>
      </c>
      <c r="AA13" s="615" t="e">
        <f>+#REF!+#REF!</f>
        <v>#REF!</v>
      </c>
      <c r="AB13" s="618" t="str">
        <f t="shared" si="8"/>
        <v/>
      </c>
      <c r="AC13" s="617" t="e">
        <f>VLOOKUP(VLOOKUP(A13,$A$82:$B$105,2,0),'Gestion final Araba 2018'!$B$72:$M$95,11,0)</f>
        <v>#REF!</v>
      </c>
      <c r="AD13" s="615" t="e">
        <f>+#REF!</f>
        <v>#REF!</v>
      </c>
      <c r="AE13" s="618" t="str">
        <f t="shared" si="9"/>
        <v/>
      </c>
      <c r="AF13" s="617">
        <f>VLOOKUP(VLOOKUP(A13,$A$82:$B$105,2,0),'Gestion final Araba 2018'!$B$72:$M$95,12,0)</f>
        <v>0</v>
      </c>
      <c r="AG13" s="615" t="e">
        <f>+#REF!</f>
        <v>#REF!</v>
      </c>
      <c r="AH13" s="618" t="str">
        <f t="shared" si="10"/>
        <v/>
      </c>
      <c r="AI13" s="626" t="e">
        <f t="shared" si="11"/>
        <v>#REF!</v>
      </c>
    </row>
    <row r="14" spans="1:36" ht="14.4" x14ac:dyDescent="0.3">
      <c r="A14" s="601" t="s">
        <v>57</v>
      </c>
      <c r="B14" s="617" t="e">
        <f>VLOOKUP(VLOOKUP(A14,$A$82:$B$105,2,0),'Gestion final Araba 2018'!$B$72:$M$95,2,0)</f>
        <v>#REF!</v>
      </c>
      <c r="C14" s="615" t="e">
        <f>#REF!</f>
        <v>#REF!</v>
      </c>
      <c r="D14" s="618" t="str">
        <f t="shared" si="0"/>
        <v/>
      </c>
      <c r="E14" s="619" t="e">
        <f>VLOOKUP(VLOOKUP(A14,$A$82:$B$105,2,0),'Gestion final Araba 2018'!$B$72:$M$95,3,0)</f>
        <v>#REF!</v>
      </c>
      <c r="F14" s="620" t="e">
        <f>+#REF!</f>
        <v>#REF!</v>
      </c>
      <c r="G14" s="621" t="str">
        <f t="shared" si="1"/>
        <v/>
      </c>
      <c r="H14" s="617" t="e">
        <f>VLOOKUP(VLOOKUP(A14,$A$82:$B$105,2,0),'Gestion final Araba 2018'!$B$72:$M$95,4,0)</f>
        <v>#REF!</v>
      </c>
      <c r="I14" s="615" t="e">
        <f>+#REF!</f>
        <v>#REF!</v>
      </c>
      <c r="J14" s="622" t="str">
        <f t="shared" si="2"/>
        <v/>
      </c>
      <c r="K14" s="623" t="e">
        <f>VLOOKUP(VLOOKUP(A14,$A$82:$B$105,2,0),'Gestion final Araba 2018'!$B$72:$M$95,5,0)</f>
        <v>#REF!</v>
      </c>
      <c r="L14" s="624" t="e">
        <f>+#REF!</f>
        <v>#REF!</v>
      </c>
      <c r="M14" s="621" t="str">
        <f t="shared" si="3"/>
        <v/>
      </c>
      <c r="N14" s="617">
        <f>VLOOKUP(VLOOKUP(A14,$A$82:$B$105,2,0),'Gestion final Araba 2018'!$B$72:$M$95,6,0)</f>
        <v>0</v>
      </c>
      <c r="O14" s="615" t="e">
        <f>+#REF!</f>
        <v>#REF!</v>
      </c>
      <c r="P14" s="618" t="str">
        <f t="shared" si="4"/>
        <v/>
      </c>
      <c r="Q14" s="625" t="e">
        <f>VLOOKUP(VLOOKUP(A14,$A$82:$B$105,2,0),'Gestion final Araba 2018'!$B$72:$M$95,7,0)</f>
        <v>#REF!</v>
      </c>
      <c r="R14" s="615" t="e">
        <f>+#REF!</f>
        <v>#REF!</v>
      </c>
      <c r="S14" s="621" t="str">
        <f t="shared" si="5"/>
        <v/>
      </c>
      <c r="T14" s="617">
        <f>VLOOKUP(VLOOKUP(A14,$A$82:$B$105,2,0),'Gestion final Araba 2018'!$B$72:$M$95,8,0)</f>
        <v>0</v>
      </c>
      <c r="U14" s="615"/>
      <c r="V14" s="618" t="str">
        <f t="shared" si="6"/>
        <v/>
      </c>
      <c r="W14" s="617">
        <f>VLOOKUP(VLOOKUP(A14,$A$82:$B$105,2,0),'Gestion final Araba 2018'!$B$72:$M$95,9,0)</f>
        <v>0</v>
      </c>
      <c r="X14" s="615" t="e">
        <f>+#REF!</f>
        <v>#REF!</v>
      </c>
      <c r="Y14" s="618" t="str">
        <f t="shared" si="7"/>
        <v/>
      </c>
      <c r="Z14" s="617" t="e">
        <f>VLOOKUP(VLOOKUP(A14,$A$82:$B$105,2,0),'Gestion final Araba 2018'!$B$72:$M$95,10,0)</f>
        <v>#REF!</v>
      </c>
      <c r="AA14" s="615" t="e">
        <f>+#REF!+#REF!</f>
        <v>#REF!</v>
      </c>
      <c r="AB14" s="618" t="str">
        <f t="shared" si="8"/>
        <v/>
      </c>
      <c r="AC14" s="617" t="e">
        <f>VLOOKUP(VLOOKUP(A14,$A$82:$B$105,2,0),'Gestion final Araba 2018'!$B$72:$M$95,11,0)</f>
        <v>#REF!</v>
      </c>
      <c r="AD14" s="615" t="e">
        <f>+#REF!</f>
        <v>#REF!</v>
      </c>
      <c r="AE14" s="618" t="str">
        <f t="shared" si="9"/>
        <v/>
      </c>
      <c r="AF14" s="617">
        <f>VLOOKUP(VLOOKUP(A14,$A$82:$B$105,2,0),'Gestion final Araba 2018'!$B$72:$M$95,12,0)</f>
        <v>0</v>
      </c>
      <c r="AG14" s="615" t="e">
        <f>+#REF!</f>
        <v>#REF!</v>
      </c>
      <c r="AH14" s="618" t="str">
        <f t="shared" si="10"/>
        <v/>
      </c>
      <c r="AI14" s="626" t="e">
        <f t="shared" si="11"/>
        <v>#REF!</v>
      </c>
    </row>
    <row r="15" spans="1:36" ht="14.4" x14ac:dyDescent="0.3">
      <c r="A15" s="601" t="s">
        <v>35</v>
      </c>
      <c r="B15" s="617" t="e">
        <f>VLOOKUP(VLOOKUP(A15,$A$82:$B$105,2,0),'Gestion final Araba 2018'!$B$72:$M$95,2,0)</f>
        <v>#REF!</v>
      </c>
      <c r="C15" s="615" t="e">
        <f>#REF!</f>
        <v>#REF!</v>
      </c>
      <c r="D15" s="618" t="str">
        <f t="shared" si="0"/>
        <v/>
      </c>
      <c r="E15" s="619" t="e">
        <f>VLOOKUP(VLOOKUP(A15,$A$82:$B$105,2,0),'Gestion final Araba 2018'!$B$72:$M$95,3,0)</f>
        <v>#REF!</v>
      </c>
      <c r="F15" s="620" t="e">
        <f>+#REF!</f>
        <v>#REF!</v>
      </c>
      <c r="G15" s="621" t="str">
        <f t="shared" si="1"/>
        <v/>
      </c>
      <c r="H15" s="617" t="e">
        <f>VLOOKUP(VLOOKUP(A15,$A$82:$B$105,2,0),'Gestion final Araba 2018'!$B$72:$M$95,4,0)</f>
        <v>#REF!</v>
      </c>
      <c r="I15" s="615" t="e">
        <f>+#REF!</f>
        <v>#REF!</v>
      </c>
      <c r="J15" s="622" t="str">
        <f t="shared" si="2"/>
        <v/>
      </c>
      <c r="K15" s="623" t="e">
        <f>VLOOKUP(VLOOKUP(A15,$A$82:$B$105,2,0),'Gestion final Araba 2018'!$B$72:$M$95,5,0)</f>
        <v>#REF!</v>
      </c>
      <c r="L15" s="624" t="e">
        <f>+#REF!</f>
        <v>#REF!</v>
      </c>
      <c r="M15" s="621" t="str">
        <f t="shared" si="3"/>
        <v/>
      </c>
      <c r="N15" s="617">
        <f>VLOOKUP(VLOOKUP(A15,$A$82:$B$105,2,0),'Gestion final Araba 2018'!$B$72:$M$95,6,0)</f>
        <v>0</v>
      </c>
      <c r="O15" s="615" t="e">
        <f>+#REF!</f>
        <v>#REF!</v>
      </c>
      <c r="P15" s="618" t="str">
        <f t="shared" si="4"/>
        <v/>
      </c>
      <c r="Q15" s="625" t="e">
        <f>VLOOKUP(VLOOKUP(A15,$A$82:$B$105,2,0),'Gestion final Araba 2018'!$B$72:$M$95,7,0)</f>
        <v>#REF!</v>
      </c>
      <c r="R15" s="615" t="e">
        <f>+#REF!</f>
        <v>#REF!</v>
      </c>
      <c r="S15" s="621" t="str">
        <f t="shared" si="5"/>
        <v/>
      </c>
      <c r="T15" s="617">
        <f>VLOOKUP(VLOOKUP(A15,$A$82:$B$105,2,0),'Gestion final Araba 2018'!$B$72:$M$95,8,0)</f>
        <v>0</v>
      </c>
      <c r="U15" s="615"/>
      <c r="V15" s="618" t="str">
        <f t="shared" si="6"/>
        <v/>
      </c>
      <c r="W15" s="617">
        <f>VLOOKUP(VLOOKUP(A15,$A$82:$B$105,2,0),'Gestion final Araba 2018'!$B$72:$M$95,9,0)</f>
        <v>0</v>
      </c>
      <c r="X15" s="615" t="e">
        <f>+#REF!</f>
        <v>#REF!</v>
      </c>
      <c r="Y15" s="618" t="str">
        <f t="shared" si="7"/>
        <v/>
      </c>
      <c r="Z15" s="617" t="e">
        <f>VLOOKUP(VLOOKUP(A15,$A$82:$B$105,2,0),'Gestion final Araba 2018'!$B$72:$M$95,10,0)</f>
        <v>#REF!</v>
      </c>
      <c r="AA15" s="615" t="e">
        <f>+#REF!+#REF!</f>
        <v>#REF!</v>
      </c>
      <c r="AB15" s="618" t="str">
        <f t="shared" si="8"/>
        <v/>
      </c>
      <c r="AC15" s="617" t="e">
        <f>VLOOKUP(VLOOKUP(A15,$A$82:$B$105,2,0),'Gestion final Araba 2018'!$B$72:$M$95,11,0)</f>
        <v>#REF!</v>
      </c>
      <c r="AD15" s="615" t="e">
        <f>+#REF!</f>
        <v>#REF!</v>
      </c>
      <c r="AE15" s="618" t="str">
        <f t="shared" si="9"/>
        <v/>
      </c>
      <c r="AF15" s="617">
        <f>VLOOKUP(VLOOKUP(A15,$A$82:$B$105,2,0),'Gestion final Araba 2018'!$B$72:$M$95,12,0)</f>
        <v>0</v>
      </c>
      <c r="AG15" s="615" t="e">
        <f>+#REF!</f>
        <v>#REF!</v>
      </c>
      <c r="AH15" s="618" t="str">
        <f t="shared" si="10"/>
        <v/>
      </c>
      <c r="AI15" s="626" t="e">
        <f t="shared" si="11"/>
        <v>#REF!</v>
      </c>
    </row>
    <row r="16" spans="1:36" ht="14.4" x14ac:dyDescent="0.3">
      <c r="A16" s="601" t="s">
        <v>67</v>
      </c>
      <c r="B16" s="617" t="e">
        <f>VLOOKUP(VLOOKUP(A16,$A$82:$B$105,2,0),'Gestion final Araba 2018'!$B$72:$M$95,2,0)</f>
        <v>#REF!</v>
      </c>
      <c r="C16" s="615" t="e">
        <f>#REF!</f>
        <v>#REF!</v>
      </c>
      <c r="D16" s="618" t="str">
        <f t="shared" si="0"/>
        <v/>
      </c>
      <c r="E16" s="619" t="e">
        <f>VLOOKUP(VLOOKUP(A16,$A$82:$B$105,2,0),'Gestion final Araba 2018'!$B$72:$M$95,3,0)</f>
        <v>#REF!</v>
      </c>
      <c r="F16" s="620" t="e">
        <f>+#REF!</f>
        <v>#REF!</v>
      </c>
      <c r="G16" s="621" t="str">
        <f t="shared" si="1"/>
        <v/>
      </c>
      <c r="H16" s="617" t="e">
        <f>VLOOKUP(VLOOKUP(A16,$A$82:$B$105,2,0),'Gestion final Araba 2018'!$B$72:$M$95,4,0)</f>
        <v>#REF!</v>
      </c>
      <c r="I16" s="615" t="e">
        <f>+#REF!</f>
        <v>#REF!</v>
      </c>
      <c r="J16" s="622" t="str">
        <f t="shared" si="2"/>
        <v/>
      </c>
      <c r="K16" s="623" t="e">
        <f>VLOOKUP(VLOOKUP(A16,$A$82:$B$105,2,0),'Gestion final Araba 2018'!$B$72:$M$95,5,0)</f>
        <v>#REF!</v>
      </c>
      <c r="L16" s="624" t="e">
        <f>+#REF!</f>
        <v>#REF!</v>
      </c>
      <c r="M16" s="621" t="str">
        <f t="shared" si="3"/>
        <v/>
      </c>
      <c r="N16" s="617">
        <f>VLOOKUP(VLOOKUP(A16,$A$82:$B$105,2,0),'Gestion final Araba 2018'!$B$72:$M$95,6,0)</f>
        <v>0</v>
      </c>
      <c r="O16" s="615" t="e">
        <f>+#REF!</f>
        <v>#REF!</v>
      </c>
      <c r="P16" s="618" t="str">
        <f t="shared" si="4"/>
        <v/>
      </c>
      <c r="Q16" s="625" t="e">
        <f>VLOOKUP(VLOOKUP(A16,$A$82:$B$105,2,0),'Gestion final Araba 2018'!$B$72:$M$95,7,0)</f>
        <v>#REF!</v>
      </c>
      <c r="R16" s="615" t="e">
        <f>+#REF!</f>
        <v>#REF!</v>
      </c>
      <c r="S16" s="621" t="str">
        <f t="shared" si="5"/>
        <v/>
      </c>
      <c r="T16" s="617">
        <f>VLOOKUP(VLOOKUP(A16,$A$82:$B$105,2,0),'Gestion final Araba 2018'!$B$72:$M$95,8,0)</f>
        <v>0</v>
      </c>
      <c r="U16" s="615"/>
      <c r="V16" s="618" t="str">
        <f t="shared" si="6"/>
        <v/>
      </c>
      <c r="W16" s="617">
        <f>VLOOKUP(VLOOKUP(A16,$A$82:$B$105,2,0),'Gestion final Araba 2018'!$B$72:$M$95,9,0)</f>
        <v>0</v>
      </c>
      <c r="X16" s="615" t="e">
        <f>+#REF!</f>
        <v>#REF!</v>
      </c>
      <c r="Y16" s="618" t="str">
        <f t="shared" si="7"/>
        <v/>
      </c>
      <c r="Z16" s="617">
        <f>VLOOKUP(VLOOKUP(A16,$A$82:$B$105,2,0),'Gestion final Araba 2018'!$B$72:$M$95,10,0)</f>
        <v>0</v>
      </c>
      <c r="AA16" s="615" t="e">
        <f>+#REF!+#REF!</f>
        <v>#REF!</v>
      </c>
      <c r="AB16" s="618" t="str">
        <f t="shared" si="8"/>
        <v/>
      </c>
      <c r="AC16" s="617">
        <f>VLOOKUP(VLOOKUP(A16,$A$82:$B$105,2,0),'Gestion final Araba 2018'!$B$72:$M$95,11,0)</f>
        <v>0</v>
      </c>
      <c r="AD16" s="615" t="e">
        <f>+#REF!</f>
        <v>#REF!</v>
      </c>
      <c r="AE16" s="618" t="str">
        <f t="shared" si="9"/>
        <v/>
      </c>
      <c r="AF16" s="617">
        <f>VLOOKUP(VLOOKUP(A16,$A$82:$B$105,2,0),'Gestion final Araba 2018'!$B$72:$M$95,12,0)</f>
        <v>0</v>
      </c>
      <c r="AG16" s="615" t="e">
        <f>+#REF!</f>
        <v>#REF!</v>
      </c>
      <c r="AH16" s="618" t="str">
        <f t="shared" si="10"/>
        <v/>
      </c>
      <c r="AI16" s="626" t="e">
        <f t="shared" si="11"/>
        <v>#REF!</v>
      </c>
    </row>
    <row r="17" spans="1:45" ht="14.4" x14ac:dyDescent="0.3">
      <c r="A17" s="601" t="s">
        <v>76</v>
      </c>
      <c r="B17" s="617" t="e">
        <f>VLOOKUP(VLOOKUP(A17,$A$82:$B$105,2,0),'Gestion final Araba 2018'!$B$72:$M$95,2,0)</f>
        <v>#REF!</v>
      </c>
      <c r="C17" s="615" t="e">
        <f>#REF!</f>
        <v>#REF!</v>
      </c>
      <c r="D17" s="618" t="str">
        <f t="shared" si="0"/>
        <v/>
      </c>
      <c r="E17" s="619" t="e">
        <f>VLOOKUP(VLOOKUP(A17,$A$82:$B$105,2,0),'Gestion final Araba 2018'!$B$72:$M$95,3,0)</f>
        <v>#REF!</v>
      </c>
      <c r="F17" s="620" t="e">
        <f>+#REF!</f>
        <v>#REF!</v>
      </c>
      <c r="G17" s="621" t="str">
        <f t="shared" si="1"/>
        <v/>
      </c>
      <c r="H17" s="617" t="e">
        <f>VLOOKUP(VLOOKUP(A17,$A$82:$B$105,2,0),'Gestion final Araba 2018'!$B$72:$M$95,4,0)</f>
        <v>#REF!</v>
      </c>
      <c r="I17" s="615" t="e">
        <f>+#REF!</f>
        <v>#REF!</v>
      </c>
      <c r="J17" s="622" t="str">
        <f t="shared" si="2"/>
        <v/>
      </c>
      <c r="K17" s="623" t="e">
        <f>VLOOKUP(VLOOKUP(A17,$A$82:$B$105,2,0),'Gestion final Araba 2018'!$B$72:$M$95,5,0)</f>
        <v>#REF!</v>
      </c>
      <c r="L17" s="624" t="e">
        <f>+#REF!</f>
        <v>#REF!</v>
      </c>
      <c r="M17" s="621" t="str">
        <f t="shared" si="3"/>
        <v/>
      </c>
      <c r="N17" s="617">
        <f>VLOOKUP(VLOOKUP(A17,$A$82:$B$105,2,0),'Gestion final Araba 2018'!$B$72:$M$95,6,0)</f>
        <v>0</v>
      </c>
      <c r="O17" s="615" t="e">
        <f>+#REF!</f>
        <v>#REF!</v>
      </c>
      <c r="P17" s="618" t="str">
        <f t="shared" si="4"/>
        <v/>
      </c>
      <c r="Q17" s="625" t="e">
        <f>VLOOKUP(VLOOKUP(A17,$A$82:$B$105,2,0),'Gestion final Araba 2018'!$B$72:$M$95,7,0)</f>
        <v>#REF!</v>
      </c>
      <c r="R17" s="615" t="e">
        <f>+#REF!</f>
        <v>#REF!</v>
      </c>
      <c r="S17" s="621" t="str">
        <f t="shared" si="5"/>
        <v/>
      </c>
      <c r="T17" s="617">
        <f>VLOOKUP(VLOOKUP(A17,$A$82:$B$105,2,0),'Gestion final Araba 2018'!$B$72:$M$95,8,0)</f>
        <v>0</v>
      </c>
      <c r="U17" s="615"/>
      <c r="V17" s="618" t="str">
        <f t="shared" si="6"/>
        <v/>
      </c>
      <c r="W17" s="617">
        <f>VLOOKUP(VLOOKUP(A17,$A$82:$B$105,2,0),'Gestion final Araba 2018'!$B$72:$M$95,9,0)</f>
        <v>0</v>
      </c>
      <c r="X17" s="615" t="e">
        <f>+#REF!</f>
        <v>#REF!</v>
      </c>
      <c r="Y17" s="618" t="str">
        <f t="shared" si="7"/>
        <v/>
      </c>
      <c r="Z17" s="617" t="e">
        <f>VLOOKUP(VLOOKUP(A17,$A$82:$B$105,2,0),'Gestion final Araba 2018'!$B$72:$M$95,10,0)</f>
        <v>#REF!</v>
      </c>
      <c r="AA17" s="615" t="e">
        <f>+#REF!+#REF!</f>
        <v>#REF!</v>
      </c>
      <c r="AB17" s="618" t="str">
        <f t="shared" si="8"/>
        <v/>
      </c>
      <c r="AC17" s="617">
        <f>VLOOKUP(VLOOKUP(A17,$A$82:$B$105,2,0),'Gestion final Araba 2018'!$B$72:$M$95,11,0)</f>
        <v>0</v>
      </c>
      <c r="AD17" s="615" t="e">
        <f>+#REF!</f>
        <v>#REF!</v>
      </c>
      <c r="AE17" s="618" t="str">
        <f t="shared" si="9"/>
        <v/>
      </c>
      <c r="AF17" s="617">
        <f>VLOOKUP(VLOOKUP(A17,$A$82:$B$105,2,0),'Gestion final Araba 2018'!$B$72:$M$95,12,0)</f>
        <v>0</v>
      </c>
      <c r="AG17" s="615" t="e">
        <f>+#REF!</f>
        <v>#REF!</v>
      </c>
      <c r="AH17" s="618" t="str">
        <f t="shared" si="10"/>
        <v/>
      </c>
      <c r="AI17" s="626" t="e">
        <f t="shared" si="11"/>
        <v>#REF!</v>
      </c>
    </row>
    <row r="18" spans="1:45" ht="14.4" x14ac:dyDescent="0.3">
      <c r="A18" s="601" t="s">
        <v>62</v>
      </c>
      <c r="B18" s="617" t="e">
        <f>VLOOKUP(VLOOKUP(A18,$A$82:$B$105,2,0),'Gestion final Araba 2018'!$B$72:$M$95,2,0)</f>
        <v>#REF!</v>
      </c>
      <c r="C18" s="615" t="e">
        <f>#REF!</f>
        <v>#REF!</v>
      </c>
      <c r="D18" s="618" t="str">
        <f t="shared" si="0"/>
        <v/>
      </c>
      <c r="E18" s="619" t="e">
        <f>VLOOKUP(VLOOKUP(A18,$A$82:$B$105,2,0),'Gestion final Araba 2018'!$B$72:$M$95,3,0)</f>
        <v>#REF!</v>
      </c>
      <c r="F18" s="620" t="e">
        <f>+#REF!</f>
        <v>#REF!</v>
      </c>
      <c r="G18" s="621" t="str">
        <f t="shared" si="1"/>
        <v/>
      </c>
      <c r="H18" s="617">
        <f>VLOOKUP(VLOOKUP(A18,$A$82:$B$105,2,0),'Gestion final Araba 2018'!$B$72:$M$95,4,0)</f>
        <v>0</v>
      </c>
      <c r="I18" s="615" t="e">
        <f>+#REF!</f>
        <v>#REF!</v>
      </c>
      <c r="J18" s="622" t="str">
        <f t="shared" si="2"/>
        <v/>
      </c>
      <c r="K18" s="623" t="e">
        <f>VLOOKUP(VLOOKUP(A18,$A$82:$B$105,2,0),'Gestion final Araba 2018'!$B$72:$M$95,5,0)</f>
        <v>#REF!</v>
      </c>
      <c r="L18" s="624" t="e">
        <f>+#REF!</f>
        <v>#REF!</v>
      </c>
      <c r="M18" s="621" t="str">
        <f t="shared" si="3"/>
        <v/>
      </c>
      <c r="N18" s="617">
        <f>VLOOKUP(VLOOKUP(A18,$A$82:$B$105,2,0),'Gestion final Araba 2018'!$B$72:$M$95,6,0)</f>
        <v>0</v>
      </c>
      <c r="O18" s="615" t="e">
        <f>+#REF!</f>
        <v>#REF!</v>
      </c>
      <c r="P18" s="618" t="str">
        <f t="shared" si="4"/>
        <v/>
      </c>
      <c r="Q18" s="625" t="e">
        <f>VLOOKUP(VLOOKUP(A18,$A$82:$B$105,2,0),'Gestion final Araba 2018'!$B$72:$M$95,7,0)</f>
        <v>#REF!</v>
      </c>
      <c r="R18" s="615" t="e">
        <f>+#REF!</f>
        <v>#REF!</v>
      </c>
      <c r="S18" s="621" t="str">
        <f t="shared" si="5"/>
        <v/>
      </c>
      <c r="T18" s="617">
        <f>VLOOKUP(VLOOKUP(A18,$A$82:$B$105,2,0),'Gestion final Araba 2018'!$B$72:$M$95,8,0)</f>
        <v>0</v>
      </c>
      <c r="U18" s="615"/>
      <c r="V18" s="618" t="str">
        <f t="shared" si="6"/>
        <v/>
      </c>
      <c r="W18" s="617">
        <f>VLOOKUP(VLOOKUP(A18,$A$82:$B$105,2,0),'Gestion final Araba 2018'!$B$72:$M$95,9,0)</f>
        <v>0</v>
      </c>
      <c r="X18" s="615" t="e">
        <f>+#REF!</f>
        <v>#REF!</v>
      </c>
      <c r="Y18" s="618" t="str">
        <f t="shared" si="7"/>
        <v/>
      </c>
      <c r="Z18" s="617">
        <f>VLOOKUP(VLOOKUP(A18,$A$82:$B$105,2,0),'Gestion final Araba 2018'!$B$72:$M$95,10,0)</f>
        <v>0</v>
      </c>
      <c r="AA18" s="615" t="e">
        <f>+#REF!+#REF!</f>
        <v>#REF!</v>
      </c>
      <c r="AB18" s="618" t="str">
        <f t="shared" si="8"/>
        <v/>
      </c>
      <c r="AC18" s="617">
        <f>VLOOKUP(VLOOKUP(A18,$A$82:$B$105,2,0),'Gestion final Araba 2018'!$B$72:$M$95,11,0)</f>
        <v>0</v>
      </c>
      <c r="AD18" s="615" t="e">
        <f>+#REF!</f>
        <v>#REF!</v>
      </c>
      <c r="AE18" s="618" t="str">
        <f t="shared" si="9"/>
        <v/>
      </c>
      <c r="AF18" s="617" t="e">
        <f>VLOOKUP(VLOOKUP(A18,$A$82:$B$105,2,0),'Gestion final Araba 2018'!$B$72:$M$95,12,0)</f>
        <v>#REF!</v>
      </c>
      <c r="AG18" s="615" t="e">
        <f>+#REF!</f>
        <v>#REF!</v>
      </c>
      <c r="AH18" s="618" t="str">
        <f t="shared" si="10"/>
        <v/>
      </c>
      <c r="AI18" s="626" t="e">
        <f t="shared" si="11"/>
        <v>#REF!</v>
      </c>
    </row>
    <row r="19" spans="1:45" ht="14.4" x14ac:dyDescent="0.3">
      <c r="A19" s="601" t="s">
        <v>16</v>
      </c>
      <c r="B19" s="617" t="e">
        <f>VLOOKUP(VLOOKUP(A19,$A$82:$B$105,2,0),'Gestion final Araba 2018'!$B$72:$M$95,2,0)</f>
        <v>#REF!</v>
      </c>
      <c r="C19" s="615" t="e">
        <f>#REF!</f>
        <v>#REF!</v>
      </c>
      <c r="D19" s="618" t="str">
        <f t="shared" si="0"/>
        <v/>
      </c>
      <c r="E19" s="619" t="e">
        <f>VLOOKUP(VLOOKUP(A19,$A$82:$B$105,2,0),'Gestion final Araba 2018'!$B$72:$M$95,3,0)</f>
        <v>#REF!</v>
      </c>
      <c r="F19" s="620" t="e">
        <f>+#REF!</f>
        <v>#REF!</v>
      </c>
      <c r="G19" s="621" t="str">
        <f t="shared" si="1"/>
        <v/>
      </c>
      <c r="H19" s="617">
        <f>VLOOKUP(VLOOKUP(A19,$A$82:$B$105,2,0),'Gestion final Araba 2018'!$B$72:$M$95,4,0)</f>
        <v>0</v>
      </c>
      <c r="I19" s="615" t="e">
        <f>+#REF!</f>
        <v>#REF!</v>
      </c>
      <c r="J19" s="622" t="str">
        <f t="shared" si="2"/>
        <v/>
      </c>
      <c r="K19" s="623" t="e">
        <f>VLOOKUP(VLOOKUP(A19,$A$82:$B$105,2,0),'Gestion final Araba 2018'!$B$72:$M$95,5,0)</f>
        <v>#REF!</v>
      </c>
      <c r="L19" s="624" t="e">
        <f>+#REF!</f>
        <v>#REF!</v>
      </c>
      <c r="M19" s="621" t="str">
        <f t="shared" si="3"/>
        <v/>
      </c>
      <c r="N19" s="617">
        <f>VLOOKUP(VLOOKUP(A19,$A$82:$B$105,2,0),'Gestion final Araba 2018'!$B$72:$M$95,6,0)</f>
        <v>0</v>
      </c>
      <c r="O19" s="615" t="e">
        <f>+#REF!</f>
        <v>#REF!</v>
      </c>
      <c r="P19" s="618" t="str">
        <f t="shared" si="4"/>
        <v/>
      </c>
      <c r="Q19" s="625">
        <f>VLOOKUP(VLOOKUP(A19,$A$82:$B$105,2,0),'Gestion final Araba 2018'!$B$72:$M$95,7,0)</f>
        <v>0</v>
      </c>
      <c r="R19" s="615" t="e">
        <f>+#REF!</f>
        <v>#REF!</v>
      </c>
      <c r="S19" s="621" t="str">
        <f t="shared" si="5"/>
        <v/>
      </c>
      <c r="T19" s="617">
        <f>VLOOKUP(VLOOKUP(A19,$A$82:$B$105,2,0),'Gestion final Araba 2018'!$B$72:$M$95,8,0)</f>
        <v>0</v>
      </c>
      <c r="U19" s="615"/>
      <c r="V19" s="618" t="str">
        <f t="shared" si="6"/>
        <v/>
      </c>
      <c r="W19" s="617">
        <f>VLOOKUP(VLOOKUP(A19,$A$82:$B$105,2,0),'Gestion final Araba 2018'!$B$72:$M$95,9,0)</f>
        <v>0</v>
      </c>
      <c r="X19" s="615" t="e">
        <f>+#REF!</f>
        <v>#REF!</v>
      </c>
      <c r="Y19" s="618" t="str">
        <f t="shared" si="7"/>
        <v/>
      </c>
      <c r="Z19" s="617" t="e">
        <f>VLOOKUP(VLOOKUP(A19,$A$82:$B$105,2,0),'Gestion final Araba 2018'!$B$72:$M$95,10,0)</f>
        <v>#REF!</v>
      </c>
      <c r="AA19" s="615" t="e">
        <f>+#REF!+#REF!</f>
        <v>#REF!</v>
      </c>
      <c r="AB19" s="618" t="str">
        <f t="shared" si="8"/>
        <v/>
      </c>
      <c r="AC19" s="617" t="e">
        <f>VLOOKUP(VLOOKUP(A19,$A$82:$B$105,2,0),'Gestion final Araba 2018'!$B$72:$M$95,11,0)</f>
        <v>#REF!</v>
      </c>
      <c r="AD19" s="615" t="e">
        <f>+#REF!</f>
        <v>#REF!</v>
      </c>
      <c r="AE19" s="618" t="str">
        <f t="shared" si="9"/>
        <v/>
      </c>
      <c r="AF19" s="617">
        <f>VLOOKUP(VLOOKUP(A19,$A$82:$B$105,2,0),'Gestion final Araba 2018'!$B$72:$M$95,12,0)</f>
        <v>0</v>
      </c>
      <c r="AG19" s="615" t="e">
        <f>+#REF!</f>
        <v>#REF!</v>
      </c>
      <c r="AH19" s="618" t="str">
        <f t="shared" si="10"/>
        <v/>
      </c>
      <c r="AI19" s="626" t="e">
        <f t="shared" si="11"/>
        <v>#REF!</v>
      </c>
    </row>
    <row r="20" spans="1:45" ht="14.4" x14ac:dyDescent="0.3">
      <c r="A20" s="601" t="s">
        <v>95</v>
      </c>
      <c r="B20" s="617" t="e">
        <f>VLOOKUP(VLOOKUP(A20,$A$82:$B$105,2,0),'Gestion final Araba 2018'!$B$72:$M$95,2,0)</f>
        <v>#REF!</v>
      </c>
      <c r="C20" s="615" t="e">
        <f>#REF!</f>
        <v>#REF!</v>
      </c>
      <c r="D20" s="618" t="str">
        <f t="shared" si="0"/>
        <v/>
      </c>
      <c r="E20" s="619">
        <f>VLOOKUP(VLOOKUP(A20,$A$82:$B$105,2,0),'Gestion final Araba 2018'!$B$72:$M$95,3,0)</f>
        <v>0</v>
      </c>
      <c r="F20" s="620" t="e">
        <f>+#REF!</f>
        <v>#REF!</v>
      </c>
      <c r="G20" s="621" t="str">
        <f t="shared" si="1"/>
        <v/>
      </c>
      <c r="H20" s="617">
        <f>VLOOKUP(VLOOKUP(A20,$A$82:$B$105,2,0),'Gestion final Araba 2018'!$B$72:$M$95,4,0)</f>
        <v>0</v>
      </c>
      <c r="I20" s="615" t="e">
        <f>+#REF!</f>
        <v>#REF!</v>
      </c>
      <c r="J20" s="622" t="str">
        <f t="shared" si="2"/>
        <v/>
      </c>
      <c r="K20" s="623">
        <f>VLOOKUP(VLOOKUP(A20,$A$82:$B$105,2,0),'Gestion final Araba 2018'!$B$72:$M$95,5,0)</f>
        <v>0</v>
      </c>
      <c r="L20" s="624" t="e">
        <f>+#REF!</f>
        <v>#REF!</v>
      </c>
      <c r="M20" s="621" t="str">
        <f t="shared" si="3"/>
        <v/>
      </c>
      <c r="N20" s="617">
        <f>VLOOKUP(VLOOKUP(A20,$A$82:$B$105,2,0),'Gestion final Araba 2018'!$B$72:$M$95,6,0)</f>
        <v>0</v>
      </c>
      <c r="O20" s="615" t="e">
        <f>+#REF!</f>
        <v>#REF!</v>
      </c>
      <c r="P20" s="618" t="str">
        <f t="shared" si="4"/>
        <v/>
      </c>
      <c r="Q20" s="625">
        <f>VLOOKUP(VLOOKUP(A20,$A$82:$B$105,2,0),'Gestion final Araba 2018'!$B$72:$M$95,7,0)</f>
        <v>0</v>
      </c>
      <c r="R20" s="615" t="e">
        <f>+#REF!</f>
        <v>#REF!</v>
      </c>
      <c r="S20" s="621" t="str">
        <f t="shared" si="5"/>
        <v/>
      </c>
      <c r="T20" s="617">
        <f>VLOOKUP(VLOOKUP(A20,$A$82:$B$105,2,0),'Gestion final Araba 2018'!$B$72:$M$95,8,0)</f>
        <v>0</v>
      </c>
      <c r="U20" s="615"/>
      <c r="V20" s="618" t="str">
        <f t="shared" si="6"/>
        <v/>
      </c>
      <c r="W20" s="617">
        <f>VLOOKUP(VLOOKUP(A20,$A$82:$B$105,2,0),'Gestion final Araba 2018'!$B$72:$M$95,9,0)</f>
        <v>0</v>
      </c>
      <c r="X20" s="615" t="e">
        <f>+#REF!</f>
        <v>#REF!</v>
      </c>
      <c r="Y20" s="618" t="str">
        <f t="shared" si="7"/>
        <v/>
      </c>
      <c r="Z20" s="617">
        <f>VLOOKUP(VLOOKUP(A20,$A$82:$B$105,2,0),'Gestion final Araba 2018'!$B$72:$M$95,10,0)</f>
        <v>0</v>
      </c>
      <c r="AA20" s="615" t="e">
        <f>+#REF!+#REF!</f>
        <v>#REF!</v>
      </c>
      <c r="AB20" s="618" t="str">
        <f t="shared" si="8"/>
        <v/>
      </c>
      <c r="AC20" s="617">
        <f>VLOOKUP(VLOOKUP(A20,$A$82:$B$105,2,0),'Gestion final Araba 2018'!$B$72:$M$95,11,0)</f>
        <v>0</v>
      </c>
      <c r="AD20" s="615" t="e">
        <f>+#REF!</f>
        <v>#REF!</v>
      </c>
      <c r="AE20" s="618" t="str">
        <f t="shared" si="9"/>
        <v/>
      </c>
      <c r="AF20" s="617">
        <f>VLOOKUP(VLOOKUP(A20,$A$82:$B$105,2,0),'Gestion final Araba 2018'!$B$72:$M$95,12,0)</f>
        <v>0</v>
      </c>
      <c r="AG20" s="615" t="e">
        <f>+#REF!</f>
        <v>#REF!</v>
      </c>
      <c r="AH20" s="618" t="str">
        <f t="shared" si="10"/>
        <v/>
      </c>
      <c r="AI20" s="626" t="e">
        <f t="shared" si="11"/>
        <v>#REF!</v>
      </c>
    </row>
    <row r="21" spans="1:45" ht="14.4" x14ac:dyDescent="0.3">
      <c r="A21" s="601" t="s">
        <v>74</v>
      </c>
      <c r="B21" s="617" t="e">
        <f>VLOOKUP(VLOOKUP(A21,$A$82:$B$105,2,0),'Gestion final Araba 2018'!$B$72:$M$95,2,0)</f>
        <v>#REF!</v>
      </c>
      <c r="C21" s="615" t="e">
        <f>#REF!</f>
        <v>#REF!</v>
      </c>
      <c r="D21" s="618" t="str">
        <f t="shared" si="0"/>
        <v/>
      </c>
      <c r="E21" s="619" t="e">
        <f>VLOOKUP(VLOOKUP(A21,$A$82:$B$105,2,0),'Gestion final Araba 2018'!$B$72:$M$95,3,0)</f>
        <v>#REF!</v>
      </c>
      <c r="F21" s="620" t="e">
        <f>+#REF!</f>
        <v>#REF!</v>
      </c>
      <c r="G21" s="621" t="str">
        <f t="shared" si="1"/>
        <v/>
      </c>
      <c r="H21" s="617">
        <f>VLOOKUP(VLOOKUP(A21,$A$82:$B$105,2,0),'Gestion final Araba 2018'!$B$72:$M$95,4,0)</f>
        <v>0</v>
      </c>
      <c r="I21" s="615" t="e">
        <f>+#REF!</f>
        <v>#REF!</v>
      </c>
      <c r="J21" s="622" t="str">
        <f t="shared" si="2"/>
        <v/>
      </c>
      <c r="K21" s="623" t="e">
        <f>VLOOKUP(VLOOKUP(A21,$A$82:$B$105,2,0),'Gestion final Araba 2018'!$B$72:$M$95,5,0)</f>
        <v>#REF!</v>
      </c>
      <c r="L21" s="624" t="e">
        <f>+#REF!</f>
        <v>#REF!</v>
      </c>
      <c r="M21" s="621" t="str">
        <f t="shared" si="3"/>
        <v/>
      </c>
      <c r="N21" s="617">
        <f>VLOOKUP(VLOOKUP(A21,$A$82:$B$105,2,0),'Gestion final Araba 2018'!$B$72:$M$95,6,0)</f>
        <v>0</v>
      </c>
      <c r="O21" s="615" t="e">
        <f>+#REF!</f>
        <v>#REF!</v>
      </c>
      <c r="P21" s="618" t="str">
        <f t="shared" si="4"/>
        <v/>
      </c>
      <c r="Q21" s="625" t="e">
        <f>VLOOKUP(VLOOKUP(A21,$A$82:$B$105,2,0),'Gestion final Araba 2018'!$B$72:$M$95,7,0)</f>
        <v>#REF!</v>
      </c>
      <c r="R21" s="615" t="e">
        <f>+#REF!</f>
        <v>#REF!</v>
      </c>
      <c r="S21" s="621" t="str">
        <f t="shared" si="5"/>
        <v/>
      </c>
      <c r="T21" s="617">
        <f>VLOOKUP(VLOOKUP(A21,$A$82:$B$105,2,0),'Gestion final Araba 2018'!$B$72:$M$95,8,0)</f>
        <v>0</v>
      </c>
      <c r="U21" s="615"/>
      <c r="V21" s="618" t="str">
        <f t="shared" si="6"/>
        <v/>
      </c>
      <c r="W21" s="617">
        <f>VLOOKUP(VLOOKUP(A21,$A$82:$B$105,2,0),'Gestion final Araba 2018'!$B$72:$M$95,9,0)</f>
        <v>0</v>
      </c>
      <c r="X21" s="615" t="e">
        <f>+#REF!</f>
        <v>#REF!</v>
      </c>
      <c r="Y21" s="618" t="str">
        <f t="shared" si="7"/>
        <v/>
      </c>
      <c r="Z21" s="617">
        <f>VLOOKUP(VLOOKUP(A21,$A$82:$B$105,2,0),'Gestion final Araba 2018'!$B$72:$M$95,10,0)</f>
        <v>0</v>
      </c>
      <c r="AA21" s="615" t="e">
        <f>+#REF!+#REF!</f>
        <v>#REF!</v>
      </c>
      <c r="AB21" s="618" t="str">
        <f t="shared" si="8"/>
        <v/>
      </c>
      <c r="AC21" s="617">
        <f>VLOOKUP(VLOOKUP(A21,$A$82:$B$105,2,0),'Gestion final Araba 2018'!$B$72:$M$95,11,0)</f>
        <v>0</v>
      </c>
      <c r="AD21" s="615" t="e">
        <f>+#REF!</f>
        <v>#REF!</v>
      </c>
      <c r="AE21" s="618" t="str">
        <f t="shared" si="9"/>
        <v/>
      </c>
      <c r="AF21" s="617">
        <f>VLOOKUP(VLOOKUP(A21,$A$82:$B$105,2,0),'Gestion final Araba 2018'!$B$72:$M$95,12,0)</f>
        <v>0</v>
      </c>
      <c r="AG21" s="615" t="e">
        <f>+#REF!</f>
        <v>#REF!</v>
      </c>
      <c r="AH21" s="618" t="str">
        <f t="shared" si="10"/>
        <v/>
      </c>
      <c r="AI21" s="626" t="e">
        <f t="shared" si="11"/>
        <v>#REF!</v>
      </c>
    </row>
    <row r="22" spans="1:45" ht="14.4" x14ac:dyDescent="0.3">
      <c r="A22" s="601" t="s">
        <v>73</v>
      </c>
      <c r="B22" s="617" t="e">
        <f>VLOOKUP(VLOOKUP(A22,$A$82:$B$105,2,0),'Gestion final Araba 2018'!$B$72:$M$95,2,0)</f>
        <v>#REF!</v>
      </c>
      <c r="C22" s="615" t="e">
        <f>#REF!</f>
        <v>#REF!</v>
      </c>
      <c r="D22" s="618" t="str">
        <f t="shared" si="0"/>
        <v/>
      </c>
      <c r="E22" s="619" t="e">
        <f>VLOOKUP(VLOOKUP(A22,$A$82:$B$105,2,0),'Gestion final Araba 2018'!$B$72:$M$95,3,0)</f>
        <v>#REF!</v>
      </c>
      <c r="F22" s="620" t="e">
        <f>+#REF!</f>
        <v>#REF!</v>
      </c>
      <c r="G22" s="621" t="str">
        <f t="shared" si="1"/>
        <v/>
      </c>
      <c r="H22" s="617">
        <f>VLOOKUP(VLOOKUP(A22,$A$82:$B$105,2,0),'Gestion final Araba 2018'!$B$72:$M$95,4,0)</f>
        <v>0</v>
      </c>
      <c r="I22" s="615" t="e">
        <f>+#REF!</f>
        <v>#REF!</v>
      </c>
      <c r="J22" s="622" t="str">
        <f t="shared" si="2"/>
        <v/>
      </c>
      <c r="K22" s="623" t="e">
        <f>VLOOKUP(VLOOKUP(A22,$A$82:$B$105,2,0),'Gestion final Araba 2018'!$B$72:$M$95,5,0)</f>
        <v>#REF!</v>
      </c>
      <c r="L22" s="624" t="e">
        <f>+#REF!</f>
        <v>#REF!</v>
      </c>
      <c r="M22" s="621" t="str">
        <f t="shared" si="3"/>
        <v/>
      </c>
      <c r="N22" s="617">
        <f>VLOOKUP(VLOOKUP(A22,$A$82:$B$105,2,0),'Gestion final Araba 2018'!$B$72:$M$95,6,0)</f>
        <v>0</v>
      </c>
      <c r="O22" s="615" t="e">
        <f>+#REF!</f>
        <v>#REF!</v>
      </c>
      <c r="P22" s="618" t="str">
        <f t="shared" si="4"/>
        <v/>
      </c>
      <c r="Q22" s="625" t="e">
        <f>VLOOKUP(VLOOKUP(A22,$A$82:$B$105,2,0),'Gestion final Araba 2018'!$B$72:$M$95,7,0)</f>
        <v>#REF!</v>
      </c>
      <c r="R22" s="615" t="e">
        <f>+#REF!</f>
        <v>#REF!</v>
      </c>
      <c r="S22" s="621" t="str">
        <f t="shared" si="5"/>
        <v/>
      </c>
      <c r="T22" s="617">
        <f>VLOOKUP(VLOOKUP(A22,$A$82:$B$105,2,0),'Gestion final Araba 2018'!$B$72:$M$95,8,0)</f>
        <v>0</v>
      </c>
      <c r="U22" s="615"/>
      <c r="V22" s="618" t="str">
        <f t="shared" si="6"/>
        <v/>
      </c>
      <c r="W22" s="617">
        <f>VLOOKUP(VLOOKUP(A22,$A$82:$B$105,2,0),'Gestion final Araba 2018'!$B$72:$M$95,9,0)</f>
        <v>0</v>
      </c>
      <c r="X22" s="615" t="e">
        <f>+#REF!</f>
        <v>#REF!</v>
      </c>
      <c r="Y22" s="618" t="str">
        <f t="shared" si="7"/>
        <v/>
      </c>
      <c r="Z22" s="617" t="e">
        <f>VLOOKUP(VLOOKUP(A22,$A$82:$B$105,2,0),'Gestion final Araba 2018'!$B$72:$M$95,10,0)</f>
        <v>#REF!</v>
      </c>
      <c r="AA22" s="615" t="e">
        <f>+#REF!+#REF!</f>
        <v>#REF!</v>
      </c>
      <c r="AB22" s="618" t="str">
        <f t="shared" si="8"/>
        <v/>
      </c>
      <c r="AC22" s="617" t="e">
        <f>VLOOKUP(VLOOKUP(A22,$A$82:$B$105,2,0),'Gestion final Araba 2018'!$B$72:$M$95,11,0)</f>
        <v>#REF!</v>
      </c>
      <c r="AD22" s="615" t="e">
        <f>+#REF!</f>
        <v>#REF!</v>
      </c>
      <c r="AE22" s="618" t="str">
        <f t="shared" si="9"/>
        <v/>
      </c>
      <c r="AF22" s="617">
        <f>VLOOKUP(VLOOKUP(A22,$A$82:$B$105,2,0),'Gestion final Araba 2018'!$B$72:$M$95,12,0)</f>
        <v>0</v>
      </c>
      <c r="AG22" s="615" t="e">
        <f>+#REF!</f>
        <v>#REF!</v>
      </c>
      <c r="AH22" s="618" t="str">
        <f t="shared" si="10"/>
        <v/>
      </c>
      <c r="AI22" s="626" t="e">
        <f t="shared" si="11"/>
        <v>#REF!</v>
      </c>
    </row>
    <row r="23" spans="1:45" ht="14.4" customHeight="1" x14ac:dyDescent="0.3">
      <c r="A23" s="601" t="s">
        <v>44</v>
      </c>
      <c r="B23" s="617" t="e">
        <f>VLOOKUP(VLOOKUP(A23,$A$82:$B$105,2,0),'Gestion final Araba 2018'!$B$72:$M$95,2,0)</f>
        <v>#REF!</v>
      </c>
      <c r="C23" s="615" t="e">
        <f>#REF!</f>
        <v>#REF!</v>
      </c>
      <c r="D23" s="618" t="str">
        <f t="shared" si="0"/>
        <v/>
      </c>
      <c r="E23" s="619" t="e">
        <f>VLOOKUP(VLOOKUP(A23,$A$82:$B$105,2,0),'Gestion final Araba 2018'!$B$72:$M$95,3,0)</f>
        <v>#REF!</v>
      </c>
      <c r="F23" s="620" t="e">
        <f>+#REF!</f>
        <v>#REF!</v>
      </c>
      <c r="G23" s="621" t="str">
        <f t="shared" si="1"/>
        <v/>
      </c>
      <c r="H23" s="617" t="e">
        <f>VLOOKUP(VLOOKUP(A23,$A$82:$B$105,2,0),'Gestion final Araba 2018'!$B$72:$M$95,4,0)</f>
        <v>#REF!</v>
      </c>
      <c r="I23" s="615" t="e">
        <f>+#REF!</f>
        <v>#REF!</v>
      </c>
      <c r="J23" s="622" t="str">
        <f t="shared" si="2"/>
        <v/>
      </c>
      <c r="K23" s="623" t="e">
        <f>VLOOKUP(VLOOKUP(A23,$A$82:$B$105,2,0),'Gestion final Araba 2018'!$B$72:$M$95,5,0)</f>
        <v>#REF!</v>
      </c>
      <c r="L23" s="624" t="e">
        <f>+#REF!</f>
        <v>#REF!</v>
      </c>
      <c r="M23" s="621" t="str">
        <f t="shared" si="3"/>
        <v/>
      </c>
      <c r="N23" s="617">
        <f>VLOOKUP(VLOOKUP(A23,$A$82:$B$105,2,0),'Gestion final Araba 2018'!$B$72:$M$95,6,0)</f>
        <v>0</v>
      </c>
      <c r="O23" s="615" t="e">
        <f>+#REF!</f>
        <v>#REF!</v>
      </c>
      <c r="P23" s="618" t="str">
        <f t="shared" si="4"/>
        <v/>
      </c>
      <c r="Q23" s="625" t="e">
        <f>VLOOKUP(VLOOKUP(A23,$A$82:$B$105,2,0),'Gestion final Araba 2018'!$B$72:$M$95,7,0)</f>
        <v>#REF!</v>
      </c>
      <c r="R23" s="615" t="e">
        <f>+#REF!</f>
        <v>#REF!</v>
      </c>
      <c r="S23" s="621" t="str">
        <f t="shared" si="5"/>
        <v/>
      </c>
      <c r="T23" s="617">
        <f>VLOOKUP(VLOOKUP(A23,$A$82:$B$105,2,0),'Gestion final Araba 2018'!$B$72:$M$95,8,0)</f>
        <v>0</v>
      </c>
      <c r="U23" s="615"/>
      <c r="V23" s="618" t="str">
        <f t="shared" si="6"/>
        <v/>
      </c>
      <c r="W23" s="617">
        <f>VLOOKUP(VLOOKUP(A23,$A$82:$B$105,2,0),'Gestion final Araba 2018'!$B$72:$M$95,9,0)</f>
        <v>0</v>
      </c>
      <c r="X23" s="615" t="e">
        <f>+#REF!</f>
        <v>#REF!</v>
      </c>
      <c r="Y23" s="618" t="str">
        <f t="shared" si="7"/>
        <v/>
      </c>
      <c r="Z23" s="617" t="e">
        <f>VLOOKUP(VLOOKUP(A23,$A$82:$B$105,2,0),'Gestion final Araba 2018'!$B$72:$M$95,10,0)</f>
        <v>#REF!</v>
      </c>
      <c r="AA23" s="615" t="e">
        <f>+#REF!+#REF!</f>
        <v>#REF!</v>
      </c>
      <c r="AB23" s="618" t="str">
        <f t="shared" si="8"/>
        <v/>
      </c>
      <c r="AC23" s="617" t="e">
        <f>VLOOKUP(VLOOKUP(A23,$A$82:$B$105,2,0),'Gestion final Araba 2018'!$B$72:$M$95,11,0)</f>
        <v>#REF!</v>
      </c>
      <c r="AD23" s="615" t="e">
        <f>+#REF!</f>
        <v>#REF!</v>
      </c>
      <c r="AE23" s="618" t="str">
        <f t="shared" si="9"/>
        <v/>
      </c>
      <c r="AF23" s="617">
        <f>VLOOKUP(VLOOKUP(A23,$A$82:$B$105,2,0),'Gestion final Araba 2018'!$B$72:$M$95,12,0)</f>
        <v>0</v>
      </c>
      <c r="AG23" s="615" t="e">
        <f>+#REF!</f>
        <v>#REF!</v>
      </c>
      <c r="AH23" s="618" t="str">
        <f t="shared" si="10"/>
        <v/>
      </c>
      <c r="AI23" s="626" t="e">
        <f t="shared" si="11"/>
        <v>#REF!</v>
      </c>
    </row>
    <row r="24" spans="1:45" ht="18.899999999999999" customHeight="1" x14ac:dyDescent="0.3">
      <c r="A24" s="601" t="s">
        <v>119</v>
      </c>
      <c r="B24" s="617" t="e">
        <f>VLOOKUP(VLOOKUP(A24,$A$82:$B$105,2,0),'Gestion final Araba 2018'!$B$72:$M$95,2,0)</f>
        <v>#REF!</v>
      </c>
      <c r="C24" s="615" t="e">
        <f>#REF!</f>
        <v>#REF!</v>
      </c>
      <c r="D24" s="618" t="str">
        <f>IFERROR(C24/B24-1,"")</f>
        <v/>
      </c>
      <c r="E24" s="619" t="e">
        <f>VLOOKUP(VLOOKUP(A24,$A$82:$B$105,2,0),'Gestion final Araba 2018'!$B$72:$M$95,3,0)</f>
        <v>#REF!</v>
      </c>
      <c r="F24" s="620" t="e">
        <f>+#REF!</f>
        <v>#REF!</v>
      </c>
      <c r="G24" s="621" t="str">
        <f>IFERROR(F24/E24-1,"")</f>
        <v/>
      </c>
      <c r="H24" s="617">
        <f>VLOOKUP(VLOOKUP(A24,$A$82:$B$105,2,0),'Gestion final Araba 2018'!$B$72:$M$95,4,0)</f>
        <v>0</v>
      </c>
      <c r="I24" s="615" t="e">
        <f>+#REF!</f>
        <v>#REF!</v>
      </c>
      <c r="J24" s="622" t="str">
        <f>IFERROR(I24/H24-1,"")</f>
        <v/>
      </c>
      <c r="K24" s="623">
        <f>VLOOKUP(VLOOKUP(A24,$A$82:$B$105,2,0),'Gestion final Araba 2018'!$B$72:$M$95,5,0)</f>
        <v>0</v>
      </c>
      <c r="L24" s="624" t="e">
        <f>+#REF!</f>
        <v>#REF!</v>
      </c>
      <c r="M24" s="621" t="str">
        <f t="shared" si="3"/>
        <v/>
      </c>
      <c r="N24" s="617">
        <f>VLOOKUP(VLOOKUP(A24,$A$82:$B$105,2,0),'Gestion final Araba 2018'!$B$72:$M$95,6,0)</f>
        <v>0</v>
      </c>
      <c r="O24" s="615" t="e">
        <f>+#REF!</f>
        <v>#REF!</v>
      </c>
      <c r="P24" s="618" t="str">
        <f>IFERROR(O24/N24-1,"")</f>
        <v/>
      </c>
      <c r="Q24" s="625">
        <f>VLOOKUP(VLOOKUP(A24,$A$82:$B$105,2,0),'Gestion final Araba 2018'!$B$72:$M$95,7,0)</f>
        <v>0</v>
      </c>
      <c r="R24" s="615" t="e">
        <f>+#REF!</f>
        <v>#REF!</v>
      </c>
      <c r="S24" s="621" t="str">
        <f>IFERROR(R24/Q24-1,"")</f>
        <v/>
      </c>
      <c r="T24" s="617">
        <f>VLOOKUP(VLOOKUP(A24,$A$82:$B$105,2,0),'Gestion final Araba 2018'!$B$72:$M$95,8,0)</f>
        <v>0</v>
      </c>
      <c r="U24" s="615"/>
      <c r="V24" s="618" t="str">
        <f>IFERROR(U24/T24-1,"")</f>
        <v/>
      </c>
      <c r="W24" s="617">
        <f>VLOOKUP(VLOOKUP(A24,$A$82:$B$105,2,0),'Gestion final Araba 2018'!$B$72:$M$95,9,0)</f>
        <v>0</v>
      </c>
      <c r="X24" s="615" t="e">
        <f>+#REF!</f>
        <v>#REF!</v>
      </c>
      <c r="Y24" s="618" t="str">
        <f>IFERROR(X24/W24-1,"")</f>
        <v/>
      </c>
      <c r="Z24" s="617" t="e">
        <f>VLOOKUP(VLOOKUP(A24,$A$82:$B$105,2,0),'Gestion final Araba 2018'!$B$72:$M$95,10,0)</f>
        <v>#REF!</v>
      </c>
      <c r="AA24" s="615" t="e">
        <f>+#REF!+#REF!</f>
        <v>#REF!</v>
      </c>
      <c r="AB24" s="618" t="str">
        <f>IFERROR(AA24/Z24-1,"")</f>
        <v/>
      </c>
      <c r="AC24" s="617" t="e">
        <f>VLOOKUP(VLOOKUP(A24,$A$82:$B$105,2,0),'Gestion final Araba 2018'!$B$72:$M$95,11,0)</f>
        <v>#REF!</v>
      </c>
      <c r="AD24" s="615" t="e">
        <f>+#REF!</f>
        <v>#REF!</v>
      </c>
      <c r="AE24" s="618" t="str">
        <f>IFERROR(AD24/AC24-1,"")</f>
        <v/>
      </c>
      <c r="AF24" s="617">
        <f>VLOOKUP(VLOOKUP(A24,$A$82:$B$105,2,0),'Gestion final Araba 2018'!$B$72:$M$95,12,0)</f>
        <v>0</v>
      </c>
      <c r="AG24" s="615" t="e">
        <f>+#REF!</f>
        <v>#REF!</v>
      </c>
      <c r="AH24" s="618" t="str">
        <f>IFERROR(AG24/AF24-1,"")</f>
        <v/>
      </c>
      <c r="AI24" s="626" t="e">
        <f t="shared" si="11"/>
        <v>#REF!</v>
      </c>
    </row>
    <row r="25" spans="1:45" ht="20.399999999999999" customHeight="1" thickBot="1" x14ac:dyDescent="0.35">
      <c r="A25" s="628" t="s">
        <v>82</v>
      </c>
      <c r="B25" s="629" t="e">
        <f>VLOOKUP(VLOOKUP(A25,$A$82:$B$105,2,0),'Gestion final Araba 2018'!$B$72:$M$95,2,0)</f>
        <v>#REF!</v>
      </c>
      <c r="C25" s="615" t="e">
        <f>#REF!</f>
        <v>#REF!</v>
      </c>
      <c r="D25" s="630" t="str">
        <f>IFERROR(C25/B25-1,"")</f>
        <v/>
      </c>
      <c r="E25" s="631" t="e">
        <f>VLOOKUP(VLOOKUP(A25,$A$82:$B$105,2,0),'Gestion final Araba 2018'!$B$72:$M$95,3,0)</f>
        <v>#REF!</v>
      </c>
      <c r="F25" s="632" t="e">
        <f>+#REF!</f>
        <v>#REF!</v>
      </c>
      <c r="G25" s="633" t="str">
        <f>IFERROR(F25/E25-1,"")</f>
        <v/>
      </c>
      <c r="H25" s="629">
        <f>VLOOKUP(VLOOKUP(A25,$A$82:$B$105,2,0),'Gestion final Araba 2018'!$B$72:$M$95,4,0)</f>
        <v>0</v>
      </c>
      <c r="I25" s="634" t="e">
        <f>+#REF!</f>
        <v>#REF!</v>
      </c>
      <c r="J25" s="635" t="str">
        <f>IFERROR(I25/H25-1,"")</f>
        <v/>
      </c>
      <c r="K25" s="636" t="e">
        <f>VLOOKUP(VLOOKUP(A25,$A$82:$B$105,2,0),'Gestion final Araba 2018'!$B$72:$M$95,5,0)</f>
        <v>#REF!</v>
      </c>
      <c r="L25" s="624" t="e">
        <f>+#REF!</f>
        <v>#REF!</v>
      </c>
      <c r="M25" s="633" t="str">
        <f>IFERROR(L25/K25-1,"")</f>
        <v/>
      </c>
      <c r="N25" s="629">
        <f>VLOOKUP(VLOOKUP(A25,$A$82:$B$105,2,0),'Gestion final Araba 2018'!$B$72:$M$95,6,0)</f>
        <v>0</v>
      </c>
      <c r="O25" s="634" t="e">
        <f>+#REF!</f>
        <v>#REF!</v>
      </c>
      <c r="P25" s="630" t="str">
        <f>IFERROR(O25/N25-1,"")</f>
        <v/>
      </c>
      <c r="Q25" s="637" t="e">
        <f>VLOOKUP(VLOOKUP(A25,$A$82:$B$105,2,0),'Gestion final Araba 2018'!$B$72:$M$95,7,0)</f>
        <v>#REF!</v>
      </c>
      <c r="R25" s="615" t="e">
        <f>+#REF!</f>
        <v>#REF!</v>
      </c>
      <c r="S25" s="633" t="str">
        <f>IFERROR(R25/Q25-1,"")</f>
        <v/>
      </c>
      <c r="T25" s="629">
        <f>VLOOKUP(VLOOKUP(A25,$A$82:$B$105,2,0),'Gestion final Araba 2018'!$B$72:$M$95,8,0)</f>
        <v>0</v>
      </c>
      <c r="U25" s="634"/>
      <c r="V25" s="630" t="str">
        <f>IFERROR(U25/T25-1,"")</f>
        <v/>
      </c>
      <c r="W25" s="629">
        <f>VLOOKUP(VLOOKUP(A25,$A$82:$B$105,2,0),'Gestion final Araba 2018'!$B$72:$M$95,9,0)</f>
        <v>0</v>
      </c>
      <c r="X25" s="634" t="e">
        <f>+#REF!</f>
        <v>#REF!</v>
      </c>
      <c r="Y25" s="630" t="str">
        <f>IFERROR(X25/W25-1,"")</f>
        <v/>
      </c>
      <c r="Z25" s="629" t="e">
        <f>VLOOKUP(VLOOKUP(A25,$A$82:$B$105,2,0),'Gestion final Araba 2018'!$B$72:$M$95,10,0)</f>
        <v>#REF!</v>
      </c>
      <c r="AA25" s="615" t="e">
        <f>+#REF!+#REF!</f>
        <v>#REF!</v>
      </c>
      <c r="AB25" s="630" t="str">
        <f>IFERROR(AA25/Z25-1,"")</f>
        <v/>
      </c>
      <c r="AC25" s="629" t="e">
        <f>VLOOKUP(VLOOKUP(A25,$A$82:$B$105,2,0),'Gestion final Araba 2018'!$B$72:$M$95,11,0)</f>
        <v>#REF!</v>
      </c>
      <c r="AD25" s="634" t="e">
        <f>+#REF!</f>
        <v>#REF!</v>
      </c>
      <c r="AE25" s="630" t="str">
        <f>IFERROR(AD25/AC25-1,"")</f>
        <v/>
      </c>
      <c r="AF25" s="629">
        <f>VLOOKUP(VLOOKUP(A25,$A$82:$B$105,2,0),'Gestion final Araba 2018'!$B$72:$M$95,12,0)</f>
        <v>0</v>
      </c>
      <c r="AG25" s="615" t="e">
        <f>+#REF!</f>
        <v>#REF!</v>
      </c>
      <c r="AH25" s="630" t="str">
        <f>IFERROR(AG25/AF25-1,"")</f>
        <v/>
      </c>
      <c r="AI25" s="626" t="e">
        <f t="shared" si="11"/>
        <v>#REF!</v>
      </c>
    </row>
    <row r="26" spans="1:45" ht="14.1" customHeight="1" x14ac:dyDescent="0.25">
      <c r="W26" s="638"/>
    </row>
    <row r="27" spans="1:45" x14ac:dyDescent="0.25">
      <c r="R27" s="512" t="e">
        <f>+R30+X30+AA30+AJ30</f>
        <v>#REF!</v>
      </c>
      <c r="U27" s="512" t="e">
        <f>+U30+AD30+AG30+AM30</f>
        <v>#REF!</v>
      </c>
      <c r="V27" s="512" t="e">
        <f>99324-U27</f>
        <v>#REF!</v>
      </c>
      <c r="Z27" s="638"/>
      <c r="AA27" s="639"/>
      <c r="AB27" s="639"/>
    </row>
    <row r="28" spans="1:45" x14ac:dyDescent="0.25">
      <c r="A28" s="640" t="s">
        <v>182</v>
      </c>
      <c r="B28" s="641" t="s">
        <v>395</v>
      </c>
      <c r="C28" s="641"/>
      <c r="D28" s="641"/>
      <c r="E28" s="642" t="s">
        <v>9</v>
      </c>
      <c r="F28" s="641"/>
      <c r="G28" s="641"/>
      <c r="H28" s="642" t="s">
        <v>412</v>
      </c>
      <c r="I28" s="641"/>
      <c r="J28" s="641"/>
      <c r="K28" s="642" t="s">
        <v>135</v>
      </c>
      <c r="L28" s="641"/>
      <c r="M28" s="641"/>
      <c r="N28" s="642" t="s">
        <v>140</v>
      </c>
      <c r="O28" s="641"/>
      <c r="P28" s="641"/>
      <c r="Q28" s="642" t="s">
        <v>421</v>
      </c>
      <c r="R28" s="641"/>
      <c r="S28" s="641"/>
      <c r="T28" s="642" t="s">
        <v>416</v>
      </c>
      <c r="U28" s="641"/>
      <c r="V28" s="641"/>
      <c r="W28" s="642" t="s">
        <v>422</v>
      </c>
      <c r="X28" s="641"/>
      <c r="Y28" s="641"/>
      <c r="Z28" s="642" t="s">
        <v>423</v>
      </c>
      <c r="AA28" s="641"/>
      <c r="AB28" s="641"/>
      <c r="AC28" s="642" t="s">
        <v>415</v>
      </c>
      <c r="AD28" s="641"/>
      <c r="AE28" s="641"/>
      <c r="AF28" s="642" t="s">
        <v>424</v>
      </c>
      <c r="AG28" s="641"/>
      <c r="AH28" s="641"/>
      <c r="AI28" s="642" t="s">
        <v>218</v>
      </c>
      <c r="AJ28" s="641"/>
      <c r="AK28" s="641"/>
      <c r="AL28" s="642" t="s">
        <v>219</v>
      </c>
      <c r="AM28" s="641"/>
      <c r="AN28" s="641"/>
      <c r="AO28" s="642" t="s">
        <v>163</v>
      </c>
      <c r="AP28" s="641"/>
      <c r="AQ28" s="641"/>
      <c r="AR28" s="643" t="s">
        <v>425</v>
      </c>
      <c r="AS28" s="644" t="s">
        <v>419</v>
      </c>
    </row>
    <row r="29" spans="1:45" x14ac:dyDescent="0.25">
      <c r="A29" s="643"/>
      <c r="B29" s="643">
        <v>2018</v>
      </c>
      <c r="C29" s="643">
        <v>2019</v>
      </c>
      <c r="D29" s="643" t="s">
        <v>420</v>
      </c>
      <c r="E29" s="643">
        <v>2018</v>
      </c>
      <c r="F29" s="643">
        <v>2019</v>
      </c>
      <c r="G29" s="643" t="s">
        <v>420</v>
      </c>
      <c r="H29" s="643">
        <v>2018</v>
      </c>
      <c r="I29" s="643">
        <v>2019</v>
      </c>
      <c r="J29" s="643" t="s">
        <v>420</v>
      </c>
      <c r="K29" s="643">
        <v>2018</v>
      </c>
      <c r="L29" s="643">
        <v>2019</v>
      </c>
      <c r="M29" s="643" t="s">
        <v>420</v>
      </c>
      <c r="N29" s="643">
        <v>2018</v>
      </c>
      <c r="O29" s="643">
        <v>2019</v>
      </c>
      <c r="P29" s="643" t="s">
        <v>420</v>
      </c>
      <c r="Q29" s="643">
        <v>2018</v>
      </c>
      <c r="R29" s="643">
        <v>2019</v>
      </c>
      <c r="S29" s="643" t="s">
        <v>420</v>
      </c>
      <c r="T29" s="643">
        <v>2018</v>
      </c>
      <c r="U29" s="643">
        <v>2019</v>
      </c>
      <c r="V29" s="643" t="s">
        <v>420</v>
      </c>
      <c r="W29" s="643">
        <v>2018</v>
      </c>
      <c r="X29" s="643">
        <v>2019</v>
      </c>
      <c r="Y29" s="643" t="s">
        <v>420</v>
      </c>
      <c r="Z29" s="643">
        <v>2018</v>
      </c>
      <c r="AA29" s="643">
        <v>2019</v>
      </c>
      <c r="AB29" s="643" t="s">
        <v>420</v>
      </c>
      <c r="AC29" s="643">
        <v>2018</v>
      </c>
      <c r="AD29" s="643">
        <v>2019</v>
      </c>
      <c r="AE29" s="643" t="s">
        <v>420</v>
      </c>
      <c r="AF29" s="643">
        <v>2018</v>
      </c>
      <c r="AG29" s="643">
        <v>2019</v>
      </c>
      <c r="AH29" s="643" t="s">
        <v>420</v>
      </c>
      <c r="AI29" s="643">
        <v>2018</v>
      </c>
      <c r="AJ29" s="643">
        <v>2019</v>
      </c>
      <c r="AK29" s="643" t="s">
        <v>420</v>
      </c>
      <c r="AL29" s="643">
        <v>2018</v>
      </c>
      <c r="AM29" s="643">
        <v>2019</v>
      </c>
      <c r="AN29" s="643" t="s">
        <v>420</v>
      </c>
      <c r="AO29" s="643">
        <v>2018</v>
      </c>
      <c r="AP29" s="643">
        <v>2019</v>
      </c>
      <c r="AQ29" s="643" t="s">
        <v>420</v>
      </c>
      <c r="AR29" s="643"/>
      <c r="AS29" s="643"/>
    </row>
    <row r="30" spans="1:45" ht="14.4" x14ac:dyDescent="0.3">
      <c r="A30" s="8" t="s">
        <v>113</v>
      </c>
      <c r="B30" s="645" t="e">
        <f>VLOOKUP(VLOOKUP(A30,$A$82:$B$105,2,0),'Gestion final Bizkaia 2018'!$B$76:$P$99,2,0)</f>
        <v>#REF!</v>
      </c>
      <c r="C30" s="615" t="e">
        <f>+#REF!</f>
        <v>#REF!</v>
      </c>
      <c r="D30" s="622" t="str">
        <f t="shared" ref="D30:D50" si="12">IFERROR(C30/B30-1,"")</f>
        <v/>
      </c>
      <c r="E30" s="646" t="e">
        <f>VLOOKUP(VLOOKUP(A30,$A$82:$B$105,2,0),'Gestion final Bizkaia 2018'!$B$76:$P$99,3,0)</f>
        <v>#REF!</v>
      </c>
      <c r="F30" s="620" t="e">
        <f>+#REF!</f>
        <v>#REF!</v>
      </c>
      <c r="G30" s="622" t="str">
        <f t="shared" ref="G30:G50" si="13">IFERROR(F30/E30-1,"")</f>
        <v/>
      </c>
      <c r="H30" s="645">
        <f>VLOOKUP(VLOOKUP(A30,$A$82:$B$105,2,0),'Gestion final Bizkaia 2018'!$B$76:$P$99,4,0)</f>
        <v>13524.810616189156</v>
      </c>
      <c r="I30" s="615" t="e">
        <f>+#REF!</f>
        <v>#REF!</v>
      </c>
      <c r="J30" s="622" t="str">
        <f t="shared" ref="J30:J50" si="14">IFERROR(I30/H30-1,"")</f>
        <v/>
      </c>
      <c r="K30" s="645">
        <f>VLOOKUP(VLOOKUP(A30,$A$82:$B$105,2,0),'Gestion final Bizkaia 2018'!$B$76:$P$99,5,0)</f>
        <v>161975.74350952613</v>
      </c>
      <c r="L30" s="615" t="e">
        <f>+#REF!</f>
        <v>#REF!</v>
      </c>
      <c r="M30" s="622" t="str">
        <f t="shared" ref="M30:M50" si="15">IFERROR(L30/K30-1,"")</f>
        <v/>
      </c>
      <c r="N30" s="645">
        <f>VLOOKUP(VLOOKUP(A30,$A$82:$B$105,2,0),'Gestion final Bizkaia 2018'!$B$76:$P$99,6,0)</f>
        <v>10385.72737999634</v>
      </c>
      <c r="O30" s="615" t="e">
        <f>+#REF!</f>
        <v>#REF!</v>
      </c>
      <c r="P30" s="622" t="str">
        <f t="shared" ref="P30:P50" si="16">IFERROR(O30/N30-1,"")</f>
        <v/>
      </c>
      <c r="Q30" s="645">
        <f>VLOOKUP(VLOOKUP(A30,$A$82:$B$105,2,0),'Gestion final Bizkaia 2018'!$B$76:$P$99,7,0)</f>
        <v>21651.436738983626</v>
      </c>
      <c r="R30" s="615" t="e">
        <f>+#REF!</f>
        <v>#REF!</v>
      </c>
      <c r="S30" s="622" t="str">
        <f t="shared" ref="S30:S50" si="17">IFERROR(R30/Q30-1,"")</f>
        <v/>
      </c>
      <c r="T30" s="645">
        <f>VLOOKUP(VLOOKUP(A30,$A$82:$B$105,2,0),'Gestion final Bizkaia 2018'!$B$76:$P$99,8,0)</f>
        <v>40454.601062168134</v>
      </c>
      <c r="U30" s="615" t="e">
        <f>+#REF!+#REF!+#REF!+#REF!</f>
        <v>#REF!</v>
      </c>
      <c r="V30" s="622" t="str">
        <f t="shared" ref="V30:V50" si="18">IFERROR(U30/T30-1,"")</f>
        <v/>
      </c>
      <c r="W30" s="645">
        <f>VLOOKUP(VLOOKUP(A30,$A$82:$B$105,2,0),'Gestion final Bizkaia 2018'!$B$76:$P$99,9,0)</f>
        <v>27930.392727925126</v>
      </c>
      <c r="X30" s="615" t="e">
        <f>+#REF!</f>
        <v>#REF!</v>
      </c>
      <c r="Y30" s="622" t="str">
        <f t="shared" ref="Y30:Y50" si="19">IFERROR(X30/W30-1,"")</f>
        <v/>
      </c>
      <c r="Z30" s="645">
        <f>VLOOKUP(VLOOKUP(A30,$A$82:$B$105,2,0),'Gestion final Bizkaia 2018'!$B$76:$P$99,10,0)</f>
        <v>6201.6019410988902</v>
      </c>
      <c r="AA30" s="615" t="e">
        <f>+#REF!</f>
        <v>#REF!</v>
      </c>
      <c r="AB30" s="622" t="str">
        <f t="shared" ref="AB30:AB50" si="20">IFERROR(AA30/Z30-1,"")</f>
        <v/>
      </c>
      <c r="AC30" s="645">
        <f>VLOOKUP(VLOOKUP(A30,$A$82:$B$105,2,0),'Gestion final Bizkaia 2018'!$B$76:$P$99,11,0)</f>
        <v>8713.9151668465911</v>
      </c>
      <c r="AD30" s="615" t="e">
        <f>+#REF!</f>
        <v>#REF!</v>
      </c>
      <c r="AE30" s="622" t="str">
        <f t="shared" ref="AE30:AE50" si="21">IFERROR(AD30/AC30-1,"")</f>
        <v/>
      </c>
      <c r="AF30" s="645">
        <f>VLOOKUP(VLOOKUP(A30,$A$82:$B$105,2,0),'Gestion final Bizkaia 2018'!$B$76:$P$99,12,0)</f>
        <v>63868.031226334526</v>
      </c>
      <c r="AG30" s="645" t="e">
        <f>+#REF!</f>
        <v>#REF!</v>
      </c>
      <c r="AH30" s="622" t="str">
        <f t="shared" ref="AH30:AH50" si="22">IFERROR(AG30/AF30-1,"")</f>
        <v/>
      </c>
      <c r="AI30" s="615">
        <f>VLOOKUP(VLOOKUP(A30,$A$82:$B$105,2,0),'Gestion final Bizkaia 2018'!$B$76:$P$99,13,0)</f>
        <v>148024.54580745366</v>
      </c>
      <c r="AJ30" s="615" t="e">
        <f>+#REF!</f>
        <v>#REF!</v>
      </c>
      <c r="AK30" s="622" t="str">
        <f t="shared" ref="AK30:AK50" si="23">IFERROR(AJ30/AI30-1,"")</f>
        <v/>
      </c>
      <c r="AL30" s="615">
        <f>VLOOKUP(VLOOKUP(A30,$A$82:$B$105,2,0),'Gestion final Bizkaia 2018'!$B$76:$P$99,14,0)</f>
        <v>11551.4969755934</v>
      </c>
      <c r="AM30" s="615" t="e">
        <f>+#REF!</f>
        <v>#REF!</v>
      </c>
      <c r="AN30" s="622" t="str">
        <f t="shared" ref="AN30:AN50" si="24">IFERROR(AM30/AL30-1,"")</f>
        <v/>
      </c>
      <c r="AO30" s="615">
        <f>VLOOKUP(VLOOKUP(A30,$A$82:$B$105,2,0),'Gestion final Bizkaia 2018'!$B$76:$P$99,15,0)</f>
        <v>37633.304668800003</v>
      </c>
      <c r="AP30" s="615" t="e">
        <f>#REF!</f>
        <v>#REF!</v>
      </c>
      <c r="AQ30" s="622" t="str">
        <f t="shared" ref="AQ30:AQ50" si="25">IFERROR(AP30/AO30-1,"")</f>
        <v/>
      </c>
      <c r="AR30" s="615" t="e">
        <f>+#REF!</f>
        <v>#REF!</v>
      </c>
      <c r="AS30" s="615" t="e">
        <f>+C30-SUM(I30,L30,O30,R30,U30,X30,AA30,AD30,AG30,AJ30,AM30,AP30,AR30)</f>
        <v>#REF!</v>
      </c>
    </row>
    <row r="31" spans="1:45" ht="14.4" x14ac:dyDescent="0.3">
      <c r="A31" s="8" t="s">
        <v>236</v>
      </c>
      <c r="B31" s="645" t="e">
        <f>VLOOKUP(VLOOKUP(A31,$A$82:$B$105,2,0),'Gestion final Bizkaia 2018'!$B$76:$P$99,2,0)</f>
        <v>#REF!</v>
      </c>
      <c r="C31" s="615" t="e">
        <f>+#REF!</f>
        <v>#REF!</v>
      </c>
      <c r="D31" s="622" t="str">
        <f t="shared" si="12"/>
        <v/>
      </c>
      <c r="E31" s="646" t="e">
        <f>VLOOKUP(VLOOKUP(A31,$A$82:$B$105,2,0),'Gestion final Bizkaia 2018'!$B$76:$P$99,3,0)</f>
        <v>#REF!</v>
      </c>
      <c r="F31" s="620" t="e">
        <f>+#REF!</f>
        <v>#REF!</v>
      </c>
      <c r="G31" s="622" t="str">
        <f t="shared" si="13"/>
        <v/>
      </c>
      <c r="H31" s="645">
        <f>VLOOKUP(VLOOKUP(A31,$A$82:$B$105,2,0),'Gestion final Bizkaia 2018'!$B$76:$P$99,4,0)</f>
        <v>13524.810616189156</v>
      </c>
      <c r="I31" s="615" t="e">
        <f>+#REF!</f>
        <v>#REF!</v>
      </c>
      <c r="J31" s="622" t="str">
        <f t="shared" si="14"/>
        <v/>
      </c>
      <c r="K31" s="645">
        <f>VLOOKUP(VLOOKUP(A31,$A$82:$B$105,2,0),'Gestion final Bizkaia 2018'!$B$76:$P$99,5,0)</f>
        <v>249453.6435095261</v>
      </c>
      <c r="L31" s="615" t="e">
        <f>+#REF!</f>
        <v>#REF!</v>
      </c>
      <c r="M31" s="622" t="str">
        <f t="shared" si="15"/>
        <v/>
      </c>
      <c r="N31" s="645">
        <f>VLOOKUP(VLOOKUP(A31,$A$82:$B$105,2,0),'Gestion final Bizkaia 2018'!$B$76:$P$99,6,0)</f>
        <v>10385.72737999634</v>
      </c>
      <c r="O31" s="615" t="e">
        <f>+#REF!</f>
        <v>#REF!</v>
      </c>
      <c r="P31" s="622" t="str">
        <f t="shared" si="16"/>
        <v/>
      </c>
      <c r="Q31" s="645">
        <f>VLOOKUP(VLOOKUP(A31,$A$82:$B$105,2,0),'Gestion final Bizkaia 2018'!$B$76:$P$99,7,0)</f>
        <v>21651.436738983626</v>
      </c>
      <c r="R31" s="615" t="e">
        <f>+#REF!</f>
        <v>#REF!</v>
      </c>
      <c r="S31" s="622" t="str">
        <f t="shared" si="17"/>
        <v/>
      </c>
      <c r="T31" s="645">
        <f>VLOOKUP(VLOOKUP(A31,$A$82:$B$105,2,0),'Gestion final Bizkaia 2018'!$B$76:$P$99,8,0)</f>
        <v>45955.837087146865</v>
      </c>
      <c r="U31" s="615" t="e">
        <f>+#REF!+#REF!+#REF!+#REF!</f>
        <v>#REF!</v>
      </c>
      <c r="V31" s="622" t="str">
        <f t="shared" si="18"/>
        <v/>
      </c>
      <c r="W31" s="645">
        <f>VLOOKUP(VLOOKUP(A31,$A$82:$B$105,2,0),'Gestion final Bizkaia 2018'!$B$76:$P$99,9,0)</f>
        <v>27930.392727925126</v>
      </c>
      <c r="X31" s="615" t="e">
        <f>+#REF!</f>
        <v>#REF!</v>
      </c>
      <c r="Y31" s="622" t="str">
        <f t="shared" si="19"/>
        <v/>
      </c>
      <c r="Z31" s="645">
        <f>VLOOKUP(VLOOKUP(A31,$A$82:$B$105,2,0),'Gestion final Bizkaia 2018'!$B$76:$P$99,10,0)</f>
        <v>6201.6019410988902</v>
      </c>
      <c r="AA31" s="615" t="e">
        <f>+#REF!</f>
        <v>#REF!</v>
      </c>
      <c r="AB31" s="622" t="str">
        <f t="shared" si="20"/>
        <v/>
      </c>
      <c r="AC31" s="645">
        <f>VLOOKUP(VLOOKUP(A31,$A$82:$B$105,2,0),'Gestion final Bizkaia 2018'!$B$76:$P$99,11,0)</f>
        <v>8713.9151668465911</v>
      </c>
      <c r="AD31" s="615" t="e">
        <f>+#REF!</f>
        <v>#REF!</v>
      </c>
      <c r="AE31" s="622" t="str">
        <f t="shared" si="21"/>
        <v/>
      </c>
      <c r="AF31" s="645">
        <f>VLOOKUP(VLOOKUP(A31,$A$82:$B$105,2,0),'Gestion final Bizkaia 2018'!$B$76:$P$99,12,0)</f>
        <v>63868.031226334526</v>
      </c>
      <c r="AG31" s="645" t="e">
        <f>+#REF!</f>
        <v>#REF!</v>
      </c>
      <c r="AH31" s="622" t="str">
        <f t="shared" si="22"/>
        <v/>
      </c>
      <c r="AI31" s="615">
        <f>VLOOKUP(VLOOKUP(A31,$A$82:$B$105,2,0),'Gestion final Bizkaia 2018'!$B$76:$P$99,13,0)</f>
        <v>148024.54580745366</v>
      </c>
      <c r="AJ31" s="615" t="e">
        <f>+#REF!</f>
        <v>#REF!</v>
      </c>
      <c r="AK31" s="622" t="str">
        <f t="shared" si="23"/>
        <v/>
      </c>
      <c r="AL31" s="615">
        <f>VLOOKUP(VLOOKUP(A31,$A$82:$B$105,2,0),'Gestion final Bizkaia 2018'!$B$76:$P$99,14,0)</f>
        <v>11572.890767224588</v>
      </c>
      <c r="AM31" s="615" t="e">
        <f>+#REF!</f>
        <v>#REF!</v>
      </c>
      <c r="AN31" s="622" t="str">
        <f t="shared" si="24"/>
        <v/>
      </c>
      <c r="AO31" s="615">
        <f>VLOOKUP(VLOOKUP(A31,$A$82:$B$105,2,0),'Gestion final Bizkaia 2018'!$B$76:$P$99,15,0)</f>
        <v>37633.304668800003</v>
      </c>
      <c r="AP31" s="615" t="e">
        <f>#REF!</f>
        <v>#REF!</v>
      </c>
      <c r="AQ31" s="622" t="str">
        <f t="shared" si="25"/>
        <v/>
      </c>
      <c r="AR31" s="615" t="e">
        <f>+#REF!</f>
        <v>#REF!</v>
      </c>
      <c r="AS31" s="640" t="e">
        <f>+C31-SUM(I31,L31,O31,R31,U31,X31,AA31,AD31,AG31,AJ31,AM31,AP31,AR31)</f>
        <v>#REF!</v>
      </c>
    </row>
    <row r="32" spans="1:45" ht="14.4" x14ac:dyDescent="0.3">
      <c r="A32" s="8" t="s">
        <v>14</v>
      </c>
      <c r="B32" s="645">
        <f>VLOOKUP(VLOOKUP(A32,$A$82:$B$105,2,0),'Gestion final Bizkaia 2018'!$B$76:$P$99,2,0)</f>
        <v>67573.675600000017</v>
      </c>
      <c r="C32" s="615" t="e">
        <f>+#REF!</f>
        <v>#REF!</v>
      </c>
      <c r="D32" s="622" t="str">
        <f t="shared" si="12"/>
        <v/>
      </c>
      <c r="E32" s="646">
        <f>VLOOKUP(VLOOKUP(A32,$A$82:$B$105,2,0),'Gestion final Bizkaia 2018'!$B$76:$P$99,3,0)</f>
        <v>0.26785578613693167</v>
      </c>
      <c r="F32" s="620" t="e">
        <f>+#REF!</f>
        <v>#REF!</v>
      </c>
      <c r="G32" s="622" t="str">
        <f t="shared" si="13"/>
        <v/>
      </c>
      <c r="H32" s="645">
        <f>VLOOKUP(VLOOKUP(A32,$A$82:$B$105,2,0),'Gestion final Bizkaia 2018'!$B$76:$P$99,4,0)</f>
        <v>0</v>
      </c>
      <c r="I32" s="615" t="e">
        <f>+#REF!</f>
        <v>#REF!</v>
      </c>
      <c r="J32" s="622" t="str">
        <f t="shared" si="14"/>
        <v/>
      </c>
      <c r="K32" s="645">
        <f>VLOOKUP(VLOOKUP(A32,$A$82:$B$105,2,0),'Gestion final Bizkaia 2018'!$B$76:$P$99,5,0)</f>
        <v>19873.054704314131</v>
      </c>
      <c r="L32" s="615" t="e">
        <f>+#REF!</f>
        <v>#REF!</v>
      </c>
      <c r="M32" s="622" t="str">
        <f t="shared" si="15"/>
        <v/>
      </c>
      <c r="N32" s="645">
        <f>VLOOKUP(VLOOKUP(A32,$A$82:$B$105,2,0),'Gestion final Bizkaia 2018'!$B$76:$P$99,6,0)</f>
        <v>0</v>
      </c>
      <c r="O32" s="615" t="e">
        <f>+#REF!</f>
        <v>#REF!</v>
      </c>
      <c r="P32" s="622" t="str">
        <f t="shared" si="16"/>
        <v/>
      </c>
      <c r="Q32" s="645">
        <f>VLOOKUP(VLOOKUP(A32,$A$82:$B$105,2,0),'Gestion final Bizkaia 2018'!$B$76:$P$99,7,0)</f>
        <v>3685.7671849150406</v>
      </c>
      <c r="R32" s="615" t="e">
        <f>+#REF!</f>
        <v>#REF!</v>
      </c>
      <c r="S32" s="622" t="str">
        <f t="shared" si="17"/>
        <v/>
      </c>
      <c r="T32" s="645">
        <f>VLOOKUP(VLOOKUP(A32,$A$82:$B$105,2,0),'Gestion final Bizkaia 2018'!$B$76:$P$99,8,0)</f>
        <v>0</v>
      </c>
      <c r="U32" s="615" t="e">
        <f>+#REF!+#REF!+#REF!+#REF!</f>
        <v>#REF!</v>
      </c>
      <c r="V32" s="622" t="str">
        <f t="shared" si="18"/>
        <v/>
      </c>
      <c r="W32" s="645">
        <f>VLOOKUP(VLOOKUP(A32,$A$82:$B$105,2,0),'Gestion final Bizkaia 2018'!$B$76:$P$99,9,0)</f>
        <v>0</v>
      </c>
      <c r="X32" s="615" t="e">
        <f>+#REF!</f>
        <v>#REF!</v>
      </c>
      <c r="Y32" s="622" t="str">
        <f t="shared" si="19"/>
        <v/>
      </c>
      <c r="Z32" s="645">
        <f>VLOOKUP(VLOOKUP(A32,$A$82:$B$105,2,0),'Gestion final Bizkaia 2018'!$B$76:$P$99,10,0)</f>
        <v>1675.4974533707421</v>
      </c>
      <c r="AA32" s="615" t="e">
        <f>+#REF!</f>
        <v>#REF!</v>
      </c>
      <c r="AB32" s="622" t="str">
        <f t="shared" si="20"/>
        <v/>
      </c>
      <c r="AC32" s="645">
        <f>VLOOKUP(VLOOKUP(A32,$A$82:$B$105,2,0),'Gestion final Bizkaia 2018'!$B$76:$P$99,11,0)</f>
        <v>0</v>
      </c>
      <c r="AD32" s="615" t="e">
        <f>+#REF!</f>
        <v>#REF!</v>
      </c>
      <c r="AE32" s="622" t="str">
        <f t="shared" si="21"/>
        <v/>
      </c>
      <c r="AF32" s="645">
        <f>VLOOKUP(VLOOKUP(A32,$A$82:$B$105,2,0),'Gestion final Bizkaia 2018'!$B$76:$P$99,12,0)</f>
        <v>19333.446212800489</v>
      </c>
      <c r="AG32" s="645" t="e">
        <f>+#REF!</f>
        <v>#REF!</v>
      </c>
      <c r="AH32" s="622" t="str">
        <f t="shared" si="22"/>
        <v/>
      </c>
      <c r="AI32" s="615">
        <f>VLOOKUP(VLOOKUP(A32,$A$82:$B$105,2,0),'Gestion final Bizkaia 2018'!$B$76:$P$99,13,0)</f>
        <v>21150.227304269785</v>
      </c>
      <c r="AJ32" s="615" t="e">
        <f>+#REF!</f>
        <v>#REF!</v>
      </c>
      <c r="AK32" s="622" t="str">
        <f t="shared" si="23"/>
        <v/>
      </c>
      <c r="AL32" s="615">
        <f>VLOOKUP(VLOOKUP(A32,$A$82:$B$105,2,0),'Gestion final Bizkaia 2018'!$B$76:$P$99,14,0)</f>
        <v>1602.4745454656781</v>
      </c>
      <c r="AM32" s="615" t="e">
        <f>+#REF!</f>
        <v>#REF!</v>
      </c>
      <c r="AN32" s="622" t="str">
        <f t="shared" si="24"/>
        <v/>
      </c>
      <c r="AO32" s="615">
        <f>VLOOKUP(VLOOKUP(A32,$A$82:$B$105,2,0),'Gestion final Bizkaia 2018'!$B$76:$P$99,15,0)</f>
        <v>0</v>
      </c>
      <c r="AP32" s="615" t="e">
        <f>#REF!</f>
        <v>#REF!</v>
      </c>
      <c r="AQ32" s="622" t="str">
        <f t="shared" si="25"/>
        <v/>
      </c>
      <c r="AR32" s="615" t="e">
        <f>+#REF!</f>
        <v>#REF!</v>
      </c>
      <c r="AS32" s="615" t="e">
        <f>+C32-SUM(I32,L32,O32,R32,U32,X32,AA32,AD32,AG32,AJ32,AM32,AP32,AR32)</f>
        <v>#REF!</v>
      </c>
    </row>
    <row r="33" spans="1:45" ht="14.4" x14ac:dyDescent="0.3">
      <c r="A33" s="8" t="s">
        <v>32</v>
      </c>
      <c r="B33" s="645">
        <f>VLOOKUP(VLOOKUP(A33,$A$82:$B$105,2,0),'Gestion final Bizkaia 2018'!$B$76:$P$99,2,0)</f>
        <v>43035.430399999997</v>
      </c>
      <c r="C33" s="615" t="e">
        <f>+#REF!</f>
        <v>#REF!</v>
      </c>
      <c r="D33" s="622" t="str">
        <f t="shared" si="12"/>
        <v/>
      </c>
      <c r="E33" s="646">
        <f>VLOOKUP(VLOOKUP(A33,$A$82:$B$105,2,0),'Gestion final Bizkaia 2018'!$B$76:$P$99,3,0)</f>
        <v>0.61530696344563574</v>
      </c>
      <c r="F33" s="620" t="e">
        <f>+#REF!</f>
        <v>#REF!</v>
      </c>
      <c r="G33" s="622" t="str">
        <f t="shared" si="13"/>
        <v/>
      </c>
      <c r="H33" s="645">
        <f>VLOOKUP(VLOOKUP(A33,$A$82:$B$105,2,0),'Gestion final Bizkaia 2018'!$B$76:$P$99,4,0)</f>
        <v>0</v>
      </c>
      <c r="I33" s="615" t="e">
        <f>+#REF!</f>
        <v>#REF!</v>
      </c>
      <c r="J33" s="622" t="str">
        <f t="shared" si="14"/>
        <v/>
      </c>
      <c r="K33" s="645">
        <f>VLOOKUP(VLOOKUP(A33,$A$82:$B$105,2,0),'Gestion final Bizkaia 2018'!$B$76:$P$99,5,0)</f>
        <v>25428.744000000002</v>
      </c>
      <c r="L33" s="615" t="e">
        <f>+#REF!</f>
        <v>#REF!</v>
      </c>
      <c r="M33" s="622" t="str">
        <f t="shared" si="15"/>
        <v/>
      </c>
      <c r="N33" s="645">
        <f>VLOOKUP(VLOOKUP(A33,$A$82:$B$105,2,0),'Gestion final Bizkaia 2018'!$B$76:$P$99,6,0)</f>
        <v>0</v>
      </c>
      <c r="O33" s="615" t="e">
        <f>+#REF!</f>
        <v>#REF!</v>
      </c>
      <c r="P33" s="622" t="str">
        <f t="shared" si="16"/>
        <v/>
      </c>
      <c r="Q33" s="645">
        <f>VLOOKUP(VLOOKUP(A33,$A$82:$B$105,2,0),'Gestion final Bizkaia 2018'!$B$76:$P$99,7,0)</f>
        <v>63.551999999999992</v>
      </c>
      <c r="R33" s="615" t="e">
        <f>+#REF!</f>
        <v>#REF!</v>
      </c>
      <c r="S33" s="622" t="str">
        <f t="shared" si="17"/>
        <v/>
      </c>
      <c r="T33" s="645">
        <f>VLOOKUP(VLOOKUP(A33,$A$82:$B$105,2,0),'Gestion final Bizkaia 2018'!$B$76:$P$99,8,0)</f>
        <v>16487.020564335497</v>
      </c>
      <c r="U33" s="615" t="e">
        <f>+#REF!+#REF!+#REF!+#REF!</f>
        <v>#REF!</v>
      </c>
      <c r="V33" s="622" t="str">
        <f t="shared" si="18"/>
        <v/>
      </c>
      <c r="W33" s="645">
        <f>VLOOKUP(VLOOKUP(A33,$A$82:$B$105,2,0),'Gestion final Bizkaia 2018'!$B$76:$P$99,9,0)</f>
        <v>0</v>
      </c>
      <c r="X33" s="615" t="e">
        <f>+#REF!</f>
        <v>#REF!</v>
      </c>
      <c r="Y33" s="622" t="str">
        <f t="shared" si="19"/>
        <v/>
      </c>
      <c r="Z33" s="645">
        <f>VLOOKUP(VLOOKUP(A33,$A$82:$B$105,2,0),'Gestion final Bizkaia 2018'!$B$76:$P$99,10,0)</f>
        <v>0</v>
      </c>
      <c r="AA33" s="615" t="e">
        <f>+#REF!</f>
        <v>#REF!</v>
      </c>
      <c r="AB33" s="622" t="str">
        <f t="shared" si="20"/>
        <v/>
      </c>
      <c r="AC33" s="645">
        <f>VLOOKUP(VLOOKUP(A33,$A$82:$B$105,2,0),'Gestion final Bizkaia 2018'!$B$76:$P$99,11,0)</f>
        <v>0</v>
      </c>
      <c r="AD33" s="615" t="e">
        <f>+#REF!</f>
        <v>#REF!</v>
      </c>
      <c r="AE33" s="622" t="str">
        <f t="shared" si="21"/>
        <v/>
      </c>
      <c r="AF33" s="645">
        <f>VLOOKUP(VLOOKUP(A33,$A$82:$B$105,2,0),'Gestion final Bizkaia 2018'!$B$76:$P$99,12,0)</f>
        <v>0</v>
      </c>
      <c r="AG33" s="645" t="e">
        <f>+#REF!</f>
        <v>#REF!</v>
      </c>
      <c r="AH33" s="622" t="str">
        <f t="shared" si="22"/>
        <v/>
      </c>
      <c r="AI33" s="615">
        <f>VLOOKUP(VLOOKUP(A33,$A$82:$B$105,2,0),'Gestion final Bizkaia 2018'!$B$76:$P$99,13,0)</f>
        <v>0</v>
      </c>
      <c r="AJ33" s="615" t="e">
        <f>+#REF!</f>
        <v>#REF!</v>
      </c>
      <c r="AK33" s="622" t="str">
        <f t="shared" si="23"/>
        <v/>
      </c>
      <c r="AL33" s="615">
        <f>VLOOKUP(VLOOKUP(A33,$A$82:$B$105,2,0),'Gestion final Bizkaia 2018'!$B$76:$P$99,14,0)</f>
        <v>746.54706305477032</v>
      </c>
      <c r="AM33" s="615" t="e">
        <f>+#REF!</f>
        <v>#REF!</v>
      </c>
      <c r="AN33" s="622" t="str">
        <f t="shared" si="24"/>
        <v/>
      </c>
      <c r="AO33" s="615">
        <f>VLOOKUP(VLOOKUP(A33,$A$82:$B$105,2,0),'Gestion final Bizkaia 2018'!$B$76:$P$99,15,0)</f>
        <v>0</v>
      </c>
      <c r="AP33" s="615" t="e">
        <f>#REF!</f>
        <v>#REF!</v>
      </c>
      <c r="AQ33" s="622" t="str">
        <f t="shared" si="25"/>
        <v/>
      </c>
      <c r="AR33" s="615" t="e">
        <f>+#REF!</f>
        <v>#REF!</v>
      </c>
      <c r="AS33" s="615" t="e">
        <f>+C33-SUM(I33,L33,O33,R33,U33,X33,AA33,AD33,AG33,AJ33,AM33,AP33,AR33)</f>
        <v>#REF!</v>
      </c>
    </row>
    <row r="34" spans="1:45" ht="14.4" x14ac:dyDescent="0.3">
      <c r="A34" s="8" t="s">
        <v>47</v>
      </c>
      <c r="B34" s="645">
        <f>VLOOKUP(VLOOKUP(A34,$A$82:$B$105,2,0),'Gestion final Bizkaia 2018'!$B$76:$P$99,2,0)</f>
        <v>1211.6128000000001</v>
      </c>
      <c r="C34" s="615" t="e">
        <f>+#REF!</f>
        <v>#REF!</v>
      </c>
      <c r="D34" s="622" t="str">
        <f t="shared" si="12"/>
        <v/>
      </c>
      <c r="E34" s="646">
        <f>VLOOKUP(VLOOKUP(A34,$A$82:$B$105,2,0),'Gestion final Bizkaia 2018'!$B$76:$P$99,3,0)</f>
        <v>9.2297638321417533E-2</v>
      </c>
      <c r="F34" s="620" t="e">
        <f>+#REF!</f>
        <v>#REF!</v>
      </c>
      <c r="G34" s="622" t="str">
        <f t="shared" si="13"/>
        <v/>
      </c>
      <c r="H34" s="645">
        <f>VLOOKUP(VLOOKUP(A34,$A$82:$B$105,2,0),'Gestion final Bizkaia 2018'!$B$76:$P$99,4,0)</f>
        <v>0</v>
      </c>
      <c r="I34" s="615" t="e">
        <f>+#REF!</f>
        <v>#REF!</v>
      </c>
      <c r="J34" s="622" t="str">
        <f t="shared" si="14"/>
        <v/>
      </c>
      <c r="K34" s="645">
        <f>VLOOKUP(VLOOKUP(A34,$A$82:$B$105,2,0),'Gestion final Bizkaia 2018'!$B$76:$P$99,5,0)</f>
        <v>111.82900000000001</v>
      </c>
      <c r="L34" s="615" t="e">
        <f>+#REF!</f>
        <v>#REF!</v>
      </c>
      <c r="M34" s="622" t="str">
        <f t="shared" si="15"/>
        <v/>
      </c>
      <c r="N34" s="645">
        <f>VLOOKUP(VLOOKUP(A34,$A$82:$B$105,2,0),'Gestion final Bizkaia 2018'!$B$76:$P$99,6,0)</f>
        <v>0</v>
      </c>
      <c r="O34" s="615" t="e">
        <f>+#REF!</f>
        <v>#REF!</v>
      </c>
      <c r="P34" s="622" t="str">
        <f t="shared" si="16"/>
        <v/>
      </c>
      <c r="Q34" s="645">
        <f>VLOOKUP(VLOOKUP(A34,$A$82:$B$105,2,0),'Gestion final Bizkaia 2018'!$B$76:$P$99,7,0)</f>
        <v>0</v>
      </c>
      <c r="R34" s="615" t="e">
        <f>+#REF!</f>
        <v>#REF!</v>
      </c>
      <c r="S34" s="622" t="str">
        <f t="shared" si="17"/>
        <v/>
      </c>
      <c r="T34" s="645">
        <f>VLOOKUP(VLOOKUP(A34,$A$82:$B$105,2,0),'Gestion final Bizkaia 2018'!$B$76:$P$99,8,0)</f>
        <v>1020.6769608936844</v>
      </c>
      <c r="U34" s="615" t="e">
        <f>+#REF!+#REF!+#REF!+#REF!</f>
        <v>#REF!</v>
      </c>
      <c r="V34" s="622" t="str">
        <f t="shared" si="18"/>
        <v/>
      </c>
      <c r="W34" s="645">
        <f>VLOOKUP(VLOOKUP(A34,$A$82:$B$105,2,0),'Gestion final Bizkaia 2018'!$B$76:$P$99,9,0)</f>
        <v>0</v>
      </c>
      <c r="X34" s="615" t="e">
        <f>+#REF!</f>
        <v>#REF!</v>
      </c>
      <c r="Y34" s="622" t="str">
        <f t="shared" si="19"/>
        <v/>
      </c>
      <c r="Z34" s="645">
        <f>VLOOKUP(VLOOKUP(A34,$A$82:$B$105,2,0),'Gestion final Bizkaia 2018'!$B$76:$P$99,10,0)</f>
        <v>0</v>
      </c>
      <c r="AA34" s="615" t="e">
        <f>+#REF!</f>
        <v>#REF!</v>
      </c>
      <c r="AB34" s="622" t="str">
        <f t="shared" si="20"/>
        <v/>
      </c>
      <c r="AC34" s="645">
        <f>VLOOKUP(VLOOKUP(A34,$A$82:$B$105,2,0),'Gestion final Bizkaia 2018'!$B$76:$P$99,11,0)</f>
        <v>0</v>
      </c>
      <c r="AD34" s="615" t="e">
        <f>+#REF!</f>
        <v>#REF!</v>
      </c>
      <c r="AE34" s="622" t="str">
        <f t="shared" si="21"/>
        <v/>
      </c>
      <c r="AF34" s="645">
        <f>VLOOKUP(VLOOKUP(A34,$A$82:$B$105,2,0),'Gestion final Bizkaia 2018'!$B$76:$P$99,12,0)</f>
        <v>0</v>
      </c>
      <c r="AG34" s="645" t="e">
        <f>+#REF!</f>
        <v>#REF!</v>
      </c>
      <c r="AH34" s="622" t="str">
        <f t="shared" si="22"/>
        <v/>
      </c>
      <c r="AI34" s="615">
        <f>VLOOKUP(VLOOKUP(A34,$A$82:$B$105,2,0),'Gestion final Bizkaia 2018'!$B$76:$P$99,13,0)</f>
        <v>0</v>
      </c>
      <c r="AJ34" s="615" t="e">
        <f>+#REF!</f>
        <v>#REF!</v>
      </c>
      <c r="AK34" s="622" t="str">
        <f t="shared" si="23"/>
        <v/>
      </c>
      <c r="AL34" s="615">
        <f>VLOOKUP(VLOOKUP(A34,$A$82:$B$105,2,0),'Gestion final Bizkaia 2018'!$B$76:$P$99,14,0)</f>
        <v>53.985383962209895</v>
      </c>
      <c r="AM34" s="615" t="e">
        <f>+#REF!</f>
        <v>#REF!</v>
      </c>
      <c r="AN34" s="622" t="str">
        <f t="shared" si="24"/>
        <v/>
      </c>
      <c r="AO34" s="615">
        <f>VLOOKUP(VLOOKUP(A34,$A$82:$B$105,2,0),'Gestion final Bizkaia 2018'!$B$76:$P$99,15,0)</f>
        <v>0</v>
      </c>
      <c r="AP34" s="615" t="e">
        <f>#REF!</f>
        <v>#REF!</v>
      </c>
      <c r="AQ34" s="622" t="str">
        <f t="shared" si="25"/>
        <v/>
      </c>
      <c r="AR34" s="615" t="e">
        <f>+#REF!</f>
        <v>#REF!</v>
      </c>
      <c r="AS34" s="615" t="e">
        <f t="shared" ref="AS34:AS52" si="26">+C34-SUM(I34,L34,O34,R34,U34,X34,AA34,AD34,AG34,AJ34,AM34,AP34,AR34)</f>
        <v>#REF!</v>
      </c>
    </row>
    <row r="35" spans="1:45" ht="14.4" x14ac:dyDescent="0.3">
      <c r="A35" s="8" t="s">
        <v>1</v>
      </c>
      <c r="B35" s="645">
        <f>VLOOKUP(VLOOKUP(A35,$A$82:$B$105,2,0),'Gestion final Bizkaia 2018'!$B$76:$P$99,2,0)</f>
        <v>14556.98428270478</v>
      </c>
      <c r="C35" s="615" t="e">
        <f>+#REF!</f>
        <v>#REF!</v>
      </c>
      <c r="D35" s="622" t="str">
        <f t="shared" si="12"/>
        <v/>
      </c>
      <c r="E35" s="646">
        <f>VLOOKUP(VLOOKUP(A35,$A$82:$B$105,2,0),'Gestion final Bizkaia 2018'!$B$76:$P$99,3,0)</f>
        <v>0.95519515667988253</v>
      </c>
      <c r="F35" s="620" t="e">
        <f>+#REF!</f>
        <v>#REF!</v>
      </c>
      <c r="G35" s="622" t="str">
        <f t="shared" si="13"/>
        <v/>
      </c>
      <c r="H35" s="645">
        <f>VLOOKUP(VLOOKUP(A35,$A$82:$B$105,2,0),'Gestion final Bizkaia 2018'!$B$76:$P$99,4,0)</f>
        <v>38.212959633294474</v>
      </c>
      <c r="I35" s="615" t="e">
        <f>+#REF!</f>
        <v>#REF!</v>
      </c>
      <c r="J35" s="622" t="str">
        <f t="shared" si="14"/>
        <v/>
      </c>
      <c r="K35" s="645">
        <f>VLOOKUP(VLOOKUP(A35,$A$82:$B$105,2,0),'Gestion final Bizkaia 2018'!$B$76:$P$99,5,0)</f>
        <v>11932.333997215144</v>
      </c>
      <c r="L35" s="615" t="e">
        <f>+#REF!</f>
        <v>#REF!</v>
      </c>
      <c r="M35" s="622" t="str">
        <f t="shared" si="15"/>
        <v/>
      </c>
      <c r="N35" s="645">
        <f>VLOOKUP(VLOOKUP(A35,$A$82:$B$105,2,0),'Gestion final Bizkaia 2018'!$B$76:$P$99,6,0)</f>
        <v>0</v>
      </c>
      <c r="O35" s="615" t="e">
        <f>+#REF!</f>
        <v>#REF!</v>
      </c>
      <c r="P35" s="622" t="str">
        <f t="shared" si="16"/>
        <v/>
      </c>
      <c r="Q35" s="645">
        <f>VLOOKUP(VLOOKUP(A35,$A$82:$B$105,2,0),'Gestion final Bizkaia 2018'!$B$76:$P$99,7,0)</f>
        <v>838.54826966792871</v>
      </c>
      <c r="R35" s="615" t="e">
        <f>+#REF!</f>
        <v>#REF!</v>
      </c>
      <c r="S35" s="622" t="str">
        <f t="shared" si="17"/>
        <v/>
      </c>
      <c r="T35" s="645">
        <f>VLOOKUP(VLOOKUP(A35,$A$82:$B$105,2,0),'Gestion final Bizkaia 2018'!$B$76:$P$99,8,0)</f>
        <v>1434.2819199286284</v>
      </c>
      <c r="U35" s="615" t="e">
        <f>+#REF!+#REF!+#REF!+#REF!</f>
        <v>#REF!</v>
      </c>
      <c r="V35" s="622" t="str">
        <f t="shared" si="18"/>
        <v/>
      </c>
      <c r="W35" s="645">
        <f>VLOOKUP(VLOOKUP(A35,$A$82:$B$105,2,0),'Gestion final Bizkaia 2018'!$B$76:$P$99,9,0)</f>
        <v>0</v>
      </c>
      <c r="X35" s="615" t="e">
        <f>+#REF!</f>
        <v>#REF!</v>
      </c>
      <c r="Y35" s="622" t="str">
        <f t="shared" si="19"/>
        <v/>
      </c>
      <c r="Z35" s="645">
        <f>VLOOKUP(VLOOKUP(A35,$A$82:$B$105,2,0),'Gestion final Bizkaia 2018'!$B$76:$P$99,10,0)</f>
        <v>0</v>
      </c>
      <c r="AA35" s="615" t="e">
        <f>+#REF!</f>
        <v>#REF!</v>
      </c>
      <c r="AB35" s="622" t="str">
        <f t="shared" si="20"/>
        <v/>
      </c>
      <c r="AC35" s="645">
        <f>VLOOKUP(VLOOKUP(A35,$A$82:$B$105,2,0),'Gestion final Bizkaia 2018'!$B$76:$P$99,11,0)</f>
        <v>0</v>
      </c>
      <c r="AD35" s="615" t="e">
        <f>+#REF!</f>
        <v>#REF!</v>
      </c>
      <c r="AE35" s="622" t="str">
        <f t="shared" si="21"/>
        <v/>
      </c>
      <c r="AF35" s="645">
        <f>VLOOKUP(VLOOKUP(A35,$A$82:$B$105,2,0),'Gestion final Bizkaia 2018'!$B$76:$P$99,12,0)</f>
        <v>0</v>
      </c>
      <c r="AG35" s="645" t="e">
        <f>+#REF!</f>
        <v>#REF!</v>
      </c>
      <c r="AH35" s="622" t="str">
        <f t="shared" si="22"/>
        <v/>
      </c>
      <c r="AI35" s="615">
        <f>VLOOKUP(VLOOKUP(A35,$A$82:$B$105,2,0),'Gestion final Bizkaia 2018'!$B$76:$P$99,13,0)</f>
        <v>301.21745127812773</v>
      </c>
      <c r="AJ35" s="615" t="e">
        <f>+#REF!</f>
        <v>#REF!</v>
      </c>
      <c r="AK35" s="622" t="str">
        <f t="shared" si="23"/>
        <v/>
      </c>
      <c r="AL35" s="615">
        <f>VLOOKUP(VLOOKUP(A35,$A$82:$B$105,2,0),'Gestion final Bizkaia 2018'!$B$76:$P$99,14,0)</f>
        <v>15.071660529538434</v>
      </c>
      <c r="AM35" s="615" t="e">
        <f>+#REF!</f>
        <v>#REF!</v>
      </c>
      <c r="AN35" s="622" t="str">
        <f t="shared" si="24"/>
        <v/>
      </c>
      <c r="AO35" s="615">
        <f>VLOOKUP(VLOOKUP(A35,$A$82:$B$105,2,0),'Gestion final Bizkaia 2018'!$B$76:$P$99,15,0)</f>
        <v>0</v>
      </c>
      <c r="AP35" s="615" t="e">
        <f>#REF!</f>
        <v>#REF!</v>
      </c>
      <c r="AQ35" s="622" t="str">
        <f t="shared" si="25"/>
        <v/>
      </c>
      <c r="AR35" s="615" t="e">
        <f>+#REF!</f>
        <v>#REF!</v>
      </c>
      <c r="AS35" s="615" t="e">
        <f t="shared" si="26"/>
        <v>#REF!</v>
      </c>
    </row>
    <row r="36" spans="1:45" ht="14.4" x14ac:dyDescent="0.3">
      <c r="A36" s="8" t="s">
        <v>5</v>
      </c>
      <c r="B36" s="645" t="e">
        <f>VLOOKUP(VLOOKUP(A36,$A$82:$B$105,2,0),'Gestion final Bizkaia 2018'!$B$76:$P$99,2,0)</f>
        <v>#REF!</v>
      </c>
      <c r="C36" s="615" t="e">
        <f>+#REF!</f>
        <v>#REF!</v>
      </c>
      <c r="D36" s="622" t="str">
        <f t="shared" si="12"/>
        <v/>
      </c>
      <c r="E36" s="646" t="e">
        <f>VLOOKUP(VLOOKUP(A36,$A$82:$B$105,2,0),'Gestion final Bizkaia 2018'!$B$76:$P$99,3,0)</f>
        <v>#REF!</v>
      </c>
      <c r="F36" s="620" t="e">
        <f>+#REF!</f>
        <v>#REF!</v>
      </c>
      <c r="G36" s="622" t="str">
        <f t="shared" si="13"/>
        <v/>
      </c>
      <c r="H36" s="645">
        <f>VLOOKUP(VLOOKUP(A36,$A$82:$B$105,2,0),'Gestion final Bizkaia 2018'!$B$76:$P$99,4,0)</f>
        <v>0</v>
      </c>
      <c r="I36" s="615" t="e">
        <f>+#REF!</f>
        <v>#REF!</v>
      </c>
      <c r="J36" s="622" t="str">
        <f t="shared" si="14"/>
        <v/>
      </c>
      <c r="K36" s="645">
        <f>VLOOKUP(VLOOKUP(A36,$A$82:$B$105,2,0),'Gestion final Bizkaia 2018'!$B$76:$P$99,5,0)</f>
        <v>0</v>
      </c>
      <c r="L36" s="615" t="e">
        <f>+#REF!</f>
        <v>#REF!</v>
      </c>
      <c r="M36" s="622" t="str">
        <f t="shared" si="15"/>
        <v/>
      </c>
      <c r="N36" s="645">
        <f>VLOOKUP(VLOOKUP(A36,$A$82:$B$105,2,0),'Gestion final Bizkaia 2018'!$B$76:$P$99,6,0)</f>
        <v>10385.72737999634</v>
      </c>
      <c r="O36" s="615" t="e">
        <f>+#REF!</f>
        <v>#REF!</v>
      </c>
      <c r="P36" s="622" t="str">
        <f t="shared" si="16"/>
        <v/>
      </c>
      <c r="Q36" s="645">
        <f>VLOOKUP(VLOOKUP(A36,$A$82:$B$105,2,0),'Gestion final Bizkaia 2018'!$B$76:$P$99,7,0)</f>
        <v>0</v>
      </c>
      <c r="R36" s="615" t="e">
        <f>+#REF!</f>
        <v>#REF!</v>
      </c>
      <c r="S36" s="622" t="str">
        <f t="shared" si="17"/>
        <v/>
      </c>
      <c r="T36" s="645">
        <f>VLOOKUP(VLOOKUP(A36,$A$82:$B$105,2,0),'Gestion final Bizkaia 2018'!$B$76:$P$99,8,0)</f>
        <v>343.57321200365965</v>
      </c>
      <c r="U36" s="615" t="e">
        <f>+#REF!+#REF!+#REF!+#REF!</f>
        <v>#REF!</v>
      </c>
      <c r="V36" s="622" t="str">
        <f t="shared" si="18"/>
        <v/>
      </c>
      <c r="W36" s="645">
        <f>VLOOKUP(VLOOKUP(A36,$A$82:$B$105,2,0),'Gestion final Bizkaia 2018'!$B$76:$P$99,9,0)</f>
        <v>21063.793831074687</v>
      </c>
      <c r="X36" s="615" t="e">
        <f>+#REF!</f>
        <v>#REF!</v>
      </c>
      <c r="Y36" s="622" t="str">
        <f t="shared" si="19"/>
        <v/>
      </c>
      <c r="Z36" s="645">
        <f>VLOOKUP(VLOOKUP(A36,$A$82:$B$105,2,0),'Gestion final Bizkaia 2018'!$B$76:$P$99,10,0)</f>
        <v>0</v>
      </c>
      <c r="AA36" s="615" t="e">
        <f>+#REF!</f>
        <v>#REF!</v>
      </c>
      <c r="AB36" s="622" t="str">
        <f t="shared" si="20"/>
        <v/>
      </c>
      <c r="AC36" s="645">
        <f>VLOOKUP(VLOOKUP(A36,$A$82:$B$105,2,0),'Gestion final Bizkaia 2018'!$B$76:$P$99,11,0)</f>
        <v>6571.6266263745683</v>
      </c>
      <c r="AD36" s="615" t="e">
        <f>+#REF!</f>
        <v>#REF!</v>
      </c>
      <c r="AE36" s="622" t="str">
        <f t="shared" si="21"/>
        <v/>
      </c>
      <c r="AF36" s="645">
        <f>VLOOKUP(VLOOKUP(A36,$A$82:$B$105,2,0),'Gestion final Bizkaia 2018'!$B$76:$P$99,12,0)</f>
        <v>0</v>
      </c>
      <c r="AG36" s="645" t="e">
        <f>+#REF!</f>
        <v>#REF!</v>
      </c>
      <c r="AH36" s="622" t="str">
        <f t="shared" si="22"/>
        <v/>
      </c>
      <c r="AI36" s="615">
        <f>VLOOKUP(VLOOKUP(A36,$A$82:$B$105,2,0),'Gestion final Bizkaia 2018'!$B$76:$P$99,13,0)</f>
        <v>59086.457323633906</v>
      </c>
      <c r="AJ36" s="615" t="e">
        <f>+#REF!</f>
        <v>#REF!</v>
      </c>
      <c r="AK36" s="622" t="str">
        <f t="shared" si="23"/>
        <v/>
      </c>
      <c r="AL36" s="615">
        <f>VLOOKUP(VLOOKUP(A36,$A$82:$B$105,2,0),'Gestion final Bizkaia 2018'!$B$76:$P$99,14,0)</f>
        <v>3994.3222773896205</v>
      </c>
      <c r="AM36" s="615" t="e">
        <f>+#REF!</f>
        <v>#REF!</v>
      </c>
      <c r="AN36" s="622" t="str">
        <f t="shared" si="24"/>
        <v/>
      </c>
      <c r="AO36" s="615">
        <f>VLOOKUP(VLOOKUP(A36,$A$82:$B$105,2,0),'Gestion final Bizkaia 2018'!$B$76:$P$99,15,0)</f>
        <v>37467</v>
      </c>
      <c r="AP36" s="615" t="e">
        <f>#REF!</f>
        <v>#REF!</v>
      </c>
      <c r="AQ36" s="622" t="str">
        <f t="shared" si="25"/>
        <v/>
      </c>
      <c r="AR36" s="615" t="e">
        <f>+#REF!</f>
        <v>#REF!</v>
      </c>
      <c r="AS36" s="615" t="e">
        <f t="shared" si="26"/>
        <v>#REF!</v>
      </c>
    </row>
    <row r="37" spans="1:45" ht="14.4" x14ac:dyDescent="0.3">
      <c r="A37" s="8" t="s">
        <v>28</v>
      </c>
      <c r="B37" s="645">
        <f>VLOOKUP(VLOOKUP(A37,$A$82:$B$105,2,0),'Gestion final Bizkaia 2018'!$B$76:$P$99,2,0)</f>
        <v>157845.8026</v>
      </c>
      <c r="C37" s="615" t="e">
        <f>+#REF!</f>
        <v>#REF!</v>
      </c>
      <c r="D37" s="622" t="str">
        <f t="shared" si="12"/>
        <v/>
      </c>
      <c r="E37" s="646">
        <f>VLOOKUP(VLOOKUP(A37,$A$82:$B$105,2,0),'Gestion final Bizkaia 2018'!$B$76:$P$99,3,0)</f>
        <v>0.56733215913845281</v>
      </c>
      <c r="F37" s="620" t="e">
        <f>+#REF!</f>
        <v>#REF!</v>
      </c>
      <c r="G37" s="622" t="str">
        <f t="shared" si="13"/>
        <v/>
      </c>
      <c r="H37" s="645">
        <f>VLOOKUP(VLOOKUP(A37,$A$82:$B$105,2,0),'Gestion final Bizkaia 2018'!$B$76:$P$99,4,0)</f>
        <v>0</v>
      </c>
      <c r="I37" s="615" t="e">
        <f>+#REF!</f>
        <v>#REF!</v>
      </c>
      <c r="J37" s="622" t="str">
        <f t="shared" si="14"/>
        <v/>
      </c>
      <c r="K37" s="645">
        <f>VLOOKUP(VLOOKUP(A37,$A$82:$B$105,2,0),'Gestion final Bizkaia 2018'!$B$76:$P$99,5,0)</f>
        <v>87614.593607468123</v>
      </c>
      <c r="L37" s="615" t="e">
        <f>+#REF!</f>
        <v>#REF!</v>
      </c>
      <c r="M37" s="622" t="str">
        <f t="shared" si="15"/>
        <v/>
      </c>
      <c r="N37" s="645">
        <f>VLOOKUP(VLOOKUP(A37,$A$82:$B$105,2,0),'Gestion final Bizkaia 2018'!$B$76:$P$99,6,0)</f>
        <v>0</v>
      </c>
      <c r="O37" s="615" t="e">
        <f>+#REF!</f>
        <v>#REF!</v>
      </c>
      <c r="P37" s="622" t="str">
        <f t="shared" si="16"/>
        <v/>
      </c>
      <c r="Q37" s="645">
        <f>VLOOKUP(VLOOKUP(A37,$A$82:$B$105,2,0),'Gestion final Bizkaia 2018'!$B$76:$P$99,7,0)</f>
        <v>0</v>
      </c>
      <c r="R37" s="615" t="e">
        <f>+#REF!</f>
        <v>#REF!</v>
      </c>
      <c r="S37" s="622" t="str">
        <f t="shared" si="17"/>
        <v/>
      </c>
      <c r="T37" s="645">
        <f>VLOOKUP(VLOOKUP(A37,$A$82:$B$105,2,0),'Gestion final Bizkaia 2018'!$B$76:$P$99,8,0)</f>
        <v>4477.55</v>
      </c>
      <c r="U37" s="615" t="e">
        <f>+#REF!+#REF!+#REF!+#REF!</f>
        <v>#REF!</v>
      </c>
      <c r="V37" s="622" t="str">
        <f t="shared" si="18"/>
        <v/>
      </c>
      <c r="W37" s="645">
        <f>VLOOKUP(VLOOKUP(A37,$A$82:$B$105,2,0),'Gestion final Bizkaia 2018'!$B$76:$P$99,9,0)</f>
        <v>6866.5988968504389</v>
      </c>
      <c r="X37" s="615" t="e">
        <f>+#REF!</f>
        <v>#REF!</v>
      </c>
      <c r="Y37" s="622" t="str">
        <f t="shared" si="19"/>
        <v/>
      </c>
      <c r="Z37" s="645">
        <f>VLOOKUP(VLOOKUP(A37,$A$82:$B$105,2,0),'Gestion final Bizkaia 2018'!$B$76:$P$99,10,0)</f>
        <v>2032.8074802016481</v>
      </c>
      <c r="AA37" s="615" t="e">
        <f>+#REF!</f>
        <v>#REF!</v>
      </c>
      <c r="AB37" s="622" t="str">
        <f t="shared" si="20"/>
        <v/>
      </c>
      <c r="AC37" s="645">
        <f>VLOOKUP(VLOOKUP(A37,$A$82:$B$105,2,0),'Gestion final Bizkaia 2018'!$B$76:$P$99,11,0)</f>
        <v>2142.2885404720223</v>
      </c>
      <c r="AD37" s="615" t="e">
        <f>+#REF!</f>
        <v>#REF!</v>
      </c>
      <c r="AE37" s="622" t="str">
        <f t="shared" si="21"/>
        <v/>
      </c>
      <c r="AF37" s="645">
        <f>VLOOKUP(VLOOKUP(A37,$A$82:$B$105,2,0),'Gestion final Bizkaia 2018'!$B$76:$P$99,12,0)</f>
        <v>20001.800176873363</v>
      </c>
      <c r="AG37" s="645" t="e">
        <f>+#REF!</f>
        <v>#REF!</v>
      </c>
      <c r="AH37" s="622" t="str">
        <f t="shared" si="22"/>
        <v/>
      </c>
      <c r="AI37" s="615">
        <f>VLOOKUP(VLOOKUP(A37,$A$82:$B$105,2,0),'Gestion final Bizkaia 2018'!$B$76:$P$99,13,0)</f>
        <v>31178.035932909774</v>
      </c>
      <c r="AJ37" s="615" t="e">
        <f>+#REF!</f>
        <v>#REF!</v>
      </c>
      <c r="AK37" s="622" t="str">
        <f t="shared" si="23"/>
        <v/>
      </c>
      <c r="AL37" s="615">
        <f>VLOOKUP(VLOOKUP(A37,$A$82:$B$105,2,0),'Gestion final Bizkaia 2018'!$B$76:$P$99,14,0)</f>
        <v>2688.0890646060725</v>
      </c>
      <c r="AM37" s="615" t="e">
        <f>+#REF!</f>
        <v>#REF!</v>
      </c>
      <c r="AN37" s="622" t="str">
        <f t="shared" si="24"/>
        <v/>
      </c>
      <c r="AO37" s="615">
        <f>VLOOKUP(VLOOKUP(A37,$A$82:$B$105,2,0),'Gestion final Bizkaia 2018'!$B$76:$P$99,15,0)</f>
        <v>0</v>
      </c>
      <c r="AP37" s="615" t="e">
        <f>#REF!</f>
        <v>#REF!</v>
      </c>
      <c r="AQ37" s="622" t="str">
        <f t="shared" si="25"/>
        <v/>
      </c>
      <c r="AR37" s="615" t="e">
        <f>+#REF!</f>
        <v>#REF!</v>
      </c>
      <c r="AS37" s="615" t="e">
        <f t="shared" si="26"/>
        <v>#REF!</v>
      </c>
    </row>
    <row r="38" spans="1:45" ht="14.4" x14ac:dyDescent="0.3">
      <c r="A38" s="325" t="s">
        <v>17</v>
      </c>
      <c r="B38" s="645">
        <f>VLOOKUP(VLOOKUP(A38,$A$82:$B$105,2,0),'Gestion final Bizkaia 2018'!$B$76:$P$99,2,0)</f>
        <v>8284.0378000000019</v>
      </c>
      <c r="C38" s="615" t="e">
        <f>+#REF!</f>
        <v>#REF!</v>
      </c>
      <c r="D38" s="622" t="str">
        <f t="shared" si="12"/>
        <v/>
      </c>
      <c r="E38" s="646">
        <f>VLOOKUP(VLOOKUP(A38,$A$82:$B$105,2,0),'Gestion final Bizkaia 2018'!$B$76:$P$99,3,0)</f>
        <v>6.2047037013761561E-2</v>
      </c>
      <c r="F38" s="620" t="e">
        <f>+#REF!</f>
        <v>#REF!</v>
      </c>
      <c r="G38" s="622" t="str">
        <f t="shared" si="13"/>
        <v/>
      </c>
      <c r="H38" s="645">
        <f>VLOOKUP(VLOOKUP(A38,$A$82:$B$105,2,0),'Gestion final Bizkaia 2018'!$B$76:$P$99,4,0)</f>
        <v>0</v>
      </c>
      <c r="I38" s="615" t="e">
        <f>+#REF!</f>
        <v>#REF!</v>
      </c>
      <c r="J38" s="622" t="str">
        <f t="shared" si="14"/>
        <v/>
      </c>
      <c r="K38" s="645">
        <f>VLOOKUP(VLOOKUP(A38,$A$82:$B$105,2,0),'Gestion final Bizkaia 2018'!$B$76:$P$99,5,0)</f>
        <v>1759.6794019678946</v>
      </c>
      <c r="L38" s="615" t="e">
        <f>+#REF!</f>
        <v>#REF!</v>
      </c>
      <c r="M38" s="622" t="str">
        <f t="shared" si="15"/>
        <v/>
      </c>
      <c r="N38" s="645">
        <f>VLOOKUP(VLOOKUP(A38,$A$82:$B$105,2,0),'Gestion final Bizkaia 2018'!$B$76:$P$99,6,0)</f>
        <v>0</v>
      </c>
      <c r="O38" s="615" t="e">
        <f>+#REF!</f>
        <v>#REF!</v>
      </c>
      <c r="P38" s="622" t="str">
        <f t="shared" si="16"/>
        <v/>
      </c>
      <c r="Q38" s="645">
        <f>VLOOKUP(VLOOKUP(A38,$A$82:$B$105,2,0),'Gestion final Bizkaia 2018'!$B$76:$P$99,7,0)</f>
        <v>0</v>
      </c>
      <c r="R38" s="615" t="e">
        <f>+#REF!</f>
        <v>#REF!</v>
      </c>
      <c r="S38" s="622" t="str">
        <f t="shared" si="17"/>
        <v/>
      </c>
      <c r="T38" s="645">
        <f>VLOOKUP(VLOOKUP(A38,$A$82:$B$105,2,0),'Gestion final Bizkaia 2018'!$B$76:$P$99,8,0)</f>
        <v>6349.0599562737261</v>
      </c>
      <c r="U38" s="615" t="e">
        <f>+#REF!+#REF!+#REF!+#REF!</f>
        <v>#REF!</v>
      </c>
      <c r="V38" s="622" t="str">
        <f t="shared" si="18"/>
        <v/>
      </c>
      <c r="W38" s="645">
        <f>VLOOKUP(VLOOKUP(A38,$A$82:$B$105,2,0),'Gestion final Bizkaia 2018'!$B$76:$P$99,9,0)</f>
        <v>0</v>
      </c>
      <c r="X38" s="615" t="e">
        <f>+#REF!</f>
        <v>#REF!</v>
      </c>
      <c r="Y38" s="622" t="str">
        <f t="shared" si="19"/>
        <v/>
      </c>
      <c r="Z38" s="645">
        <f>VLOOKUP(VLOOKUP(A38,$A$82:$B$105,2,0),'Gestion final Bizkaia 2018'!$B$76:$P$99,10,0)</f>
        <v>0</v>
      </c>
      <c r="AA38" s="615" t="e">
        <f>+#REF!</f>
        <v>#REF!</v>
      </c>
      <c r="AB38" s="622" t="str">
        <f t="shared" si="20"/>
        <v/>
      </c>
      <c r="AC38" s="645">
        <f>VLOOKUP(VLOOKUP(A38,$A$82:$B$105,2,0),'Gestion final Bizkaia 2018'!$B$76:$P$99,11,0)</f>
        <v>0</v>
      </c>
      <c r="AD38" s="615" t="e">
        <f>+#REF!</f>
        <v>#REF!</v>
      </c>
      <c r="AE38" s="622" t="str">
        <f t="shared" si="21"/>
        <v/>
      </c>
      <c r="AF38" s="645">
        <f>VLOOKUP(VLOOKUP(A38,$A$82:$B$105,2,0),'Gestion final Bizkaia 2018'!$B$76:$P$99,12,0)</f>
        <v>0</v>
      </c>
      <c r="AG38" s="645" t="e">
        <f>+#REF!</f>
        <v>#REF!</v>
      </c>
      <c r="AH38" s="622" t="str">
        <f t="shared" si="22"/>
        <v/>
      </c>
      <c r="AI38" s="615">
        <f>VLOOKUP(VLOOKUP(A38,$A$82:$B$105,2,0),'Gestion final Bizkaia 2018'!$B$76:$P$99,13,0)</f>
        <v>0</v>
      </c>
      <c r="AJ38" s="615" t="e">
        <f>+#REF!</f>
        <v>#REF!</v>
      </c>
      <c r="AK38" s="622" t="str">
        <f t="shared" si="23"/>
        <v/>
      </c>
      <c r="AL38" s="615">
        <f>VLOOKUP(VLOOKUP(A38,$A$82:$B$105,2,0),'Gestion final Bizkaia 2018'!$B$76:$P$99,14,0)</f>
        <v>193.41610696914645</v>
      </c>
      <c r="AM38" s="615" t="e">
        <f>+#REF!</f>
        <v>#REF!</v>
      </c>
      <c r="AN38" s="622" t="str">
        <f t="shared" si="24"/>
        <v/>
      </c>
      <c r="AO38" s="615">
        <f>VLOOKUP(VLOOKUP(A38,$A$82:$B$105,2,0),'Gestion final Bizkaia 2018'!$B$76:$P$99,15,0)</f>
        <v>0</v>
      </c>
      <c r="AP38" s="615" t="e">
        <f>#REF!</f>
        <v>#REF!</v>
      </c>
      <c r="AQ38" s="622" t="str">
        <f t="shared" si="25"/>
        <v/>
      </c>
      <c r="AR38" s="615" t="e">
        <f>+#REF!</f>
        <v>#REF!</v>
      </c>
      <c r="AS38" s="615" t="e">
        <f t="shared" si="26"/>
        <v>#REF!</v>
      </c>
    </row>
    <row r="39" spans="1:45" ht="14.4" x14ac:dyDescent="0.3">
      <c r="A39" s="8" t="s">
        <v>29</v>
      </c>
      <c r="B39" s="645">
        <f>VLOOKUP(VLOOKUP(A39,$A$82:$B$105,2,0),'Gestion final Bizkaia 2018'!$B$76:$P$99,2,0)</f>
        <v>14611.420600000001</v>
      </c>
      <c r="C39" s="615" t="e">
        <f>+#REF!</f>
        <v>#REF!</v>
      </c>
      <c r="D39" s="647" t="str">
        <f t="shared" si="12"/>
        <v/>
      </c>
      <c r="E39" s="648">
        <f>VLOOKUP(VLOOKUP(A39,$A$82:$B$105,2,0),'Gestion final Bizkaia 2018'!$B$76:$P$99,3,0)</f>
        <v>0.67821420457912218</v>
      </c>
      <c r="F39" s="649" t="e">
        <f>+#REF!</f>
        <v>#REF!</v>
      </c>
      <c r="G39" s="647" t="str">
        <f t="shared" si="13"/>
        <v/>
      </c>
      <c r="H39" s="645">
        <f>VLOOKUP(VLOOKUP(A39,$A$82:$B$105,2,0),'Gestion final Bizkaia 2018'!$B$76:$P$99,4,0)</f>
        <v>0</v>
      </c>
      <c r="I39" s="615" t="e">
        <f>+#REF!</f>
        <v>#REF!</v>
      </c>
      <c r="J39" s="647" t="str">
        <f t="shared" si="14"/>
        <v/>
      </c>
      <c r="K39" s="645">
        <f>VLOOKUP(VLOOKUP(A39,$A$82:$B$105,2,0),'Gestion final Bizkaia 2018'!$B$76:$P$99,5,0)</f>
        <v>1781.8493904531178</v>
      </c>
      <c r="L39" s="615" t="e">
        <f>+#REF!</f>
        <v>#REF!</v>
      </c>
      <c r="M39" s="647" t="str">
        <f t="shared" si="15"/>
        <v/>
      </c>
      <c r="N39" s="645">
        <f>VLOOKUP(VLOOKUP(A39,$A$82:$B$105,2,0),'Gestion final Bizkaia 2018'!$B$76:$P$99,6,0)</f>
        <v>0</v>
      </c>
      <c r="O39" s="615" t="e">
        <f>+#REF!</f>
        <v>#REF!</v>
      </c>
      <c r="P39" s="647" t="str">
        <f t="shared" si="16"/>
        <v/>
      </c>
      <c r="Q39" s="645">
        <f>VLOOKUP(VLOOKUP(A39,$A$82:$B$105,2,0),'Gestion final Bizkaia 2018'!$B$76:$P$99,7,0)</f>
        <v>8044.9101495468831</v>
      </c>
      <c r="R39" s="615" t="e">
        <f>+#REF!</f>
        <v>#REF!</v>
      </c>
      <c r="S39" s="647" t="str">
        <f t="shared" si="17"/>
        <v/>
      </c>
      <c r="T39" s="645">
        <f>VLOOKUP(VLOOKUP(A39,$A$82:$B$105,2,0),'Gestion final Bizkaia 2018'!$B$76:$P$99,8,0)</f>
        <v>82.913460000000015</v>
      </c>
      <c r="U39" s="615" t="e">
        <f>+#REF!+#REF!+#REF!+#REF!</f>
        <v>#REF!</v>
      </c>
      <c r="V39" s="647" t="str">
        <f t="shared" si="18"/>
        <v/>
      </c>
      <c r="W39" s="645">
        <f>VLOOKUP(VLOOKUP(A39,$A$82:$B$105,2,0),'Gestion final Bizkaia 2018'!$B$76:$P$99,9,0)</f>
        <v>0</v>
      </c>
      <c r="X39" s="615" t="e">
        <f>+#REF!</f>
        <v>#REF!</v>
      </c>
      <c r="Y39" s="647" t="str">
        <f t="shared" si="19"/>
        <v/>
      </c>
      <c r="Z39" s="645">
        <f>VLOOKUP(VLOOKUP(A39,$A$82:$B$105,2,0),'Gestion final Bizkaia 2018'!$B$76:$P$99,10,0)</f>
        <v>225.25766643392149</v>
      </c>
      <c r="AA39" s="615" t="e">
        <f>+#REF!</f>
        <v>#REF!</v>
      </c>
      <c r="AB39" s="647" t="str">
        <f t="shared" si="20"/>
        <v/>
      </c>
      <c r="AC39" s="645">
        <f>VLOOKUP(VLOOKUP(A39,$A$82:$B$105,2,0),'Gestion final Bizkaia 2018'!$B$76:$P$99,11,0)</f>
        <v>0</v>
      </c>
      <c r="AD39" s="615" t="e">
        <f>+#REF!</f>
        <v>#REF!</v>
      </c>
      <c r="AE39" s="647" t="str">
        <f t="shared" si="21"/>
        <v/>
      </c>
      <c r="AF39" s="645">
        <f>VLOOKUP(VLOOKUP(A39,$A$82:$B$105,2,0),'Gestion final Bizkaia 2018'!$B$76:$P$99,12,0)</f>
        <v>2216.42180885381</v>
      </c>
      <c r="AG39" s="645" t="e">
        <f>+#REF!</f>
        <v>#REF!</v>
      </c>
      <c r="AH39" s="647" t="str">
        <f t="shared" si="22"/>
        <v/>
      </c>
      <c r="AI39" s="615">
        <f>VLOOKUP(VLOOKUP(A39,$A$82:$B$105,2,0),'Gestion final Bizkaia 2018'!$B$76:$P$99,13,0)</f>
        <v>2171.171818153995</v>
      </c>
      <c r="AJ39" s="615" t="e">
        <f>+#REF!</f>
        <v>#REF!</v>
      </c>
      <c r="AK39" s="647" t="str">
        <f t="shared" si="23"/>
        <v/>
      </c>
      <c r="AL39" s="615">
        <f>VLOOKUP(VLOOKUP(A39,$A$82:$B$105,2,0),'Gestion final Bizkaia 2018'!$B$76:$P$99,14,0)</f>
        <v>109.39635648218152</v>
      </c>
      <c r="AM39" s="615" t="e">
        <f>+#REF!</f>
        <v>#REF!</v>
      </c>
      <c r="AN39" s="647" t="str">
        <f t="shared" si="24"/>
        <v/>
      </c>
      <c r="AO39" s="615">
        <f>VLOOKUP(VLOOKUP(A39,$A$82:$B$105,2,0),'Gestion final Bizkaia 2018'!$B$76:$P$99,15,0)</f>
        <v>0</v>
      </c>
      <c r="AP39" s="615" t="e">
        <f>#REF!</f>
        <v>#REF!</v>
      </c>
      <c r="AQ39" s="647" t="str">
        <f t="shared" si="25"/>
        <v/>
      </c>
      <c r="AR39" s="615" t="e">
        <f>+#REF!</f>
        <v>#REF!</v>
      </c>
      <c r="AS39" s="615" t="e">
        <f t="shared" si="26"/>
        <v>#REF!</v>
      </c>
    </row>
    <row r="40" spans="1:45" ht="14.4" x14ac:dyDescent="0.3">
      <c r="A40" s="8" t="s">
        <v>42</v>
      </c>
      <c r="B40" s="645">
        <f>VLOOKUP(VLOOKUP(A40,$A$82:$B$105,2,0),'Gestion final Bizkaia 2018'!$B$76:$P$99,2,0)</f>
        <v>325.34945000000005</v>
      </c>
      <c r="C40" s="615" t="e">
        <f>+#REF!</f>
        <v>#REF!</v>
      </c>
      <c r="D40" s="622" t="str">
        <f t="shared" si="12"/>
        <v/>
      </c>
      <c r="E40" s="646">
        <f>VLOOKUP(VLOOKUP(A40,$A$82:$B$105,2,0),'Gestion final Bizkaia 2018'!$B$76:$P$99,3,0)</f>
        <v>0.66034244102763962</v>
      </c>
      <c r="F40" s="620" t="e">
        <f>+#REF!</f>
        <v>#REF!</v>
      </c>
      <c r="G40" s="622" t="str">
        <f t="shared" si="13"/>
        <v/>
      </c>
      <c r="H40" s="645">
        <f>VLOOKUP(VLOOKUP(A40,$A$82:$B$105,2,0),'Gestion final Bizkaia 2018'!$B$76:$P$99,4,0)</f>
        <v>0</v>
      </c>
      <c r="I40" s="615" t="e">
        <f>+#REF!</f>
        <v>#REF!</v>
      </c>
      <c r="J40" s="622" t="str">
        <f t="shared" si="14"/>
        <v/>
      </c>
      <c r="K40" s="645">
        <f>VLOOKUP(VLOOKUP(A40,$A$82:$B$105,2,0),'Gestion final Bizkaia 2018'!$B$76:$P$99,5,0)</f>
        <v>106.00306747</v>
      </c>
      <c r="L40" s="615" t="e">
        <f>+#REF!</f>
        <v>#REF!</v>
      </c>
      <c r="M40" s="622" t="str">
        <f t="shared" si="15"/>
        <v/>
      </c>
      <c r="N40" s="645">
        <f>VLOOKUP(VLOOKUP(A40,$A$82:$B$105,2,0),'Gestion final Bizkaia 2018'!$B$76:$P$99,6,0)</f>
        <v>0</v>
      </c>
      <c r="O40" s="615" t="e">
        <f>+#REF!</f>
        <v>#REF!</v>
      </c>
      <c r="P40" s="622" t="str">
        <f t="shared" si="16"/>
        <v/>
      </c>
      <c r="Q40" s="645">
        <f>VLOOKUP(VLOOKUP(A40,$A$82:$B$105,2,0),'Gestion final Bizkaia 2018'!$B$76:$P$99,7,0)</f>
        <v>1.7187364000000001</v>
      </c>
      <c r="R40" s="615" t="e">
        <f>+#REF!</f>
        <v>#REF!</v>
      </c>
      <c r="S40" s="622" t="str">
        <f t="shared" si="17"/>
        <v/>
      </c>
      <c r="T40" s="645">
        <f>VLOOKUP(VLOOKUP(A40,$A$82:$B$105,2,0),'Gestion final Bizkaia 2018'!$B$76:$P$99,8,0)</f>
        <v>212.16376207174036</v>
      </c>
      <c r="U40" s="615" t="e">
        <f>+#REF!+#REF!+#REF!+#REF!</f>
        <v>#REF!</v>
      </c>
      <c r="V40" s="622" t="str">
        <f t="shared" si="18"/>
        <v/>
      </c>
      <c r="W40" s="645">
        <f>VLOOKUP(VLOOKUP(A40,$A$82:$B$105,2,0),'Gestion final Bizkaia 2018'!$B$76:$P$99,9,0)</f>
        <v>0</v>
      </c>
      <c r="X40" s="615" t="e">
        <f>+#REF!</f>
        <v>#REF!</v>
      </c>
      <c r="Y40" s="622" t="str">
        <f t="shared" si="19"/>
        <v/>
      </c>
      <c r="Z40" s="645">
        <f>VLOOKUP(VLOOKUP(A40,$A$82:$B$105,2,0),'Gestion final Bizkaia 2018'!$B$76:$P$99,10,0)</f>
        <v>0</v>
      </c>
      <c r="AA40" s="615" t="e">
        <f>+#REF!</f>
        <v>#REF!</v>
      </c>
      <c r="AB40" s="622" t="str">
        <f t="shared" si="20"/>
        <v/>
      </c>
      <c r="AC40" s="645">
        <f>VLOOKUP(VLOOKUP(A40,$A$82:$B$105,2,0),'Gestion final Bizkaia 2018'!$B$76:$P$99,11,0)</f>
        <v>0</v>
      </c>
      <c r="AD40" s="615" t="e">
        <f>+#REF!</f>
        <v>#REF!</v>
      </c>
      <c r="AE40" s="622" t="str">
        <f t="shared" si="21"/>
        <v/>
      </c>
      <c r="AF40" s="645">
        <f>VLOOKUP(VLOOKUP(A40,$A$82:$B$105,2,0),'Gestion final Bizkaia 2018'!$B$76:$P$99,12,0)</f>
        <v>0</v>
      </c>
      <c r="AG40" s="615" t="e">
        <f>+#REF!</f>
        <v>#REF!</v>
      </c>
      <c r="AH40" s="622" t="str">
        <f t="shared" si="22"/>
        <v/>
      </c>
      <c r="AI40" s="615">
        <f>VLOOKUP(VLOOKUP(A40,$A$82:$B$105,2,0),'Gestion final Bizkaia 2018'!$B$76:$P$99,13,0)</f>
        <v>0</v>
      </c>
      <c r="AJ40" s="615" t="e">
        <f>+#REF!</f>
        <v>#REF!</v>
      </c>
      <c r="AK40" s="622" t="str">
        <f t="shared" si="23"/>
        <v/>
      </c>
      <c r="AL40" s="615">
        <f>VLOOKUP(VLOOKUP(A40,$A$82:$B$105,2,0),'Gestion final Bizkaia 2018'!$B$76:$P$99,14,0)</f>
        <v>4.2049672245874161</v>
      </c>
      <c r="AM40" s="615" t="e">
        <f>+#REF!</f>
        <v>#REF!</v>
      </c>
      <c r="AN40" s="622" t="str">
        <f t="shared" si="24"/>
        <v/>
      </c>
      <c r="AO40" s="615">
        <f>VLOOKUP(VLOOKUP(A40,$A$82:$B$105,2,0),'Gestion final Bizkaia 2018'!$B$76:$P$99,15,0)</f>
        <v>0</v>
      </c>
      <c r="AP40" s="615" t="e">
        <f>#REF!</f>
        <v>#REF!</v>
      </c>
      <c r="AQ40" s="622" t="str">
        <f t="shared" si="25"/>
        <v/>
      </c>
      <c r="AR40" s="615" t="e">
        <f>+#REF!</f>
        <v>#REF!</v>
      </c>
      <c r="AS40" s="615" t="e">
        <f t="shared" si="26"/>
        <v>#REF!</v>
      </c>
    </row>
    <row r="41" spans="1:45" ht="14.4" x14ac:dyDescent="0.3">
      <c r="A41" s="8" t="s">
        <v>57</v>
      </c>
      <c r="B41" s="645">
        <f>VLOOKUP(VLOOKUP(A41,$A$82:$B$105,2,0),'Gestion final Bizkaia 2018'!$B$76:$P$99,2,0)</f>
        <v>21245.272320000004</v>
      </c>
      <c r="C41" s="615" t="e">
        <f>+#REF!</f>
        <v>#REF!</v>
      </c>
      <c r="D41" s="622" t="str">
        <f t="shared" si="12"/>
        <v/>
      </c>
      <c r="E41" s="646">
        <f>VLOOKUP(VLOOKUP(A41,$A$82:$B$105,2,0),'Gestion final Bizkaia 2018'!$B$76:$P$99,3,0)</f>
        <v>0.22975845385633539</v>
      </c>
      <c r="F41" s="620" t="e">
        <f>+#REF!</f>
        <v>#REF!</v>
      </c>
      <c r="G41" s="622" t="str">
        <f t="shared" si="13"/>
        <v/>
      </c>
      <c r="H41" s="645">
        <f>VLOOKUP(VLOOKUP(A41,$A$82:$B$105,2,0),'Gestion final Bizkaia 2018'!$B$76:$P$99,4,0)</f>
        <v>2631.0104158800004</v>
      </c>
      <c r="I41" s="615" t="e">
        <f>+#REF!</f>
        <v>#REF!</v>
      </c>
      <c r="J41" s="622" t="str">
        <f t="shared" si="14"/>
        <v/>
      </c>
      <c r="K41" s="645">
        <f>VLOOKUP(VLOOKUP(A41,$A$82:$B$105,2,0),'Gestion final Bizkaia 2018'!$B$76:$P$99,5,0)</f>
        <v>1325.2677697800002</v>
      </c>
      <c r="L41" s="615" t="e">
        <f>+#REF!</f>
        <v>#REF!</v>
      </c>
      <c r="M41" s="622" t="str">
        <f t="shared" si="15"/>
        <v/>
      </c>
      <c r="N41" s="645">
        <f>VLOOKUP(VLOOKUP(A41,$A$82:$B$105,2,0),'Gestion final Bizkaia 2018'!$B$76:$P$99,6,0)</f>
        <v>0</v>
      </c>
      <c r="O41" s="615" t="e">
        <f>+#REF!</f>
        <v>#REF!</v>
      </c>
      <c r="P41" s="622" t="str">
        <f t="shared" si="16"/>
        <v/>
      </c>
      <c r="Q41" s="645">
        <f>VLOOKUP(VLOOKUP(A41,$A$82:$B$105,2,0),'Gestion final Bizkaia 2018'!$B$76:$P$99,7,0)</f>
        <v>925.00273434000007</v>
      </c>
      <c r="R41" s="615" t="e">
        <f>+#REF!</f>
        <v>#REF!</v>
      </c>
      <c r="S41" s="622" t="str">
        <f t="shared" si="17"/>
        <v/>
      </c>
      <c r="T41" s="645">
        <f>VLOOKUP(VLOOKUP(A41,$A$82:$B$105,2,0),'Gestion final Bizkaia 2018'!$B$76:$P$99,8,0)</f>
        <v>0</v>
      </c>
      <c r="U41" s="615" t="e">
        <f>+#REF!+#REF!+#REF!+#REF!</f>
        <v>#REF!</v>
      </c>
      <c r="V41" s="622" t="str">
        <f t="shared" si="18"/>
        <v/>
      </c>
      <c r="W41" s="645">
        <f>VLOOKUP(VLOOKUP(A41,$A$82:$B$105,2,0),'Gestion final Bizkaia 2018'!$B$76:$P$99,9,0)</f>
        <v>0</v>
      </c>
      <c r="X41" s="615" t="e">
        <f>+#REF!</f>
        <v>#REF!</v>
      </c>
      <c r="Y41" s="622" t="str">
        <f t="shared" si="19"/>
        <v/>
      </c>
      <c r="Z41" s="645">
        <f>VLOOKUP(VLOOKUP(A41,$A$82:$B$105,2,0),'Gestion final Bizkaia 2018'!$B$76:$P$99,10,0)</f>
        <v>787.22417947956865</v>
      </c>
      <c r="AA41" s="615" t="e">
        <f>+#REF!</f>
        <v>#REF!</v>
      </c>
      <c r="AB41" s="622" t="str">
        <f t="shared" si="20"/>
        <v/>
      </c>
      <c r="AC41" s="645">
        <f>VLOOKUP(VLOOKUP(A41,$A$82:$B$105,2,0),'Gestion final Bizkaia 2018'!$B$76:$P$99,11,0)</f>
        <v>0</v>
      </c>
      <c r="AD41" s="615" t="e">
        <f>+#REF!</f>
        <v>#REF!</v>
      </c>
      <c r="AE41" s="622" t="str">
        <f t="shared" si="21"/>
        <v/>
      </c>
      <c r="AF41" s="645">
        <f>VLOOKUP(VLOOKUP(A41,$A$82:$B$105,2,0),'Gestion final Bizkaia 2018'!$B$76:$P$99,12,0)</f>
        <v>7745.8888191376991</v>
      </c>
      <c r="AG41" s="615" t="e">
        <f>+#REF!</f>
        <v>#REF!</v>
      </c>
      <c r="AH41" s="622" t="str">
        <f t="shared" si="22"/>
        <v/>
      </c>
      <c r="AI41" s="615">
        <f>VLOOKUP(VLOOKUP(A41,$A$82:$B$105,2,0),'Gestion final Bizkaia 2018'!$B$76:$P$99,13,0)</f>
        <v>7563.2539765804677</v>
      </c>
      <c r="AJ41" s="615" t="e">
        <f>+#REF!</f>
        <v>#REF!</v>
      </c>
      <c r="AK41" s="622" t="str">
        <f t="shared" si="23"/>
        <v/>
      </c>
      <c r="AL41" s="615">
        <f>VLOOKUP(VLOOKUP(A41,$A$82:$B$105,2,0),'Gestion final Bizkaia 2018'!$B$76:$P$99,14,0)</f>
        <v>360.2567620516632</v>
      </c>
      <c r="AM41" s="615" t="e">
        <f>+#REF!</f>
        <v>#REF!</v>
      </c>
      <c r="AN41" s="622" t="str">
        <f t="shared" si="24"/>
        <v/>
      </c>
      <c r="AO41" s="615">
        <f>VLOOKUP(VLOOKUP(A41,$A$82:$B$105,2,0),'Gestion final Bizkaia 2018'!$B$76:$P$99,15,0)</f>
        <v>0</v>
      </c>
      <c r="AP41" s="615" t="e">
        <f>#REF!</f>
        <v>#REF!</v>
      </c>
      <c r="AQ41" s="622" t="str">
        <f t="shared" si="25"/>
        <v/>
      </c>
      <c r="AR41" s="615" t="e">
        <f>+#REF!</f>
        <v>#REF!</v>
      </c>
      <c r="AS41" s="615" t="e">
        <f t="shared" si="26"/>
        <v>#REF!</v>
      </c>
    </row>
    <row r="42" spans="1:45" ht="14.4" x14ac:dyDescent="0.3">
      <c r="A42" s="8" t="s">
        <v>35</v>
      </c>
      <c r="B42" s="645">
        <f>VLOOKUP(VLOOKUP(A42,$A$82:$B$105,2,0),'Gestion final Bizkaia 2018'!$B$76:$P$99,2,0)</f>
        <v>28440.352630000001</v>
      </c>
      <c r="C42" s="615" t="e">
        <f>+#REF!</f>
        <v>#REF!</v>
      </c>
      <c r="D42" s="622" t="str">
        <f t="shared" si="12"/>
        <v/>
      </c>
      <c r="E42" s="646">
        <f>VLOOKUP(VLOOKUP(A42,$A$82:$B$105,2,0),'Gestion final Bizkaia 2018'!$B$76:$P$99,3,0)</f>
        <v>0.70759754957370224</v>
      </c>
      <c r="F42" s="620" t="e">
        <f>+#REF!</f>
        <v>#REF!</v>
      </c>
      <c r="G42" s="622" t="str">
        <f t="shared" si="13"/>
        <v/>
      </c>
      <c r="H42" s="645">
        <f>VLOOKUP(VLOOKUP(A42,$A$82:$B$105,2,0),'Gestion final Bizkaia 2018'!$B$76:$P$99,4,0)</f>
        <v>10847.010544369999</v>
      </c>
      <c r="I42" s="615" t="e">
        <f>+#REF!</f>
        <v>#REF!</v>
      </c>
      <c r="J42" s="622" t="str">
        <f t="shared" si="14"/>
        <v/>
      </c>
      <c r="K42" s="645">
        <f>VLOOKUP(VLOOKUP(A42,$A$82:$B$105,2,0),'Gestion final Bizkaia 2018'!$B$76:$P$99,5,0)</f>
        <v>5463.7539198449995</v>
      </c>
      <c r="L42" s="615" t="e">
        <f>+#REF!</f>
        <v>#REF!</v>
      </c>
      <c r="M42" s="622" t="str">
        <f t="shared" si="15"/>
        <v/>
      </c>
      <c r="N42" s="645">
        <f>VLOOKUP(VLOOKUP(A42,$A$82:$B$105,2,0),'Gestion final Bizkaia 2018'!$B$76:$P$99,6,0)</f>
        <v>0</v>
      </c>
      <c r="O42" s="615" t="e">
        <f>+#REF!</f>
        <v>#REF!</v>
      </c>
      <c r="P42" s="622" t="str">
        <f t="shared" si="16"/>
        <v/>
      </c>
      <c r="Q42" s="645">
        <f>VLOOKUP(VLOOKUP(A42,$A$82:$B$105,2,0),'Gestion final Bizkaia 2018'!$B$76:$P$99,7,0)</f>
        <v>4466.0604541198172</v>
      </c>
      <c r="R42" s="615" t="e">
        <f>+#REF!</f>
        <v>#REF!</v>
      </c>
      <c r="S42" s="622" t="str">
        <f t="shared" si="17"/>
        <v/>
      </c>
      <c r="T42" s="645">
        <f>VLOOKUP(VLOOKUP(A42,$A$82:$B$105,2,0),'Gestion final Bizkaia 2018'!$B$76:$P$99,8,0)</f>
        <v>3621.2942319557128</v>
      </c>
      <c r="U42" s="615" t="e">
        <f>+#REF!+#REF!+#REF!+#REF!</f>
        <v>#REF!</v>
      </c>
      <c r="V42" s="622" t="str">
        <f t="shared" si="18"/>
        <v/>
      </c>
      <c r="W42" s="645">
        <f>VLOOKUP(VLOOKUP(A42,$A$82:$B$105,2,0),'Gestion final Bizkaia 2018'!$B$76:$P$99,9,0)</f>
        <v>0</v>
      </c>
      <c r="X42" s="615" t="e">
        <f>+#REF!</f>
        <v>#REF!</v>
      </c>
      <c r="Y42" s="622" t="str">
        <f t="shared" si="19"/>
        <v/>
      </c>
      <c r="Z42" s="645">
        <f>VLOOKUP(VLOOKUP(A42,$A$82:$B$105,2,0),'Gestion final Bizkaia 2018'!$B$76:$P$99,10,0)</f>
        <v>0</v>
      </c>
      <c r="AA42" s="615" t="e">
        <f>+#REF!</f>
        <v>#REF!</v>
      </c>
      <c r="AB42" s="622" t="str">
        <f t="shared" si="20"/>
        <v/>
      </c>
      <c r="AC42" s="645">
        <f>VLOOKUP(VLOOKUP(A42,$A$82:$B$105,2,0),'Gestion final Bizkaia 2018'!$B$76:$P$99,11,0)</f>
        <v>0</v>
      </c>
      <c r="AD42" s="615" t="e">
        <f>+#REF!</f>
        <v>#REF!</v>
      </c>
      <c r="AE42" s="622" t="str">
        <f t="shared" si="21"/>
        <v/>
      </c>
      <c r="AF42" s="645">
        <f>VLOOKUP(VLOOKUP(A42,$A$82:$B$105,2,0),'Gestion final Bizkaia 2018'!$B$76:$P$99,12,0)</f>
        <v>0</v>
      </c>
      <c r="AG42" s="615" t="e">
        <f>+#REF!</f>
        <v>#REF!</v>
      </c>
      <c r="AH42" s="622" t="str">
        <f t="shared" si="22"/>
        <v/>
      </c>
      <c r="AI42" s="615">
        <f>VLOOKUP(VLOOKUP(A42,$A$82:$B$105,2,0),'Gestion final Bizkaia 2018'!$B$76:$P$99,13,0)</f>
        <v>3832.2677838818404</v>
      </c>
      <c r="AJ42" s="615" t="e">
        <f>+#REF!</f>
        <v>#REF!</v>
      </c>
      <c r="AK42" s="622" t="str">
        <f t="shared" si="23"/>
        <v/>
      </c>
      <c r="AL42" s="615">
        <f>VLOOKUP(VLOOKUP(A42,$A$82:$B$105,2,0),'Gestion final Bizkaia 2018'!$B$76:$P$99,14,0)</f>
        <v>217.68584643960804</v>
      </c>
      <c r="AM42" s="615" t="e">
        <f>+#REF!</f>
        <v>#REF!</v>
      </c>
      <c r="AN42" s="622" t="str">
        <f t="shared" si="24"/>
        <v/>
      </c>
      <c r="AO42" s="615">
        <f>VLOOKUP(VLOOKUP(A42,$A$82:$B$105,2,0),'Gestion final Bizkaia 2018'!$B$76:$P$99,15,0)</f>
        <v>0</v>
      </c>
      <c r="AP42" s="615" t="e">
        <f>#REF!</f>
        <v>#REF!</v>
      </c>
      <c r="AQ42" s="622" t="str">
        <f t="shared" si="25"/>
        <v/>
      </c>
      <c r="AR42" s="615" t="e">
        <f>+#REF!</f>
        <v>#REF!</v>
      </c>
      <c r="AS42" s="615" t="e">
        <f t="shared" si="26"/>
        <v>#REF!</v>
      </c>
    </row>
    <row r="43" spans="1:45" ht="14.4" x14ac:dyDescent="0.3">
      <c r="A43" s="8" t="s">
        <v>67</v>
      </c>
      <c r="B43" s="645">
        <f>VLOOKUP(VLOOKUP(A43,$A$82:$B$105,2,0),'Gestion final Bizkaia 2018'!$B$76:$P$99,2,0)</f>
        <v>38.457999999999998</v>
      </c>
      <c r="C43" s="615" t="e">
        <f>+#REF!</f>
        <v>#REF!</v>
      </c>
      <c r="D43" s="622" t="str">
        <f t="shared" si="12"/>
        <v/>
      </c>
      <c r="E43" s="646">
        <f>VLOOKUP(VLOOKUP(A43,$A$82:$B$105,2,0),'Gestion final Bizkaia 2018'!$B$76:$P$99,3,0)</f>
        <v>1</v>
      </c>
      <c r="F43" s="620" t="e">
        <f>+#REF!</f>
        <v>#REF!</v>
      </c>
      <c r="G43" s="622" t="str">
        <f t="shared" si="13"/>
        <v/>
      </c>
      <c r="H43" s="645">
        <f>VLOOKUP(VLOOKUP(A43,$A$82:$B$105,2,0),'Gestion final Bizkaia 2018'!$B$76:$P$99,4,0)</f>
        <v>5.8210693977332717</v>
      </c>
      <c r="I43" s="615" t="e">
        <f>+#REF!</f>
        <v>#REF!</v>
      </c>
      <c r="J43" s="622" t="str">
        <f t="shared" si="14"/>
        <v/>
      </c>
      <c r="K43" s="645">
        <f>VLOOKUP(VLOOKUP(A43,$A$82:$B$105,2,0),'Gestion final Bizkaia 2018'!$B$76:$P$99,5,0)</f>
        <v>18.138691609666399</v>
      </c>
      <c r="L43" s="615" t="e">
        <f>+#REF!</f>
        <v>#REF!</v>
      </c>
      <c r="M43" s="622" t="str">
        <f t="shared" si="15"/>
        <v/>
      </c>
      <c r="N43" s="645">
        <f>VLOOKUP(VLOOKUP(A43,$A$82:$B$105,2,0),'Gestion final Bizkaia 2018'!$B$76:$P$99,6,0)</f>
        <v>0</v>
      </c>
      <c r="O43" s="615" t="e">
        <f>+#REF!</f>
        <v>#REF!</v>
      </c>
      <c r="P43" s="622" t="str">
        <f t="shared" si="16"/>
        <v/>
      </c>
      <c r="Q43" s="645">
        <f>VLOOKUP(VLOOKUP(A43,$A$82:$B$105,2,0),'Gestion final Bizkaia 2018'!$B$76:$P$99,7,0)</f>
        <v>14.498238992600326</v>
      </c>
      <c r="R43" s="615" t="e">
        <f>+#REF!</f>
        <v>#REF!</v>
      </c>
      <c r="S43" s="622" t="str">
        <f t="shared" si="17"/>
        <v/>
      </c>
      <c r="T43" s="645">
        <f>VLOOKUP(VLOOKUP(A43,$A$82:$B$105,2,0),'Gestion final Bizkaia 2018'!$B$76:$P$99,8,0)</f>
        <v>0</v>
      </c>
      <c r="U43" s="615" t="e">
        <f>+#REF!+#REF!+#REF!+#REF!</f>
        <v>#REF!</v>
      </c>
      <c r="V43" s="622" t="str">
        <f t="shared" si="18"/>
        <v/>
      </c>
      <c r="W43" s="645">
        <f>VLOOKUP(VLOOKUP(A43,$A$82:$B$105,2,0),'Gestion final Bizkaia 2018'!$B$76:$P$99,9,0)</f>
        <v>0</v>
      </c>
      <c r="X43" s="615" t="e">
        <f>+#REF!</f>
        <v>#REF!</v>
      </c>
      <c r="Y43" s="622" t="str">
        <f t="shared" si="19"/>
        <v/>
      </c>
      <c r="Z43" s="645">
        <f>VLOOKUP(VLOOKUP(A43,$A$82:$B$105,2,0),'Gestion final Bizkaia 2018'!$B$76:$P$99,10,0)</f>
        <v>0</v>
      </c>
      <c r="AA43" s="615" t="e">
        <f>+#REF!</f>
        <v>#REF!</v>
      </c>
      <c r="AB43" s="622" t="str">
        <f t="shared" si="20"/>
        <v/>
      </c>
      <c r="AC43" s="645">
        <f>VLOOKUP(VLOOKUP(A43,$A$82:$B$105,2,0),'Gestion final Bizkaia 2018'!$B$76:$P$99,11,0)</f>
        <v>0</v>
      </c>
      <c r="AD43" s="615" t="e">
        <f>+#REF!</f>
        <v>#REF!</v>
      </c>
      <c r="AE43" s="622" t="str">
        <f t="shared" si="21"/>
        <v/>
      </c>
      <c r="AF43" s="645">
        <f>VLOOKUP(VLOOKUP(A43,$A$82:$B$105,2,0),'Gestion final Bizkaia 2018'!$B$76:$P$99,12,0)</f>
        <v>0</v>
      </c>
      <c r="AG43" s="615" t="e">
        <f>+#REF!</f>
        <v>#REF!</v>
      </c>
      <c r="AH43" s="622" t="str">
        <f t="shared" si="22"/>
        <v/>
      </c>
      <c r="AI43" s="615">
        <f>VLOOKUP(VLOOKUP(A43,$A$82:$B$105,2,0),'Gestion final Bizkaia 2018'!$B$76:$P$99,13,0)</f>
        <v>0</v>
      </c>
      <c r="AJ43" s="615" t="e">
        <f>+#REF!</f>
        <v>#REF!</v>
      </c>
      <c r="AK43" s="622" t="str">
        <f t="shared" si="23"/>
        <v/>
      </c>
      <c r="AL43" s="615">
        <f>VLOOKUP(VLOOKUP(A43,$A$82:$B$105,2,0),'Gestion final Bizkaia 2018'!$B$76:$P$99,14,0)</f>
        <v>0</v>
      </c>
      <c r="AM43" s="615" t="e">
        <f>+#REF!</f>
        <v>#REF!</v>
      </c>
      <c r="AN43" s="622" t="str">
        <f t="shared" si="24"/>
        <v/>
      </c>
      <c r="AO43" s="615">
        <f>VLOOKUP(VLOOKUP(A43,$A$82:$B$105,2,0),'Gestion final Bizkaia 2018'!$B$76:$P$99,15,0)</f>
        <v>0</v>
      </c>
      <c r="AP43" s="615" t="e">
        <f>#REF!</f>
        <v>#REF!</v>
      </c>
      <c r="AQ43" s="622" t="str">
        <f t="shared" si="25"/>
        <v/>
      </c>
      <c r="AR43" s="615" t="e">
        <f>+#REF!</f>
        <v>#REF!</v>
      </c>
      <c r="AS43" s="615" t="e">
        <f t="shared" si="26"/>
        <v>#REF!</v>
      </c>
    </row>
    <row r="44" spans="1:45" ht="14.4" x14ac:dyDescent="0.3">
      <c r="A44" s="8" t="s">
        <v>76</v>
      </c>
      <c r="B44" s="645">
        <f>VLOOKUP(VLOOKUP(A44,$A$82:$B$105,2,0),'Gestion final Bizkaia 2018'!$B$76:$P$99,2,0)</f>
        <v>2973.2391172952202</v>
      </c>
      <c r="C44" s="615" t="e">
        <f>+#REF!</f>
        <v>#REF!</v>
      </c>
      <c r="D44" s="622" t="str">
        <f t="shared" si="12"/>
        <v/>
      </c>
      <c r="E44" s="646">
        <f>VLOOKUP(VLOOKUP(A44,$A$82:$B$105,2,0),'Gestion final Bizkaia 2018'!$B$76:$P$99,3,0)</f>
        <v>1</v>
      </c>
      <c r="F44" s="620" t="e">
        <f>+#REF!</f>
        <v>#REF!</v>
      </c>
      <c r="G44" s="622" t="str">
        <f t="shared" si="13"/>
        <v/>
      </c>
      <c r="H44" s="645">
        <f>VLOOKUP(VLOOKUP(A44,$A$82:$B$105,2,0),'Gestion final Bizkaia 2018'!$B$76:$P$99,4,0)</f>
        <v>2.7550316171920066</v>
      </c>
      <c r="I44" s="615" t="e">
        <f>+#REF!</f>
        <v>#REF!</v>
      </c>
      <c r="J44" s="622" t="str">
        <f t="shared" si="14"/>
        <v/>
      </c>
      <c r="K44" s="645">
        <f>VLOOKUP(VLOOKUP(A44,$A$82:$B$105,2,0),'Gestion final Bizkaia 2018'!$B$76:$P$99,5,0)</f>
        <v>566.90116911554765</v>
      </c>
      <c r="L44" s="615" t="e">
        <f>+#REF!</f>
        <v>#REF!</v>
      </c>
      <c r="M44" s="622" t="str">
        <f t="shared" si="15"/>
        <v/>
      </c>
      <c r="N44" s="645">
        <f>VLOOKUP(VLOOKUP(A44,$A$82:$B$105,2,0),'Gestion final Bizkaia 2018'!$B$76:$P$99,6,0)</f>
        <v>0</v>
      </c>
      <c r="O44" s="615" t="e">
        <f>+#REF!</f>
        <v>#REF!</v>
      </c>
      <c r="P44" s="622" t="str">
        <f t="shared" si="16"/>
        <v/>
      </c>
      <c r="Q44" s="645">
        <f>VLOOKUP(VLOOKUP(A44,$A$82:$B$105,2,0),'Gestion final Bizkaia 2018'!$B$76:$P$99,7,0)</f>
        <v>2403.5829165624809</v>
      </c>
      <c r="R44" s="615" t="e">
        <f>+#REF!</f>
        <v>#REF!</v>
      </c>
      <c r="S44" s="622" t="str">
        <f t="shared" si="17"/>
        <v/>
      </c>
      <c r="T44" s="645">
        <f>VLOOKUP(VLOOKUP(A44,$A$82:$B$105,2,0),'Gestion final Bizkaia 2018'!$B$76:$P$99,8,0)</f>
        <v>0</v>
      </c>
      <c r="U44" s="615" t="e">
        <f>+#REF!+#REF!+#REF!+#REF!</f>
        <v>#REF!</v>
      </c>
      <c r="V44" s="622" t="str">
        <f t="shared" si="18"/>
        <v/>
      </c>
      <c r="W44" s="645">
        <f>VLOOKUP(VLOOKUP(A44,$A$82:$B$105,2,0),'Gestion final Bizkaia 2018'!$B$76:$P$99,9,0)</f>
        <v>0</v>
      </c>
      <c r="X44" s="615" t="e">
        <f>+#REF!</f>
        <v>#REF!</v>
      </c>
      <c r="Y44" s="622" t="str">
        <f t="shared" si="19"/>
        <v/>
      </c>
      <c r="Z44" s="645">
        <f>VLOOKUP(VLOOKUP(A44,$A$82:$B$105,2,0),'Gestion final Bizkaia 2018'!$B$76:$P$99,10,0)</f>
        <v>0</v>
      </c>
      <c r="AA44" s="615" t="e">
        <f>+#REF!</f>
        <v>#REF!</v>
      </c>
      <c r="AB44" s="622" t="str">
        <f t="shared" si="20"/>
        <v/>
      </c>
      <c r="AC44" s="645">
        <f>VLOOKUP(VLOOKUP(A44,$A$82:$B$105,2,0),'Gestion final Bizkaia 2018'!$B$76:$P$99,11,0)</f>
        <v>0</v>
      </c>
      <c r="AD44" s="615" t="e">
        <f>+#REF!</f>
        <v>#REF!</v>
      </c>
      <c r="AE44" s="622" t="str">
        <f t="shared" si="21"/>
        <v/>
      </c>
      <c r="AF44" s="645">
        <f>VLOOKUP(VLOOKUP(A44,$A$82:$B$105,2,0),'Gestion final Bizkaia 2018'!$B$76:$P$99,12,0)</f>
        <v>0</v>
      </c>
      <c r="AG44" s="615" t="e">
        <f>+#REF!</f>
        <v>#REF!</v>
      </c>
      <c r="AH44" s="622" t="str">
        <f t="shared" si="22"/>
        <v/>
      </c>
      <c r="AI44" s="615">
        <f>VLOOKUP(VLOOKUP(A44,$A$82:$B$105,2,0),'Gestion final Bizkaia 2018'!$B$76:$P$99,13,0)</f>
        <v>0</v>
      </c>
      <c r="AJ44" s="615" t="e">
        <f>+#REF!</f>
        <v>#REF!</v>
      </c>
      <c r="AK44" s="622" t="str">
        <f t="shared" si="23"/>
        <v/>
      </c>
      <c r="AL44" s="615">
        <f>VLOOKUP(VLOOKUP(A44,$A$82:$B$105,2,0),'Gestion final Bizkaia 2018'!$B$76:$P$99,14,0)</f>
        <v>0</v>
      </c>
      <c r="AM44" s="615" t="e">
        <f>+#REF!</f>
        <v>#REF!</v>
      </c>
      <c r="AN44" s="622" t="str">
        <f t="shared" si="24"/>
        <v/>
      </c>
      <c r="AO44" s="615">
        <f>VLOOKUP(VLOOKUP(A44,$A$82:$B$105,2,0),'Gestion final Bizkaia 2018'!$B$76:$P$99,15,0)</f>
        <v>0</v>
      </c>
      <c r="AP44" s="615" t="e">
        <f>#REF!</f>
        <v>#REF!</v>
      </c>
      <c r="AQ44" s="622" t="str">
        <f t="shared" si="25"/>
        <v/>
      </c>
      <c r="AR44" s="615" t="e">
        <f>+#REF!</f>
        <v>#REF!</v>
      </c>
      <c r="AS44" s="615" t="e">
        <f t="shared" si="26"/>
        <v>#REF!</v>
      </c>
    </row>
    <row r="45" spans="1:45" ht="14.4" x14ac:dyDescent="0.3">
      <c r="A45" s="8" t="s">
        <v>62</v>
      </c>
      <c r="B45" s="645">
        <f>VLOOKUP(VLOOKUP(A45,$A$82:$B$105,2,0),'Gestion final Bizkaia 2018'!$B$76:$P$99,2,0)</f>
        <v>1732.3403000000001</v>
      </c>
      <c r="C45" s="615" t="e">
        <f>+#REF!</f>
        <v>#REF!</v>
      </c>
      <c r="D45" s="622" t="str">
        <f t="shared" si="12"/>
        <v/>
      </c>
      <c r="E45" s="646">
        <f>VLOOKUP(VLOOKUP(A45,$A$82:$B$105,2,0),'Gestion final Bizkaia 2018'!$B$76:$P$99,3,0)</f>
        <v>1</v>
      </c>
      <c r="F45" s="620" t="e">
        <f>+#REF!</f>
        <v>#REF!</v>
      </c>
      <c r="G45" s="622" t="str">
        <f t="shared" si="13"/>
        <v/>
      </c>
      <c r="H45" s="645">
        <f>VLOOKUP(VLOOKUP(A45,$A$82:$B$105,2,0),'Gestion final Bizkaia 2018'!$B$76:$P$99,4,0)</f>
        <v>0</v>
      </c>
      <c r="I45" s="615" t="e">
        <f>+#REF!</f>
        <v>#REF!</v>
      </c>
      <c r="J45" s="622" t="str">
        <f t="shared" si="14"/>
        <v/>
      </c>
      <c r="K45" s="645">
        <f>VLOOKUP(VLOOKUP(A45,$A$82:$B$105,2,0),'Gestion final Bizkaia 2018'!$B$76:$P$99,5,0)</f>
        <v>1529.6564849000001</v>
      </c>
      <c r="L45" s="615" t="e">
        <f>+#REF!</f>
        <v>#REF!</v>
      </c>
      <c r="M45" s="622" t="str">
        <f t="shared" si="15"/>
        <v/>
      </c>
      <c r="N45" s="645">
        <f>VLOOKUP(VLOOKUP(A45,$A$82:$B$105,2,0),'Gestion final Bizkaia 2018'!$B$76:$P$99,6,0)</f>
        <v>0</v>
      </c>
      <c r="O45" s="615" t="e">
        <f>+#REF!</f>
        <v>#REF!</v>
      </c>
      <c r="P45" s="622" t="str">
        <f t="shared" si="16"/>
        <v/>
      </c>
      <c r="Q45" s="645">
        <f>VLOOKUP(VLOOKUP(A45,$A$82:$B$105,2,0),'Gestion final Bizkaia 2018'!$B$76:$P$99,7,0)</f>
        <v>29.449785100000003</v>
      </c>
      <c r="R45" s="615" t="e">
        <f>+#REF!</f>
        <v>#REF!</v>
      </c>
      <c r="S45" s="622" t="str">
        <f t="shared" si="17"/>
        <v/>
      </c>
      <c r="T45" s="645">
        <f>VLOOKUP(VLOOKUP(A45,$A$82:$B$105,2,0),'Gestion final Bizkaia 2018'!$B$76:$P$99,8,0)</f>
        <v>6.9293612000000007</v>
      </c>
      <c r="U45" s="615" t="e">
        <f>+#REF!+#REF!+#REF!+#REF!</f>
        <v>#REF!</v>
      </c>
      <c r="V45" s="622" t="str">
        <f t="shared" si="18"/>
        <v/>
      </c>
      <c r="W45" s="645">
        <f>VLOOKUP(VLOOKUP(A45,$A$82:$B$105,2,0),'Gestion final Bizkaia 2018'!$B$76:$P$99,9,0)</f>
        <v>0</v>
      </c>
      <c r="X45" s="615" t="e">
        <f>+#REF!</f>
        <v>#REF!</v>
      </c>
      <c r="Y45" s="622" t="str">
        <f t="shared" si="19"/>
        <v/>
      </c>
      <c r="Z45" s="645">
        <f>VLOOKUP(VLOOKUP(A45,$A$82:$B$105,2,0),'Gestion final Bizkaia 2018'!$B$76:$P$99,10,0)</f>
        <v>0</v>
      </c>
      <c r="AA45" s="615" t="e">
        <f>+#REF!</f>
        <v>#REF!</v>
      </c>
      <c r="AB45" s="622" t="str">
        <f t="shared" si="20"/>
        <v/>
      </c>
      <c r="AC45" s="645">
        <f>VLOOKUP(VLOOKUP(A45,$A$82:$B$105,2,0),'Gestion final Bizkaia 2018'!$B$76:$P$99,11,0)</f>
        <v>0</v>
      </c>
      <c r="AD45" s="615" t="e">
        <f>+#REF!</f>
        <v>#REF!</v>
      </c>
      <c r="AE45" s="622" t="str">
        <f t="shared" si="21"/>
        <v/>
      </c>
      <c r="AF45" s="645">
        <f>VLOOKUP(VLOOKUP(A45,$A$82:$B$105,2,0),'Gestion final Bizkaia 2018'!$B$76:$P$99,12,0)</f>
        <v>0</v>
      </c>
      <c r="AG45" s="615" t="e">
        <f>+#REF!</f>
        <v>#REF!</v>
      </c>
      <c r="AH45" s="622" t="str">
        <f t="shared" si="22"/>
        <v/>
      </c>
      <c r="AI45" s="615">
        <f>VLOOKUP(VLOOKUP(A45,$A$82:$B$105,2,0),'Gestion final Bizkaia 2018'!$B$76:$P$99,13,0)</f>
        <v>0</v>
      </c>
      <c r="AJ45" s="615" t="e">
        <f>+#REF!</f>
        <v>#REF!</v>
      </c>
      <c r="AK45" s="622" t="str">
        <f t="shared" si="23"/>
        <v/>
      </c>
      <c r="AL45" s="615">
        <f>VLOOKUP(VLOOKUP(A45,$A$82:$B$105,2,0),'Gestion final Bizkaia 2018'!$B$76:$P$99,14,0)</f>
        <v>0</v>
      </c>
      <c r="AM45" s="615" t="e">
        <f>+#REF!</f>
        <v>#REF!</v>
      </c>
      <c r="AN45" s="622" t="str">
        <f t="shared" si="24"/>
        <v/>
      </c>
      <c r="AO45" s="615">
        <f>VLOOKUP(VLOOKUP(A45,$A$82:$B$105,2,0),'Gestion final Bizkaia 2018'!$B$76:$P$99,15,0)</f>
        <v>166.3046688</v>
      </c>
      <c r="AP45" s="615" t="e">
        <f>#REF!</f>
        <v>#REF!</v>
      </c>
      <c r="AQ45" s="622" t="str">
        <f t="shared" si="25"/>
        <v/>
      </c>
      <c r="AR45" s="615" t="e">
        <f>+#REF!</f>
        <v>#REF!</v>
      </c>
      <c r="AS45" s="615" t="e">
        <f t="shared" si="26"/>
        <v>#REF!</v>
      </c>
    </row>
    <row r="46" spans="1:45" ht="14.4" x14ac:dyDescent="0.3">
      <c r="A46" s="8" t="s">
        <v>16</v>
      </c>
      <c r="B46" s="645">
        <f>VLOOKUP(VLOOKUP(A46,$A$82:$B$105,2,0),'Gestion final Bizkaia 2018'!$B$76:$P$99,2,0)</f>
        <v>14439.189000000002</v>
      </c>
      <c r="C46" s="615" t="e">
        <f>+#REF!</f>
        <v>#REF!</v>
      </c>
      <c r="D46" s="622" t="str">
        <f t="shared" si="12"/>
        <v/>
      </c>
      <c r="E46" s="646">
        <f>VLOOKUP(VLOOKUP(A46,$A$82:$B$105,2,0),'Gestion final Bizkaia 2018'!$B$76:$P$99,3,0)</f>
        <v>0.15665699784108372</v>
      </c>
      <c r="F46" s="620" t="e">
        <f>+#REF!</f>
        <v>#REF!</v>
      </c>
      <c r="G46" s="622" t="str">
        <f t="shared" si="13"/>
        <v/>
      </c>
      <c r="H46" s="645">
        <f>VLOOKUP(VLOOKUP(A46,$A$82:$B$105,2,0),'Gestion final Bizkaia 2018'!$B$76:$P$99,4,0)</f>
        <v>0</v>
      </c>
      <c r="I46" s="615" t="e">
        <f>+#REF!</f>
        <v>#REF!</v>
      </c>
      <c r="J46" s="622" t="str">
        <f t="shared" si="14"/>
        <v/>
      </c>
      <c r="K46" s="645">
        <f>VLOOKUP(VLOOKUP(A46,$A$82:$B$105,2,0),'Gestion final Bizkaia 2018'!$B$76:$P$99,5,0)</f>
        <v>3812.0746741273479</v>
      </c>
      <c r="L46" s="615" t="e">
        <f>+#REF!</f>
        <v>#REF!</v>
      </c>
      <c r="M46" s="622" t="str">
        <f t="shared" si="15"/>
        <v/>
      </c>
      <c r="N46" s="645">
        <f>VLOOKUP(VLOOKUP(A46,$A$82:$B$105,2,0),'Gestion final Bizkaia 2018'!$B$76:$P$99,6,0)</f>
        <v>0</v>
      </c>
      <c r="O46" s="615" t="e">
        <f>+#REF!</f>
        <v>#REF!</v>
      </c>
      <c r="P46" s="622" t="str">
        <f t="shared" si="16"/>
        <v/>
      </c>
      <c r="Q46" s="645">
        <f>VLOOKUP(VLOOKUP(A46,$A$82:$B$105,2,0),'Gestion final Bizkaia 2018'!$B$76:$P$99,7,0)</f>
        <v>0</v>
      </c>
      <c r="R46" s="615" t="e">
        <f>+#REF!</f>
        <v>#REF!</v>
      </c>
      <c r="S46" s="622" t="str">
        <f t="shared" si="17"/>
        <v/>
      </c>
      <c r="T46" s="645">
        <f>VLOOKUP(VLOOKUP(A46,$A$82:$B$105,2,0),'Gestion final Bizkaia 2018'!$B$76:$P$99,8,0)</f>
        <v>113.10000000000001</v>
      </c>
      <c r="U46" s="615" t="e">
        <f>+#REF!+#REF!+#REF!+#REF!</f>
        <v>#REF!</v>
      </c>
      <c r="V46" s="622" t="str">
        <f t="shared" si="18"/>
        <v/>
      </c>
      <c r="W46" s="645">
        <f>VLOOKUP(VLOOKUP(A46,$A$82:$B$105,2,0),'Gestion final Bizkaia 2018'!$B$76:$P$99,9,0)</f>
        <v>0</v>
      </c>
      <c r="X46" s="615" t="e">
        <f>+#REF!</f>
        <v>#REF!</v>
      </c>
      <c r="Y46" s="622" t="str">
        <f t="shared" si="19"/>
        <v/>
      </c>
      <c r="Z46" s="645">
        <f>VLOOKUP(VLOOKUP(A46,$A$82:$B$105,2,0),'Gestion final Bizkaia 2018'!$B$76:$P$99,10,0)</f>
        <v>391.07115194112555</v>
      </c>
      <c r="AA46" s="615" t="e">
        <f>+#REF!</f>
        <v>#REF!</v>
      </c>
      <c r="AB46" s="622" t="str">
        <f t="shared" si="20"/>
        <v/>
      </c>
      <c r="AC46" s="645">
        <f>VLOOKUP(VLOOKUP(A46,$A$82:$B$105,2,0),'Gestion final Bizkaia 2018'!$B$76:$P$99,11,0)</f>
        <v>0</v>
      </c>
      <c r="AD46" s="615" t="e">
        <f>+#REF!</f>
        <v>#REF!</v>
      </c>
      <c r="AE46" s="622" t="str">
        <f t="shared" si="21"/>
        <v/>
      </c>
      <c r="AF46" s="645">
        <f>VLOOKUP(VLOOKUP(A46,$A$82:$B$105,2,0),'Gestion final Bizkaia 2018'!$B$76:$P$99,12,0)</f>
        <v>3847.9428633793418</v>
      </c>
      <c r="AG46" s="615" t="e">
        <f>+#REF!</f>
        <v>#REF!</v>
      </c>
      <c r="AH46" s="622" t="str">
        <f t="shared" si="22"/>
        <v/>
      </c>
      <c r="AI46" s="615">
        <f>VLOOKUP(VLOOKUP(A46,$A$82:$B$105,2,0),'Gestion final Bizkaia 2018'!$B$76:$P$99,13,0)</f>
        <v>5542.7221784019384</v>
      </c>
      <c r="AJ46" s="615" t="e">
        <f>+#REF!</f>
        <v>#REF!</v>
      </c>
      <c r="AK46" s="622" t="str">
        <f t="shared" si="23"/>
        <v/>
      </c>
      <c r="AL46" s="615">
        <f>VLOOKUP(VLOOKUP(A46,$A$82:$B$105,2,0),'Gestion final Bizkaia 2018'!$B$76:$P$99,14,0)</f>
        <v>529.56162553216859</v>
      </c>
      <c r="AM46" s="615" t="e">
        <f>+#REF!</f>
        <v>#REF!</v>
      </c>
      <c r="AN46" s="622" t="str">
        <f t="shared" si="24"/>
        <v/>
      </c>
      <c r="AO46" s="615">
        <f>VLOOKUP(VLOOKUP(A46,$A$82:$B$105,2,0),'Gestion final Bizkaia 2018'!$B$76:$P$99,15,0)</f>
        <v>0</v>
      </c>
      <c r="AP46" s="615" t="e">
        <f>#REF!</f>
        <v>#REF!</v>
      </c>
      <c r="AQ46" s="622" t="str">
        <f t="shared" si="25"/>
        <v/>
      </c>
      <c r="AR46" s="615" t="e">
        <f>+#REF!</f>
        <v>#REF!</v>
      </c>
      <c r="AS46" s="615" t="e">
        <f t="shared" si="26"/>
        <v>#REF!</v>
      </c>
    </row>
    <row r="47" spans="1:45" ht="14.4" x14ac:dyDescent="0.3">
      <c r="A47" s="8" t="s">
        <v>95</v>
      </c>
      <c r="B47" s="645">
        <f>VLOOKUP(VLOOKUP(A47,$A$82:$B$105,2,0),'Gestion final Bizkaia 2018'!$B$76:$P$99,2,0)</f>
        <v>11.7</v>
      </c>
      <c r="C47" s="615" t="e">
        <f>+#REF!</f>
        <v>#REF!</v>
      </c>
      <c r="D47" s="622" t="str">
        <f t="shared" si="12"/>
        <v/>
      </c>
      <c r="E47" s="646">
        <f>VLOOKUP(VLOOKUP(A47,$A$82:$B$105,2,0),'Gestion final Bizkaia 2018'!$B$76:$P$99,3,0)</f>
        <v>1</v>
      </c>
      <c r="F47" s="620" t="e">
        <f>+#REF!</f>
        <v>#REF!</v>
      </c>
      <c r="G47" s="622" t="str">
        <f t="shared" si="13"/>
        <v/>
      </c>
      <c r="H47" s="645">
        <f>VLOOKUP(VLOOKUP(A47,$A$82:$B$105,2,0),'Gestion final Bizkaia 2018'!$B$76:$P$99,4,0)</f>
        <v>0</v>
      </c>
      <c r="I47" s="615" t="e">
        <f>+#REF!</f>
        <v>#REF!</v>
      </c>
      <c r="J47" s="622" t="str">
        <f t="shared" si="14"/>
        <v/>
      </c>
      <c r="K47" s="645">
        <f>VLOOKUP(VLOOKUP(A47,$A$82:$B$105,2,0),'Gestion final Bizkaia 2018'!$B$76:$P$99,5,0)</f>
        <v>11.7</v>
      </c>
      <c r="L47" s="615" t="e">
        <f>+#REF!</f>
        <v>#REF!</v>
      </c>
      <c r="M47" s="622" t="str">
        <f t="shared" si="15"/>
        <v/>
      </c>
      <c r="N47" s="645">
        <f>VLOOKUP(VLOOKUP(A47,$A$82:$B$105,2,0),'Gestion final Bizkaia 2018'!$B$76:$P$99,6,0)</f>
        <v>0</v>
      </c>
      <c r="O47" s="615" t="e">
        <f>+#REF!</f>
        <v>#REF!</v>
      </c>
      <c r="P47" s="622" t="str">
        <f t="shared" si="16"/>
        <v/>
      </c>
      <c r="Q47" s="645">
        <f>VLOOKUP(VLOOKUP(A47,$A$82:$B$105,2,0),'Gestion final Bizkaia 2018'!$B$76:$P$99,7,0)</f>
        <v>0</v>
      </c>
      <c r="R47" s="615" t="e">
        <f>+#REF!</f>
        <v>#REF!</v>
      </c>
      <c r="S47" s="622" t="str">
        <f t="shared" si="17"/>
        <v/>
      </c>
      <c r="T47" s="645">
        <f>VLOOKUP(VLOOKUP(A47,$A$82:$B$105,2,0),'Gestion final Bizkaia 2018'!$B$76:$P$99,8,0)</f>
        <v>0</v>
      </c>
      <c r="U47" s="615" t="e">
        <f>+#REF!+#REF!+#REF!+#REF!</f>
        <v>#REF!</v>
      </c>
      <c r="V47" s="622" t="str">
        <f t="shared" si="18"/>
        <v/>
      </c>
      <c r="W47" s="645">
        <f>VLOOKUP(VLOOKUP(A47,$A$82:$B$105,2,0),'Gestion final Bizkaia 2018'!$B$76:$P$99,9,0)</f>
        <v>0</v>
      </c>
      <c r="X47" s="615" t="e">
        <f>+#REF!</f>
        <v>#REF!</v>
      </c>
      <c r="Y47" s="622" t="str">
        <f t="shared" si="19"/>
        <v/>
      </c>
      <c r="Z47" s="645">
        <f>VLOOKUP(VLOOKUP(A47,$A$82:$B$105,2,0),'Gestion final Bizkaia 2018'!$B$76:$P$99,10,0)</f>
        <v>0</v>
      </c>
      <c r="AA47" s="615" t="e">
        <f>+#REF!</f>
        <v>#REF!</v>
      </c>
      <c r="AB47" s="622" t="str">
        <f t="shared" si="20"/>
        <v/>
      </c>
      <c r="AC47" s="645">
        <f>VLOOKUP(VLOOKUP(A47,$A$82:$B$105,2,0),'Gestion final Bizkaia 2018'!$B$76:$P$99,11,0)</f>
        <v>0</v>
      </c>
      <c r="AD47" s="615" t="e">
        <f>+#REF!</f>
        <v>#REF!</v>
      </c>
      <c r="AE47" s="622" t="str">
        <f t="shared" si="21"/>
        <v/>
      </c>
      <c r="AF47" s="645">
        <f>VLOOKUP(VLOOKUP(A47,$A$82:$B$105,2,0),'Gestion final Bizkaia 2018'!$B$76:$P$99,12,0)</f>
        <v>0</v>
      </c>
      <c r="AG47" s="615" t="e">
        <f>+#REF!</f>
        <v>#REF!</v>
      </c>
      <c r="AH47" s="622" t="str">
        <f t="shared" si="22"/>
        <v/>
      </c>
      <c r="AI47" s="615">
        <f>VLOOKUP(VLOOKUP(A47,$A$82:$B$105,2,0),'Gestion final Bizkaia 2018'!$B$76:$P$99,13,0)</f>
        <v>0</v>
      </c>
      <c r="AJ47" s="615" t="e">
        <f>+#REF!</f>
        <v>#REF!</v>
      </c>
      <c r="AK47" s="622" t="str">
        <f t="shared" si="23"/>
        <v/>
      </c>
      <c r="AL47" s="615">
        <f>VLOOKUP(VLOOKUP(A47,$A$82:$B$105,2,0),'Gestion final Bizkaia 2018'!$B$76:$P$99,14,0)</f>
        <v>0</v>
      </c>
      <c r="AM47" s="615" t="e">
        <f>+#REF!</f>
        <v>#REF!</v>
      </c>
      <c r="AN47" s="622" t="str">
        <f t="shared" si="24"/>
        <v/>
      </c>
      <c r="AO47" s="615">
        <f>VLOOKUP(VLOOKUP(A47,$A$82:$B$105,2,0),'Gestion final Bizkaia 2018'!$B$76:$P$99,15,0)</f>
        <v>0</v>
      </c>
      <c r="AP47" s="615" t="e">
        <f>#REF!</f>
        <v>#REF!</v>
      </c>
      <c r="AQ47" s="622" t="str">
        <f t="shared" si="25"/>
        <v/>
      </c>
      <c r="AR47" s="615" t="e">
        <f>+#REF!</f>
        <v>#REF!</v>
      </c>
      <c r="AS47" s="615" t="e">
        <f t="shared" si="26"/>
        <v>#REF!</v>
      </c>
    </row>
    <row r="48" spans="1:45" ht="14.4" x14ac:dyDescent="0.3">
      <c r="A48" s="8" t="s">
        <v>74</v>
      </c>
      <c r="B48" s="650">
        <f>VLOOKUP(VLOOKUP(A48,$A$82:$B$105,2,0),'Gestion final Bizkaia 2018'!$B$76:$P$99,2,0)</f>
        <v>0.58699999999999997</v>
      </c>
      <c r="C48" s="651" t="e">
        <f>+#REF!</f>
        <v>#REF!</v>
      </c>
      <c r="D48" s="622" t="str">
        <f t="shared" si="12"/>
        <v/>
      </c>
      <c r="E48" s="646">
        <f>VLOOKUP(VLOOKUP(A48,$A$82:$B$105,2,0),'Gestion final Bizkaia 2018'!$B$76:$P$99,3,0)</f>
        <v>1</v>
      </c>
      <c r="F48" s="620" t="e">
        <f>+#REF!</f>
        <v>#REF!</v>
      </c>
      <c r="G48" s="622" t="str">
        <f t="shared" si="13"/>
        <v/>
      </c>
      <c r="H48" s="645">
        <f>VLOOKUP(VLOOKUP(A48,$A$82:$B$105,2,0),'Gestion final Bizkaia 2018'!$B$76:$P$99,4,0)</f>
        <v>0</v>
      </c>
      <c r="I48" s="615" t="e">
        <f>+#REF!</f>
        <v>#REF!</v>
      </c>
      <c r="J48" s="622" t="str">
        <f t="shared" si="14"/>
        <v/>
      </c>
      <c r="K48" s="645">
        <f>VLOOKUP(VLOOKUP(A48,$A$82:$B$105,2,0),'Gestion final Bizkaia 2018'!$B$76:$P$99,5,0)</f>
        <v>9.6785867237687354E-2</v>
      </c>
      <c r="L48" s="615" t="e">
        <f>+#REF!</f>
        <v>#REF!</v>
      </c>
      <c r="M48" s="622" t="str">
        <f t="shared" si="15"/>
        <v/>
      </c>
      <c r="N48" s="645">
        <f>VLOOKUP(VLOOKUP(A48,$A$82:$B$105,2,0),'Gestion final Bizkaia 2018'!$B$76:$P$99,6,0)</f>
        <v>0</v>
      </c>
      <c r="O48" s="615" t="e">
        <f>+#REF!</f>
        <v>#REF!</v>
      </c>
      <c r="P48" s="622" t="str">
        <f t="shared" si="16"/>
        <v/>
      </c>
      <c r="Q48" s="645">
        <f>VLOOKUP(VLOOKUP(A48,$A$82:$B$105,2,0),'Gestion final Bizkaia 2018'!$B$76:$P$99,7,0)</f>
        <v>0.49021413276231268</v>
      </c>
      <c r="R48" s="615" t="e">
        <f>+#REF!</f>
        <v>#REF!</v>
      </c>
      <c r="S48" s="622" t="str">
        <f t="shared" si="17"/>
        <v/>
      </c>
      <c r="T48" s="645">
        <f>VLOOKUP(VLOOKUP(A48,$A$82:$B$105,2,0),'Gestion final Bizkaia 2018'!$B$76:$P$99,8,0)</f>
        <v>0</v>
      </c>
      <c r="U48" s="615" t="e">
        <f>+#REF!+#REF!+#REF!+#REF!</f>
        <v>#REF!</v>
      </c>
      <c r="V48" s="622" t="str">
        <f t="shared" si="18"/>
        <v/>
      </c>
      <c r="W48" s="645">
        <f>VLOOKUP(VLOOKUP(A48,$A$82:$B$105,2,0),'Gestion final Bizkaia 2018'!$B$76:$P$99,9,0)</f>
        <v>0</v>
      </c>
      <c r="X48" s="615" t="e">
        <f>+#REF!</f>
        <v>#REF!</v>
      </c>
      <c r="Y48" s="622" t="str">
        <f t="shared" si="19"/>
        <v/>
      </c>
      <c r="Z48" s="645">
        <f>VLOOKUP(VLOOKUP(A48,$A$82:$B$105,2,0),'Gestion final Bizkaia 2018'!$B$76:$P$99,10,0)</f>
        <v>0</v>
      </c>
      <c r="AA48" s="615" t="e">
        <f>+#REF!</f>
        <v>#REF!</v>
      </c>
      <c r="AB48" s="622" t="str">
        <f t="shared" si="20"/>
        <v/>
      </c>
      <c r="AC48" s="645">
        <f>VLOOKUP(VLOOKUP(A48,$A$82:$B$105,2,0),'Gestion final Bizkaia 2018'!$B$76:$P$99,11,0)</f>
        <v>0</v>
      </c>
      <c r="AD48" s="615" t="e">
        <f>+#REF!</f>
        <v>#REF!</v>
      </c>
      <c r="AE48" s="622" t="str">
        <f t="shared" si="21"/>
        <v/>
      </c>
      <c r="AF48" s="645">
        <f>VLOOKUP(VLOOKUP(A48,$A$82:$B$105,2,0),'Gestion final Bizkaia 2018'!$B$76:$P$99,12,0)</f>
        <v>0</v>
      </c>
      <c r="AG48" s="615" t="e">
        <f>+#REF!</f>
        <v>#REF!</v>
      </c>
      <c r="AH48" s="622" t="str">
        <f t="shared" si="22"/>
        <v/>
      </c>
      <c r="AI48" s="615">
        <f>VLOOKUP(VLOOKUP(A48,$A$82:$B$105,2,0),'Gestion final Bizkaia 2018'!$B$76:$P$99,13,0)</f>
        <v>0</v>
      </c>
      <c r="AJ48" s="615" t="e">
        <f>+#REF!</f>
        <v>#REF!</v>
      </c>
      <c r="AK48" s="622" t="str">
        <f t="shared" si="23"/>
        <v/>
      </c>
      <c r="AL48" s="615">
        <f>VLOOKUP(VLOOKUP(A48,$A$82:$B$105,2,0),'Gestion final Bizkaia 2018'!$B$76:$P$99,14,0)</f>
        <v>0</v>
      </c>
      <c r="AM48" s="615" t="e">
        <f>+#REF!</f>
        <v>#REF!</v>
      </c>
      <c r="AN48" s="622" t="str">
        <f t="shared" si="24"/>
        <v/>
      </c>
      <c r="AO48" s="615">
        <f>VLOOKUP(VLOOKUP(A48,$A$82:$B$105,2,0),'Gestion final Bizkaia 2018'!$B$76:$P$99,15,0)</f>
        <v>0</v>
      </c>
      <c r="AP48" s="615" t="e">
        <f>#REF!</f>
        <v>#REF!</v>
      </c>
      <c r="AQ48" s="622" t="str">
        <f t="shared" si="25"/>
        <v/>
      </c>
      <c r="AR48" s="615" t="e">
        <f>+#REF!</f>
        <v>#REF!</v>
      </c>
      <c r="AS48" s="615" t="e">
        <f t="shared" si="26"/>
        <v>#REF!</v>
      </c>
    </row>
    <row r="49" spans="1:45" ht="14.4" x14ac:dyDescent="0.3">
      <c r="A49" s="8" t="s">
        <v>73</v>
      </c>
      <c r="B49" s="645">
        <f>VLOOKUP(VLOOKUP(A49,$A$82:$B$105,2,0),'Gestion final Bizkaia 2018'!$B$76:$P$99,2,0)</f>
        <v>584.80880000000002</v>
      </c>
      <c r="C49" s="615" t="e">
        <f>+#REF!</f>
        <v>#REF!</v>
      </c>
      <c r="D49" s="622" t="str">
        <f t="shared" si="12"/>
        <v/>
      </c>
      <c r="E49" s="646">
        <f>VLOOKUP(VLOOKUP(A49,$A$82:$B$105,2,0),'Gestion final Bizkaia 2018'!$B$76:$P$99,3,0)</f>
        <v>0.22779068988017964</v>
      </c>
      <c r="F49" s="620" t="e">
        <f>+#REF!</f>
        <v>#REF!</v>
      </c>
      <c r="G49" s="622" t="str">
        <f t="shared" si="13"/>
        <v/>
      </c>
      <c r="H49" s="645">
        <f>VLOOKUP(VLOOKUP(A49,$A$82:$B$105,2,0),'Gestion final Bizkaia 2018'!$B$76:$P$99,4,0)</f>
        <v>0</v>
      </c>
      <c r="I49" s="615" t="e">
        <f>+#REF!</f>
        <v>#REF!</v>
      </c>
      <c r="J49" s="622" t="str">
        <f t="shared" si="14"/>
        <v/>
      </c>
      <c r="K49" s="645">
        <f>VLOOKUP(VLOOKUP(A49,$A$82:$B$105,2,0),'Gestion final Bizkaia 2018'!$B$76:$P$99,5,0)</f>
        <v>112.68572259999999</v>
      </c>
      <c r="L49" s="615" t="e">
        <f>+#REF!</f>
        <v>#REF!</v>
      </c>
      <c r="M49" s="622" t="str">
        <f t="shared" si="15"/>
        <v/>
      </c>
      <c r="N49" s="645">
        <f>VLOOKUP(VLOOKUP(A49,$A$82:$B$105,2,0),'Gestion final Bizkaia 2018'!$B$76:$P$99,6,0)</f>
        <v>0</v>
      </c>
      <c r="O49" s="615" t="e">
        <f>+#REF!</f>
        <v>#REF!</v>
      </c>
      <c r="P49" s="622" t="str">
        <f t="shared" si="16"/>
        <v/>
      </c>
      <c r="Q49" s="645">
        <f>VLOOKUP(VLOOKUP(A49,$A$82:$B$105,2,0),'Gestion final Bizkaia 2018'!$B$76:$P$99,7,0)</f>
        <v>54.232958717499017</v>
      </c>
      <c r="R49" s="615" t="e">
        <f>+#REF!</f>
        <v>#REF!</v>
      </c>
      <c r="S49" s="622" t="str">
        <f t="shared" si="17"/>
        <v/>
      </c>
      <c r="T49" s="645">
        <f>VLOOKUP(VLOOKUP(A49,$A$82:$B$105,2,0),'Gestion final Bizkaia 2018'!$B$76:$P$99,8,0)</f>
        <v>187.31825745735205</v>
      </c>
      <c r="U49" s="615" t="e">
        <f>+#REF!+#REF!+#REF!+#REF!</f>
        <v>#REF!</v>
      </c>
      <c r="V49" s="622" t="str">
        <f t="shared" si="18"/>
        <v/>
      </c>
      <c r="W49" s="645">
        <f>VLOOKUP(VLOOKUP(A49,$A$82:$B$105,2,0),'Gestion final Bizkaia 2018'!$B$76:$P$99,9,0)</f>
        <v>0</v>
      </c>
      <c r="X49" s="615" t="e">
        <f>+#REF!</f>
        <v>#REF!</v>
      </c>
      <c r="Y49" s="622" t="str">
        <f t="shared" si="19"/>
        <v/>
      </c>
      <c r="Z49" s="645">
        <f>VLOOKUP(VLOOKUP(A49,$A$82:$B$105,2,0),'Gestion final Bizkaia 2018'!$B$76:$P$99,10,0)</f>
        <v>0</v>
      </c>
      <c r="AA49" s="615" t="e">
        <f>+#REF!</f>
        <v>#REF!</v>
      </c>
      <c r="AB49" s="622" t="str">
        <f t="shared" si="20"/>
        <v/>
      </c>
      <c r="AC49" s="645">
        <f>VLOOKUP(VLOOKUP(A49,$A$82:$B$105,2,0),'Gestion final Bizkaia 2018'!$B$76:$P$99,11,0)</f>
        <v>0</v>
      </c>
      <c r="AD49" s="615" t="e">
        <f>+#REF!</f>
        <v>#REF!</v>
      </c>
      <c r="AE49" s="622" t="str">
        <f t="shared" si="21"/>
        <v/>
      </c>
      <c r="AF49" s="645">
        <f>VLOOKUP(VLOOKUP(A49,$A$82:$B$105,2,0),'Gestion final Bizkaia 2018'!$B$76:$P$99,12,0)</f>
        <v>0</v>
      </c>
      <c r="AG49" s="615" t="e">
        <f>+#REF!</f>
        <v>#REF!</v>
      </c>
      <c r="AH49" s="622" t="str">
        <f t="shared" si="22"/>
        <v/>
      </c>
      <c r="AI49" s="615">
        <f>VLOOKUP(VLOOKUP(A49,$A$82:$B$105,2,0),'Gestion final Bizkaia 2018'!$B$76:$P$99,13,0)</f>
        <v>205.99524475738502</v>
      </c>
      <c r="AJ49" s="615" t="e">
        <f>+#REF!</f>
        <v>#REF!</v>
      </c>
      <c r="AK49" s="622" t="str">
        <f t="shared" si="23"/>
        <v/>
      </c>
      <c r="AL49" s="615">
        <f>VLOOKUP(VLOOKUP(A49,$A$82:$B$105,2,0),'Gestion final Bizkaia 2018'!$B$76:$P$99,14,0)</f>
        <v>18.287203347524496</v>
      </c>
      <c r="AM49" s="615" t="e">
        <f>+#REF!</f>
        <v>#REF!</v>
      </c>
      <c r="AN49" s="622" t="str">
        <f t="shared" si="24"/>
        <v/>
      </c>
      <c r="AO49" s="615">
        <f>VLOOKUP(VLOOKUP(A49,$A$82:$B$105,2,0),'Gestion final Bizkaia 2018'!$B$76:$P$99,15,0)</f>
        <v>0</v>
      </c>
      <c r="AP49" s="615" t="e">
        <f>#REF!</f>
        <v>#REF!</v>
      </c>
      <c r="AQ49" s="622" t="str">
        <f t="shared" si="25"/>
        <v/>
      </c>
      <c r="AR49" s="615" t="e">
        <f>+#REF!</f>
        <v>#REF!</v>
      </c>
      <c r="AS49" s="615" t="e">
        <f t="shared" si="26"/>
        <v>#REF!</v>
      </c>
    </row>
    <row r="50" spans="1:45" ht="14.4" x14ac:dyDescent="0.3">
      <c r="A50" s="8" t="s">
        <v>44</v>
      </c>
      <c r="B50" s="645">
        <f>VLOOKUP(VLOOKUP(A50,$A$82:$B$105,2,0),'Gestion final Bizkaia 2018'!$B$76:$P$99,2,0)</f>
        <v>546.40638518982428</v>
      </c>
      <c r="C50" s="615" t="e">
        <f>+#REF!</f>
        <v>#REF!</v>
      </c>
      <c r="D50" s="622" t="str">
        <f t="shared" si="12"/>
        <v/>
      </c>
      <c r="E50" s="646">
        <f>VLOOKUP(VLOOKUP(A50,$A$82:$B$105,2,0),'Gestion final Bizkaia 2018'!$B$76:$P$99,3,0)</f>
        <v>1</v>
      </c>
      <c r="F50" s="620" t="e">
        <f>+#REF!</f>
        <v>#REF!</v>
      </c>
      <c r="G50" s="622" t="str">
        <f t="shared" si="13"/>
        <v/>
      </c>
      <c r="H50" s="645">
        <f>VLOOKUP(VLOOKUP(A50,$A$82:$B$105,2,0),'Gestion final Bizkaia 2018'!$B$76:$P$99,4,0)</f>
        <v>5.9529093569222612E-4</v>
      </c>
      <c r="I50" s="615" t="e">
        <f>+#REF!</f>
        <v>#REF!</v>
      </c>
      <c r="J50" s="622" t="str">
        <f t="shared" si="14"/>
        <v/>
      </c>
      <c r="K50" s="645">
        <f>VLOOKUP(VLOOKUP(A50,$A$82:$B$105,2,0),'Gestion final Bizkaia 2018'!$B$76:$P$99,5,0)</f>
        <v>455.77745926282904</v>
      </c>
      <c r="L50" s="615" t="e">
        <f>+#REF!</f>
        <v>#REF!</v>
      </c>
      <c r="M50" s="622" t="str">
        <f t="shared" si="15"/>
        <v/>
      </c>
      <c r="N50" s="645">
        <f>VLOOKUP(VLOOKUP(A50,$A$82:$B$105,2,0),'Gestion final Bizkaia 2018'!$B$76:$P$99,6,0)</f>
        <v>0</v>
      </c>
      <c r="O50" s="615" t="e">
        <f>+#REF!</f>
        <v>#REF!</v>
      </c>
      <c r="P50" s="622" t="str">
        <f t="shared" si="16"/>
        <v/>
      </c>
      <c r="Q50" s="645">
        <f>VLOOKUP(VLOOKUP(A50,$A$82:$B$105,2,0),'Gestion final Bizkaia 2018'!$B$76:$P$99,7,0)</f>
        <v>41.799727590312806</v>
      </c>
      <c r="R50" s="615" t="e">
        <f>+#REF!</f>
        <v>#REF!</v>
      </c>
      <c r="S50" s="622" t="str">
        <f t="shared" si="17"/>
        <v/>
      </c>
      <c r="T50" s="645">
        <f>VLOOKUP(VLOOKUP(A50,$A$82:$B$105,2,0),'Gestion final Bizkaia 2018'!$B$76:$P$99,8,0)</f>
        <v>48.828605363833162</v>
      </c>
      <c r="U50" s="615" t="e">
        <f>+#REF!+#REF!+#REF!+#REF!</f>
        <v>#REF!</v>
      </c>
      <c r="V50" s="622" t="str">
        <f t="shared" si="18"/>
        <v/>
      </c>
      <c r="W50" s="645">
        <f>VLOOKUP(VLOOKUP(A50,$A$82:$B$105,2,0),'Gestion final Bizkaia 2018'!$B$76:$P$99,9,0)</f>
        <v>0</v>
      </c>
      <c r="X50" s="615" t="e">
        <f>+#REF!</f>
        <v>#REF!</v>
      </c>
      <c r="Y50" s="622" t="str">
        <f t="shared" si="19"/>
        <v/>
      </c>
      <c r="Z50" s="645">
        <f>VLOOKUP(VLOOKUP(A50,$A$82:$B$105,2,0),'Gestion final Bizkaia 2018'!$B$76:$P$99,10,0)</f>
        <v>0</v>
      </c>
      <c r="AA50" s="615" t="e">
        <f>+#REF!</f>
        <v>#REF!</v>
      </c>
      <c r="AB50" s="622" t="str">
        <f t="shared" si="20"/>
        <v/>
      </c>
      <c r="AC50" s="645">
        <f>VLOOKUP(VLOOKUP(A50,$A$82:$B$105,2,0),'Gestion final Bizkaia 2018'!$B$76:$P$99,11,0)</f>
        <v>0</v>
      </c>
      <c r="AD50" s="615" t="e">
        <f>+#REF!</f>
        <v>#REF!</v>
      </c>
      <c r="AE50" s="622" t="str">
        <f t="shared" si="21"/>
        <v/>
      </c>
      <c r="AF50" s="645">
        <f>VLOOKUP(VLOOKUP(A50,$A$82:$B$105,2,0),'Gestion final Bizkaia 2018'!$B$76:$P$99,12,0)</f>
        <v>0</v>
      </c>
      <c r="AG50" s="615" t="e">
        <f>+#REF!</f>
        <v>#REF!</v>
      </c>
      <c r="AH50" s="622" t="str">
        <f t="shared" si="22"/>
        <v/>
      </c>
      <c r="AI50" s="615">
        <f>VLOOKUP(VLOOKUP(A50,$A$82:$B$105,2,0),'Gestion final Bizkaia 2018'!$B$76:$P$99,13,0)</f>
        <v>0</v>
      </c>
      <c r="AJ50" s="615" t="e">
        <f>+#REF!</f>
        <v>#REF!</v>
      </c>
      <c r="AK50" s="622" t="str">
        <f t="shared" si="23"/>
        <v/>
      </c>
      <c r="AL50" s="615">
        <f>VLOOKUP(VLOOKUP(A50,$A$82:$B$105,2,0),'Gestion final Bizkaia 2018'!$B$76:$P$99,14,0)</f>
        <v>0</v>
      </c>
      <c r="AM50" s="615" t="e">
        <f>+#REF!</f>
        <v>#REF!</v>
      </c>
      <c r="AN50" s="622" t="str">
        <f t="shared" si="24"/>
        <v/>
      </c>
      <c r="AO50" s="615">
        <f>VLOOKUP(VLOOKUP(A50,$A$82:$B$105,2,0),'Gestion final Bizkaia 2018'!$B$76:$P$99,15,0)</f>
        <v>0</v>
      </c>
      <c r="AP50" s="615" t="e">
        <f>#REF!</f>
        <v>#REF!</v>
      </c>
      <c r="AQ50" s="622" t="str">
        <f t="shared" si="25"/>
        <v/>
      </c>
      <c r="AR50" s="615" t="e">
        <f>+#REF!</f>
        <v>#REF!</v>
      </c>
      <c r="AS50" s="615" t="e">
        <f t="shared" si="26"/>
        <v>#REF!</v>
      </c>
    </row>
    <row r="51" spans="1:45" ht="14.4" x14ac:dyDescent="0.3">
      <c r="A51" s="8" t="s">
        <v>119</v>
      </c>
      <c r="B51" s="645">
        <f>VLOOKUP(VLOOKUP(A51,$A$82:$B$105,2,0),'Gestion final Bizkaia 2018'!$B$76:$P$99,2,0)</f>
        <v>36912.115200000007</v>
      </c>
      <c r="C51" s="615" t="e">
        <f>+#REF!</f>
        <v>#REF!</v>
      </c>
      <c r="D51" s="622" t="str">
        <f>IFERROR(C51/B51-1,"")</f>
        <v/>
      </c>
      <c r="E51" s="646">
        <f>VLOOKUP(VLOOKUP(A51,$A$82:$B$105,2,0),'Gestion final Bizkaia 2018'!$B$76:$P$99,3,0)</f>
        <v>0</v>
      </c>
      <c r="F51" s="620" t="e">
        <f>+#REF!</f>
        <v>#REF!</v>
      </c>
      <c r="G51" s="622" t="str">
        <f>IFERROR(F51/E51-1,"")</f>
        <v/>
      </c>
      <c r="H51" s="645">
        <f>VLOOKUP(VLOOKUP(A51,$A$82:$B$105,2,0),'Gestion final Bizkaia 2018'!$B$76:$P$99,4,0)</f>
        <v>0</v>
      </c>
      <c r="I51" s="615" t="e">
        <f>+#REF!</f>
        <v>#REF!</v>
      </c>
      <c r="J51" s="622" t="str">
        <f>IFERROR(I51/H51-1,"")</f>
        <v/>
      </c>
      <c r="K51" s="645">
        <f>VLOOKUP(VLOOKUP(A51,$A$82:$B$105,2,0),'Gestion final Bizkaia 2018'!$B$76:$P$99,5,0)</f>
        <v>0</v>
      </c>
      <c r="L51" s="615" t="e">
        <f>+#REF!</f>
        <v>#REF!</v>
      </c>
      <c r="M51" s="622" t="str">
        <f>IFERROR(L51/K51-1,"")</f>
        <v/>
      </c>
      <c r="N51" s="645">
        <f>VLOOKUP(VLOOKUP(A51,$A$82:$B$105,2,0),'Gestion final Bizkaia 2018'!$B$76:$P$99,6,0)</f>
        <v>0</v>
      </c>
      <c r="O51" s="615" t="e">
        <f>+#REF!</f>
        <v>#REF!</v>
      </c>
      <c r="P51" s="622" t="str">
        <f>IFERROR(O51/N51-1,"")</f>
        <v/>
      </c>
      <c r="Q51" s="645">
        <f>VLOOKUP(VLOOKUP(A51,$A$82:$B$105,2,0),'Gestion final Bizkaia 2018'!$B$76:$P$99,7,0)</f>
        <v>1080.6623852982998</v>
      </c>
      <c r="R51" s="615" t="e">
        <f>+#REF!</f>
        <v>#REF!</v>
      </c>
      <c r="S51" s="622" t="str">
        <f>IFERROR(R51/Q51-1,"")</f>
        <v/>
      </c>
      <c r="T51" s="645">
        <f>VLOOKUP(VLOOKUP(A51,$A$82:$B$105,2,0),'Gestion final Bizkaia 2018'!$B$76:$P$99,8,0)</f>
        <v>5997.532467814297</v>
      </c>
      <c r="U51" s="615" t="e">
        <f>+#REF!+#REF!+#REF!+#REF!</f>
        <v>#REF!</v>
      </c>
      <c r="V51" s="622" t="str">
        <f>IFERROR(U51/T51-1,"")</f>
        <v/>
      </c>
      <c r="W51" s="645">
        <f>VLOOKUP(VLOOKUP(A51,$A$82:$B$105,2,0),'Gestion final Bizkaia 2018'!$B$76:$P$99,9,0)</f>
        <v>0</v>
      </c>
      <c r="X51" s="615" t="e">
        <f>+#REF!</f>
        <v>#REF!</v>
      </c>
      <c r="Y51" s="622" t="str">
        <f>IFERROR(X51/W51-1,"")</f>
        <v/>
      </c>
      <c r="Z51" s="645">
        <f>VLOOKUP(VLOOKUP(A51,$A$82:$B$105,2,0),'Gestion final Bizkaia 2018'!$B$76:$P$99,10,0)</f>
        <v>1089.7440096718851</v>
      </c>
      <c r="AA51" s="615" t="e">
        <f>+#REF!</f>
        <v>#REF!</v>
      </c>
      <c r="AB51" s="622" t="str">
        <f>IFERROR(AA51/Z51-1,"")</f>
        <v/>
      </c>
      <c r="AC51" s="645">
        <f>VLOOKUP(VLOOKUP(A51,$A$82:$B$105,2,0),'Gestion final Bizkaia 2018'!$B$76:$P$99,11,0)</f>
        <v>0</v>
      </c>
      <c r="AD51" s="615" t="e">
        <f>+#REF!</f>
        <v>#REF!</v>
      </c>
      <c r="AE51" s="622" t="str">
        <f>IFERROR(AD51/AC51-1,"")</f>
        <v/>
      </c>
      <c r="AF51" s="645">
        <f>VLOOKUP(VLOOKUP(A51,$A$82:$B$105,2,0),'Gestion final Bizkaia 2018'!$B$76:$P$99,12,0)</f>
        <v>10722.531345289826</v>
      </c>
      <c r="AG51" s="615" t="e">
        <f>+#REF!</f>
        <v>#REF!</v>
      </c>
      <c r="AH51" s="622" t="str">
        <f>IFERROR(AG51/AF51-1,"")</f>
        <v/>
      </c>
      <c r="AI51" s="615">
        <f>VLOOKUP(VLOOKUP(A51,$A$82:$B$105,2,0),'Gestion final Bizkaia 2018'!$B$76:$P$99,13,0)</f>
        <v>16993.196793586441</v>
      </c>
      <c r="AJ51" s="615" t="e">
        <f>+#REF!</f>
        <v>#REF!</v>
      </c>
      <c r="AK51" s="622" t="str">
        <f>IFERROR(AJ51/AI51-1,"")</f>
        <v/>
      </c>
      <c r="AL51" s="615">
        <f>VLOOKUP(VLOOKUP(A51,$A$82:$B$105,2,0),'Gestion final Bizkaia 2018'!$B$76:$P$99,14,0)</f>
        <v>1018.198112538628</v>
      </c>
      <c r="AM51" s="615" t="e">
        <f>+#REF!</f>
        <v>#REF!</v>
      </c>
      <c r="AN51" s="622" t="str">
        <f>IFERROR(AM51/AL51-1,"")</f>
        <v/>
      </c>
      <c r="AO51" s="615">
        <f>VLOOKUP(VLOOKUP(A51,$A$82:$B$105,2,0),'Gestion final Bizkaia 2018'!$B$76:$P$99,15,0)</f>
        <v>0</v>
      </c>
      <c r="AP51" s="615" t="e">
        <f>#REF!</f>
        <v>#REF!</v>
      </c>
      <c r="AQ51" s="622" t="str">
        <f>IFERROR(AP51/AO51-1,"")</f>
        <v/>
      </c>
      <c r="AR51" s="615" t="e">
        <f>+#REF!</f>
        <v>#REF!</v>
      </c>
      <c r="AS51" s="615" t="e">
        <f t="shared" si="26"/>
        <v>#REF!</v>
      </c>
    </row>
    <row r="52" spans="1:45" ht="14.4" x14ac:dyDescent="0.3">
      <c r="A52" s="154" t="s">
        <v>82</v>
      </c>
      <c r="B52" s="645">
        <f>VLOOKUP(VLOOKUP(A52,$A$82:$B$105,2,0),'Gestion final Bizkaia 2018'!$B$76:$P$99,2,0)</f>
        <v>92997.025799999989</v>
      </c>
      <c r="C52" s="615" t="e">
        <f>+#REF!</f>
        <v>#REF!</v>
      </c>
      <c r="D52" s="622" t="str">
        <f>IFERROR(C52/B52-1,"")</f>
        <v/>
      </c>
      <c r="E52" s="646">
        <f>VLOOKUP(VLOOKUP(A52,$A$82:$B$105,2,0),'Gestion final Bizkaia 2018'!$B$76:$P$99,3,0)</f>
        <v>0.99016069823600739</v>
      </c>
      <c r="F52" s="620" t="e">
        <f>+#REF!</f>
        <v>#REF!</v>
      </c>
      <c r="G52" s="622" t="str">
        <f>IFERROR(F52/E52-1,"")</f>
        <v/>
      </c>
      <c r="H52" s="645">
        <f>VLOOKUP(VLOOKUP(A52,$A$82:$B$105,2,0),'Gestion final Bizkaia 2018'!$B$76:$P$99,4,0)</f>
        <v>0</v>
      </c>
      <c r="I52" s="615" t="e">
        <f>+#REF!</f>
        <v>#REF!</v>
      </c>
      <c r="J52" s="622" t="str">
        <f>IFERROR(I52/H52-1,"")</f>
        <v/>
      </c>
      <c r="K52" s="645">
        <f>VLOOKUP(VLOOKUP(A52,$A$82:$B$105,2,0),'Gestion final Bizkaia 2018'!$B$76:$P$99,5,0)</f>
        <v>87477.89999999998</v>
      </c>
      <c r="L52" s="615" t="e">
        <f>+#REF!</f>
        <v>#REF!</v>
      </c>
      <c r="M52" s="622" t="str">
        <f>IFERROR(L52/K52-1,"")</f>
        <v/>
      </c>
      <c r="N52" s="645">
        <f>VLOOKUP(VLOOKUP(A52,$A$82:$B$105,2,0),'Gestion final Bizkaia 2018'!$B$76:$P$99,6,0)</f>
        <v>0</v>
      </c>
      <c r="O52" s="615" t="e">
        <f>+#REF!</f>
        <v>#REF!</v>
      </c>
      <c r="P52" s="622" t="str">
        <f>IFERROR(O52/N52-1,"")</f>
        <v/>
      </c>
      <c r="Q52" s="645">
        <f>VLOOKUP(VLOOKUP(A52,$A$82:$B$105,2,0),'Gestion final Bizkaia 2018'!$B$76:$P$99,7,0)</f>
        <v>0</v>
      </c>
      <c r="R52" s="615" t="e">
        <f>+#REF!</f>
        <v>#REF!</v>
      </c>
      <c r="S52" s="622" t="str">
        <f>IFERROR(R52/Q52-1,"")</f>
        <v/>
      </c>
      <c r="T52" s="645">
        <f>VLOOKUP(VLOOKUP(A52,$A$82:$B$105,2,0),'Gestion final Bizkaia 2018'!$B$76:$P$99,8,0)</f>
        <v>5501.2360249787343</v>
      </c>
      <c r="U52" s="615" t="e">
        <f>+#REF!+#REF!+#REF!+#REF!</f>
        <v>#REF!</v>
      </c>
      <c r="V52" s="622" t="str">
        <f>IFERROR(U52/T52-1,"")</f>
        <v/>
      </c>
      <c r="W52" s="645">
        <f>VLOOKUP(VLOOKUP(A52,$A$82:$B$105,2,0),'Gestion final Bizkaia 2018'!$B$76:$P$99,9,0)</f>
        <v>0</v>
      </c>
      <c r="X52" s="615" t="e">
        <f>+#REF!</f>
        <v>#REF!</v>
      </c>
      <c r="Y52" s="622" t="str">
        <f>IFERROR(X52/W52-1,"")</f>
        <v/>
      </c>
      <c r="Z52" s="645">
        <f>VLOOKUP(VLOOKUP(A52,$A$82:$B$105,2,0),'Gestion final Bizkaia 2018'!$B$76:$P$99,10,0)</f>
        <v>0</v>
      </c>
      <c r="AA52" s="615" t="e">
        <f>+#REF!</f>
        <v>#REF!</v>
      </c>
      <c r="AB52" s="622" t="str">
        <f>IFERROR(AA52/Z52-1,"")</f>
        <v/>
      </c>
      <c r="AC52" s="645">
        <f>VLOOKUP(VLOOKUP(A52,$A$82:$B$105,2,0),'Gestion final Bizkaia 2018'!$B$76:$P$99,11,0)</f>
        <v>0</v>
      </c>
      <c r="AD52" s="615" t="e">
        <f>+#REF!</f>
        <v>#REF!</v>
      </c>
      <c r="AE52" s="622" t="str">
        <f>IFERROR(AD52/AC52-1,"")</f>
        <v/>
      </c>
      <c r="AF52" s="645">
        <f>VLOOKUP(VLOOKUP(A52,$A$82:$B$105,2,0),'Gestion final Bizkaia 2018'!$B$76:$P$99,12,0)</f>
        <v>0</v>
      </c>
      <c r="AG52" s="615" t="e">
        <f>+#REF!</f>
        <v>#REF!</v>
      </c>
      <c r="AH52" s="622" t="str">
        <f>IFERROR(AG52/AF52-1,"")</f>
        <v/>
      </c>
      <c r="AI52" s="615">
        <f>VLOOKUP(VLOOKUP(A52,$A$82:$B$105,2,0),'Gestion final Bizkaia 2018'!$B$76:$P$99,13,0)</f>
        <v>0</v>
      </c>
      <c r="AJ52" s="615" t="e">
        <f>+#REF!</f>
        <v>#REF!</v>
      </c>
      <c r="AK52" s="622" t="str">
        <f>IFERROR(AJ52/AI52-1,"")</f>
        <v/>
      </c>
      <c r="AL52" s="615">
        <f>VLOOKUP(VLOOKUP(A52,$A$82:$B$105,2,0),'Gestion final Bizkaia 2018'!$B$76:$P$99,14,0)</f>
        <v>21.393791631188755</v>
      </c>
      <c r="AM52" s="615" t="e">
        <f>+#REF!</f>
        <v>#REF!</v>
      </c>
      <c r="AN52" s="622" t="str">
        <f>IFERROR(AM52/AL52-1,"")</f>
        <v/>
      </c>
      <c r="AO52" s="615">
        <f>VLOOKUP(VLOOKUP(A52,$A$82:$B$105,2,0),'Gestion final Bizkaia 2018'!$B$76:$P$99,15,0)</f>
        <v>0</v>
      </c>
      <c r="AP52" s="615" t="e">
        <f>#REF!</f>
        <v>#REF!</v>
      </c>
      <c r="AQ52" s="622" t="str">
        <f>IFERROR(AP52/AO52-1,"")</f>
        <v/>
      </c>
      <c r="AR52" s="615" t="e">
        <f>+#REF!</f>
        <v>#REF!</v>
      </c>
      <c r="AS52" s="615" t="e">
        <f t="shared" si="26"/>
        <v>#REF!</v>
      </c>
    </row>
    <row r="54" spans="1:45" x14ac:dyDescent="0.25">
      <c r="A54" s="652" t="s">
        <v>184</v>
      </c>
      <c r="B54" s="641" t="s">
        <v>395</v>
      </c>
      <c r="C54" s="641"/>
      <c r="D54" s="641"/>
      <c r="E54" s="642" t="s">
        <v>9</v>
      </c>
      <c r="F54" s="641"/>
      <c r="G54" s="641"/>
      <c r="H54" s="642" t="s">
        <v>412</v>
      </c>
      <c r="I54" s="641"/>
      <c r="J54" s="641"/>
      <c r="K54" s="642" t="s">
        <v>135</v>
      </c>
      <c r="L54" s="641"/>
      <c r="M54" s="641"/>
      <c r="N54" s="642" t="s">
        <v>140</v>
      </c>
      <c r="O54" s="641"/>
      <c r="P54" s="641"/>
      <c r="Q54" s="642" t="s">
        <v>413</v>
      </c>
      <c r="R54" s="641"/>
      <c r="S54" s="641"/>
      <c r="T54" s="642" t="s">
        <v>416</v>
      </c>
      <c r="U54" s="641"/>
      <c r="V54" s="641"/>
      <c r="W54" s="642" t="s">
        <v>219</v>
      </c>
      <c r="X54" s="641"/>
      <c r="Y54" s="641"/>
      <c r="Z54" s="642" t="s">
        <v>163</v>
      </c>
      <c r="AA54" s="641"/>
      <c r="AB54" s="641"/>
      <c r="AC54" s="3839" t="s">
        <v>161</v>
      </c>
      <c r="AD54" s="3840"/>
      <c r="AE54" s="3841"/>
      <c r="AF54" s="644" t="s">
        <v>419</v>
      </c>
      <c r="AG54" s="639"/>
      <c r="AH54" s="639"/>
      <c r="AI54" s="638"/>
      <c r="AJ54" s="639"/>
      <c r="AK54" s="639"/>
      <c r="AL54" s="638"/>
      <c r="AM54" s="639"/>
      <c r="AN54" s="639"/>
      <c r="AO54" s="638"/>
      <c r="AP54" s="639"/>
      <c r="AQ54" s="639"/>
    </row>
    <row r="55" spans="1:45" x14ac:dyDescent="0.25">
      <c r="B55" s="643">
        <v>2018</v>
      </c>
      <c r="C55" s="643">
        <v>2019</v>
      </c>
      <c r="D55" s="643" t="s">
        <v>420</v>
      </c>
      <c r="E55" s="643">
        <v>2018</v>
      </c>
      <c r="F55" s="643">
        <v>2019</v>
      </c>
      <c r="G55" s="643" t="s">
        <v>420</v>
      </c>
      <c r="H55" s="643">
        <v>2018</v>
      </c>
      <c r="I55" s="643">
        <v>2019</v>
      </c>
      <c r="J55" s="643" t="s">
        <v>420</v>
      </c>
      <c r="K55" s="643">
        <v>2018</v>
      </c>
      <c r="L55" s="643">
        <v>2019</v>
      </c>
      <c r="M55" s="643" t="s">
        <v>420</v>
      </c>
      <c r="N55" s="643">
        <v>2018</v>
      </c>
      <c r="O55" s="643">
        <v>2019</v>
      </c>
      <c r="P55" s="643" t="s">
        <v>420</v>
      </c>
      <c r="Q55" s="643">
        <v>2018</v>
      </c>
      <c r="R55" s="643">
        <v>2019</v>
      </c>
      <c r="S55" s="643" t="s">
        <v>420</v>
      </c>
      <c r="T55" s="643">
        <v>2018</v>
      </c>
      <c r="U55" s="643">
        <v>2019</v>
      </c>
      <c r="V55" s="643" t="s">
        <v>420</v>
      </c>
      <c r="W55" s="643">
        <v>2018</v>
      </c>
      <c r="X55" s="643">
        <v>2019</v>
      </c>
      <c r="Y55" s="643" t="s">
        <v>420</v>
      </c>
      <c r="Z55" s="643">
        <v>2018</v>
      </c>
      <c r="AA55" s="643">
        <v>2019</v>
      </c>
      <c r="AB55" s="643" t="s">
        <v>420</v>
      </c>
      <c r="AC55" s="653">
        <v>2018</v>
      </c>
      <c r="AD55" s="643">
        <v>2019</v>
      </c>
      <c r="AE55" s="643" t="s">
        <v>420</v>
      </c>
      <c r="AF55" s="643"/>
    </row>
    <row r="56" spans="1:45" ht="14.4" x14ac:dyDescent="0.3">
      <c r="A56" s="8" t="s">
        <v>113</v>
      </c>
      <c r="B56" s="645" t="e">
        <f>VLOOKUP(VLOOKUP(A56,$A$82:$B$105,2,0),'Gestion final Gipuzkoa 2018'!$B$74:$P$97,2,0)</f>
        <v>#REF!</v>
      </c>
      <c r="C56" s="615" t="e">
        <f>+#REF!</f>
        <v>#REF!</v>
      </c>
      <c r="D56" s="622" t="str">
        <f t="shared" ref="D56:D76" si="27">IFERROR(C56/B56-1,"")</f>
        <v/>
      </c>
      <c r="E56" s="646" t="e">
        <f>VLOOKUP(VLOOKUP(A56,$A$82:$B$105,2,0),'Gestion final Gipuzkoa 2018'!$B$74:$P$97,3,0)</f>
        <v>#REF!</v>
      </c>
      <c r="F56" s="620" t="e">
        <f>+#REF!</f>
        <v>#REF!</v>
      </c>
      <c r="G56" s="622" t="str">
        <f t="shared" ref="G56:G76" si="28">IFERROR(F56/E56-1,"")</f>
        <v/>
      </c>
      <c r="H56" s="645" t="e">
        <f>VLOOKUP(VLOOKUP(A56,$A$82:$B$105,2,0),'Gestion final Gipuzkoa 2018'!$B$74:$P$97,4,0)</f>
        <v>#REF!</v>
      </c>
      <c r="I56" s="615" t="e">
        <f>+#REF!</f>
        <v>#REF!</v>
      </c>
      <c r="J56" s="622" t="str">
        <f t="shared" ref="J56:J76" si="29">IFERROR(I56/H56-1,"")</f>
        <v/>
      </c>
      <c r="K56" s="645" t="e">
        <f>VLOOKUP(VLOOKUP(A56,$A$82:$B$105,2,0),'Gestion final Gipuzkoa 2018'!$B$74:$P$97,5,0)</f>
        <v>#REF!</v>
      </c>
      <c r="L56" s="615" t="e">
        <f>+#REF!</f>
        <v>#REF!</v>
      </c>
      <c r="M56" s="622" t="str">
        <f t="shared" ref="M56:M76" si="30">IFERROR(L56/K56-1,"")</f>
        <v/>
      </c>
      <c r="N56" s="645" t="e">
        <f>VLOOKUP(VLOOKUP(A56,$A$82:$B$105,2,0),'Gestion final Gipuzkoa 2018'!$B$74:$P$97,6,0)</f>
        <v>#REF!</v>
      </c>
      <c r="O56" s="615" t="e">
        <f>+#REF!</f>
        <v>#REF!</v>
      </c>
      <c r="P56" s="622" t="str">
        <f t="shared" ref="P56:P76" si="31">IFERROR(O56/N56-1,"")</f>
        <v/>
      </c>
      <c r="Q56" s="645" t="e">
        <f>VLOOKUP(VLOOKUP(A56,$A$82:$B$105,2,0),'Gestion final Gipuzkoa 2018'!$B$74:$P$97,7,0)</f>
        <v>#REF!</v>
      </c>
      <c r="R56" s="615" t="e">
        <f>+#REF!</f>
        <v>#REF!</v>
      </c>
      <c r="S56" s="622" t="str">
        <f t="shared" ref="S56:S76" si="32">IFERROR(R56/Q56-1,"")</f>
        <v/>
      </c>
      <c r="T56" s="645" t="e">
        <f>VLOOKUP(VLOOKUP(A56,$A$82:$B$105,2,0),'Gestion final Gipuzkoa 2018'!$B$74:$P$97,8,0)</f>
        <v>#REF!</v>
      </c>
      <c r="U56" s="615" t="e">
        <f>+#REF!+#REF!</f>
        <v>#REF!</v>
      </c>
      <c r="V56" s="622" t="str">
        <f t="shared" ref="V56:V76" si="33">IFERROR(U56/T56-1,"")</f>
        <v/>
      </c>
      <c r="W56" s="615" t="e">
        <f>VLOOKUP(VLOOKUP(A56,$A$82:$B$105,2,0),'Gestion final Gipuzkoa 2018'!$B$74:$P$97,9,0)</f>
        <v>#REF!</v>
      </c>
      <c r="X56" s="615" t="e">
        <f>+#REF!</f>
        <v>#REF!</v>
      </c>
      <c r="Y56" s="622" t="str">
        <f>IFERROR(X56/W56-1,"")</f>
        <v/>
      </c>
      <c r="Z56" s="615" t="e">
        <f>VLOOKUP(VLOOKUP(A56,$A$82:$B$105,2,0),'Gestion final Gipuzkoa 2018'!$B$74:$P$97,10,0)</f>
        <v>#REF!</v>
      </c>
      <c r="AA56" s="615" t="e">
        <f>+#REF!</f>
        <v>#REF!</v>
      </c>
      <c r="AB56" s="622" t="str">
        <f t="shared" ref="AB56:AB76" si="34">IFERROR(AA56/Z56-1,"")</f>
        <v/>
      </c>
      <c r="AC56" s="653">
        <v>0</v>
      </c>
      <c r="AD56" s="615" t="e">
        <f>#REF!</f>
        <v>#REF!</v>
      </c>
      <c r="AE56" s="622" t="str">
        <f>IFERROR(AD56/AC56-1,"")</f>
        <v/>
      </c>
      <c r="AF56" s="615" t="e">
        <f>+C56-SUM(I56,L56,O56,R56,U56,X56,AA56,AD56)</f>
        <v>#REF!</v>
      </c>
      <c r="AG56" s="512"/>
      <c r="AH56" s="654"/>
      <c r="AI56" s="514"/>
      <c r="AJ56" s="512"/>
      <c r="AK56" s="654"/>
      <c r="AL56" s="514"/>
      <c r="AM56" s="512"/>
      <c r="AN56" s="654"/>
      <c r="AO56" s="512"/>
      <c r="AP56" s="512"/>
      <c r="AQ56" s="654"/>
      <c r="AR56" s="512"/>
    </row>
    <row r="57" spans="1:45" ht="14.4" x14ac:dyDescent="0.3">
      <c r="A57" s="8" t="s">
        <v>236</v>
      </c>
      <c r="B57" s="645" t="e">
        <f>VLOOKUP(VLOOKUP(A57,$A$82:$B$105,2,0),'Gestion final Gipuzkoa 2018'!$B$74:$P$97,2,0)</f>
        <v>#REF!</v>
      </c>
      <c r="C57" s="615" t="e">
        <f>+#REF!</f>
        <v>#REF!</v>
      </c>
      <c r="D57" s="622" t="str">
        <f t="shared" si="27"/>
        <v/>
      </c>
      <c r="E57" s="646" t="e">
        <f>VLOOKUP(VLOOKUP(A57,$A$82:$B$105,2,0),'Gestion final Gipuzkoa 2018'!$B$74:$P$97,3,0)</f>
        <v>#REF!</v>
      </c>
      <c r="F57" s="620" t="e">
        <f>+#REF!</f>
        <v>#REF!</v>
      </c>
      <c r="G57" s="622" t="str">
        <f t="shared" si="28"/>
        <v/>
      </c>
      <c r="H57" s="645" t="e">
        <f>VLOOKUP(VLOOKUP(A57,$A$82:$B$105,2,0),'Gestion final Gipuzkoa 2018'!$B$74:$P$97,4,0)</f>
        <v>#REF!</v>
      </c>
      <c r="I57" s="615" t="e">
        <f>+#REF!</f>
        <v>#REF!</v>
      </c>
      <c r="J57" s="622" t="str">
        <f t="shared" si="29"/>
        <v/>
      </c>
      <c r="K57" s="645" t="e">
        <f>VLOOKUP(VLOOKUP(A57,$A$82:$B$105,2,0),'Gestion final Gipuzkoa 2018'!$B$74:$P$97,5,0)</f>
        <v>#REF!</v>
      </c>
      <c r="L57" s="615" t="e">
        <f>+#REF!</f>
        <v>#REF!</v>
      </c>
      <c r="M57" s="622" t="str">
        <f t="shared" si="30"/>
        <v/>
      </c>
      <c r="N57" s="645" t="e">
        <f>VLOOKUP(VLOOKUP(A57,$A$82:$B$105,2,0),'Gestion final Gipuzkoa 2018'!$B$74:$P$97,6,0)</f>
        <v>#REF!</v>
      </c>
      <c r="O57" s="615" t="e">
        <f>+#REF!</f>
        <v>#REF!</v>
      </c>
      <c r="P57" s="622" t="str">
        <f t="shared" si="31"/>
        <v/>
      </c>
      <c r="Q57" s="645" t="e">
        <f>VLOOKUP(VLOOKUP(A57,$A$82:$B$105,2,0),'Gestion final Gipuzkoa 2018'!$B$74:$P$97,7,0)</f>
        <v>#REF!</v>
      </c>
      <c r="R57" s="615" t="e">
        <f>+#REF!</f>
        <v>#REF!</v>
      </c>
      <c r="S57" s="622" t="str">
        <f t="shared" si="32"/>
        <v/>
      </c>
      <c r="T57" s="645" t="e">
        <f>VLOOKUP(VLOOKUP(A57,$A$82:$B$105,2,0),'Gestion final Gipuzkoa 2018'!$B$74:$P$97,8,0)</f>
        <v>#REF!</v>
      </c>
      <c r="U57" s="615" t="e">
        <f>+#REF!+#REF!</f>
        <v>#REF!</v>
      </c>
      <c r="V57" s="622" t="str">
        <f t="shared" si="33"/>
        <v/>
      </c>
      <c r="W57" s="615" t="e">
        <f>VLOOKUP(VLOOKUP(A57,$A$82:$B$105,2,0),'Gestion final Gipuzkoa 2018'!$B$74:$P$97,9,0)</f>
        <v>#REF!</v>
      </c>
      <c r="X57" s="615" t="e">
        <f>+#REF!</f>
        <v>#REF!</v>
      </c>
      <c r="Y57" s="622" t="str">
        <f t="shared" ref="Y57:Y76" si="35">IFERROR(X57/W57-1,"")</f>
        <v/>
      </c>
      <c r="Z57" s="615" t="e">
        <f>VLOOKUP(VLOOKUP(A57,$A$82:$B$105,2,0),'Gestion final Gipuzkoa 2018'!$B$74:$P$97,10,0)</f>
        <v>#REF!</v>
      </c>
      <c r="AA57" s="615" t="e">
        <f>+#REF!</f>
        <v>#REF!</v>
      </c>
      <c r="AB57" s="622" t="str">
        <f t="shared" si="34"/>
        <v/>
      </c>
      <c r="AC57" s="653">
        <v>0</v>
      </c>
      <c r="AD57" s="615" t="e">
        <f>#REF!</f>
        <v>#REF!</v>
      </c>
      <c r="AE57" s="622" t="str">
        <f>IFERROR(AD57/AC57-1,"")</f>
        <v/>
      </c>
      <c r="AF57" s="615" t="e">
        <f t="shared" ref="AF57:AF78" si="36">+C57-SUM(I57,L57,O57,R57,U57,X57,AA57,AD57)</f>
        <v>#REF!</v>
      </c>
      <c r="AG57" s="512"/>
      <c r="AH57" s="654"/>
      <c r="AI57" s="514"/>
      <c r="AJ57" s="512"/>
      <c r="AK57" s="654"/>
      <c r="AL57" s="514"/>
      <c r="AM57" s="512"/>
      <c r="AN57" s="654"/>
      <c r="AO57" s="512"/>
      <c r="AP57" s="512"/>
      <c r="AQ57" s="654"/>
      <c r="AR57" s="512"/>
    </row>
    <row r="58" spans="1:45" ht="14.4" x14ac:dyDescent="0.3">
      <c r="A58" s="8" t="s">
        <v>14</v>
      </c>
      <c r="B58" s="645" t="e">
        <f>VLOOKUP(VLOOKUP(A58,$A$82:$B$105,2,0),'Gestion final Gipuzkoa 2018'!$B$74:$P$97,2,0)</f>
        <v>#REF!</v>
      </c>
      <c r="C58" s="615" t="e">
        <f>+#REF!</f>
        <v>#REF!</v>
      </c>
      <c r="D58" s="622" t="str">
        <f t="shared" si="27"/>
        <v/>
      </c>
      <c r="E58" s="646" t="e">
        <f>VLOOKUP(VLOOKUP(A58,$A$82:$B$105,2,0),'Gestion final Gipuzkoa 2018'!$B$74:$P$97,3,0)</f>
        <v>#REF!</v>
      </c>
      <c r="F58" s="620" t="e">
        <f>+#REF!</f>
        <v>#REF!</v>
      </c>
      <c r="G58" s="622" t="str">
        <f t="shared" si="28"/>
        <v/>
      </c>
      <c r="H58" s="645">
        <f>VLOOKUP(VLOOKUP(A58,$A$82:$B$105,2,0),'Gestion final Gipuzkoa 2018'!$B$74:$P$97,4,0)</f>
        <v>0</v>
      </c>
      <c r="I58" s="615" t="e">
        <f>+#REF!</f>
        <v>#REF!</v>
      </c>
      <c r="J58" s="622" t="str">
        <f t="shared" si="29"/>
        <v/>
      </c>
      <c r="K58" s="645" t="e">
        <f>VLOOKUP(VLOOKUP(A58,$A$82:$B$105,2,0),'Gestion final Gipuzkoa 2018'!$B$74:$P$97,5,0)</f>
        <v>#REF!</v>
      </c>
      <c r="L58" s="615" t="e">
        <f>+#REF!</f>
        <v>#REF!</v>
      </c>
      <c r="M58" s="622" t="str">
        <f t="shared" si="30"/>
        <v/>
      </c>
      <c r="N58" s="645">
        <f>VLOOKUP(VLOOKUP(A58,$A$82:$B$105,2,0),'Gestion final Gipuzkoa 2018'!$B$74:$P$97,6,0)</f>
        <v>0</v>
      </c>
      <c r="O58" s="615" t="e">
        <f>+#REF!</f>
        <v>#REF!</v>
      </c>
      <c r="P58" s="622" t="str">
        <f t="shared" si="31"/>
        <v/>
      </c>
      <c r="Q58" s="645">
        <f>VLOOKUP(VLOOKUP(A58,$A$82:$B$105,2,0),'Gestion final Gipuzkoa 2018'!$B$74:$P$97,7,0)</f>
        <v>0</v>
      </c>
      <c r="R58" s="615" t="e">
        <f>+#REF!</f>
        <v>#REF!</v>
      </c>
      <c r="S58" s="622" t="str">
        <f t="shared" si="32"/>
        <v/>
      </c>
      <c r="T58" s="645" t="e">
        <f>VLOOKUP(VLOOKUP(A58,$A$82:$B$105,2,0),'Gestion final Gipuzkoa 2018'!$B$74:$P$97,8,0)</f>
        <v>#REF!</v>
      </c>
      <c r="U58" s="615" t="e">
        <f>+#REF!+#REF!</f>
        <v>#REF!</v>
      </c>
      <c r="V58" s="622" t="str">
        <f t="shared" si="33"/>
        <v/>
      </c>
      <c r="W58" s="615" t="e">
        <f>VLOOKUP(VLOOKUP(A58,$A$82:$B$105,2,0),'Gestion final Gipuzkoa 2018'!$B$74:$P$97,9,0)</f>
        <v>#REF!</v>
      </c>
      <c r="X58" s="615" t="e">
        <f>+#REF!</f>
        <v>#REF!</v>
      </c>
      <c r="Y58" s="622" t="str">
        <f t="shared" si="35"/>
        <v/>
      </c>
      <c r="Z58" s="615">
        <f>VLOOKUP(VLOOKUP(A58,$A$82:$B$105,2,0),'Gestion final Gipuzkoa 2018'!$B$74:$P$97,10,0)</f>
        <v>0</v>
      </c>
      <c r="AA58" s="615" t="e">
        <f>+#REF!</f>
        <v>#REF!</v>
      </c>
      <c r="AB58" s="622" t="str">
        <f t="shared" si="34"/>
        <v/>
      </c>
      <c r="AC58" s="653">
        <v>0</v>
      </c>
      <c r="AD58" s="615" t="e">
        <f>#REF!</f>
        <v>#REF!</v>
      </c>
      <c r="AE58" s="622" t="str">
        <f t="shared" ref="AE58:AE78" si="37">IFERROR(AD58/AC58-1,"")</f>
        <v/>
      </c>
      <c r="AF58" s="615" t="e">
        <f t="shared" si="36"/>
        <v>#REF!</v>
      </c>
      <c r="AG58" s="512"/>
      <c r="AH58" s="654"/>
      <c r="AI58" s="514"/>
      <c r="AJ58" s="512"/>
      <c r="AK58" s="654"/>
      <c r="AL58" s="514"/>
      <c r="AM58" s="512"/>
      <c r="AN58" s="654"/>
      <c r="AO58" s="512"/>
      <c r="AP58" s="512"/>
      <c r="AQ58" s="654"/>
      <c r="AR58" s="512"/>
    </row>
    <row r="59" spans="1:45" ht="14.4" x14ac:dyDescent="0.3">
      <c r="A59" s="8" t="s">
        <v>32</v>
      </c>
      <c r="B59" s="645" t="e">
        <f>VLOOKUP(VLOOKUP(A59,$A$82:$B$105,2,0),'Gestion final Gipuzkoa 2018'!$B$74:$P$97,2,0)</f>
        <v>#REF!</v>
      </c>
      <c r="C59" s="615" t="e">
        <f>+#REF!</f>
        <v>#REF!</v>
      </c>
      <c r="D59" s="622" t="str">
        <f t="shared" si="27"/>
        <v/>
      </c>
      <c r="E59" s="646" t="e">
        <f>VLOOKUP(VLOOKUP(A59,$A$82:$B$105,2,0),'Gestion final Gipuzkoa 2018'!$B$74:$P$97,3,0)</f>
        <v>#REF!</v>
      </c>
      <c r="F59" s="620" t="e">
        <f>+#REF!</f>
        <v>#REF!</v>
      </c>
      <c r="G59" s="622" t="str">
        <f t="shared" si="28"/>
        <v/>
      </c>
      <c r="H59" s="645">
        <f>VLOOKUP(VLOOKUP(A59,$A$82:$B$105,2,0),'Gestion final Gipuzkoa 2018'!$B$74:$P$97,4,0)</f>
        <v>0</v>
      </c>
      <c r="I59" s="615" t="e">
        <f>+#REF!</f>
        <v>#REF!</v>
      </c>
      <c r="J59" s="622" t="str">
        <f t="shared" si="29"/>
        <v/>
      </c>
      <c r="K59" s="645" t="e">
        <f>VLOOKUP(VLOOKUP(A59,$A$82:$B$105,2,0),'Gestion final Gipuzkoa 2018'!$B$74:$P$97,5,0)</f>
        <v>#REF!</v>
      </c>
      <c r="L59" s="615" t="e">
        <f>+#REF!</f>
        <v>#REF!</v>
      </c>
      <c r="M59" s="622" t="str">
        <f t="shared" si="30"/>
        <v/>
      </c>
      <c r="N59" s="645">
        <f>VLOOKUP(VLOOKUP(A59,$A$82:$B$105,2,0),'Gestion final Gipuzkoa 2018'!$B$74:$P$97,6,0)</f>
        <v>0</v>
      </c>
      <c r="O59" s="615" t="e">
        <f>+#REF!</f>
        <v>#REF!</v>
      </c>
      <c r="P59" s="622" t="str">
        <f t="shared" si="31"/>
        <v/>
      </c>
      <c r="Q59" s="645" t="e">
        <f>VLOOKUP(VLOOKUP(A59,$A$82:$B$105,2,0),'Gestion final Gipuzkoa 2018'!$B$74:$P$97,7,0)</f>
        <v>#REF!</v>
      </c>
      <c r="R59" s="615" t="e">
        <f>+#REF!</f>
        <v>#REF!</v>
      </c>
      <c r="S59" s="622" t="str">
        <f t="shared" si="32"/>
        <v/>
      </c>
      <c r="T59" s="645" t="e">
        <f>VLOOKUP(VLOOKUP(A59,$A$82:$B$105,2,0),'Gestion final Gipuzkoa 2018'!$B$74:$P$97,8,0)</f>
        <v>#REF!</v>
      </c>
      <c r="U59" s="615" t="e">
        <f>+#REF!+#REF!</f>
        <v>#REF!</v>
      </c>
      <c r="V59" s="622" t="str">
        <f t="shared" si="33"/>
        <v/>
      </c>
      <c r="W59" s="615" t="e">
        <f>VLOOKUP(VLOOKUP(A59,$A$82:$B$105,2,0),'Gestion final Gipuzkoa 2018'!$B$74:$P$97,9,0)</f>
        <v>#REF!</v>
      </c>
      <c r="X59" s="615" t="e">
        <f>+#REF!</f>
        <v>#REF!</v>
      </c>
      <c r="Y59" s="622" t="str">
        <f t="shared" si="35"/>
        <v/>
      </c>
      <c r="Z59" s="615">
        <f>VLOOKUP(VLOOKUP(A59,$A$82:$B$105,2,0),'Gestion final Gipuzkoa 2018'!$B$74:$P$97,10,0)</f>
        <v>0</v>
      </c>
      <c r="AA59" s="615" t="e">
        <f>+#REF!</f>
        <v>#REF!</v>
      </c>
      <c r="AB59" s="622" t="str">
        <f t="shared" si="34"/>
        <v/>
      </c>
      <c r="AC59" s="653">
        <v>0</v>
      </c>
      <c r="AD59" s="615" t="e">
        <f>#REF!</f>
        <v>#REF!</v>
      </c>
      <c r="AE59" s="622" t="str">
        <f t="shared" si="37"/>
        <v/>
      </c>
      <c r="AF59" s="615" t="e">
        <f t="shared" si="36"/>
        <v>#REF!</v>
      </c>
      <c r="AG59" s="512"/>
      <c r="AH59" s="654"/>
      <c r="AI59" s="514"/>
      <c r="AJ59" s="512"/>
      <c r="AK59" s="654"/>
      <c r="AL59" s="514"/>
      <c r="AM59" s="512"/>
      <c r="AN59" s="654"/>
      <c r="AO59" s="512"/>
      <c r="AP59" s="512"/>
      <c r="AQ59" s="654"/>
      <c r="AR59" s="512"/>
    </row>
    <row r="60" spans="1:45" ht="14.4" x14ac:dyDescent="0.3">
      <c r="A60" s="8" t="s">
        <v>47</v>
      </c>
      <c r="B60" s="645" t="e">
        <f>VLOOKUP(VLOOKUP(A60,$A$82:$B$105,2,0),'Gestion final Gipuzkoa 2018'!$B$74:$P$97,2,0)</f>
        <v>#REF!</v>
      </c>
      <c r="C60" s="615" t="e">
        <f>+#REF!</f>
        <v>#REF!</v>
      </c>
      <c r="D60" s="622" t="str">
        <f t="shared" si="27"/>
        <v/>
      </c>
      <c r="E60" s="646" t="e">
        <f>VLOOKUP(VLOOKUP(A60,$A$82:$B$105,2,0),'Gestion final Gipuzkoa 2018'!$B$74:$P$97,3,0)</f>
        <v>#REF!</v>
      </c>
      <c r="F60" s="620" t="e">
        <f>+#REF!</f>
        <v>#REF!</v>
      </c>
      <c r="G60" s="622" t="str">
        <f t="shared" si="28"/>
        <v/>
      </c>
      <c r="H60" s="645">
        <f>VLOOKUP(VLOOKUP(A60,$A$82:$B$105,2,0),'Gestion final Gipuzkoa 2018'!$B$74:$P$97,4,0)</f>
        <v>0</v>
      </c>
      <c r="I60" s="615" t="e">
        <f>+#REF!</f>
        <v>#REF!</v>
      </c>
      <c r="J60" s="622" t="str">
        <f t="shared" si="29"/>
        <v/>
      </c>
      <c r="K60" s="645" t="e">
        <f>VLOOKUP(VLOOKUP(A60,$A$82:$B$105,2,0),'Gestion final Gipuzkoa 2018'!$B$74:$P$97,5,0)</f>
        <v>#REF!</v>
      </c>
      <c r="L60" s="615" t="e">
        <f>+#REF!</f>
        <v>#REF!</v>
      </c>
      <c r="M60" s="622" t="str">
        <f t="shared" si="30"/>
        <v/>
      </c>
      <c r="N60" s="645">
        <f>VLOOKUP(VLOOKUP(A60,$A$82:$B$105,2,0),'Gestion final Gipuzkoa 2018'!$B$74:$P$97,6,0)</f>
        <v>0</v>
      </c>
      <c r="O60" s="615" t="e">
        <f>+#REF!</f>
        <v>#REF!</v>
      </c>
      <c r="P60" s="622" t="str">
        <f t="shared" si="31"/>
        <v/>
      </c>
      <c r="Q60" s="645">
        <f>VLOOKUP(VLOOKUP(A60,$A$82:$B$105,2,0),'Gestion final Gipuzkoa 2018'!$B$74:$P$97,7,0)</f>
        <v>0</v>
      </c>
      <c r="R60" s="615" t="e">
        <f>+#REF!</f>
        <v>#REF!</v>
      </c>
      <c r="S60" s="622" t="str">
        <f t="shared" si="32"/>
        <v/>
      </c>
      <c r="T60" s="645">
        <f>VLOOKUP(VLOOKUP(A60,$A$82:$B$105,2,0),'Gestion final Gipuzkoa 2018'!$B$74:$P$97,8,0)</f>
        <v>0</v>
      </c>
      <c r="U60" s="615" t="e">
        <f>+#REF!+#REF!</f>
        <v>#REF!</v>
      </c>
      <c r="V60" s="622" t="str">
        <f t="shared" si="33"/>
        <v/>
      </c>
      <c r="W60" s="615" t="e">
        <f>VLOOKUP(VLOOKUP(A60,$A$82:$B$105,2,0),'Gestion final Gipuzkoa 2018'!$B$74:$P$97,9,0)</f>
        <v>#REF!</v>
      </c>
      <c r="X60" s="615" t="e">
        <f>+#REF!</f>
        <v>#REF!</v>
      </c>
      <c r="Y60" s="622" t="str">
        <f t="shared" si="35"/>
        <v/>
      </c>
      <c r="Z60" s="615">
        <f>VLOOKUP(VLOOKUP(A60,$A$82:$B$105,2,0),'Gestion final Gipuzkoa 2018'!$B$74:$P$97,10,0)</f>
        <v>0</v>
      </c>
      <c r="AA60" s="615" t="e">
        <f>+#REF!</f>
        <v>#REF!</v>
      </c>
      <c r="AB60" s="622" t="str">
        <f t="shared" si="34"/>
        <v/>
      </c>
      <c r="AC60" s="653">
        <v>0</v>
      </c>
      <c r="AD60" s="615" t="e">
        <f>#REF!</f>
        <v>#REF!</v>
      </c>
      <c r="AE60" s="622" t="str">
        <f t="shared" si="37"/>
        <v/>
      </c>
      <c r="AF60" s="615" t="e">
        <f t="shared" si="36"/>
        <v>#REF!</v>
      </c>
      <c r="AG60" s="512"/>
      <c r="AH60" s="654"/>
      <c r="AI60" s="514"/>
      <c r="AJ60" s="512"/>
      <c r="AK60" s="654"/>
      <c r="AL60" s="514"/>
      <c r="AM60" s="512"/>
      <c r="AN60" s="654"/>
      <c r="AO60" s="512"/>
      <c r="AP60" s="512"/>
      <c r="AQ60" s="654"/>
      <c r="AR60" s="512"/>
    </row>
    <row r="61" spans="1:45" ht="14.4" x14ac:dyDescent="0.3">
      <c r="A61" s="8" t="s">
        <v>1</v>
      </c>
      <c r="B61" s="645" t="e">
        <f>VLOOKUP(VLOOKUP(A61,$A$82:$B$105,2,0),'Gestion final Gipuzkoa 2018'!$B$74:$P$97,2,0)</f>
        <v>#REF!</v>
      </c>
      <c r="C61" s="615" t="e">
        <f>+#REF!</f>
        <v>#REF!</v>
      </c>
      <c r="D61" s="622" t="str">
        <f t="shared" si="27"/>
        <v/>
      </c>
      <c r="E61" s="646" t="e">
        <f>VLOOKUP(VLOOKUP(A61,$A$82:$B$105,2,0),'Gestion final Gipuzkoa 2018'!$B$74:$P$97,3,0)</f>
        <v>#REF!</v>
      </c>
      <c r="F61" s="620" t="e">
        <f>+#REF!</f>
        <v>#REF!</v>
      </c>
      <c r="G61" s="622" t="str">
        <f t="shared" si="28"/>
        <v/>
      </c>
      <c r="H61" s="645" t="e">
        <f>VLOOKUP(VLOOKUP(A61,$A$82:$B$105,2,0),'Gestion final Gipuzkoa 2018'!$B$74:$P$97,4,0)</f>
        <v>#REF!</v>
      </c>
      <c r="I61" s="615" t="e">
        <f>+#REF!</f>
        <v>#REF!</v>
      </c>
      <c r="J61" s="622" t="str">
        <f t="shared" si="29"/>
        <v/>
      </c>
      <c r="K61" s="645" t="e">
        <f>VLOOKUP(VLOOKUP(A61,$A$82:$B$105,2,0),'Gestion final Gipuzkoa 2018'!$B$74:$P$97,5,0)</f>
        <v>#REF!</v>
      </c>
      <c r="L61" s="615" t="e">
        <f>+#REF!</f>
        <v>#REF!</v>
      </c>
      <c r="M61" s="622" t="str">
        <f t="shared" si="30"/>
        <v/>
      </c>
      <c r="N61" s="645">
        <f>VLOOKUP(VLOOKUP(A61,$A$82:$B$105,2,0),'Gestion final Gipuzkoa 2018'!$B$74:$P$97,6,0)</f>
        <v>0</v>
      </c>
      <c r="O61" s="615" t="e">
        <f>+#REF!</f>
        <v>#REF!</v>
      </c>
      <c r="P61" s="622" t="str">
        <f t="shared" si="31"/>
        <v/>
      </c>
      <c r="Q61" s="645" t="e">
        <f>VLOOKUP(VLOOKUP(A61,$A$82:$B$105,2,0),'Gestion final Gipuzkoa 2018'!$B$74:$P$97,7,0)</f>
        <v>#REF!</v>
      </c>
      <c r="R61" s="615" t="e">
        <f>+#REF!</f>
        <v>#REF!</v>
      </c>
      <c r="S61" s="622" t="str">
        <f t="shared" si="32"/>
        <v/>
      </c>
      <c r="T61" s="645" t="e">
        <f>VLOOKUP(VLOOKUP(A61,$A$82:$B$105,2,0),'Gestion final Gipuzkoa 2018'!$B$74:$P$97,8,0)</f>
        <v>#REF!</v>
      </c>
      <c r="U61" s="615" t="e">
        <f>+#REF!+#REF!</f>
        <v>#REF!</v>
      </c>
      <c r="V61" s="622" t="str">
        <f t="shared" si="33"/>
        <v/>
      </c>
      <c r="W61" s="615" t="e">
        <f>VLOOKUP(VLOOKUP(A61,$A$82:$B$105,2,0),'Gestion final Gipuzkoa 2018'!$B$74:$P$97,9,0)</f>
        <v>#REF!</v>
      </c>
      <c r="X61" s="615" t="e">
        <f>+#REF!</f>
        <v>#REF!</v>
      </c>
      <c r="Y61" s="622" t="str">
        <f t="shared" si="35"/>
        <v/>
      </c>
      <c r="Z61" s="615">
        <f>VLOOKUP(VLOOKUP(A61,$A$82:$B$105,2,0),'Gestion final Gipuzkoa 2018'!$B$74:$P$97,10,0)</f>
        <v>0</v>
      </c>
      <c r="AA61" s="615" t="e">
        <f>+#REF!</f>
        <v>#REF!</v>
      </c>
      <c r="AB61" s="622" t="str">
        <f t="shared" si="34"/>
        <v/>
      </c>
      <c r="AC61" s="653">
        <v>0</v>
      </c>
      <c r="AD61" s="615" t="e">
        <f>#REF!</f>
        <v>#REF!</v>
      </c>
      <c r="AE61" s="622" t="str">
        <f t="shared" si="37"/>
        <v/>
      </c>
      <c r="AF61" s="615" t="e">
        <f t="shared" si="36"/>
        <v>#REF!</v>
      </c>
      <c r="AG61" s="512"/>
      <c r="AH61" s="654"/>
      <c r="AI61" s="514"/>
      <c r="AJ61" s="512"/>
      <c r="AK61" s="654"/>
      <c r="AL61" s="514"/>
      <c r="AM61" s="512"/>
      <c r="AN61" s="654"/>
      <c r="AO61" s="512"/>
      <c r="AP61" s="512"/>
      <c r="AQ61" s="654"/>
      <c r="AR61" s="512"/>
    </row>
    <row r="62" spans="1:45" ht="14.4" x14ac:dyDescent="0.3">
      <c r="A62" s="8" t="s">
        <v>5</v>
      </c>
      <c r="B62" s="645" t="e">
        <f>VLOOKUP(VLOOKUP(A62,$A$82:$B$105,2,0),'Gestion final Gipuzkoa 2018'!$B$74:$P$97,2,0)</f>
        <v>#REF!</v>
      </c>
      <c r="C62" s="615" t="e">
        <f>+#REF!</f>
        <v>#REF!</v>
      </c>
      <c r="D62" s="622" t="str">
        <f t="shared" si="27"/>
        <v/>
      </c>
      <c r="E62" s="646" t="e">
        <f>VLOOKUP(VLOOKUP(A62,$A$82:$B$105,2,0),'Gestion final Gipuzkoa 2018'!$B$74:$P$97,3,0)</f>
        <v>#REF!</v>
      </c>
      <c r="F62" s="620" t="e">
        <f>+#REF!</f>
        <v>#REF!</v>
      </c>
      <c r="G62" s="622" t="str">
        <f t="shared" si="28"/>
        <v/>
      </c>
      <c r="H62" s="645">
        <f>VLOOKUP(VLOOKUP(A62,$A$82:$B$105,2,0),'Gestion final Gipuzkoa 2018'!$B$74:$P$97,4,0)</f>
        <v>0</v>
      </c>
      <c r="I62" s="615" t="e">
        <f>+#REF!</f>
        <v>#REF!</v>
      </c>
      <c r="J62" s="622" t="str">
        <f t="shared" si="29"/>
        <v/>
      </c>
      <c r="K62" s="645">
        <f>VLOOKUP(VLOOKUP(A62,$A$82:$B$105,2,0),'Gestion final Gipuzkoa 2018'!$B$74:$P$97,5,0)</f>
        <v>0</v>
      </c>
      <c r="L62" s="615" t="e">
        <f>+#REF!</f>
        <v>#REF!</v>
      </c>
      <c r="M62" s="622" t="str">
        <f t="shared" si="30"/>
        <v/>
      </c>
      <c r="N62" s="645" t="e">
        <f>VLOOKUP(VLOOKUP(A62,$A$82:$B$105,2,0),'Gestion final Gipuzkoa 2018'!$B$74:$P$97,6,0)</f>
        <v>#REF!</v>
      </c>
      <c r="O62" s="615" t="e">
        <f>+#REF!</f>
        <v>#REF!</v>
      </c>
      <c r="P62" s="622" t="str">
        <f t="shared" si="31"/>
        <v/>
      </c>
      <c r="Q62" s="645">
        <f>VLOOKUP(VLOOKUP(A62,$A$82:$B$105,2,0),'Gestion final Gipuzkoa 2018'!$B$74:$P$97,7,0)</f>
        <v>0</v>
      </c>
      <c r="R62" s="615" t="e">
        <f>+#REF!</f>
        <v>#REF!</v>
      </c>
      <c r="S62" s="622" t="str">
        <f t="shared" si="32"/>
        <v/>
      </c>
      <c r="T62" s="645" t="e">
        <f>VLOOKUP(VLOOKUP(A62,$A$82:$B$105,2,0),'Gestion final Gipuzkoa 2018'!$B$74:$P$97,8,0)</f>
        <v>#REF!</v>
      </c>
      <c r="U62" s="615" t="e">
        <f>+#REF!+#REF!</f>
        <v>#REF!</v>
      </c>
      <c r="V62" s="622" t="str">
        <f t="shared" si="33"/>
        <v/>
      </c>
      <c r="W62" s="615" t="e">
        <f>VLOOKUP(VLOOKUP(A62,$A$82:$B$105,2,0),'Gestion final Gipuzkoa 2018'!$B$74:$P$97,9,0)</f>
        <v>#REF!</v>
      </c>
      <c r="X62" s="615" t="e">
        <f>+#REF!</f>
        <v>#REF!</v>
      </c>
      <c r="Y62" s="622" t="str">
        <f t="shared" si="35"/>
        <v/>
      </c>
      <c r="Z62" s="615">
        <f>VLOOKUP(VLOOKUP(A62,$A$82:$B$105,2,0),'Gestion final Gipuzkoa 2018'!$B$74:$P$97,10,0)</f>
        <v>0</v>
      </c>
      <c r="AA62" s="615" t="e">
        <f>+#REF!</f>
        <v>#REF!</v>
      </c>
      <c r="AB62" s="622" t="str">
        <f t="shared" si="34"/>
        <v/>
      </c>
      <c r="AC62" s="653">
        <v>0</v>
      </c>
      <c r="AD62" s="615" t="e">
        <f>#REF!</f>
        <v>#REF!</v>
      </c>
      <c r="AE62" s="622" t="str">
        <f t="shared" si="37"/>
        <v/>
      </c>
      <c r="AF62" s="615" t="e">
        <f t="shared" si="36"/>
        <v>#REF!</v>
      </c>
      <c r="AG62" s="512"/>
      <c r="AH62" s="654"/>
      <c r="AI62" s="514"/>
      <c r="AJ62" s="512"/>
      <c r="AK62" s="654"/>
      <c r="AL62" s="514"/>
      <c r="AM62" s="512"/>
      <c r="AN62" s="654"/>
      <c r="AO62" s="512"/>
      <c r="AP62" s="512"/>
      <c r="AQ62" s="654"/>
      <c r="AR62" s="512"/>
    </row>
    <row r="63" spans="1:45" ht="14.4" x14ac:dyDescent="0.3">
      <c r="A63" s="8" t="s">
        <v>28</v>
      </c>
      <c r="B63" s="645" t="e">
        <f>VLOOKUP(VLOOKUP(A63,$A$82:$B$105,2,0),'Gestion final Gipuzkoa 2018'!$B$74:$P$97,2,0)</f>
        <v>#REF!</v>
      </c>
      <c r="C63" s="615" t="e">
        <f>+#REF!</f>
        <v>#REF!</v>
      </c>
      <c r="D63" s="622" t="str">
        <f t="shared" si="27"/>
        <v/>
      </c>
      <c r="E63" s="646" t="e">
        <f>VLOOKUP(VLOOKUP(A63,$A$82:$B$105,2,0),'Gestion final Gipuzkoa 2018'!$B$74:$P$97,3,0)</f>
        <v>#REF!</v>
      </c>
      <c r="F63" s="620" t="e">
        <f>+#REF!</f>
        <v>#REF!</v>
      </c>
      <c r="G63" s="622" t="str">
        <f t="shared" si="28"/>
        <v/>
      </c>
      <c r="H63" s="645">
        <f>VLOOKUP(VLOOKUP(A63,$A$82:$B$105,2,0),'Gestion final Gipuzkoa 2018'!$B$74:$P$97,4,0)</f>
        <v>0</v>
      </c>
      <c r="I63" s="615" t="e">
        <f>+#REF!</f>
        <v>#REF!</v>
      </c>
      <c r="J63" s="622" t="str">
        <f t="shared" si="29"/>
        <v/>
      </c>
      <c r="K63" s="645" t="e">
        <f>VLOOKUP(VLOOKUP(A63,$A$82:$B$105,2,0),'Gestion final Gipuzkoa 2018'!$B$74:$P$97,5,0)</f>
        <v>#REF!</v>
      </c>
      <c r="L63" s="615" t="e">
        <f>+#REF!</f>
        <v>#REF!</v>
      </c>
      <c r="M63" s="622" t="str">
        <f t="shared" si="30"/>
        <v/>
      </c>
      <c r="N63" s="645">
        <f>VLOOKUP(VLOOKUP(A63,$A$82:$B$105,2,0),'Gestion final Gipuzkoa 2018'!$B$74:$P$97,6,0)</f>
        <v>0</v>
      </c>
      <c r="O63" s="615" t="e">
        <f>+#REF!</f>
        <v>#REF!</v>
      </c>
      <c r="P63" s="622" t="str">
        <f t="shared" si="31"/>
        <v/>
      </c>
      <c r="Q63" s="645">
        <f>VLOOKUP(VLOOKUP(A63,$A$82:$B$105,2,0),'Gestion final Gipuzkoa 2018'!$B$74:$P$97,7,0)</f>
        <v>0</v>
      </c>
      <c r="R63" s="615" t="e">
        <f>+#REF!</f>
        <v>#REF!</v>
      </c>
      <c r="S63" s="622" t="str">
        <f t="shared" si="32"/>
        <v/>
      </c>
      <c r="T63" s="645" t="e">
        <f>VLOOKUP(VLOOKUP(A63,$A$82:$B$105,2,0),'Gestion final Gipuzkoa 2018'!$B$74:$P$97,8,0)</f>
        <v>#REF!</v>
      </c>
      <c r="U63" s="615" t="e">
        <f>+#REF!+#REF!</f>
        <v>#REF!</v>
      </c>
      <c r="V63" s="622" t="str">
        <f t="shared" si="33"/>
        <v/>
      </c>
      <c r="W63" s="615" t="e">
        <f>VLOOKUP(VLOOKUP(A63,$A$82:$B$105,2,0),'Gestion final Gipuzkoa 2018'!$B$74:$P$97,9,0)</f>
        <v>#REF!</v>
      </c>
      <c r="X63" s="615" t="e">
        <f>+#REF!</f>
        <v>#REF!</v>
      </c>
      <c r="Y63" s="622" t="str">
        <f t="shared" si="35"/>
        <v/>
      </c>
      <c r="Z63" s="615">
        <f>VLOOKUP(VLOOKUP(A63,$A$82:$B$105,2,0),'Gestion final Gipuzkoa 2018'!$B$74:$P$97,10,0)</f>
        <v>0</v>
      </c>
      <c r="AA63" s="615" t="e">
        <f>+#REF!</f>
        <v>#REF!</v>
      </c>
      <c r="AB63" s="622" t="str">
        <f t="shared" si="34"/>
        <v/>
      </c>
      <c r="AC63" s="653">
        <v>0</v>
      </c>
      <c r="AD63" s="615" t="e">
        <f>#REF!</f>
        <v>#REF!</v>
      </c>
      <c r="AE63" s="622" t="str">
        <f t="shared" si="37"/>
        <v/>
      </c>
      <c r="AF63" s="615" t="e">
        <f t="shared" si="36"/>
        <v>#REF!</v>
      </c>
      <c r="AG63" s="512"/>
      <c r="AH63" s="654"/>
      <c r="AI63" s="514"/>
      <c r="AJ63" s="512"/>
      <c r="AK63" s="654"/>
      <c r="AL63" s="514"/>
      <c r="AM63" s="512"/>
      <c r="AN63" s="654"/>
      <c r="AO63" s="512"/>
      <c r="AP63" s="512"/>
      <c r="AQ63" s="654"/>
      <c r="AR63" s="512"/>
    </row>
    <row r="64" spans="1:45" ht="14.4" x14ac:dyDescent="0.3">
      <c r="A64" s="325" t="s">
        <v>17</v>
      </c>
      <c r="B64" s="645" t="e">
        <f>VLOOKUP(VLOOKUP(A64,$A$82:$B$105,2,0),'Gestion final Gipuzkoa 2018'!$B$74:$P$97,2,0)</f>
        <v>#REF!</v>
      </c>
      <c r="C64" s="615" t="e">
        <f>+#REF!</f>
        <v>#REF!</v>
      </c>
      <c r="D64" s="622" t="str">
        <f t="shared" si="27"/>
        <v/>
      </c>
      <c r="E64" s="646" t="e">
        <f>VLOOKUP(VLOOKUP(A64,$A$82:$B$105,2,0),'Gestion final Gipuzkoa 2018'!$B$74:$P$97,3,0)</f>
        <v>#REF!</v>
      </c>
      <c r="F64" s="620" t="e">
        <f>+#REF!</f>
        <v>#REF!</v>
      </c>
      <c r="G64" s="622" t="str">
        <f t="shared" si="28"/>
        <v/>
      </c>
      <c r="H64" s="645">
        <f>VLOOKUP(VLOOKUP(A64,$A$82:$B$105,2,0),'Gestion final Gipuzkoa 2018'!$B$74:$P$97,4,0)</f>
        <v>0</v>
      </c>
      <c r="I64" s="615" t="e">
        <f>+#REF!</f>
        <v>#REF!</v>
      </c>
      <c r="J64" s="622" t="str">
        <f t="shared" si="29"/>
        <v/>
      </c>
      <c r="K64" s="645" t="e">
        <f>VLOOKUP(VLOOKUP(A64,$A$82:$B$105,2,0),'Gestion final Gipuzkoa 2018'!$B$74:$P$97,5,0)</f>
        <v>#REF!</v>
      </c>
      <c r="L64" s="615" t="e">
        <f>+#REF!</f>
        <v>#REF!</v>
      </c>
      <c r="M64" s="622" t="str">
        <f t="shared" si="30"/>
        <v/>
      </c>
      <c r="N64" s="645">
        <f>VLOOKUP(VLOOKUP(A64,$A$82:$B$105,2,0),'Gestion final Gipuzkoa 2018'!$B$74:$P$97,6,0)</f>
        <v>0</v>
      </c>
      <c r="O64" s="615" t="e">
        <f>+#REF!</f>
        <v>#REF!</v>
      </c>
      <c r="P64" s="622" t="str">
        <f t="shared" si="31"/>
        <v/>
      </c>
      <c r="Q64" s="645">
        <f>VLOOKUP(VLOOKUP(A64,$A$82:$B$105,2,0),'Gestion final Gipuzkoa 2018'!$B$74:$P$97,7,0)</f>
        <v>0</v>
      </c>
      <c r="R64" s="615" t="e">
        <f>+#REF!</f>
        <v>#REF!</v>
      </c>
      <c r="S64" s="622" t="str">
        <f t="shared" si="32"/>
        <v/>
      </c>
      <c r="T64" s="645" t="e">
        <f>VLOOKUP(VLOOKUP(A64,$A$82:$B$105,2,0),'Gestion final Gipuzkoa 2018'!$B$74:$P$97,8,0)</f>
        <v>#REF!</v>
      </c>
      <c r="U64" s="615" t="e">
        <f>+#REF!+#REF!</f>
        <v>#REF!</v>
      </c>
      <c r="V64" s="622" t="str">
        <f t="shared" si="33"/>
        <v/>
      </c>
      <c r="W64" s="615" t="e">
        <f>VLOOKUP(VLOOKUP(A64,$A$82:$B$105,2,0),'Gestion final Gipuzkoa 2018'!$B$74:$P$97,9,0)</f>
        <v>#REF!</v>
      </c>
      <c r="X64" s="615" t="e">
        <f>+#REF!</f>
        <v>#REF!</v>
      </c>
      <c r="Y64" s="622" t="str">
        <f t="shared" si="35"/>
        <v/>
      </c>
      <c r="Z64" s="615">
        <f>VLOOKUP(VLOOKUP(A64,$A$82:$B$105,2,0),'Gestion final Gipuzkoa 2018'!$B$74:$P$97,10,0)</f>
        <v>0</v>
      </c>
      <c r="AA64" s="615" t="e">
        <f>+#REF!</f>
        <v>#REF!</v>
      </c>
      <c r="AB64" s="622" t="str">
        <f t="shared" si="34"/>
        <v/>
      </c>
      <c r="AC64" s="653">
        <v>0</v>
      </c>
      <c r="AD64" s="615" t="e">
        <f>#REF!</f>
        <v>#REF!</v>
      </c>
      <c r="AE64" s="622" t="str">
        <f t="shared" si="37"/>
        <v/>
      </c>
      <c r="AF64" s="615" t="e">
        <f t="shared" si="36"/>
        <v>#REF!</v>
      </c>
      <c r="AG64" s="512"/>
      <c r="AH64" s="654"/>
      <c r="AI64" s="514"/>
      <c r="AJ64" s="512"/>
      <c r="AK64" s="654"/>
      <c r="AL64" s="514"/>
      <c r="AM64" s="512"/>
      <c r="AN64" s="654"/>
      <c r="AO64" s="512"/>
      <c r="AP64" s="512"/>
      <c r="AQ64" s="654"/>
      <c r="AR64" s="512"/>
    </row>
    <row r="65" spans="1:44" ht="14.4" x14ac:dyDescent="0.3">
      <c r="A65" s="8" t="s">
        <v>29</v>
      </c>
      <c r="B65" s="645" t="e">
        <f>VLOOKUP(VLOOKUP(A65,$A$82:$B$105,2,0),'Gestion final Gipuzkoa 2018'!$B$74:$P$97,2,0)</f>
        <v>#REF!</v>
      </c>
      <c r="C65" s="615" t="e">
        <f>+#REF!</f>
        <v>#REF!</v>
      </c>
      <c r="D65" s="622" t="str">
        <f t="shared" si="27"/>
        <v/>
      </c>
      <c r="E65" s="646" t="e">
        <f>VLOOKUP(VLOOKUP(A65,$A$82:$B$105,2,0),'Gestion final Gipuzkoa 2018'!$B$74:$P$97,3,0)</f>
        <v>#REF!</v>
      </c>
      <c r="F65" s="620" t="e">
        <f>+#REF!</f>
        <v>#REF!</v>
      </c>
      <c r="G65" s="622" t="str">
        <f t="shared" si="28"/>
        <v/>
      </c>
      <c r="H65" s="645">
        <f>VLOOKUP(VLOOKUP(A65,$A$82:$B$105,2,0),'Gestion final Gipuzkoa 2018'!$B$74:$P$97,4,0)</f>
        <v>0</v>
      </c>
      <c r="I65" s="615" t="e">
        <f>+#REF!</f>
        <v>#REF!</v>
      </c>
      <c r="J65" s="622" t="str">
        <f t="shared" si="29"/>
        <v/>
      </c>
      <c r="K65" s="645" t="e">
        <f>VLOOKUP(VLOOKUP(A65,$A$82:$B$105,2,0),'Gestion final Gipuzkoa 2018'!$B$74:$P$97,5,0)</f>
        <v>#REF!</v>
      </c>
      <c r="L65" s="615" t="e">
        <f>+#REF!</f>
        <v>#REF!</v>
      </c>
      <c r="M65" s="622" t="str">
        <f t="shared" si="30"/>
        <v/>
      </c>
      <c r="N65" s="645">
        <f>VLOOKUP(VLOOKUP(A65,$A$82:$B$105,2,0),'Gestion final Gipuzkoa 2018'!$B$74:$P$97,6,0)</f>
        <v>0</v>
      </c>
      <c r="O65" s="615" t="e">
        <f>+#REF!</f>
        <v>#REF!</v>
      </c>
      <c r="P65" s="622" t="str">
        <f t="shared" si="31"/>
        <v/>
      </c>
      <c r="Q65" s="645" t="e">
        <f>VLOOKUP(VLOOKUP(A65,$A$82:$B$105,2,0),'Gestion final Gipuzkoa 2018'!$B$74:$P$97,7,0)</f>
        <v>#REF!</v>
      </c>
      <c r="R65" s="615" t="e">
        <f>+#REF!</f>
        <v>#REF!</v>
      </c>
      <c r="S65" s="622" t="str">
        <f t="shared" si="32"/>
        <v/>
      </c>
      <c r="T65" s="645" t="e">
        <f>VLOOKUP(VLOOKUP(A65,$A$82:$B$105,2,0),'Gestion final Gipuzkoa 2018'!$B$74:$P$97,8,0)</f>
        <v>#REF!</v>
      </c>
      <c r="U65" s="615" t="e">
        <f>+#REF!+#REF!</f>
        <v>#REF!</v>
      </c>
      <c r="V65" s="622" t="str">
        <f t="shared" si="33"/>
        <v/>
      </c>
      <c r="W65" s="615" t="e">
        <f>VLOOKUP(VLOOKUP(A65,$A$82:$B$105,2,0),'Gestion final Gipuzkoa 2018'!$B$74:$P$97,9,0)</f>
        <v>#REF!</v>
      </c>
      <c r="X65" s="615" t="e">
        <f>+#REF!</f>
        <v>#REF!</v>
      </c>
      <c r="Y65" s="622" t="str">
        <f t="shared" si="35"/>
        <v/>
      </c>
      <c r="Z65" s="615">
        <f>VLOOKUP(VLOOKUP(A65,$A$82:$B$105,2,0),'Gestion final Gipuzkoa 2018'!$B$74:$P$97,10,0)</f>
        <v>0</v>
      </c>
      <c r="AA65" s="615" t="e">
        <f>+#REF!</f>
        <v>#REF!</v>
      </c>
      <c r="AB65" s="622" t="str">
        <f t="shared" si="34"/>
        <v/>
      </c>
      <c r="AC65" s="653">
        <v>0</v>
      </c>
      <c r="AD65" s="615" t="e">
        <f>#REF!</f>
        <v>#REF!</v>
      </c>
      <c r="AE65" s="622" t="str">
        <f t="shared" si="37"/>
        <v/>
      </c>
      <c r="AF65" s="615" t="e">
        <f t="shared" si="36"/>
        <v>#REF!</v>
      </c>
      <c r="AG65" s="512"/>
      <c r="AH65" s="654"/>
      <c r="AI65" s="514"/>
      <c r="AJ65" s="512"/>
      <c r="AK65" s="654"/>
      <c r="AL65" s="514"/>
      <c r="AM65" s="512"/>
      <c r="AN65" s="654"/>
      <c r="AO65" s="512"/>
      <c r="AP65" s="512"/>
      <c r="AQ65" s="654"/>
      <c r="AR65" s="512"/>
    </row>
    <row r="66" spans="1:44" ht="14.4" x14ac:dyDescent="0.3">
      <c r="A66" s="8" t="s">
        <v>42</v>
      </c>
      <c r="B66" s="645" t="e">
        <f>VLOOKUP(VLOOKUP(A66,$A$82:$B$105,2,0),'Gestion final Gipuzkoa 2018'!$B$74:$P$97,2,0)</f>
        <v>#REF!</v>
      </c>
      <c r="C66" s="615" t="e">
        <f>+#REF!</f>
        <v>#REF!</v>
      </c>
      <c r="D66" s="622" t="str">
        <f t="shared" si="27"/>
        <v/>
      </c>
      <c r="E66" s="646" t="e">
        <f>VLOOKUP(VLOOKUP(A66,$A$82:$B$105,2,0),'Gestion final Gipuzkoa 2018'!$B$74:$P$97,3,0)</f>
        <v>#REF!</v>
      </c>
      <c r="F66" s="620" t="e">
        <f>+#REF!</f>
        <v>#REF!</v>
      </c>
      <c r="G66" s="622" t="str">
        <f t="shared" si="28"/>
        <v/>
      </c>
      <c r="H66" s="645">
        <f>VLOOKUP(VLOOKUP(A66,$A$82:$B$105,2,0),'Gestion final Gipuzkoa 2018'!$B$74:$P$97,4,0)</f>
        <v>0</v>
      </c>
      <c r="I66" s="615" t="e">
        <f>+#REF!</f>
        <v>#REF!</v>
      </c>
      <c r="J66" s="622" t="str">
        <f t="shared" si="29"/>
        <v/>
      </c>
      <c r="K66" s="645" t="e">
        <f>VLOOKUP(VLOOKUP(A66,$A$82:$B$105,2,0),'Gestion final Gipuzkoa 2018'!$B$74:$P$97,5,0)</f>
        <v>#REF!</v>
      </c>
      <c r="L66" s="615" t="e">
        <f>+#REF!</f>
        <v>#REF!</v>
      </c>
      <c r="M66" s="622" t="str">
        <f t="shared" si="30"/>
        <v/>
      </c>
      <c r="N66" s="645">
        <f>VLOOKUP(VLOOKUP(A66,$A$82:$B$105,2,0),'Gestion final Gipuzkoa 2018'!$B$74:$P$97,6,0)</f>
        <v>0</v>
      </c>
      <c r="O66" s="615" t="e">
        <f>+#REF!</f>
        <v>#REF!</v>
      </c>
      <c r="P66" s="622" t="str">
        <f t="shared" si="31"/>
        <v/>
      </c>
      <c r="Q66" s="645" t="e">
        <f>VLOOKUP(VLOOKUP(A66,$A$82:$B$105,2,0),'Gestion final Gipuzkoa 2018'!$B$74:$P$97,7,0)</f>
        <v>#REF!</v>
      </c>
      <c r="R66" s="615" t="e">
        <f>+#REF!</f>
        <v>#REF!</v>
      </c>
      <c r="S66" s="622" t="str">
        <f t="shared" si="32"/>
        <v/>
      </c>
      <c r="T66" s="645" t="e">
        <f>VLOOKUP(VLOOKUP(A66,$A$82:$B$105,2,0),'Gestion final Gipuzkoa 2018'!$B$74:$P$97,8,0)</f>
        <v>#REF!</v>
      </c>
      <c r="U66" s="615" t="e">
        <f>+#REF!+#REF!</f>
        <v>#REF!</v>
      </c>
      <c r="V66" s="622" t="str">
        <f t="shared" si="33"/>
        <v/>
      </c>
      <c r="W66" s="615" t="e">
        <f>VLOOKUP(VLOOKUP(A66,$A$82:$B$105,2,0),'Gestion final Gipuzkoa 2018'!$B$74:$P$97,9,0)</f>
        <v>#REF!</v>
      </c>
      <c r="X66" s="615" t="e">
        <f>+#REF!</f>
        <v>#REF!</v>
      </c>
      <c r="Y66" s="622" t="str">
        <f t="shared" si="35"/>
        <v/>
      </c>
      <c r="Z66" s="615">
        <f>VLOOKUP(VLOOKUP(A66,$A$82:$B$105,2,0),'Gestion final Gipuzkoa 2018'!$B$74:$P$97,10,0)</f>
        <v>0</v>
      </c>
      <c r="AA66" s="615" t="e">
        <f>+#REF!</f>
        <v>#REF!</v>
      </c>
      <c r="AB66" s="622" t="str">
        <f t="shared" si="34"/>
        <v/>
      </c>
      <c r="AC66" s="653">
        <v>0</v>
      </c>
      <c r="AD66" s="615" t="e">
        <f>#REF!</f>
        <v>#REF!</v>
      </c>
      <c r="AE66" s="622" t="str">
        <f t="shared" si="37"/>
        <v/>
      </c>
      <c r="AF66" s="615" t="e">
        <f t="shared" si="36"/>
        <v>#REF!</v>
      </c>
      <c r="AG66" s="512"/>
      <c r="AH66" s="654"/>
      <c r="AI66" s="514"/>
      <c r="AJ66" s="512"/>
      <c r="AK66" s="654"/>
      <c r="AL66" s="514"/>
      <c r="AM66" s="512"/>
      <c r="AN66" s="654"/>
      <c r="AO66" s="512"/>
      <c r="AP66" s="512"/>
      <c r="AQ66" s="654"/>
      <c r="AR66" s="512"/>
    </row>
    <row r="67" spans="1:44" ht="14.4" x14ac:dyDescent="0.3">
      <c r="A67" s="8" t="s">
        <v>57</v>
      </c>
      <c r="B67" s="645" t="e">
        <f>VLOOKUP(VLOOKUP(A67,$A$82:$B$105,2,0),'Gestion final Gipuzkoa 2018'!$B$74:$P$97,2,0)</f>
        <v>#REF!</v>
      </c>
      <c r="C67" s="615" t="e">
        <f>+#REF!</f>
        <v>#REF!</v>
      </c>
      <c r="D67" s="622" t="str">
        <f t="shared" si="27"/>
        <v/>
      </c>
      <c r="E67" s="646" t="e">
        <f>VLOOKUP(VLOOKUP(A67,$A$82:$B$105,2,0),'Gestion final Gipuzkoa 2018'!$B$74:$P$97,3,0)</f>
        <v>#REF!</v>
      </c>
      <c r="F67" s="620" t="e">
        <f>+#REF!</f>
        <v>#REF!</v>
      </c>
      <c r="G67" s="622" t="str">
        <f t="shared" si="28"/>
        <v/>
      </c>
      <c r="H67" s="645" t="e">
        <f>VLOOKUP(VLOOKUP(A67,$A$82:$B$105,2,0),'Gestion final Gipuzkoa 2018'!$B$74:$P$97,4,0)</f>
        <v>#REF!</v>
      </c>
      <c r="I67" s="615" t="e">
        <f>+#REF!</f>
        <v>#REF!</v>
      </c>
      <c r="J67" s="622" t="str">
        <f t="shared" si="29"/>
        <v/>
      </c>
      <c r="K67" s="645" t="e">
        <f>VLOOKUP(VLOOKUP(A67,$A$82:$B$105,2,0),'Gestion final Gipuzkoa 2018'!$B$74:$P$97,5,0)</f>
        <v>#REF!</v>
      </c>
      <c r="L67" s="615" t="e">
        <f>+#REF!</f>
        <v>#REF!</v>
      </c>
      <c r="M67" s="622" t="str">
        <f t="shared" si="30"/>
        <v/>
      </c>
      <c r="N67" s="645">
        <f>VLOOKUP(VLOOKUP(A67,$A$82:$B$105,2,0),'Gestion final Gipuzkoa 2018'!$B$74:$P$97,6,0)</f>
        <v>0</v>
      </c>
      <c r="O67" s="615" t="e">
        <f>+#REF!</f>
        <v>#REF!</v>
      </c>
      <c r="P67" s="622" t="str">
        <f t="shared" si="31"/>
        <v/>
      </c>
      <c r="Q67" s="645" t="e">
        <f>VLOOKUP(VLOOKUP(A67,$A$82:$B$105,2,0),'Gestion final Gipuzkoa 2018'!$B$74:$P$97,7,0)</f>
        <v>#REF!</v>
      </c>
      <c r="R67" s="615" t="e">
        <f>+#REF!</f>
        <v>#REF!</v>
      </c>
      <c r="S67" s="622" t="str">
        <f t="shared" si="32"/>
        <v/>
      </c>
      <c r="T67" s="645" t="e">
        <f>VLOOKUP(VLOOKUP(A67,$A$82:$B$105,2,0),'Gestion final Gipuzkoa 2018'!$B$74:$P$97,8,0)</f>
        <v>#REF!</v>
      </c>
      <c r="U67" s="615" t="e">
        <f>+#REF!+#REF!</f>
        <v>#REF!</v>
      </c>
      <c r="V67" s="622" t="str">
        <f t="shared" si="33"/>
        <v/>
      </c>
      <c r="W67" s="615" t="e">
        <f>VLOOKUP(VLOOKUP(A67,$A$82:$B$105,2,0),'Gestion final Gipuzkoa 2018'!$B$74:$P$97,9,0)</f>
        <v>#REF!</v>
      </c>
      <c r="X67" s="615" t="e">
        <f>+#REF!</f>
        <v>#REF!</v>
      </c>
      <c r="Y67" s="622" t="str">
        <f t="shared" si="35"/>
        <v/>
      </c>
      <c r="Z67" s="615">
        <f>VLOOKUP(VLOOKUP(A67,$A$82:$B$105,2,0),'Gestion final Gipuzkoa 2018'!$B$74:$P$97,10,0)</f>
        <v>0</v>
      </c>
      <c r="AA67" s="615" t="e">
        <f>+#REF!</f>
        <v>#REF!</v>
      </c>
      <c r="AB67" s="622" t="str">
        <f t="shared" si="34"/>
        <v/>
      </c>
      <c r="AC67" s="653">
        <v>0</v>
      </c>
      <c r="AD67" s="615" t="e">
        <f>#REF!</f>
        <v>#REF!</v>
      </c>
      <c r="AE67" s="622" t="str">
        <f t="shared" si="37"/>
        <v/>
      </c>
      <c r="AF67" s="615" t="e">
        <f t="shared" si="36"/>
        <v>#REF!</v>
      </c>
      <c r="AG67" s="512"/>
      <c r="AH67" s="654"/>
      <c r="AI67" s="514"/>
      <c r="AJ67" s="512"/>
      <c r="AK67" s="654"/>
      <c r="AL67" s="514"/>
      <c r="AM67" s="512"/>
      <c r="AN67" s="654"/>
      <c r="AO67" s="512"/>
      <c r="AP67" s="512"/>
      <c r="AQ67" s="654"/>
      <c r="AR67" s="512"/>
    </row>
    <row r="68" spans="1:44" ht="14.4" x14ac:dyDescent="0.3">
      <c r="A68" s="8" t="s">
        <v>35</v>
      </c>
      <c r="B68" s="645" t="e">
        <f>VLOOKUP(VLOOKUP(A68,$A$82:$B$105,2,0),'Gestion final Gipuzkoa 2018'!$B$74:$P$97,2,0)</f>
        <v>#REF!</v>
      </c>
      <c r="C68" s="615" t="e">
        <f>+#REF!</f>
        <v>#REF!</v>
      </c>
      <c r="D68" s="622" t="str">
        <f t="shared" si="27"/>
        <v/>
      </c>
      <c r="E68" s="646" t="e">
        <f>VLOOKUP(VLOOKUP(A68,$A$82:$B$105,2,0),'Gestion final Gipuzkoa 2018'!$B$74:$P$97,3,0)</f>
        <v>#REF!</v>
      </c>
      <c r="F68" s="620" t="e">
        <f>+#REF!</f>
        <v>#REF!</v>
      </c>
      <c r="G68" s="622" t="str">
        <f t="shared" si="28"/>
        <v/>
      </c>
      <c r="H68" s="645" t="e">
        <f>VLOOKUP(VLOOKUP(A68,$A$82:$B$105,2,0),'Gestion final Gipuzkoa 2018'!$B$74:$P$97,4,0)</f>
        <v>#REF!</v>
      </c>
      <c r="I68" s="615" t="e">
        <f>+#REF!</f>
        <v>#REF!</v>
      </c>
      <c r="J68" s="622" t="str">
        <f t="shared" si="29"/>
        <v/>
      </c>
      <c r="K68" s="645" t="e">
        <f>VLOOKUP(VLOOKUP(A68,$A$82:$B$105,2,0),'Gestion final Gipuzkoa 2018'!$B$74:$P$97,5,0)</f>
        <v>#REF!</v>
      </c>
      <c r="L68" s="615" t="e">
        <f>+#REF!</f>
        <v>#REF!</v>
      </c>
      <c r="M68" s="622" t="str">
        <f t="shared" si="30"/>
        <v/>
      </c>
      <c r="N68" s="645">
        <f>VLOOKUP(VLOOKUP(A68,$A$82:$B$105,2,0),'Gestion final Gipuzkoa 2018'!$B$74:$P$97,6,0)</f>
        <v>0</v>
      </c>
      <c r="O68" s="615" t="e">
        <f>+#REF!</f>
        <v>#REF!</v>
      </c>
      <c r="P68" s="622" t="str">
        <f t="shared" si="31"/>
        <v/>
      </c>
      <c r="Q68" s="645" t="e">
        <f>VLOOKUP(VLOOKUP(A68,$A$82:$B$105,2,0),'Gestion final Gipuzkoa 2018'!$B$74:$P$97,7,0)</f>
        <v>#REF!</v>
      </c>
      <c r="R68" s="615" t="e">
        <f>+#REF!</f>
        <v>#REF!</v>
      </c>
      <c r="S68" s="622" t="str">
        <f t="shared" si="32"/>
        <v/>
      </c>
      <c r="T68" s="645" t="e">
        <f>VLOOKUP(VLOOKUP(A68,$A$82:$B$105,2,0),'Gestion final Gipuzkoa 2018'!$B$74:$P$97,8,0)</f>
        <v>#REF!</v>
      </c>
      <c r="U68" s="615" t="e">
        <f>+#REF!+#REF!</f>
        <v>#REF!</v>
      </c>
      <c r="V68" s="622" t="str">
        <f t="shared" si="33"/>
        <v/>
      </c>
      <c r="W68" s="615" t="e">
        <f>VLOOKUP(VLOOKUP(A68,$A$82:$B$105,2,0),'Gestion final Gipuzkoa 2018'!$B$74:$P$97,9,0)</f>
        <v>#REF!</v>
      </c>
      <c r="X68" s="615" t="e">
        <f>+#REF!</f>
        <v>#REF!</v>
      </c>
      <c r="Y68" s="622" t="str">
        <f t="shared" si="35"/>
        <v/>
      </c>
      <c r="Z68" s="615">
        <f>VLOOKUP(VLOOKUP(A68,$A$82:$B$105,2,0),'Gestion final Gipuzkoa 2018'!$B$74:$P$97,10,0)</f>
        <v>0</v>
      </c>
      <c r="AA68" s="615" t="e">
        <f>+#REF!</f>
        <v>#REF!</v>
      </c>
      <c r="AB68" s="622" t="str">
        <f t="shared" si="34"/>
        <v/>
      </c>
      <c r="AC68" s="653">
        <v>0</v>
      </c>
      <c r="AD68" s="615" t="e">
        <f>#REF!</f>
        <v>#REF!</v>
      </c>
      <c r="AE68" s="622" t="str">
        <f t="shared" si="37"/>
        <v/>
      </c>
      <c r="AF68" s="615" t="e">
        <f t="shared" si="36"/>
        <v>#REF!</v>
      </c>
      <c r="AG68" s="512"/>
      <c r="AH68" s="654"/>
      <c r="AI68" s="514"/>
      <c r="AJ68" s="512"/>
      <c r="AK68" s="654"/>
      <c r="AL68" s="514"/>
      <c r="AM68" s="512"/>
      <c r="AN68" s="654"/>
      <c r="AO68" s="512"/>
      <c r="AP68" s="512"/>
      <c r="AQ68" s="654"/>
      <c r="AR68" s="512"/>
    </row>
    <row r="69" spans="1:44" ht="14.4" x14ac:dyDescent="0.3">
      <c r="A69" s="8" t="s">
        <v>67</v>
      </c>
      <c r="B69" s="645" t="e">
        <f>VLOOKUP(VLOOKUP(A69,$A$82:$B$105,2,0),'Gestion final Gipuzkoa 2018'!$B$74:$P$97,2,0)</f>
        <v>#REF!</v>
      </c>
      <c r="C69" s="615" t="e">
        <f>+#REF!</f>
        <v>#REF!</v>
      </c>
      <c r="D69" s="622" t="str">
        <f t="shared" si="27"/>
        <v/>
      </c>
      <c r="E69" s="646" t="e">
        <f>VLOOKUP(VLOOKUP(A69,$A$82:$B$105,2,0),'Gestion final Gipuzkoa 2018'!$B$74:$P$97,3,0)</f>
        <v>#REF!</v>
      </c>
      <c r="F69" s="620" t="e">
        <f>+#REF!</f>
        <v>#REF!</v>
      </c>
      <c r="G69" s="622" t="str">
        <f t="shared" si="28"/>
        <v/>
      </c>
      <c r="H69" s="645" t="e">
        <f>VLOOKUP(VLOOKUP(A69,$A$82:$B$105,2,0),'Gestion final Gipuzkoa 2018'!$B$74:$P$97,4,0)</f>
        <v>#REF!</v>
      </c>
      <c r="I69" s="615" t="e">
        <f>+#REF!</f>
        <v>#REF!</v>
      </c>
      <c r="J69" s="622" t="str">
        <f t="shared" si="29"/>
        <v/>
      </c>
      <c r="K69" s="645" t="e">
        <f>VLOOKUP(VLOOKUP(A69,$A$82:$B$105,2,0),'Gestion final Gipuzkoa 2018'!$B$74:$P$97,5,0)</f>
        <v>#REF!</v>
      </c>
      <c r="L69" s="615" t="e">
        <f>+#REF!</f>
        <v>#REF!</v>
      </c>
      <c r="M69" s="622" t="str">
        <f t="shared" si="30"/>
        <v/>
      </c>
      <c r="N69" s="645">
        <f>VLOOKUP(VLOOKUP(A69,$A$82:$B$105,2,0),'Gestion final Gipuzkoa 2018'!$B$74:$P$97,6,0)</f>
        <v>0</v>
      </c>
      <c r="O69" s="615" t="e">
        <f>+#REF!</f>
        <v>#REF!</v>
      </c>
      <c r="P69" s="622" t="str">
        <f t="shared" si="31"/>
        <v/>
      </c>
      <c r="Q69" s="645" t="e">
        <f>VLOOKUP(VLOOKUP(A69,$A$82:$B$105,2,0),'Gestion final Gipuzkoa 2018'!$B$74:$P$97,7,0)</f>
        <v>#REF!</v>
      </c>
      <c r="R69" s="615" t="e">
        <f>+#REF!</f>
        <v>#REF!</v>
      </c>
      <c r="S69" s="622" t="str">
        <f t="shared" si="32"/>
        <v/>
      </c>
      <c r="T69" s="645">
        <f>VLOOKUP(VLOOKUP(A69,$A$82:$B$105,2,0),'Gestion final Gipuzkoa 2018'!$B$74:$P$97,8,0)</f>
        <v>0</v>
      </c>
      <c r="U69" s="615" t="e">
        <f>+#REF!+#REF!</f>
        <v>#REF!</v>
      </c>
      <c r="V69" s="622" t="str">
        <f t="shared" si="33"/>
        <v/>
      </c>
      <c r="W69" s="615">
        <f>VLOOKUP(VLOOKUP(A69,$A$82:$B$105,2,0),'Gestion final Gipuzkoa 2018'!$B$74:$P$97,9,0)</f>
        <v>0</v>
      </c>
      <c r="X69" s="615" t="e">
        <f>+#REF!</f>
        <v>#REF!</v>
      </c>
      <c r="Y69" s="622" t="str">
        <f t="shared" si="35"/>
        <v/>
      </c>
      <c r="Z69" s="615">
        <f>VLOOKUP(VLOOKUP(A69,$A$82:$B$105,2,0),'Gestion final Gipuzkoa 2018'!$B$74:$P$97,10,0)</f>
        <v>0</v>
      </c>
      <c r="AA69" s="615" t="e">
        <f>+#REF!</f>
        <v>#REF!</v>
      </c>
      <c r="AB69" s="622" t="str">
        <f t="shared" si="34"/>
        <v/>
      </c>
      <c r="AC69" s="653">
        <v>0</v>
      </c>
      <c r="AD69" s="615" t="e">
        <f>#REF!</f>
        <v>#REF!</v>
      </c>
      <c r="AE69" s="622" t="str">
        <f t="shared" si="37"/>
        <v/>
      </c>
      <c r="AF69" s="615" t="e">
        <f t="shared" si="36"/>
        <v>#REF!</v>
      </c>
      <c r="AG69" s="512"/>
      <c r="AH69" s="654"/>
      <c r="AI69" s="514"/>
      <c r="AJ69" s="512"/>
      <c r="AK69" s="654"/>
      <c r="AL69" s="514"/>
      <c r="AM69" s="512"/>
      <c r="AN69" s="654"/>
      <c r="AO69" s="512"/>
      <c r="AP69" s="512"/>
      <c r="AQ69" s="654"/>
      <c r="AR69" s="512"/>
    </row>
    <row r="70" spans="1:44" ht="14.4" x14ac:dyDescent="0.3">
      <c r="A70" s="8" t="s">
        <v>76</v>
      </c>
      <c r="B70" s="645" t="e">
        <f>VLOOKUP(VLOOKUP(A70,$A$82:$B$105,2,0),'Gestion final Gipuzkoa 2018'!$B$74:$P$97,2,0)</f>
        <v>#REF!</v>
      </c>
      <c r="C70" s="615" t="e">
        <f>+#REF!</f>
        <v>#REF!</v>
      </c>
      <c r="D70" s="622" t="str">
        <f t="shared" si="27"/>
        <v/>
      </c>
      <c r="E70" s="646" t="e">
        <f>VLOOKUP(VLOOKUP(A70,$A$82:$B$105,2,0),'Gestion final Gipuzkoa 2018'!$B$74:$P$97,3,0)</f>
        <v>#REF!</v>
      </c>
      <c r="F70" s="620" t="e">
        <f>+#REF!</f>
        <v>#REF!</v>
      </c>
      <c r="G70" s="622" t="str">
        <f t="shared" si="28"/>
        <v/>
      </c>
      <c r="H70" s="645" t="e">
        <f>VLOOKUP(VLOOKUP(A70,$A$82:$B$105,2,0),'Gestion final Gipuzkoa 2018'!$B$74:$P$97,4,0)</f>
        <v>#REF!</v>
      </c>
      <c r="I70" s="615" t="e">
        <f>+#REF!</f>
        <v>#REF!</v>
      </c>
      <c r="J70" s="622" t="str">
        <f t="shared" si="29"/>
        <v/>
      </c>
      <c r="K70" s="645" t="e">
        <f>VLOOKUP(VLOOKUP(A70,$A$82:$B$105,2,0),'Gestion final Gipuzkoa 2018'!$B$74:$P$97,5,0)</f>
        <v>#REF!</v>
      </c>
      <c r="L70" s="615" t="e">
        <f>+#REF!</f>
        <v>#REF!</v>
      </c>
      <c r="M70" s="622" t="str">
        <f t="shared" si="30"/>
        <v/>
      </c>
      <c r="N70" s="645">
        <f>VLOOKUP(VLOOKUP(A70,$A$82:$B$105,2,0),'Gestion final Gipuzkoa 2018'!$B$74:$P$97,6,0)</f>
        <v>0</v>
      </c>
      <c r="O70" s="615" t="e">
        <f>+#REF!</f>
        <v>#REF!</v>
      </c>
      <c r="P70" s="622" t="str">
        <f t="shared" si="31"/>
        <v/>
      </c>
      <c r="Q70" s="645" t="e">
        <f>VLOOKUP(VLOOKUP(A70,$A$82:$B$105,2,0),'Gestion final Gipuzkoa 2018'!$B$74:$P$97,7,0)</f>
        <v>#REF!</v>
      </c>
      <c r="R70" s="615" t="e">
        <f>+#REF!</f>
        <v>#REF!</v>
      </c>
      <c r="S70" s="622" t="str">
        <f t="shared" si="32"/>
        <v/>
      </c>
      <c r="T70" s="645">
        <f>VLOOKUP(VLOOKUP(A70,$A$82:$B$105,2,0),'Gestion final Gipuzkoa 2018'!$B$74:$P$97,8,0)</f>
        <v>0</v>
      </c>
      <c r="U70" s="615" t="e">
        <f>+#REF!+#REF!</f>
        <v>#REF!</v>
      </c>
      <c r="V70" s="622" t="str">
        <f t="shared" si="33"/>
        <v/>
      </c>
      <c r="W70" s="615" t="e">
        <f>VLOOKUP(VLOOKUP(A70,$A$82:$B$105,2,0),'Gestion final Gipuzkoa 2018'!$B$74:$P$97,9,0)</f>
        <v>#REF!</v>
      </c>
      <c r="X70" s="615" t="e">
        <f>+#REF!</f>
        <v>#REF!</v>
      </c>
      <c r="Y70" s="622" t="str">
        <f t="shared" si="35"/>
        <v/>
      </c>
      <c r="Z70" s="615">
        <f>VLOOKUP(VLOOKUP(A70,$A$82:$B$105,2,0),'Gestion final Gipuzkoa 2018'!$B$74:$P$97,10,0)</f>
        <v>0</v>
      </c>
      <c r="AA70" s="615" t="e">
        <f>+#REF!</f>
        <v>#REF!</v>
      </c>
      <c r="AB70" s="622" t="str">
        <f t="shared" si="34"/>
        <v/>
      </c>
      <c r="AC70" s="653">
        <v>0</v>
      </c>
      <c r="AD70" s="615" t="e">
        <f>#REF!</f>
        <v>#REF!</v>
      </c>
      <c r="AE70" s="622" t="str">
        <f t="shared" si="37"/>
        <v/>
      </c>
      <c r="AF70" s="615" t="e">
        <f t="shared" si="36"/>
        <v>#REF!</v>
      </c>
      <c r="AG70" s="512"/>
      <c r="AH70" s="654"/>
      <c r="AI70" s="514"/>
      <c r="AJ70" s="512"/>
      <c r="AK70" s="654"/>
      <c r="AL70" s="514"/>
      <c r="AM70" s="512"/>
      <c r="AN70" s="654"/>
      <c r="AO70" s="512"/>
      <c r="AP70" s="512"/>
      <c r="AQ70" s="654"/>
      <c r="AR70" s="512"/>
    </row>
    <row r="71" spans="1:44" ht="14.4" x14ac:dyDescent="0.3">
      <c r="A71" s="8" t="s">
        <v>62</v>
      </c>
      <c r="B71" s="645" t="e">
        <f>VLOOKUP(VLOOKUP(A71,$A$82:$B$105,2,0),'Gestion final Gipuzkoa 2018'!$B$74:$P$97,2,0)</f>
        <v>#REF!</v>
      </c>
      <c r="C71" s="615" t="e">
        <f>+#REF!</f>
        <v>#REF!</v>
      </c>
      <c r="D71" s="622" t="str">
        <f t="shared" si="27"/>
        <v/>
      </c>
      <c r="E71" s="646" t="e">
        <f>VLOOKUP(VLOOKUP(A71,$A$82:$B$105,2,0),'Gestion final Gipuzkoa 2018'!$B$74:$P$97,3,0)</f>
        <v>#REF!</v>
      </c>
      <c r="F71" s="620" t="e">
        <f>+#REF!</f>
        <v>#REF!</v>
      </c>
      <c r="G71" s="622" t="str">
        <f t="shared" si="28"/>
        <v/>
      </c>
      <c r="H71" s="645">
        <f>VLOOKUP(VLOOKUP(A71,$A$82:$B$105,2,0),'Gestion final Gipuzkoa 2018'!$B$74:$P$97,4,0)</f>
        <v>0</v>
      </c>
      <c r="I71" s="615" t="e">
        <f>+#REF!</f>
        <v>#REF!</v>
      </c>
      <c r="J71" s="622" t="str">
        <f t="shared" si="29"/>
        <v/>
      </c>
      <c r="K71" s="645" t="e">
        <f>VLOOKUP(VLOOKUP(A71,$A$82:$B$105,2,0),'Gestion final Gipuzkoa 2018'!$B$74:$P$97,5,0)</f>
        <v>#REF!</v>
      </c>
      <c r="L71" s="615" t="e">
        <f>+#REF!</f>
        <v>#REF!</v>
      </c>
      <c r="M71" s="622" t="str">
        <f t="shared" si="30"/>
        <v/>
      </c>
      <c r="N71" s="645">
        <f>VLOOKUP(VLOOKUP(A71,$A$82:$B$105,2,0),'Gestion final Gipuzkoa 2018'!$B$74:$P$97,6,0)</f>
        <v>0</v>
      </c>
      <c r="O71" s="615" t="e">
        <f>+#REF!</f>
        <v>#REF!</v>
      </c>
      <c r="P71" s="622" t="str">
        <f t="shared" si="31"/>
        <v/>
      </c>
      <c r="Q71" s="645" t="e">
        <f>VLOOKUP(VLOOKUP(A71,$A$82:$B$105,2,0),'Gestion final Gipuzkoa 2018'!$B$74:$P$97,7,0)</f>
        <v>#REF!</v>
      </c>
      <c r="R71" s="615" t="e">
        <f>+#REF!</f>
        <v>#REF!</v>
      </c>
      <c r="S71" s="622" t="str">
        <f t="shared" si="32"/>
        <v/>
      </c>
      <c r="T71" s="645">
        <f>VLOOKUP(VLOOKUP(A71,$A$82:$B$105,2,0),'Gestion final Gipuzkoa 2018'!$B$74:$P$97,8,0)</f>
        <v>0</v>
      </c>
      <c r="U71" s="615" t="e">
        <f>+#REF!+#REF!</f>
        <v>#REF!</v>
      </c>
      <c r="V71" s="622" t="str">
        <f t="shared" si="33"/>
        <v/>
      </c>
      <c r="W71" s="615">
        <f>VLOOKUP(VLOOKUP(A71,$A$82:$B$105,2,0),'Gestion final Gipuzkoa 2018'!$B$74:$P$97,9,0)</f>
        <v>0</v>
      </c>
      <c r="X71" s="615" t="e">
        <f>+#REF!</f>
        <v>#REF!</v>
      </c>
      <c r="Y71" s="622" t="str">
        <f t="shared" si="35"/>
        <v/>
      </c>
      <c r="Z71" s="615" t="e">
        <f>VLOOKUP(VLOOKUP(A71,$A$82:$B$105,2,0),'Gestion final Gipuzkoa 2018'!$B$74:$P$97,10,0)</f>
        <v>#REF!</v>
      </c>
      <c r="AA71" s="615" t="e">
        <f>+#REF!</f>
        <v>#REF!</v>
      </c>
      <c r="AB71" s="622" t="str">
        <f t="shared" si="34"/>
        <v/>
      </c>
      <c r="AC71" s="653">
        <v>0</v>
      </c>
      <c r="AD71" s="615" t="e">
        <f>#REF!</f>
        <v>#REF!</v>
      </c>
      <c r="AE71" s="622" t="str">
        <f t="shared" si="37"/>
        <v/>
      </c>
      <c r="AF71" s="615" t="e">
        <f t="shared" si="36"/>
        <v>#REF!</v>
      </c>
      <c r="AG71" s="512"/>
      <c r="AH71" s="654"/>
      <c r="AI71" s="514"/>
      <c r="AJ71" s="512"/>
      <c r="AK71" s="654"/>
      <c r="AL71" s="514"/>
      <c r="AM71" s="512"/>
      <c r="AN71" s="654"/>
      <c r="AO71" s="512"/>
      <c r="AP71" s="512"/>
      <c r="AQ71" s="654"/>
      <c r="AR71" s="512"/>
    </row>
    <row r="72" spans="1:44" ht="14.4" x14ac:dyDescent="0.3">
      <c r="A72" s="8" t="s">
        <v>16</v>
      </c>
      <c r="B72" s="645" t="e">
        <f>VLOOKUP(VLOOKUP(A72,$A$82:$B$105,2,0),'Gestion final Gipuzkoa 2018'!$B$74:$P$97,2,0)</f>
        <v>#REF!</v>
      </c>
      <c r="C72" s="615" t="e">
        <f>+#REF!</f>
        <v>#REF!</v>
      </c>
      <c r="D72" s="622" t="str">
        <f t="shared" si="27"/>
        <v/>
      </c>
      <c r="E72" s="646" t="e">
        <f>VLOOKUP(VLOOKUP(A72,$A$82:$B$105,2,0),'Gestion final Gipuzkoa 2018'!$B$74:$P$97,3,0)</f>
        <v>#REF!</v>
      </c>
      <c r="F72" s="620" t="e">
        <f>+#REF!</f>
        <v>#REF!</v>
      </c>
      <c r="G72" s="622" t="str">
        <f t="shared" si="28"/>
        <v/>
      </c>
      <c r="H72" s="645">
        <f>VLOOKUP(VLOOKUP(A72,$A$82:$B$105,2,0),'Gestion final Gipuzkoa 2018'!$B$74:$P$97,4,0)</f>
        <v>0</v>
      </c>
      <c r="I72" s="615" t="e">
        <f>+#REF!</f>
        <v>#REF!</v>
      </c>
      <c r="J72" s="622" t="str">
        <f t="shared" si="29"/>
        <v/>
      </c>
      <c r="K72" s="645" t="e">
        <f>VLOOKUP(VLOOKUP(A72,$A$82:$B$105,2,0),'Gestion final Gipuzkoa 2018'!$B$74:$P$97,5,0)</f>
        <v>#REF!</v>
      </c>
      <c r="L72" s="615" t="e">
        <f>+#REF!</f>
        <v>#REF!</v>
      </c>
      <c r="M72" s="622" t="str">
        <f t="shared" si="30"/>
        <v/>
      </c>
      <c r="N72" s="645">
        <f>VLOOKUP(VLOOKUP(A72,$A$82:$B$105,2,0),'Gestion final Gipuzkoa 2018'!$B$74:$P$97,6,0)</f>
        <v>0</v>
      </c>
      <c r="O72" s="615" t="e">
        <f>+#REF!</f>
        <v>#REF!</v>
      </c>
      <c r="P72" s="622" t="str">
        <f t="shared" si="31"/>
        <v/>
      </c>
      <c r="Q72" s="645">
        <f>VLOOKUP(VLOOKUP(A72,$A$82:$B$105,2,0),'Gestion final Gipuzkoa 2018'!$B$74:$P$97,7,0)</f>
        <v>0</v>
      </c>
      <c r="R72" s="615" t="e">
        <f>+#REF!</f>
        <v>#REF!</v>
      </c>
      <c r="S72" s="622" t="str">
        <f t="shared" si="32"/>
        <v/>
      </c>
      <c r="T72" s="645" t="e">
        <f>VLOOKUP(VLOOKUP(A72,$A$82:$B$105,2,0),'Gestion final Gipuzkoa 2018'!$B$74:$P$97,8,0)</f>
        <v>#REF!</v>
      </c>
      <c r="U72" s="615" t="e">
        <f>+#REF!+#REF!</f>
        <v>#REF!</v>
      </c>
      <c r="V72" s="622" t="str">
        <f t="shared" si="33"/>
        <v/>
      </c>
      <c r="W72" s="615" t="e">
        <f>VLOOKUP(VLOOKUP(A72,$A$82:$B$105,2,0),'Gestion final Gipuzkoa 2018'!$B$74:$P$97,9,0)</f>
        <v>#REF!</v>
      </c>
      <c r="X72" s="615" t="e">
        <f>+#REF!</f>
        <v>#REF!</v>
      </c>
      <c r="Y72" s="622" t="str">
        <f t="shared" si="35"/>
        <v/>
      </c>
      <c r="Z72" s="615">
        <f>VLOOKUP(VLOOKUP(A72,$A$82:$B$105,2,0),'Gestion final Gipuzkoa 2018'!$B$74:$P$97,10,0)</f>
        <v>0</v>
      </c>
      <c r="AA72" s="615" t="e">
        <f>+#REF!</f>
        <v>#REF!</v>
      </c>
      <c r="AB72" s="622" t="str">
        <f t="shared" si="34"/>
        <v/>
      </c>
      <c r="AC72" s="653">
        <v>0</v>
      </c>
      <c r="AD72" s="615" t="e">
        <f>#REF!</f>
        <v>#REF!</v>
      </c>
      <c r="AE72" s="622" t="str">
        <f t="shared" si="37"/>
        <v/>
      </c>
      <c r="AF72" s="615" t="e">
        <f t="shared" si="36"/>
        <v>#REF!</v>
      </c>
      <c r="AG72" s="512"/>
      <c r="AH72" s="654"/>
      <c r="AI72" s="514"/>
      <c r="AJ72" s="512"/>
      <c r="AK72" s="654"/>
      <c r="AL72" s="514"/>
      <c r="AM72" s="512"/>
      <c r="AN72" s="654"/>
      <c r="AO72" s="512"/>
      <c r="AP72" s="512"/>
      <c r="AQ72" s="654"/>
      <c r="AR72" s="512"/>
    </row>
    <row r="73" spans="1:44" ht="14.4" x14ac:dyDescent="0.3">
      <c r="A73" s="8" t="s">
        <v>95</v>
      </c>
      <c r="B73" s="645">
        <f>VLOOKUP(VLOOKUP(A73,$A$82:$B$105,2,0),'Gestion final Gipuzkoa 2018'!$B$74:$P$97,2,0)</f>
        <v>0</v>
      </c>
      <c r="C73" s="615" t="e">
        <f>+#REF!</f>
        <v>#REF!</v>
      </c>
      <c r="D73" s="622" t="str">
        <f t="shared" si="27"/>
        <v/>
      </c>
      <c r="E73" s="646">
        <f>VLOOKUP(VLOOKUP(A73,$A$82:$B$105,2,0),'Gestion final Gipuzkoa 2018'!$B$74:$P$97,3,0)</f>
        <v>0</v>
      </c>
      <c r="F73" s="620" t="e">
        <f>+#REF!</f>
        <v>#REF!</v>
      </c>
      <c r="G73" s="622" t="str">
        <f t="shared" si="28"/>
        <v/>
      </c>
      <c r="H73" s="645">
        <f>VLOOKUP(VLOOKUP(A73,$A$82:$B$105,2,0),'Gestion final Gipuzkoa 2018'!$B$74:$P$97,4,0)</f>
        <v>0</v>
      </c>
      <c r="I73" s="615" t="e">
        <f>+#REF!</f>
        <v>#REF!</v>
      </c>
      <c r="J73" s="622" t="str">
        <f t="shared" si="29"/>
        <v/>
      </c>
      <c r="K73" s="645">
        <f>VLOOKUP(VLOOKUP(A73,$A$82:$B$105,2,0),'Gestion final Gipuzkoa 2018'!$B$74:$P$97,5,0)</f>
        <v>0</v>
      </c>
      <c r="L73" s="615" t="e">
        <f>+#REF!</f>
        <v>#REF!</v>
      </c>
      <c r="M73" s="622" t="str">
        <f t="shared" si="30"/>
        <v/>
      </c>
      <c r="N73" s="645">
        <f>VLOOKUP(VLOOKUP(A73,$A$82:$B$105,2,0),'Gestion final Gipuzkoa 2018'!$B$74:$P$97,6,0)</f>
        <v>0</v>
      </c>
      <c r="O73" s="615" t="e">
        <f>+#REF!</f>
        <v>#REF!</v>
      </c>
      <c r="P73" s="622" t="str">
        <f t="shared" si="31"/>
        <v/>
      </c>
      <c r="Q73" s="645">
        <f>VLOOKUP(VLOOKUP(A73,$A$82:$B$105,2,0),'Gestion final Gipuzkoa 2018'!$B$74:$P$97,7,0)</f>
        <v>0</v>
      </c>
      <c r="R73" s="615" t="e">
        <f>+#REF!</f>
        <v>#REF!</v>
      </c>
      <c r="S73" s="622" t="str">
        <f t="shared" si="32"/>
        <v/>
      </c>
      <c r="T73" s="645">
        <f>VLOOKUP(VLOOKUP(A73,$A$82:$B$105,2,0),'Gestion final Gipuzkoa 2018'!$B$74:$P$97,8,0)</f>
        <v>0</v>
      </c>
      <c r="U73" s="615" t="e">
        <f>+#REF!+#REF!</f>
        <v>#REF!</v>
      </c>
      <c r="V73" s="622" t="str">
        <f t="shared" si="33"/>
        <v/>
      </c>
      <c r="W73" s="615">
        <f>VLOOKUP(VLOOKUP(A73,$A$82:$B$105,2,0),'Gestion final Gipuzkoa 2018'!$B$74:$P$97,9,0)</f>
        <v>0</v>
      </c>
      <c r="X73" s="615" t="e">
        <f>+#REF!</f>
        <v>#REF!</v>
      </c>
      <c r="Y73" s="622" t="str">
        <f t="shared" si="35"/>
        <v/>
      </c>
      <c r="Z73" s="615">
        <f>VLOOKUP(VLOOKUP(A73,$A$82:$B$105,2,0),'Gestion final Gipuzkoa 2018'!$B$74:$P$97,10,0)</f>
        <v>0</v>
      </c>
      <c r="AA73" s="615" t="e">
        <f>+#REF!</f>
        <v>#REF!</v>
      </c>
      <c r="AB73" s="622" t="str">
        <f t="shared" si="34"/>
        <v/>
      </c>
      <c r="AC73" s="653">
        <v>0</v>
      </c>
      <c r="AD73" s="615" t="e">
        <f>#REF!</f>
        <v>#REF!</v>
      </c>
      <c r="AE73" s="622" t="str">
        <f t="shared" si="37"/>
        <v/>
      </c>
      <c r="AF73" s="615" t="e">
        <f t="shared" si="36"/>
        <v>#REF!</v>
      </c>
      <c r="AG73" s="512"/>
      <c r="AH73" s="654"/>
      <c r="AI73" s="514"/>
      <c r="AJ73" s="512"/>
      <c r="AK73" s="654"/>
      <c r="AL73" s="514"/>
      <c r="AM73" s="512"/>
      <c r="AN73" s="654"/>
      <c r="AO73" s="512"/>
      <c r="AP73" s="512"/>
      <c r="AQ73" s="654"/>
      <c r="AR73" s="512"/>
    </row>
    <row r="74" spans="1:44" ht="14.4" x14ac:dyDescent="0.3">
      <c r="A74" s="8" t="s">
        <v>74</v>
      </c>
      <c r="B74" s="645" t="e">
        <f>VLOOKUP(VLOOKUP(A74,$A$82:$B$105,2,0),'Gestion final Gipuzkoa 2018'!$B$74:$P$97,2,0)</f>
        <v>#REF!</v>
      </c>
      <c r="C74" s="615" t="e">
        <f>+#REF!</f>
        <v>#REF!</v>
      </c>
      <c r="D74" s="622" t="str">
        <f t="shared" si="27"/>
        <v/>
      </c>
      <c r="E74" s="646" t="e">
        <f>VLOOKUP(VLOOKUP(A74,$A$82:$B$105,2,0),'Gestion final Gipuzkoa 2018'!$B$74:$P$97,3,0)</f>
        <v>#REF!</v>
      </c>
      <c r="F74" s="620" t="e">
        <f>+#REF!</f>
        <v>#REF!</v>
      </c>
      <c r="G74" s="622" t="str">
        <f t="shared" si="28"/>
        <v/>
      </c>
      <c r="H74" s="645">
        <f>VLOOKUP(VLOOKUP(A74,$A$82:$B$105,2,0),'Gestion final Gipuzkoa 2018'!$B$74:$P$97,4,0)</f>
        <v>0</v>
      </c>
      <c r="I74" s="615" t="e">
        <f>+#REF!</f>
        <v>#REF!</v>
      </c>
      <c r="J74" s="622" t="str">
        <f t="shared" si="29"/>
        <v/>
      </c>
      <c r="K74" s="645" t="e">
        <f>VLOOKUP(VLOOKUP(A74,$A$82:$B$105,2,0),'Gestion final Gipuzkoa 2018'!$B$74:$P$97,5,0)</f>
        <v>#REF!</v>
      </c>
      <c r="L74" s="615" t="e">
        <f>+#REF!</f>
        <v>#REF!</v>
      </c>
      <c r="M74" s="622" t="str">
        <f t="shared" si="30"/>
        <v/>
      </c>
      <c r="N74" s="645">
        <f>VLOOKUP(VLOOKUP(A74,$A$82:$B$105,2,0),'Gestion final Gipuzkoa 2018'!$B$74:$P$97,6,0)</f>
        <v>0</v>
      </c>
      <c r="O74" s="615" t="e">
        <f>+#REF!</f>
        <v>#REF!</v>
      </c>
      <c r="P74" s="622" t="str">
        <f t="shared" si="31"/>
        <v/>
      </c>
      <c r="Q74" s="645" t="e">
        <f>VLOOKUP(VLOOKUP(A74,$A$82:$B$105,2,0),'Gestion final Gipuzkoa 2018'!$B$74:$P$97,7,0)</f>
        <v>#REF!</v>
      </c>
      <c r="R74" s="615" t="e">
        <f>+#REF!</f>
        <v>#REF!</v>
      </c>
      <c r="S74" s="622" t="str">
        <f t="shared" si="32"/>
        <v/>
      </c>
      <c r="T74" s="645">
        <f>VLOOKUP(VLOOKUP(A74,$A$82:$B$105,2,0),'Gestion final Gipuzkoa 2018'!$B$74:$P$97,8,0)</f>
        <v>0</v>
      </c>
      <c r="U74" s="615" t="e">
        <f>+#REF!+#REF!</f>
        <v>#REF!</v>
      </c>
      <c r="V74" s="622" t="str">
        <f t="shared" si="33"/>
        <v/>
      </c>
      <c r="W74" s="615">
        <f>VLOOKUP(VLOOKUP(A74,$A$82:$B$105,2,0),'Gestion final Gipuzkoa 2018'!$B$74:$P$97,9,0)</f>
        <v>0</v>
      </c>
      <c r="X74" s="615" t="e">
        <f>+#REF!</f>
        <v>#REF!</v>
      </c>
      <c r="Y74" s="622" t="str">
        <f t="shared" si="35"/>
        <v/>
      </c>
      <c r="Z74" s="615">
        <f>VLOOKUP(VLOOKUP(A74,$A$82:$B$105,2,0),'Gestion final Gipuzkoa 2018'!$B$74:$P$97,10,0)</f>
        <v>0</v>
      </c>
      <c r="AA74" s="615" t="e">
        <f>+#REF!</f>
        <v>#REF!</v>
      </c>
      <c r="AB74" s="622" t="str">
        <f t="shared" si="34"/>
        <v/>
      </c>
      <c r="AC74" s="653">
        <v>0</v>
      </c>
      <c r="AD74" s="615" t="e">
        <f>#REF!</f>
        <v>#REF!</v>
      </c>
      <c r="AE74" s="622" t="str">
        <f t="shared" si="37"/>
        <v/>
      </c>
      <c r="AF74" s="615" t="e">
        <f t="shared" si="36"/>
        <v>#REF!</v>
      </c>
      <c r="AG74" s="512"/>
      <c r="AH74" s="654"/>
      <c r="AI74" s="514"/>
      <c r="AJ74" s="512"/>
      <c r="AK74" s="654"/>
      <c r="AL74" s="514"/>
      <c r="AM74" s="512"/>
      <c r="AN74" s="654"/>
      <c r="AO74" s="512"/>
      <c r="AP74" s="512"/>
      <c r="AQ74" s="654"/>
      <c r="AR74" s="512"/>
    </row>
    <row r="75" spans="1:44" ht="14.4" x14ac:dyDescent="0.3">
      <c r="A75" s="8" t="s">
        <v>73</v>
      </c>
      <c r="B75" s="645" t="e">
        <f>VLOOKUP(VLOOKUP(A75,$A$82:$B$105,2,0),'Gestion final Gipuzkoa 2018'!$B$74:$P$97,2,0)</f>
        <v>#REF!</v>
      </c>
      <c r="C75" s="615" t="e">
        <f>+#REF!</f>
        <v>#REF!</v>
      </c>
      <c r="D75" s="622" t="str">
        <f t="shared" si="27"/>
        <v/>
      </c>
      <c r="E75" s="646" t="e">
        <f>VLOOKUP(VLOOKUP(A75,$A$82:$B$105,2,0),'Gestion final Gipuzkoa 2018'!$B$74:$P$97,3,0)</f>
        <v>#REF!</v>
      </c>
      <c r="F75" s="620" t="e">
        <f>+#REF!</f>
        <v>#REF!</v>
      </c>
      <c r="G75" s="622" t="str">
        <f t="shared" si="28"/>
        <v/>
      </c>
      <c r="H75" s="645">
        <f>VLOOKUP(VLOOKUP(A75,$A$82:$B$105,2,0),'Gestion final Gipuzkoa 2018'!$B$74:$P$97,4,0)</f>
        <v>0</v>
      </c>
      <c r="I75" s="615" t="e">
        <f>+#REF!</f>
        <v>#REF!</v>
      </c>
      <c r="J75" s="622" t="str">
        <f t="shared" si="29"/>
        <v/>
      </c>
      <c r="K75" s="645" t="e">
        <f>VLOOKUP(VLOOKUP(A75,$A$82:$B$105,2,0),'Gestion final Gipuzkoa 2018'!$B$74:$P$97,5,0)</f>
        <v>#REF!</v>
      </c>
      <c r="L75" s="615" t="e">
        <f>+#REF!</f>
        <v>#REF!</v>
      </c>
      <c r="M75" s="622" t="str">
        <f t="shared" si="30"/>
        <v/>
      </c>
      <c r="N75" s="645">
        <f>VLOOKUP(VLOOKUP(A75,$A$82:$B$105,2,0),'Gestion final Gipuzkoa 2018'!$B$74:$P$97,6,0)</f>
        <v>0</v>
      </c>
      <c r="O75" s="615" t="e">
        <f>+#REF!</f>
        <v>#REF!</v>
      </c>
      <c r="P75" s="622" t="str">
        <f t="shared" si="31"/>
        <v/>
      </c>
      <c r="Q75" s="645" t="e">
        <f>VLOOKUP(VLOOKUP(A75,$A$82:$B$105,2,0),'Gestion final Gipuzkoa 2018'!$B$74:$P$97,7,0)</f>
        <v>#REF!</v>
      </c>
      <c r="R75" s="615" t="e">
        <f>+#REF!</f>
        <v>#REF!</v>
      </c>
      <c r="S75" s="622" t="str">
        <f t="shared" si="32"/>
        <v/>
      </c>
      <c r="T75" s="645" t="e">
        <f>VLOOKUP(VLOOKUP(A75,$A$82:$B$105,2,0),'Gestion final Gipuzkoa 2018'!$B$74:$P$97,8,0)</f>
        <v>#REF!</v>
      </c>
      <c r="U75" s="615" t="e">
        <f>+#REF!+#REF!</f>
        <v>#REF!</v>
      </c>
      <c r="V75" s="622" t="str">
        <f t="shared" si="33"/>
        <v/>
      </c>
      <c r="W75" s="615" t="e">
        <f>VLOOKUP(VLOOKUP(A75,$A$82:$B$105,2,0),'Gestion final Gipuzkoa 2018'!$B$74:$P$97,9,0)</f>
        <v>#REF!</v>
      </c>
      <c r="X75" s="615" t="e">
        <f>+#REF!</f>
        <v>#REF!</v>
      </c>
      <c r="Y75" s="622" t="str">
        <f t="shared" si="35"/>
        <v/>
      </c>
      <c r="Z75" s="615">
        <f>VLOOKUP(VLOOKUP(A75,$A$82:$B$105,2,0),'Gestion final Gipuzkoa 2018'!$B$74:$P$97,10,0)</f>
        <v>0</v>
      </c>
      <c r="AA75" s="615" t="e">
        <f>+#REF!</f>
        <v>#REF!</v>
      </c>
      <c r="AB75" s="622" t="str">
        <f t="shared" si="34"/>
        <v/>
      </c>
      <c r="AC75" s="653">
        <v>0</v>
      </c>
      <c r="AD75" s="615" t="e">
        <f>#REF!</f>
        <v>#REF!</v>
      </c>
      <c r="AE75" s="622" t="str">
        <f t="shared" si="37"/>
        <v/>
      </c>
      <c r="AF75" s="615" t="e">
        <f t="shared" si="36"/>
        <v>#REF!</v>
      </c>
      <c r="AG75" s="512"/>
      <c r="AH75" s="654"/>
      <c r="AI75" s="514"/>
      <c r="AJ75" s="512"/>
      <c r="AK75" s="654"/>
      <c r="AL75" s="514"/>
      <c r="AM75" s="512"/>
      <c r="AN75" s="654"/>
      <c r="AO75" s="512"/>
      <c r="AP75" s="512"/>
      <c r="AQ75" s="654"/>
      <c r="AR75" s="512"/>
    </row>
    <row r="76" spans="1:44" ht="14.4" x14ac:dyDescent="0.3">
      <c r="A76" s="8" t="s">
        <v>44</v>
      </c>
      <c r="B76" s="645" t="e">
        <f>VLOOKUP(VLOOKUP(A76,$A$82:$B$105,2,0),'Gestion final Gipuzkoa 2018'!$B$74:$P$97,2,0)</f>
        <v>#REF!</v>
      </c>
      <c r="C76" s="615" t="e">
        <f>+#REF!</f>
        <v>#REF!</v>
      </c>
      <c r="D76" s="622" t="str">
        <f t="shared" si="27"/>
        <v/>
      </c>
      <c r="E76" s="646" t="e">
        <f>VLOOKUP(VLOOKUP(A76,$A$82:$B$105,2,0),'Gestion final Gipuzkoa 2018'!$B$74:$P$97,3,0)</f>
        <v>#REF!</v>
      </c>
      <c r="F76" s="620" t="e">
        <f>+#REF!</f>
        <v>#REF!</v>
      </c>
      <c r="G76" s="622" t="str">
        <f t="shared" si="28"/>
        <v/>
      </c>
      <c r="H76" s="645" t="e">
        <f>VLOOKUP(VLOOKUP(A76,$A$82:$B$105,2,0),'Gestion final Gipuzkoa 2018'!$B$74:$P$97,4,0)</f>
        <v>#REF!</v>
      </c>
      <c r="I76" s="615" t="e">
        <f>+#REF!</f>
        <v>#REF!</v>
      </c>
      <c r="J76" s="622" t="str">
        <f t="shared" si="29"/>
        <v/>
      </c>
      <c r="K76" s="645" t="e">
        <f>VLOOKUP(VLOOKUP(A76,$A$82:$B$105,2,0),'Gestion final Gipuzkoa 2018'!$B$74:$P$97,5,0)</f>
        <v>#REF!</v>
      </c>
      <c r="L76" s="615" t="e">
        <f>+#REF!</f>
        <v>#REF!</v>
      </c>
      <c r="M76" s="622" t="str">
        <f t="shared" si="30"/>
        <v/>
      </c>
      <c r="N76" s="645">
        <f>VLOOKUP(VLOOKUP(A76,$A$82:$B$105,2,0),'Gestion final Gipuzkoa 2018'!$B$74:$P$97,6,0)</f>
        <v>0</v>
      </c>
      <c r="O76" s="615" t="e">
        <f>+#REF!</f>
        <v>#REF!</v>
      </c>
      <c r="P76" s="622" t="str">
        <f t="shared" si="31"/>
        <v/>
      </c>
      <c r="Q76" s="645" t="e">
        <f>VLOOKUP(VLOOKUP(A76,$A$82:$B$105,2,0),'Gestion final Gipuzkoa 2018'!$B$74:$P$97,7,0)</f>
        <v>#REF!</v>
      </c>
      <c r="R76" s="615" t="e">
        <f>+#REF!</f>
        <v>#REF!</v>
      </c>
      <c r="S76" s="622" t="str">
        <f t="shared" si="32"/>
        <v/>
      </c>
      <c r="T76" s="645" t="e">
        <f>VLOOKUP(VLOOKUP(A76,$A$82:$B$105,2,0),'Gestion final Gipuzkoa 2018'!$B$74:$P$97,8,0)</f>
        <v>#REF!</v>
      </c>
      <c r="U76" s="615" t="e">
        <f>+#REF!+#REF!</f>
        <v>#REF!</v>
      </c>
      <c r="V76" s="622" t="str">
        <f t="shared" si="33"/>
        <v/>
      </c>
      <c r="W76" s="615" t="e">
        <f>VLOOKUP(VLOOKUP(A76,$A$82:$B$105,2,0),'Gestion final Gipuzkoa 2018'!$B$74:$P$97,9,0)</f>
        <v>#REF!</v>
      </c>
      <c r="X76" s="615" t="e">
        <f>+#REF!</f>
        <v>#REF!</v>
      </c>
      <c r="Y76" s="622" t="str">
        <f t="shared" si="35"/>
        <v/>
      </c>
      <c r="Z76" s="615">
        <f>VLOOKUP(VLOOKUP(A76,$A$82:$B$105,2,0),'Gestion final Gipuzkoa 2018'!$B$74:$P$97,10,0)</f>
        <v>0</v>
      </c>
      <c r="AA76" s="615" t="e">
        <f>+#REF!</f>
        <v>#REF!</v>
      </c>
      <c r="AB76" s="622" t="str">
        <f t="shared" si="34"/>
        <v/>
      </c>
      <c r="AC76" s="653">
        <v>0</v>
      </c>
      <c r="AD76" s="615" t="e">
        <f>#REF!</f>
        <v>#REF!</v>
      </c>
      <c r="AE76" s="622" t="str">
        <f t="shared" si="37"/>
        <v/>
      </c>
      <c r="AF76" s="615" t="e">
        <f t="shared" si="36"/>
        <v>#REF!</v>
      </c>
      <c r="AG76" s="512"/>
      <c r="AH76" s="654"/>
      <c r="AI76" s="514"/>
      <c r="AJ76" s="512"/>
      <c r="AK76" s="654"/>
      <c r="AL76" s="514"/>
      <c r="AM76" s="512"/>
      <c r="AN76" s="654"/>
      <c r="AO76" s="512"/>
      <c r="AP76" s="512"/>
      <c r="AQ76" s="654"/>
      <c r="AR76" s="512"/>
    </row>
    <row r="77" spans="1:44" ht="14.4" x14ac:dyDescent="0.3">
      <c r="A77" s="8" t="s">
        <v>119</v>
      </c>
      <c r="B77" s="645" t="e">
        <f>VLOOKUP(VLOOKUP(A77,$A$82:$B$105,2,0),'Gestion final Gipuzkoa 2018'!$B$74:$P$97,2,0)</f>
        <v>#REF!</v>
      </c>
      <c r="C77" s="615" t="e">
        <f>+#REF!</f>
        <v>#REF!</v>
      </c>
      <c r="D77" s="622" t="str">
        <f>IFERROR(C77/B77-1,"")</f>
        <v/>
      </c>
      <c r="E77" s="646" t="e">
        <f>VLOOKUP(VLOOKUP(A77,$A$82:$B$105,2,0),'Gestion final Gipuzkoa 2018'!$B$74:$P$97,3,0)</f>
        <v>#REF!</v>
      </c>
      <c r="F77" s="620" t="e">
        <f>+#REF!</f>
        <v>#REF!</v>
      </c>
      <c r="G77" s="622" t="str">
        <f>IFERROR(F77/E77-1,"")</f>
        <v/>
      </c>
      <c r="H77" s="645">
        <f>VLOOKUP(VLOOKUP(A77,$A$82:$B$105,2,0),'Gestion final Gipuzkoa 2018'!$B$74:$P$97,4,0)</f>
        <v>0</v>
      </c>
      <c r="I77" s="615" t="e">
        <f>+#REF!</f>
        <v>#REF!</v>
      </c>
      <c r="J77" s="622" t="str">
        <f>IFERROR(I77/H77-1,"")</f>
        <v/>
      </c>
      <c r="K77" s="645">
        <f>VLOOKUP(VLOOKUP(A77,$A$82:$B$105,2,0),'Gestion final Gipuzkoa 2018'!$B$74:$P$97,5,0)</f>
        <v>0</v>
      </c>
      <c r="L77" s="615" t="e">
        <f>+#REF!</f>
        <v>#REF!</v>
      </c>
      <c r="M77" s="622" t="str">
        <f>IFERROR(L77/K77-1,"")</f>
        <v/>
      </c>
      <c r="N77" s="645">
        <f>VLOOKUP(VLOOKUP(A77,$A$82:$B$105,2,0),'Gestion final Gipuzkoa 2018'!$B$74:$P$97,6,0)</f>
        <v>0</v>
      </c>
      <c r="O77" s="615" t="e">
        <f>+#REF!</f>
        <v>#REF!</v>
      </c>
      <c r="P77" s="622" t="str">
        <f>IFERROR(O77/N77-1,"")</f>
        <v/>
      </c>
      <c r="Q77" s="645">
        <f>VLOOKUP(VLOOKUP(A77,$A$82:$B$105,2,0),'Gestion final Gipuzkoa 2018'!$B$74:$P$97,7,0)</f>
        <v>0</v>
      </c>
      <c r="R77" s="615" t="e">
        <f>+#REF!</f>
        <v>#REF!</v>
      </c>
      <c r="S77" s="622" t="str">
        <f>IFERROR(R77/Q77-1,"")</f>
        <v/>
      </c>
      <c r="T77" s="645">
        <f>VLOOKUP(VLOOKUP(A77,$A$82:$B$105,2,0),'Gestion final Gipuzkoa 2018'!$B$74:$P$97,8,0)</f>
        <v>0</v>
      </c>
      <c r="U77" s="615" t="e">
        <f>+#REF!+#REF!</f>
        <v>#REF!</v>
      </c>
      <c r="V77" s="622" t="str">
        <f>IFERROR(U77/T77-1,"")</f>
        <v/>
      </c>
      <c r="W77" s="615" t="e">
        <f>VLOOKUP(VLOOKUP(A77,$A$82:$B$105,2,0),'Gestion final Gipuzkoa 2018'!$B$74:$P$97,9,0)</f>
        <v>#REF!</v>
      </c>
      <c r="X77" s="615" t="e">
        <f>+#REF!</f>
        <v>#REF!</v>
      </c>
      <c r="Y77" s="622" t="str">
        <f>IFERROR(X77/W77-1,"")</f>
        <v/>
      </c>
      <c r="Z77" s="615">
        <f>VLOOKUP(VLOOKUP(A77,$A$82:$B$105,2,0),'Gestion final Gipuzkoa 2018'!$B$74:$P$97,10,0)</f>
        <v>0</v>
      </c>
      <c r="AA77" s="615" t="e">
        <f>+#REF!</f>
        <v>#REF!</v>
      </c>
      <c r="AB77" s="622" t="str">
        <f>IFERROR(AA77/Z77-1,"")</f>
        <v/>
      </c>
      <c r="AC77" s="653">
        <v>0</v>
      </c>
      <c r="AD77" s="615" t="e">
        <f>#REF!</f>
        <v>#REF!</v>
      </c>
      <c r="AE77" s="622" t="str">
        <f t="shared" si="37"/>
        <v/>
      </c>
      <c r="AF77" s="615" t="e">
        <f t="shared" si="36"/>
        <v>#REF!</v>
      </c>
      <c r="AG77" s="512"/>
      <c r="AH77" s="654"/>
      <c r="AI77" s="514"/>
      <c r="AJ77" s="512"/>
      <c r="AK77" s="654"/>
      <c r="AL77" s="514"/>
      <c r="AM77" s="512"/>
      <c r="AN77" s="654"/>
      <c r="AO77" s="512"/>
      <c r="AP77" s="512"/>
      <c r="AQ77" s="654"/>
      <c r="AR77" s="512"/>
    </row>
    <row r="78" spans="1:44" ht="14.4" x14ac:dyDescent="0.3">
      <c r="A78" s="154" t="s">
        <v>82</v>
      </c>
      <c r="B78" s="645" t="e">
        <f>VLOOKUP(VLOOKUP(A78,$A$82:$B$105,2,0),'Gestion final Gipuzkoa 2018'!$B$74:$P$97,2,0)</f>
        <v>#REF!</v>
      </c>
      <c r="C78" s="615" t="e">
        <f>+#REF!</f>
        <v>#REF!</v>
      </c>
      <c r="D78" s="622" t="str">
        <f>IFERROR(C78/B78-1,"")</f>
        <v/>
      </c>
      <c r="E78" s="646" t="e">
        <f>VLOOKUP(VLOOKUP(A78,$A$82:$B$105,2,0),'Gestion final Gipuzkoa 2018'!$B$74:$P$97,3,0)</f>
        <v>#REF!</v>
      </c>
      <c r="F78" s="620" t="e">
        <f>+#REF!</f>
        <v>#REF!</v>
      </c>
      <c r="G78" s="622" t="str">
        <f>IFERROR(F78/E78-1,"")</f>
        <v/>
      </c>
      <c r="H78" s="645">
        <f>VLOOKUP(VLOOKUP(A78,$A$82:$B$105,2,0),'Gestion final Gipuzkoa 2018'!$B$74:$P$97,4,0)</f>
        <v>0</v>
      </c>
      <c r="I78" s="615" t="e">
        <f>+#REF!</f>
        <v>#REF!</v>
      </c>
      <c r="J78" s="622" t="str">
        <f>IFERROR(I78/H78-1,"")</f>
        <v/>
      </c>
      <c r="K78" s="645">
        <f>VLOOKUP(VLOOKUP(A78,$A$82:$B$105,2,0),'Gestion final Gipuzkoa 2018'!$B$74:$P$97,5,0)</f>
        <v>0</v>
      </c>
      <c r="L78" s="615" t="e">
        <f>+#REF!</f>
        <v>#REF!</v>
      </c>
      <c r="M78" s="622" t="str">
        <f>IFERROR(L78/K78-1,"")</f>
        <v/>
      </c>
      <c r="N78" s="645">
        <f>VLOOKUP(VLOOKUP(A78,$A$82:$B$105,2,0),'Gestion final Gipuzkoa 2018'!$B$74:$P$97,6,0)</f>
        <v>0</v>
      </c>
      <c r="O78" s="615" t="e">
        <f>+#REF!</f>
        <v>#REF!</v>
      </c>
      <c r="P78" s="622" t="str">
        <f>IFERROR(O78/N78-1,"")</f>
        <v/>
      </c>
      <c r="Q78" s="645">
        <f>VLOOKUP(VLOOKUP(A78,$A$82:$B$105,2,0),'Gestion final Gipuzkoa 2018'!$B$74:$P$97,7,0)</f>
        <v>0</v>
      </c>
      <c r="R78" s="615" t="e">
        <f>+#REF!</f>
        <v>#REF!</v>
      </c>
      <c r="S78" s="622" t="str">
        <f>IFERROR(R78/Q78-1,"")</f>
        <v/>
      </c>
      <c r="T78" s="645" t="e">
        <f>VLOOKUP(VLOOKUP(A78,$A$82:$B$105,2,0),'Gestion final Gipuzkoa 2018'!$B$74:$P$97,8,0)</f>
        <v>#REF!</v>
      </c>
      <c r="U78" s="615" t="e">
        <f>+#REF!+#REF!</f>
        <v>#REF!</v>
      </c>
      <c r="V78" s="622" t="str">
        <f>IFERROR(U78/T78-1,"")</f>
        <v/>
      </c>
      <c r="W78" s="615" t="e">
        <f>VLOOKUP(VLOOKUP(A78,$A$82:$B$105,2,0),'Gestion final Gipuzkoa 2018'!$B$74:$P$97,9,0)</f>
        <v>#REF!</v>
      </c>
      <c r="X78" s="615" t="e">
        <f>+#REF!</f>
        <v>#REF!</v>
      </c>
      <c r="Y78" s="622" t="str">
        <f>IFERROR(X78/W78-1,"")</f>
        <v/>
      </c>
      <c r="Z78" s="615">
        <f>VLOOKUP(VLOOKUP(A78,$A$82:$B$105,2,0),'Gestion final Gipuzkoa 2018'!$B$74:$P$97,10,0)</f>
        <v>0</v>
      </c>
      <c r="AA78" s="615" t="e">
        <f>+#REF!</f>
        <v>#REF!</v>
      </c>
      <c r="AB78" s="622" t="str">
        <f>IFERROR(AA78/Z78-1,"")</f>
        <v/>
      </c>
      <c r="AC78" s="653">
        <v>0</v>
      </c>
      <c r="AD78" s="615" t="e">
        <f>#REF!</f>
        <v>#REF!</v>
      </c>
      <c r="AE78" s="622" t="str">
        <f t="shared" si="37"/>
        <v/>
      </c>
      <c r="AF78" s="615" t="e">
        <f t="shared" si="36"/>
        <v>#REF!</v>
      </c>
      <c r="AG78" s="512"/>
      <c r="AH78" s="654"/>
      <c r="AI78" s="514"/>
      <c r="AJ78" s="512"/>
      <c r="AK78" s="654"/>
      <c r="AL78" s="514"/>
      <c r="AM78" s="512"/>
      <c r="AN78" s="654"/>
      <c r="AO78" s="512"/>
      <c r="AP78" s="512"/>
      <c r="AQ78" s="654"/>
      <c r="AR78" s="512"/>
    </row>
    <row r="81" spans="1:2" x14ac:dyDescent="0.25">
      <c r="A81" s="655" t="s">
        <v>426</v>
      </c>
    </row>
    <row r="82" spans="1:2" ht="13.8" x14ac:dyDescent="0.25">
      <c r="A82" s="1" t="str">
        <f>VLOOKUP(B82,$A$3:$A$24,1,0)</f>
        <v>Biorresiduos</v>
      </c>
      <c r="B82" s="527" t="s">
        <v>5</v>
      </c>
    </row>
    <row r="83" spans="1:2" ht="13.8" x14ac:dyDescent="0.25">
      <c r="A83" s="1" t="str">
        <f>VLOOKUP(B83,$A$3:$A$24,1,0)</f>
        <v>Papel-cartón</v>
      </c>
      <c r="B83" s="527" t="s">
        <v>8</v>
      </c>
    </row>
    <row r="84" spans="1:2" ht="13.8" x14ac:dyDescent="0.25">
      <c r="A84" s="8" t="s">
        <v>32</v>
      </c>
      <c r="B84" s="527" t="s">
        <v>304</v>
      </c>
    </row>
    <row r="85" spans="1:2" ht="13.8" x14ac:dyDescent="0.25">
      <c r="A85" s="1" t="str">
        <f>VLOOKUP(B85,$A$3:$A$24,1,0)</f>
        <v>Envases ligeros</v>
      </c>
      <c r="B85" s="527" t="s">
        <v>14</v>
      </c>
    </row>
    <row r="86" spans="1:2" ht="27.6" x14ac:dyDescent="0.25">
      <c r="A86" s="325" t="s">
        <v>17</v>
      </c>
      <c r="B86" s="527" t="s">
        <v>17</v>
      </c>
    </row>
    <row r="87" spans="1:2" ht="27.6" x14ac:dyDescent="0.25">
      <c r="A87" s="8" t="s">
        <v>16</v>
      </c>
      <c r="B87" s="527" t="s">
        <v>16</v>
      </c>
    </row>
    <row r="88" spans="1:2" ht="27.6" x14ac:dyDescent="0.25">
      <c r="A88" s="8" t="s">
        <v>42</v>
      </c>
      <c r="B88" s="527" t="s">
        <v>308</v>
      </c>
    </row>
    <row r="89" spans="1:2" ht="13.8" x14ac:dyDescent="0.25">
      <c r="A89" s="1" t="str">
        <f>VLOOKUP(B89,$A$3:$A$24,1,0)</f>
        <v>Fluorescentes</v>
      </c>
      <c r="B89" s="527" t="s">
        <v>44</v>
      </c>
    </row>
    <row r="90" spans="1:2" ht="27.6" x14ac:dyDescent="0.25">
      <c r="A90" s="8" t="s">
        <v>47</v>
      </c>
      <c r="B90" s="527" t="s">
        <v>326</v>
      </c>
    </row>
    <row r="91" spans="1:2" ht="13.8" x14ac:dyDescent="0.25">
      <c r="A91" s="8" t="s">
        <v>57</v>
      </c>
      <c r="B91" s="527" t="s">
        <v>25</v>
      </c>
    </row>
    <row r="92" spans="1:2" ht="13.8" x14ac:dyDescent="0.25">
      <c r="A92" s="1" t="str">
        <f>VLOOKUP(B92,$A$3:$A$24,1,0)</f>
        <v>Madera</v>
      </c>
      <c r="B92" s="527" t="s">
        <v>29</v>
      </c>
    </row>
    <row r="93" spans="1:2" ht="27.6" x14ac:dyDescent="0.25">
      <c r="A93" s="1" t="e">
        <f>VLOOKUP(B93,$A$3:$A$24,1,0)</f>
        <v>#N/A</v>
      </c>
      <c r="B93" s="527" t="s">
        <v>60</v>
      </c>
    </row>
    <row r="94" spans="1:2" ht="27.6" x14ac:dyDescent="0.25">
      <c r="A94" s="8" t="s">
        <v>62</v>
      </c>
      <c r="B94" s="527" t="s">
        <v>33</v>
      </c>
    </row>
    <row r="95" spans="1:2" ht="27.6" x14ac:dyDescent="0.25">
      <c r="A95" s="8" t="s">
        <v>67</v>
      </c>
      <c r="B95" s="527" t="s">
        <v>66</v>
      </c>
    </row>
    <row r="96" spans="1:2" ht="13.8" x14ac:dyDescent="0.25">
      <c r="A96" s="1" t="str">
        <f>VLOOKUP(B96,$A$3:$A$24,1,0)</f>
        <v>Medicamentos</v>
      </c>
      <c r="B96" s="527" t="s">
        <v>73</v>
      </c>
    </row>
    <row r="97" spans="1:2" ht="13.8" x14ac:dyDescent="0.25">
      <c r="A97" s="1" t="str">
        <f>VLOOKUP(B97,$A$3:$A$24,1,0)</f>
        <v>Radiografías</v>
      </c>
      <c r="B97" s="527" t="s">
        <v>74</v>
      </c>
    </row>
    <row r="98" spans="1:2" ht="27.6" x14ac:dyDescent="0.25">
      <c r="A98" s="8" t="s">
        <v>35</v>
      </c>
      <c r="B98" s="527" t="s">
        <v>327</v>
      </c>
    </row>
    <row r="99" spans="1:2" ht="13.8" x14ac:dyDescent="0.25">
      <c r="A99" s="8" t="s">
        <v>1</v>
      </c>
      <c r="B99" s="527" t="s">
        <v>143</v>
      </c>
    </row>
    <row r="100" spans="1:2" ht="13.8" x14ac:dyDescent="0.25">
      <c r="A100" s="1" t="str">
        <f>VLOOKUP(B100,$A$3:$A$24,1,0)</f>
        <v>Voluminosos</v>
      </c>
      <c r="B100" s="527" t="s">
        <v>76</v>
      </c>
    </row>
    <row r="101" spans="1:2" ht="13.8" x14ac:dyDescent="0.25">
      <c r="A101" s="154" t="s">
        <v>82</v>
      </c>
      <c r="B101" s="527" t="s">
        <v>309</v>
      </c>
    </row>
    <row r="102" spans="1:2" ht="27.6" x14ac:dyDescent="0.25">
      <c r="A102" s="1" t="str">
        <f>VLOOKUP(B102,$A$3:$A$24,1,0)</f>
        <v>Vehículos abandonados</v>
      </c>
      <c r="B102" s="527" t="s">
        <v>95</v>
      </c>
    </row>
    <row r="103" spans="1:2" ht="13.8" x14ac:dyDescent="0.25">
      <c r="A103" s="1" t="str">
        <f>VLOOKUP(B103,$A$3:$A$24,1,0)</f>
        <v>Otros</v>
      </c>
      <c r="B103" s="527" t="s">
        <v>119</v>
      </c>
    </row>
    <row r="104" spans="1:2" ht="13.8" x14ac:dyDescent="0.25">
      <c r="A104" s="8" t="s">
        <v>236</v>
      </c>
      <c r="B104" s="656" t="s">
        <v>427</v>
      </c>
    </row>
    <row r="105" spans="1:2" ht="13.8" x14ac:dyDescent="0.3">
      <c r="A105" s="8" t="s">
        <v>113</v>
      </c>
      <c r="B105" s="657" t="s">
        <v>428</v>
      </c>
    </row>
  </sheetData>
  <mergeCells count="1">
    <mergeCell ref="AC54:AE54"/>
  </mergeCells>
  <conditionalFormatting sqref="B3:C25">
    <cfRule type="cellIs" dxfId="188" priority="71" operator="lessThan">
      <formula>0</formula>
    </cfRule>
  </conditionalFormatting>
  <conditionalFormatting sqref="B30:C52">
    <cfRule type="cellIs" dxfId="187" priority="153" operator="lessThan">
      <formula>0</formula>
    </cfRule>
  </conditionalFormatting>
  <conditionalFormatting sqref="B56:C78">
    <cfRule type="cellIs" dxfId="186" priority="310" operator="lessThan">
      <formula>0</formula>
    </cfRule>
  </conditionalFormatting>
  <conditionalFormatting sqref="D3:D25">
    <cfRule type="cellIs" dxfId="185" priority="57" operator="lessThan">
      <formula>-0.5</formula>
    </cfRule>
    <cfRule type="cellIs" dxfId="184" priority="60" operator="greaterThan">
      <formula>0.1</formula>
    </cfRule>
    <cfRule type="cellIs" dxfId="183" priority="59" operator="lessThan">
      <formula>-0.1</formula>
    </cfRule>
    <cfRule type="cellIs" dxfId="182" priority="58" operator="greaterThan">
      <formula>0.5</formula>
    </cfRule>
    <cfRule type="containsBlanks" priority="56" stopIfTrue="1">
      <formula>LEN(TRIM(D3))=0</formula>
    </cfRule>
  </conditionalFormatting>
  <conditionalFormatting sqref="D30:D52">
    <cfRule type="cellIs" dxfId="181" priority="116" operator="lessThan">
      <formula>-0.1</formula>
    </cfRule>
    <cfRule type="cellIs" dxfId="180" priority="117" operator="greaterThan">
      <formula>0.1</formula>
    </cfRule>
    <cfRule type="cellIs" dxfId="179" priority="115" operator="greaterThan">
      <formula>0.5</formula>
    </cfRule>
    <cfRule type="cellIs" dxfId="178" priority="114" operator="lessThan">
      <formula>-0.5</formula>
    </cfRule>
    <cfRule type="containsBlanks" priority="113" stopIfTrue="1">
      <formula>LEN(TRIM(D30))=0</formula>
    </cfRule>
  </conditionalFormatting>
  <conditionalFormatting sqref="D56:D78">
    <cfRule type="cellIs" dxfId="177" priority="272" operator="lessThan">
      <formula>-0.5</formula>
    </cfRule>
    <cfRule type="cellIs" dxfId="176" priority="273" operator="greaterThan">
      <formula>0.5</formula>
    </cfRule>
    <cfRule type="cellIs" dxfId="175" priority="274" operator="lessThan">
      <formula>-0.1</formula>
    </cfRule>
    <cfRule type="cellIs" dxfId="174" priority="275" operator="greaterThan">
      <formula>0.1</formula>
    </cfRule>
    <cfRule type="containsBlanks" priority="271" stopIfTrue="1">
      <formula>LEN(TRIM(D56))=0</formula>
    </cfRule>
  </conditionalFormatting>
  <conditionalFormatting sqref="E3:F25">
    <cfRule type="cellIs" dxfId="173" priority="70" operator="lessThan">
      <formula>0</formula>
    </cfRule>
  </conditionalFormatting>
  <conditionalFormatting sqref="E30:F52">
    <cfRule type="cellIs" dxfId="172" priority="152" operator="lessThan">
      <formula>0</formula>
    </cfRule>
  </conditionalFormatting>
  <conditionalFormatting sqref="E56:F78">
    <cfRule type="cellIs" dxfId="171" priority="309" operator="lessThan">
      <formula>0</formula>
    </cfRule>
  </conditionalFormatting>
  <conditionalFormatting sqref="G3:G25">
    <cfRule type="cellIs" dxfId="170" priority="54" operator="lessThan">
      <formula>-0.1</formula>
    </cfRule>
    <cfRule type="cellIs" dxfId="169" priority="55" operator="greaterThan">
      <formula>0.1</formula>
    </cfRule>
    <cfRule type="containsBlanks" priority="51" stopIfTrue="1">
      <formula>LEN(TRIM(G3))=0</formula>
    </cfRule>
    <cfRule type="cellIs" dxfId="168" priority="53" operator="greaterThan">
      <formula>0.5</formula>
    </cfRule>
    <cfRule type="cellIs" dxfId="167" priority="52" operator="lessThan">
      <formula>-0.5</formula>
    </cfRule>
  </conditionalFormatting>
  <conditionalFormatting sqref="G30:G52">
    <cfRule type="containsBlanks" priority="118" stopIfTrue="1">
      <formula>LEN(TRIM(G30))=0</formula>
    </cfRule>
    <cfRule type="cellIs" dxfId="166" priority="119" operator="lessThan">
      <formula>-0.5</formula>
    </cfRule>
    <cfRule type="cellIs" dxfId="165" priority="120" operator="greaterThan">
      <formula>0.5</formula>
    </cfRule>
    <cfRule type="cellIs" dxfId="164" priority="121" operator="lessThan">
      <formula>-0.1</formula>
    </cfRule>
    <cfRule type="cellIs" dxfId="163" priority="122" operator="greaterThan">
      <formula>0.1</formula>
    </cfRule>
  </conditionalFormatting>
  <conditionalFormatting sqref="G56:G78">
    <cfRule type="containsBlanks" priority="276" stopIfTrue="1">
      <formula>LEN(TRIM(G56))=0</formula>
    </cfRule>
    <cfRule type="cellIs" dxfId="162" priority="280" operator="greaterThan">
      <formula>0.1</formula>
    </cfRule>
    <cfRule type="cellIs" dxfId="161" priority="279" operator="lessThan">
      <formula>-0.1</formula>
    </cfRule>
    <cfRule type="cellIs" dxfId="160" priority="278" operator="greaterThan">
      <formula>0.5</formula>
    </cfRule>
    <cfRule type="cellIs" dxfId="159" priority="277" operator="lessThan">
      <formula>-0.5</formula>
    </cfRule>
  </conditionalFormatting>
  <conditionalFormatting sqref="H3:I25">
    <cfRule type="cellIs" dxfId="158" priority="69" operator="lessThan">
      <formula>0</formula>
    </cfRule>
  </conditionalFormatting>
  <conditionalFormatting sqref="H30:I52">
    <cfRule type="cellIs" dxfId="157" priority="151" operator="lessThan">
      <formula>0</formula>
    </cfRule>
  </conditionalFormatting>
  <conditionalFormatting sqref="H56:I78">
    <cfRule type="cellIs" dxfId="156" priority="308" operator="lessThan">
      <formula>0</formula>
    </cfRule>
  </conditionalFormatting>
  <conditionalFormatting sqref="J3:J25">
    <cfRule type="cellIs" dxfId="155" priority="50" operator="greaterThan">
      <formula>0.1</formula>
    </cfRule>
    <cfRule type="containsBlanks" priority="46" stopIfTrue="1">
      <formula>LEN(TRIM(J3))=0</formula>
    </cfRule>
    <cfRule type="cellIs" dxfId="154" priority="47" operator="lessThan">
      <formula>-0.5</formula>
    </cfRule>
    <cfRule type="cellIs" dxfId="153" priority="49" operator="lessThan">
      <formula>-0.1</formula>
    </cfRule>
    <cfRule type="cellIs" dxfId="152" priority="48" operator="greaterThan">
      <formula>0.5</formula>
    </cfRule>
  </conditionalFormatting>
  <conditionalFormatting sqref="J30:J52">
    <cfRule type="cellIs" dxfId="151" priority="125" operator="greaterThan">
      <formula>0.5</formula>
    </cfRule>
    <cfRule type="cellIs" dxfId="150" priority="127" operator="greaterThan">
      <formula>0.1</formula>
    </cfRule>
    <cfRule type="containsBlanks" priority="123" stopIfTrue="1">
      <formula>LEN(TRIM(J30))=0</formula>
    </cfRule>
    <cfRule type="cellIs" dxfId="149" priority="124" operator="lessThan">
      <formula>-0.5</formula>
    </cfRule>
    <cfRule type="cellIs" dxfId="148" priority="126" operator="lessThan">
      <formula>-0.1</formula>
    </cfRule>
  </conditionalFormatting>
  <conditionalFormatting sqref="J56:J78">
    <cfRule type="cellIs" dxfId="147" priority="284" operator="lessThan">
      <formula>-0.1</formula>
    </cfRule>
    <cfRule type="cellIs" dxfId="146" priority="285" operator="greaterThan">
      <formula>0.1</formula>
    </cfRule>
    <cfRule type="cellIs" dxfId="145" priority="282" operator="lessThan">
      <formula>-0.5</formula>
    </cfRule>
    <cfRule type="cellIs" dxfId="144" priority="283" operator="greaterThan">
      <formula>0.5</formula>
    </cfRule>
    <cfRule type="containsBlanks" priority="281" stopIfTrue="1">
      <formula>LEN(TRIM(J56))=0</formula>
    </cfRule>
  </conditionalFormatting>
  <conditionalFormatting sqref="K3:L25">
    <cfRule type="cellIs" dxfId="143" priority="68" operator="lessThan">
      <formula>0</formula>
    </cfRule>
  </conditionalFormatting>
  <conditionalFormatting sqref="K30:L52">
    <cfRule type="cellIs" dxfId="142" priority="145" operator="lessThan">
      <formula>0</formula>
    </cfRule>
  </conditionalFormatting>
  <conditionalFormatting sqref="K56:L78">
    <cfRule type="cellIs" dxfId="141" priority="302" operator="lessThan">
      <formula>0</formula>
    </cfRule>
  </conditionalFormatting>
  <conditionalFormatting sqref="M3:M25">
    <cfRule type="cellIs" dxfId="140" priority="42" operator="lessThan">
      <formula>-0.5</formula>
    </cfRule>
    <cfRule type="cellIs" dxfId="139" priority="44" operator="lessThan">
      <formula>-0.1</formula>
    </cfRule>
    <cfRule type="cellIs" dxfId="138" priority="45" operator="greaterThan">
      <formula>0.1</formula>
    </cfRule>
    <cfRule type="cellIs" dxfId="137" priority="43" operator="greaterThan">
      <formula>0.5</formula>
    </cfRule>
    <cfRule type="containsBlanks" priority="41" stopIfTrue="1">
      <formula>LEN(TRIM(M3))=0</formula>
    </cfRule>
  </conditionalFormatting>
  <conditionalFormatting sqref="M30:M52">
    <cfRule type="containsBlanks" priority="128" stopIfTrue="1">
      <formula>LEN(TRIM(M30))=0</formula>
    </cfRule>
    <cfRule type="cellIs" dxfId="136" priority="132" operator="greaterThan">
      <formula>0.1</formula>
    </cfRule>
    <cfRule type="cellIs" dxfId="135" priority="130" operator="greaterThan">
      <formula>0.5</formula>
    </cfRule>
    <cfRule type="cellIs" dxfId="134" priority="131" operator="lessThan">
      <formula>-0.1</formula>
    </cfRule>
    <cfRule type="cellIs" dxfId="133" priority="129" operator="lessThan">
      <formula>-0.5</formula>
    </cfRule>
  </conditionalFormatting>
  <conditionalFormatting sqref="M56:M78">
    <cfRule type="cellIs" dxfId="132" priority="288" operator="greaterThan">
      <formula>0.5</formula>
    </cfRule>
    <cfRule type="cellIs" dxfId="131" priority="289" operator="lessThan">
      <formula>-0.1</formula>
    </cfRule>
    <cfRule type="containsBlanks" priority="286" stopIfTrue="1">
      <formula>LEN(TRIM(M56))=0</formula>
    </cfRule>
    <cfRule type="cellIs" dxfId="130" priority="290" operator="greaterThan">
      <formula>0.1</formula>
    </cfRule>
    <cfRule type="cellIs" dxfId="129" priority="287" operator="lessThan">
      <formula>-0.5</formula>
    </cfRule>
  </conditionalFormatting>
  <conditionalFormatting sqref="N3:O25">
    <cfRule type="cellIs" dxfId="128" priority="67" operator="lessThan">
      <formula>0</formula>
    </cfRule>
  </conditionalFormatting>
  <conditionalFormatting sqref="N30:O52">
    <cfRule type="cellIs" dxfId="127" priority="144" operator="lessThan">
      <formula>0</formula>
    </cfRule>
  </conditionalFormatting>
  <conditionalFormatting sqref="N56:O78">
    <cfRule type="cellIs" dxfId="126" priority="301" operator="lessThan">
      <formula>0</formula>
    </cfRule>
  </conditionalFormatting>
  <conditionalFormatting sqref="P3:P25">
    <cfRule type="containsBlanks" priority="36" stopIfTrue="1">
      <formula>LEN(TRIM(P3))=0</formula>
    </cfRule>
    <cfRule type="cellIs" dxfId="125" priority="38" operator="greaterThan">
      <formula>0.5</formula>
    </cfRule>
    <cfRule type="cellIs" dxfId="124" priority="37" operator="lessThan">
      <formula>-0.5</formula>
    </cfRule>
    <cfRule type="cellIs" dxfId="123" priority="40" operator="greaterThan">
      <formula>0.1</formula>
    </cfRule>
    <cfRule type="cellIs" dxfId="122" priority="39" operator="lessThan">
      <formula>-0.1</formula>
    </cfRule>
  </conditionalFormatting>
  <conditionalFormatting sqref="P30:P52">
    <cfRule type="cellIs" dxfId="121" priority="137" operator="greaterThan">
      <formula>0.1</formula>
    </cfRule>
    <cfRule type="cellIs" dxfId="120" priority="136" operator="lessThan">
      <formula>-0.1</formula>
    </cfRule>
    <cfRule type="cellIs" dxfId="119" priority="134" operator="lessThan">
      <formula>-0.5</formula>
    </cfRule>
    <cfRule type="containsBlanks" priority="133" stopIfTrue="1">
      <formula>LEN(TRIM(P30))=0</formula>
    </cfRule>
    <cfRule type="cellIs" dxfId="118" priority="135" operator="greaterThan">
      <formula>0.5</formula>
    </cfRule>
  </conditionalFormatting>
  <conditionalFormatting sqref="P56:P78">
    <cfRule type="cellIs" dxfId="117" priority="292" operator="lessThan">
      <formula>-0.5</formula>
    </cfRule>
    <cfRule type="cellIs" dxfId="116" priority="293" operator="greaterThan">
      <formula>0.5</formula>
    </cfRule>
    <cfRule type="cellIs" dxfId="115" priority="295" operator="greaterThan">
      <formula>0.1</formula>
    </cfRule>
    <cfRule type="containsBlanks" priority="291" stopIfTrue="1">
      <formula>LEN(TRIM(P56))=0</formula>
    </cfRule>
    <cfRule type="cellIs" dxfId="114" priority="294" operator="lessThan">
      <formula>-0.1</formula>
    </cfRule>
  </conditionalFormatting>
  <conditionalFormatting sqref="Q3:R25">
    <cfRule type="cellIs" dxfId="113" priority="66" operator="lessThan">
      <formula>0</formula>
    </cfRule>
  </conditionalFormatting>
  <conditionalFormatting sqref="Q30:R52">
    <cfRule type="cellIs" dxfId="112" priority="143" operator="lessThan">
      <formula>0</formula>
    </cfRule>
  </conditionalFormatting>
  <conditionalFormatting sqref="Q56:R78">
    <cfRule type="cellIs" dxfId="111" priority="300" operator="lessThan">
      <formula>0</formula>
    </cfRule>
  </conditionalFormatting>
  <conditionalFormatting sqref="S3:S25">
    <cfRule type="containsBlanks" priority="31" stopIfTrue="1">
      <formula>LEN(TRIM(S3))=0</formula>
    </cfRule>
    <cfRule type="cellIs" dxfId="110" priority="35" operator="greaterThan">
      <formula>0.1</formula>
    </cfRule>
    <cfRule type="cellIs" dxfId="109" priority="34" operator="lessThan">
      <formula>-0.1</formula>
    </cfRule>
    <cfRule type="cellIs" dxfId="108" priority="33" operator="greaterThan">
      <formula>0.5</formula>
    </cfRule>
    <cfRule type="cellIs" dxfId="107" priority="32" operator="lessThan">
      <formula>-0.5</formula>
    </cfRule>
  </conditionalFormatting>
  <conditionalFormatting sqref="S30:S52">
    <cfRule type="cellIs" dxfId="106" priority="147" operator="lessThan">
      <formula>-0.5</formula>
    </cfRule>
    <cfRule type="containsBlanks" priority="146" stopIfTrue="1">
      <formula>LEN(TRIM(S30))=0</formula>
    </cfRule>
    <cfRule type="cellIs" dxfId="105" priority="150" operator="greaterThan">
      <formula>0.1</formula>
    </cfRule>
    <cfRule type="cellIs" dxfId="104" priority="149" operator="lessThan">
      <formula>-0.1</formula>
    </cfRule>
    <cfRule type="cellIs" dxfId="103" priority="148" operator="greaterThan">
      <formula>0.5</formula>
    </cfRule>
  </conditionalFormatting>
  <conditionalFormatting sqref="S56:S78">
    <cfRule type="containsBlanks" priority="303" stopIfTrue="1">
      <formula>LEN(TRIM(S56))=0</formula>
    </cfRule>
    <cfRule type="cellIs" dxfId="102" priority="304" operator="lessThan">
      <formula>-0.5</formula>
    </cfRule>
    <cfRule type="cellIs" dxfId="101" priority="305" operator="greaterThan">
      <formula>0.5</formula>
    </cfRule>
    <cfRule type="cellIs" dxfId="100" priority="306" operator="lessThan">
      <formula>-0.1</formula>
    </cfRule>
    <cfRule type="cellIs" dxfId="99" priority="307" operator="greaterThan">
      <formula>0.1</formula>
    </cfRule>
  </conditionalFormatting>
  <conditionalFormatting sqref="T3:U25">
    <cfRule type="cellIs" dxfId="98" priority="65" operator="lessThan">
      <formula>0</formula>
    </cfRule>
  </conditionalFormatting>
  <conditionalFormatting sqref="T30:U52">
    <cfRule type="cellIs" dxfId="97" priority="72" operator="lessThan">
      <formula>0</formula>
    </cfRule>
  </conditionalFormatting>
  <conditionalFormatting sqref="T56:U78">
    <cfRule type="cellIs" dxfId="96" priority="299" operator="lessThan">
      <formula>0</formula>
    </cfRule>
  </conditionalFormatting>
  <conditionalFormatting sqref="V3:V25">
    <cfRule type="cellIs" dxfId="95" priority="27" operator="lessThan">
      <formula>-0.5</formula>
    </cfRule>
    <cfRule type="cellIs" dxfId="94" priority="28" operator="greaterThan">
      <formula>0.5</formula>
    </cfRule>
    <cfRule type="cellIs" dxfId="93" priority="30" operator="greaterThan">
      <formula>0.1</formula>
    </cfRule>
    <cfRule type="cellIs" dxfId="92" priority="29" operator="lessThan">
      <formula>-0.1</formula>
    </cfRule>
    <cfRule type="containsBlanks" priority="26" stopIfTrue="1">
      <formula>LEN(TRIM(V3))=0</formula>
    </cfRule>
  </conditionalFormatting>
  <conditionalFormatting sqref="V30:V52">
    <cfRule type="cellIs" dxfId="91" priority="111" operator="lessThan">
      <formula>-0.1</formula>
    </cfRule>
    <cfRule type="cellIs" dxfId="90" priority="110" operator="greaterThan">
      <formula>0.5</formula>
    </cfRule>
    <cfRule type="cellIs" dxfId="89" priority="109" operator="lessThan">
      <formula>-0.5</formula>
    </cfRule>
    <cfRule type="containsBlanks" priority="108" stopIfTrue="1">
      <formula>LEN(TRIM(V30))=0</formula>
    </cfRule>
    <cfRule type="cellIs" dxfId="88" priority="112" operator="greaterThan">
      <formula>0.1</formula>
    </cfRule>
  </conditionalFormatting>
  <conditionalFormatting sqref="V56:V78">
    <cfRule type="cellIs" dxfId="87" priority="269" operator="lessThan">
      <formula>-0.1</formula>
    </cfRule>
    <cfRule type="cellIs" dxfId="86" priority="268" operator="greaterThan">
      <formula>0.5</formula>
    </cfRule>
    <cfRule type="cellIs" dxfId="85" priority="267" operator="lessThan">
      <formula>-0.5</formula>
    </cfRule>
    <cfRule type="containsBlanks" priority="266" stopIfTrue="1">
      <formula>LEN(TRIM(V56))=0</formula>
    </cfRule>
    <cfRule type="cellIs" dxfId="84" priority="270" operator="greaterThan">
      <formula>0.1</formula>
    </cfRule>
  </conditionalFormatting>
  <conditionalFormatting sqref="W3:X25">
    <cfRule type="cellIs" dxfId="83" priority="64" operator="lessThan">
      <formula>0</formula>
    </cfRule>
  </conditionalFormatting>
  <conditionalFormatting sqref="W30:X52">
    <cfRule type="cellIs" dxfId="82" priority="141" operator="lessThan">
      <formula>0</formula>
    </cfRule>
  </conditionalFormatting>
  <conditionalFormatting sqref="Y3:Y25">
    <cfRule type="cellIs" dxfId="81" priority="23" operator="greaterThan">
      <formula>0.5</formula>
    </cfRule>
    <cfRule type="cellIs" dxfId="80" priority="22" operator="lessThan">
      <formula>-0.5</formula>
    </cfRule>
    <cfRule type="cellIs" dxfId="79" priority="25" operator="greaterThan">
      <formula>0.1</formula>
    </cfRule>
    <cfRule type="cellIs" dxfId="78" priority="24" operator="lessThan">
      <formula>-0.1</formula>
    </cfRule>
    <cfRule type="containsBlanks" priority="21" stopIfTrue="1">
      <formula>LEN(TRIM(Y3))=0</formula>
    </cfRule>
  </conditionalFormatting>
  <conditionalFormatting sqref="Y30:Y52">
    <cfRule type="cellIs" dxfId="77" priority="107" operator="greaterThan">
      <formula>0.1</formula>
    </cfRule>
    <cfRule type="cellIs" dxfId="76" priority="106" operator="lessThan">
      <formula>-0.1</formula>
    </cfRule>
    <cfRule type="cellIs" dxfId="75" priority="105" operator="greaterThan">
      <formula>0.5</formula>
    </cfRule>
    <cfRule type="cellIs" dxfId="74" priority="104" operator="lessThan">
      <formula>-0.5</formula>
    </cfRule>
    <cfRule type="containsBlanks" priority="103" stopIfTrue="1">
      <formula>LEN(TRIM(Y30))=0</formula>
    </cfRule>
  </conditionalFormatting>
  <conditionalFormatting sqref="Y56:Y78">
    <cfRule type="containsBlanks" priority="241" stopIfTrue="1">
      <formula>LEN(TRIM(Y56))=0</formula>
    </cfRule>
    <cfRule type="cellIs" dxfId="73" priority="243" operator="greaterThan">
      <formula>0.5</formula>
    </cfRule>
    <cfRule type="cellIs" dxfId="72" priority="244" operator="lessThan">
      <formula>-0.1</formula>
    </cfRule>
    <cfRule type="cellIs" dxfId="71" priority="242" operator="lessThan">
      <formula>-0.5</formula>
    </cfRule>
    <cfRule type="cellIs" dxfId="70" priority="245" operator="greaterThan">
      <formula>0.1</formula>
    </cfRule>
  </conditionalFormatting>
  <conditionalFormatting sqref="Z3:AA25">
    <cfRule type="cellIs" dxfId="69" priority="63" operator="lessThan">
      <formula>0</formula>
    </cfRule>
  </conditionalFormatting>
  <conditionalFormatting sqref="Z30:AA52">
    <cfRule type="cellIs" dxfId="68" priority="140" operator="lessThan">
      <formula>0</formula>
    </cfRule>
  </conditionalFormatting>
  <conditionalFormatting sqref="AB3:AB25">
    <cfRule type="cellIs" dxfId="67" priority="18" operator="greaterThan">
      <formula>0.5</formula>
    </cfRule>
    <cfRule type="cellIs" dxfId="66" priority="19" operator="lessThan">
      <formula>-0.1</formula>
    </cfRule>
    <cfRule type="cellIs" dxfId="65" priority="20" operator="greaterThan">
      <formula>0.1</formula>
    </cfRule>
    <cfRule type="containsBlanks" priority="16" stopIfTrue="1">
      <formula>LEN(TRIM(AB3))=0</formula>
    </cfRule>
    <cfRule type="cellIs" dxfId="64" priority="17" operator="lessThan">
      <formula>-0.5</formula>
    </cfRule>
  </conditionalFormatting>
  <conditionalFormatting sqref="AB30:AB52">
    <cfRule type="cellIs" dxfId="63" priority="102" operator="greaterThan">
      <formula>0.1</formula>
    </cfRule>
    <cfRule type="cellIs" dxfId="62" priority="101" operator="lessThan">
      <formula>-0.1</formula>
    </cfRule>
    <cfRule type="cellIs" dxfId="61" priority="100" operator="greaterThan">
      <formula>0.5</formula>
    </cfRule>
    <cfRule type="containsBlanks" priority="98" stopIfTrue="1">
      <formula>LEN(TRIM(AB30))=0</formula>
    </cfRule>
    <cfRule type="cellIs" dxfId="60" priority="99" operator="lessThan">
      <formula>-0.5</formula>
    </cfRule>
  </conditionalFormatting>
  <conditionalFormatting sqref="AB56:AB78">
    <cfRule type="containsBlanks" priority="236" stopIfTrue="1">
      <formula>LEN(TRIM(AB56))=0</formula>
    </cfRule>
    <cfRule type="cellIs" dxfId="59" priority="237" operator="lessThan">
      <formula>-0.5</formula>
    </cfRule>
    <cfRule type="cellIs" dxfId="58" priority="238" operator="greaterThan">
      <formula>0.5</formula>
    </cfRule>
    <cfRule type="cellIs" dxfId="57" priority="240" operator="greaterThan">
      <formula>0.1</formula>
    </cfRule>
    <cfRule type="cellIs" dxfId="56" priority="239" operator="lessThan">
      <formula>-0.1</formula>
    </cfRule>
  </conditionalFormatting>
  <conditionalFormatting sqref="AC3:AD25">
    <cfRule type="cellIs" dxfId="55" priority="62" operator="lessThan">
      <formula>0</formula>
    </cfRule>
  </conditionalFormatting>
  <conditionalFormatting sqref="AC30:AD52">
    <cfRule type="cellIs" dxfId="54" priority="139" operator="lessThan">
      <formula>0</formula>
    </cfRule>
  </conditionalFormatting>
  <conditionalFormatting sqref="AD56:AD78">
    <cfRule type="cellIs" dxfId="53" priority="457" operator="lessThan">
      <formula>0</formula>
    </cfRule>
  </conditionalFormatting>
  <conditionalFormatting sqref="AE3:AE25">
    <cfRule type="cellIs" dxfId="52" priority="14" operator="lessThan">
      <formula>-0.1</formula>
    </cfRule>
    <cfRule type="cellIs" dxfId="51" priority="13" operator="greaterThan">
      <formula>0.5</formula>
    </cfRule>
    <cfRule type="cellIs" dxfId="50" priority="12" operator="lessThan">
      <formula>-0.5</formula>
    </cfRule>
    <cfRule type="cellIs" dxfId="49" priority="15" operator="greaterThan">
      <formula>0.1</formula>
    </cfRule>
    <cfRule type="containsBlanks" priority="11" stopIfTrue="1">
      <formula>LEN(TRIM(AE3))=0</formula>
    </cfRule>
  </conditionalFormatting>
  <conditionalFormatting sqref="AE30:AE52">
    <cfRule type="cellIs" dxfId="48" priority="96" operator="lessThan">
      <formula>-0.1</formula>
    </cfRule>
    <cfRule type="cellIs" dxfId="47" priority="95" operator="greaterThan">
      <formula>0.5</formula>
    </cfRule>
    <cfRule type="cellIs" dxfId="46" priority="94" operator="lessThan">
      <formula>-0.5</formula>
    </cfRule>
    <cfRule type="containsBlanks" priority="93" stopIfTrue="1">
      <formula>LEN(TRIM(AE30))=0</formula>
    </cfRule>
    <cfRule type="cellIs" dxfId="45" priority="97" operator="greaterThan">
      <formula>0.1</formula>
    </cfRule>
  </conditionalFormatting>
  <conditionalFormatting sqref="AE56:AE78">
    <cfRule type="containsBlanks" priority="1" stopIfTrue="1">
      <formula>LEN(TRIM(AE56))=0</formula>
    </cfRule>
    <cfRule type="cellIs" dxfId="44" priority="5" operator="greaterThan">
      <formula>0.1</formula>
    </cfRule>
    <cfRule type="cellIs" dxfId="43" priority="4" operator="lessThan">
      <formula>-0.1</formula>
    </cfRule>
    <cfRule type="cellIs" dxfId="42" priority="3" operator="greaterThan">
      <formula>0.5</formula>
    </cfRule>
    <cfRule type="cellIs" dxfId="41" priority="2" operator="lessThan">
      <formula>-0.5</formula>
    </cfRule>
  </conditionalFormatting>
  <conditionalFormatting sqref="AF3:AG25">
    <cfRule type="cellIs" dxfId="40" priority="61" operator="lessThan">
      <formula>0</formula>
    </cfRule>
  </conditionalFormatting>
  <conditionalFormatting sqref="AF30:AG52">
    <cfRule type="cellIs" dxfId="39" priority="138" operator="lessThan">
      <formula>0</formula>
    </cfRule>
  </conditionalFormatting>
  <conditionalFormatting sqref="AF56:AG78">
    <cfRule type="cellIs" dxfId="38" priority="298" operator="lessThan">
      <formula>0</formula>
    </cfRule>
  </conditionalFormatting>
  <conditionalFormatting sqref="AH3:AH25">
    <cfRule type="containsBlanks" priority="6" stopIfTrue="1">
      <formula>LEN(TRIM(AH3))=0</formula>
    </cfRule>
    <cfRule type="cellIs" dxfId="37" priority="8" operator="greaterThan">
      <formula>0.5</formula>
    </cfRule>
    <cfRule type="cellIs" dxfId="36" priority="9" operator="lessThan">
      <formula>-0.1</formula>
    </cfRule>
    <cfRule type="cellIs" dxfId="35" priority="10" operator="greaterThan">
      <formula>0.1</formula>
    </cfRule>
    <cfRule type="cellIs" dxfId="34" priority="7" operator="lessThan">
      <formula>-0.5</formula>
    </cfRule>
  </conditionalFormatting>
  <conditionalFormatting sqref="AH30:AH52">
    <cfRule type="cellIs" dxfId="33" priority="91" operator="lessThan">
      <formula>-0.1</formula>
    </cfRule>
    <cfRule type="cellIs" dxfId="32" priority="90" operator="greaterThan">
      <formula>0.5</formula>
    </cfRule>
    <cfRule type="cellIs" dxfId="31" priority="89" operator="lessThan">
      <formula>-0.5</formula>
    </cfRule>
    <cfRule type="containsBlanks" priority="88" stopIfTrue="1">
      <formula>LEN(TRIM(AH30))=0</formula>
    </cfRule>
    <cfRule type="cellIs" dxfId="30" priority="92" operator="greaterThan">
      <formula>0.1</formula>
    </cfRule>
  </conditionalFormatting>
  <conditionalFormatting sqref="AH56:AH78">
    <cfRule type="cellIs" dxfId="29" priority="263" operator="greaterThan">
      <formula>0.5</formula>
    </cfRule>
    <cfRule type="containsBlanks" priority="261" stopIfTrue="1">
      <formula>LEN(TRIM(AH56))=0</formula>
    </cfRule>
    <cfRule type="cellIs" dxfId="28" priority="262" operator="lessThan">
      <formula>-0.5</formula>
    </cfRule>
    <cfRule type="cellIs" dxfId="27" priority="264" operator="lessThan">
      <formula>-0.1</formula>
    </cfRule>
    <cfRule type="cellIs" dxfId="26" priority="265" operator="greaterThan">
      <formula>0.1</formula>
    </cfRule>
  </conditionalFormatting>
  <conditionalFormatting sqref="AI56:AJ78">
    <cfRule type="cellIs" dxfId="25" priority="297" operator="lessThan">
      <formula>0</formula>
    </cfRule>
  </conditionalFormatting>
  <conditionalFormatting sqref="AK30:AK52">
    <cfRule type="cellIs" dxfId="24" priority="84" operator="lessThan">
      <formula>-0.5</formula>
    </cfRule>
    <cfRule type="containsBlanks" priority="83" stopIfTrue="1">
      <formula>LEN(TRIM(AK30))=0</formula>
    </cfRule>
    <cfRule type="cellIs" dxfId="23" priority="87" operator="greaterThan">
      <formula>0.1</formula>
    </cfRule>
    <cfRule type="cellIs" dxfId="22" priority="85" operator="greaterThan">
      <formula>0.5</formula>
    </cfRule>
    <cfRule type="cellIs" dxfId="21" priority="86" operator="lessThan">
      <formula>-0.1</formula>
    </cfRule>
  </conditionalFormatting>
  <conditionalFormatting sqref="AK56:AK78">
    <cfRule type="cellIs" dxfId="20" priority="259" operator="lessThan">
      <formula>-0.1</formula>
    </cfRule>
    <cfRule type="cellIs" dxfId="19" priority="260" operator="greaterThan">
      <formula>0.1</formula>
    </cfRule>
    <cfRule type="containsBlanks" priority="256" stopIfTrue="1">
      <formula>LEN(TRIM(AK56))=0</formula>
    </cfRule>
    <cfRule type="cellIs" dxfId="18" priority="257" operator="lessThan">
      <formula>-0.5</formula>
    </cfRule>
    <cfRule type="cellIs" dxfId="17" priority="258" operator="greaterThan">
      <formula>0.5</formula>
    </cfRule>
  </conditionalFormatting>
  <conditionalFormatting sqref="AL56:AM78">
    <cfRule type="cellIs" dxfId="16" priority="296" operator="lessThan">
      <formula>0</formula>
    </cfRule>
  </conditionalFormatting>
  <conditionalFormatting sqref="AN30:AN52">
    <cfRule type="containsBlanks" priority="78" stopIfTrue="1">
      <formula>LEN(TRIM(AN30))=0</formula>
    </cfRule>
    <cfRule type="cellIs" dxfId="15" priority="79" operator="lessThan">
      <formula>-0.5</formula>
    </cfRule>
    <cfRule type="cellIs" dxfId="14" priority="80" operator="greaterThan">
      <formula>0.5</formula>
    </cfRule>
    <cfRule type="cellIs" dxfId="13" priority="81" operator="lessThan">
      <formula>-0.1</formula>
    </cfRule>
    <cfRule type="cellIs" dxfId="12" priority="82" operator="greaterThan">
      <formula>0.1</formula>
    </cfRule>
  </conditionalFormatting>
  <conditionalFormatting sqref="AN56:AN78">
    <cfRule type="containsBlanks" priority="251" stopIfTrue="1">
      <formula>LEN(TRIM(AN56))=0</formula>
    </cfRule>
    <cfRule type="cellIs" dxfId="11" priority="252" operator="lessThan">
      <formula>-0.5</formula>
    </cfRule>
    <cfRule type="cellIs" dxfId="10" priority="253" operator="greaterThan">
      <formula>0.5</formula>
    </cfRule>
    <cfRule type="cellIs" dxfId="9" priority="254" operator="lessThan">
      <formula>-0.1</formula>
    </cfRule>
    <cfRule type="cellIs" dxfId="8" priority="255" operator="greaterThan">
      <formula>0.1</formula>
    </cfRule>
  </conditionalFormatting>
  <conditionalFormatting sqref="AQ30:AQ52">
    <cfRule type="containsBlanks" priority="73" stopIfTrue="1">
      <formula>LEN(TRIM(AQ30))=0</formula>
    </cfRule>
    <cfRule type="cellIs" dxfId="7" priority="74" operator="lessThan">
      <formula>-0.5</formula>
    </cfRule>
    <cfRule type="cellIs" dxfId="6" priority="75" operator="greaterThan">
      <formula>0.5</formula>
    </cfRule>
    <cfRule type="cellIs" dxfId="5" priority="76" operator="lessThan">
      <formula>-0.1</formula>
    </cfRule>
    <cfRule type="cellIs" dxfId="4" priority="77" operator="greaterThan">
      <formula>0.1</formula>
    </cfRule>
  </conditionalFormatting>
  <conditionalFormatting sqref="AQ56:AQ78">
    <cfRule type="cellIs" dxfId="3" priority="249" operator="lessThan">
      <formula>-0.1</formula>
    </cfRule>
    <cfRule type="cellIs" dxfId="2" priority="250" operator="greaterThan">
      <formula>0.1</formula>
    </cfRule>
    <cfRule type="cellIs" dxfId="1" priority="247" operator="lessThan">
      <formula>-0.5</formula>
    </cfRule>
    <cfRule type="cellIs" dxfId="0" priority="248" operator="greaterThan">
      <formula>0.5</formula>
    </cfRule>
    <cfRule type="containsBlanks" priority="246" stopIfTrue="1">
      <formula>LEN(TRIM(AQ56))=0</formula>
    </cfRule>
  </conditionalFormatting>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tabColor rgb="FF66FFFF"/>
    <pageSetUpPr fitToPage="1"/>
  </sheetPr>
  <dimension ref="A1:D158"/>
  <sheetViews>
    <sheetView workbookViewId="0"/>
  </sheetViews>
  <sheetFormatPr baseColWidth="10" defaultColWidth="11.44140625" defaultRowHeight="13.2" x14ac:dyDescent="0.25"/>
  <cols>
    <col min="1" max="1" width="135.88671875" style="669" customWidth="1"/>
    <col min="2" max="11" width="12.109375" style="669" customWidth="1"/>
    <col min="12" max="16384" width="11.44140625" style="669"/>
  </cols>
  <sheetData>
    <row r="1" spans="1:4" ht="12" customHeight="1" thickBot="1" x14ac:dyDescent="0.3">
      <c r="A1" s="3533"/>
    </row>
    <row r="2" spans="1:4" ht="33" customHeight="1" x14ac:dyDescent="0.25">
      <c r="A2" s="3534" t="s">
        <v>1778</v>
      </c>
    </row>
    <row r="3" spans="1:4" ht="10.5" customHeight="1" thickBot="1" x14ac:dyDescent="0.3">
      <c r="A3" s="3535"/>
    </row>
    <row r="4" spans="1:4" ht="16.5" customHeight="1" x14ac:dyDescent="0.35">
      <c r="A4" s="3536"/>
    </row>
    <row r="5" spans="1:4" ht="20.100000000000001" customHeight="1" x14ac:dyDescent="0.35">
      <c r="A5" s="3536" t="s">
        <v>1779</v>
      </c>
    </row>
    <row r="6" spans="1:4" ht="9.75" customHeight="1" x14ac:dyDescent="0.25">
      <c r="A6" s="670"/>
    </row>
    <row r="7" spans="1:4" ht="20.100000000000001" customHeight="1" x14ac:dyDescent="0.35">
      <c r="A7" s="3536" t="s">
        <v>1780</v>
      </c>
    </row>
    <row r="8" spans="1:4" ht="20.100000000000001" customHeight="1" x14ac:dyDescent="0.35">
      <c r="A8" s="3536" t="s">
        <v>1781</v>
      </c>
      <c r="C8" s="3842"/>
      <c r="D8" s="3843"/>
    </row>
    <row r="9" spans="1:4" ht="20.100000000000001" customHeight="1" x14ac:dyDescent="0.35">
      <c r="A9" s="3536" t="s">
        <v>1782</v>
      </c>
      <c r="B9" s="671"/>
      <c r="C9" s="671"/>
      <c r="D9" s="671"/>
    </row>
    <row r="10" spans="1:4" ht="20.100000000000001" customHeight="1" x14ac:dyDescent="0.35">
      <c r="A10" s="3536" t="s">
        <v>1783</v>
      </c>
    </row>
    <row r="11" spans="1:4" ht="10.5" customHeight="1" x14ac:dyDescent="0.25">
      <c r="A11" s="670"/>
    </row>
    <row r="12" spans="1:4" ht="20.100000000000001" customHeight="1" x14ac:dyDescent="0.35">
      <c r="A12" s="3536" t="s">
        <v>1784</v>
      </c>
    </row>
    <row r="13" spans="1:4" ht="20.100000000000001" customHeight="1" x14ac:dyDescent="0.35">
      <c r="A13" s="3536" t="s">
        <v>1785</v>
      </c>
    </row>
    <row r="14" spans="1:4" ht="20.100000000000001" customHeight="1" x14ac:dyDescent="0.35">
      <c r="A14" s="3537" t="s">
        <v>1786</v>
      </c>
    </row>
    <row r="15" spans="1:4" ht="9" customHeight="1" x14ac:dyDescent="0.25">
      <c r="A15" s="3539"/>
    </row>
    <row r="16" spans="1:4" ht="20.100000000000001" customHeight="1" x14ac:dyDescent="0.35">
      <c r="A16" s="3538" t="s">
        <v>1787</v>
      </c>
    </row>
    <row r="17" spans="1:1" ht="20.100000000000001" customHeight="1" x14ac:dyDescent="0.35">
      <c r="A17" s="3536" t="s">
        <v>1788</v>
      </c>
    </row>
    <row r="18" spans="1:1" ht="9.75" customHeight="1" x14ac:dyDescent="0.25">
      <c r="A18" s="670"/>
    </row>
    <row r="19" spans="1:1" ht="20.100000000000001" customHeight="1" x14ac:dyDescent="0.35">
      <c r="A19" s="3536" t="s">
        <v>1789</v>
      </c>
    </row>
    <row r="20" spans="1:1" ht="20.100000000000001" customHeight="1" x14ac:dyDescent="0.35">
      <c r="A20" s="3536" t="s">
        <v>1790</v>
      </c>
    </row>
    <row r="21" spans="1:1" ht="20.100000000000001" customHeight="1" x14ac:dyDescent="0.35">
      <c r="A21" s="3536" t="s">
        <v>1791</v>
      </c>
    </row>
    <row r="22" spans="1:1" ht="20.100000000000001" customHeight="1" x14ac:dyDescent="0.35">
      <c r="A22" s="3536" t="s">
        <v>1792</v>
      </c>
    </row>
    <row r="23" spans="1:1" ht="20.100000000000001" customHeight="1" x14ac:dyDescent="0.35">
      <c r="A23" s="3536" t="s">
        <v>1793</v>
      </c>
    </row>
    <row r="24" spans="1:1" ht="20.100000000000001" customHeight="1" x14ac:dyDescent="0.35">
      <c r="A24" s="3536" t="s">
        <v>1794</v>
      </c>
    </row>
    <row r="25" spans="1:1" ht="9.75" customHeight="1" thickBot="1" x14ac:dyDescent="0.3">
      <c r="A25" s="670"/>
    </row>
    <row r="26" spans="1:1" ht="13.5" customHeight="1" x14ac:dyDescent="0.3">
      <c r="A26" s="3541" t="s">
        <v>1624</v>
      </c>
    </row>
    <row r="27" spans="1:1" ht="13.8" x14ac:dyDescent="0.3">
      <c r="A27" s="3542" t="s">
        <v>1625</v>
      </c>
    </row>
    <row r="28" spans="1:1" ht="13.5" customHeight="1" x14ac:dyDescent="0.3">
      <c r="A28" s="3540" t="s">
        <v>1754</v>
      </c>
    </row>
    <row r="29" spans="1:1" ht="16.5" customHeight="1" x14ac:dyDescent="0.3">
      <c r="A29" s="3728" t="s">
        <v>1776</v>
      </c>
    </row>
    <row r="30" spans="1:1" ht="19.5" customHeight="1" x14ac:dyDescent="0.25"/>
    <row r="31" spans="1:1" ht="19.5" customHeight="1" x14ac:dyDescent="0.25"/>
    <row r="32" spans="1:1" ht="19.5" customHeight="1" x14ac:dyDescent="0.25"/>
    <row r="33" ht="19.5" customHeight="1" x14ac:dyDescent="0.25"/>
    <row r="34" ht="19.5" customHeight="1" x14ac:dyDescent="0.25"/>
    <row r="35" ht="19.5" customHeight="1" x14ac:dyDescent="0.25"/>
    <row r="36" ht="19.5" customHeight="1" x14ac:dyDescent="0.25"/>
    <row r="37" ht="19.5" customHeight="1" x14ac:dyDescent="0.25"/>
    <row r="38" ht="19.5" customHeight="1" x14ac:dyDescent="0.25"/>
    <row r="39" ht="19.5" customHeight="1" x14ac:dyDescent="0.25"/>
    <row r="40" ht="19.5" customHeight="1" x14ac:dyDescent="0.25"/>
    <row r="41" ht="19.5" customHeight="1" x14ac:dyDescent="0.25"/>
    <row r="42" ht="19.5" customHeight="1" x14ac:dyDescent="0.25"/>
    <row r="43" ht="19.5" customHeight="1" x14ac:dyDescent="0.25"/>
    <row r="44" ht="19.5" customHeight="1" x14ac:dyDescent="0.25"/>
    <row r="45" ht="19.5" customHeight="1" x14ac:dyDescent="0.25"/>
    <row r="46" ht="19.5" customHeight="1" x14ac:dyDescent="0.25"/>
    <row r="47" ht="19.5" customHeight="1" x14ac:dyDescent="0.25"/>
    <row r="48" ht="19.5" customHeight="1" x14ac:dyDescent="0.25"/>
    <row r="49" ht="19.5" customHeight="1" x14ac:dyDescent="0.25"/>
    <row r="50" ht="19.5" customHeight="1" x14ac:dyDescent="0.25"/>
    <row r="51" ht="19.5" customHeight="1" x14ac:dyDescent="0.25"/>
    <row r="52" ht="19.5" customHeight="1" x14ac:dyDescent="0.25"/>
    <row r="53" ht="19.5" customHeight="1" x14ac:dyDescent="0.25"/>
    <row r="54" ht="19.5" customHeight="1" x14ac:dyDescent="0.25"/>
    <row r="55" ht="19.5" customHeight="1" x14ac:dyDescent="0.25"/>
    <row r="56" ht="19.5" customHeight="1" x14ac:dyDescent="0.25"/>
    <row r="57" ht="19.5" customHeight="1" x14ac:dyDescent="0.25"/>
    <row r="58" ht="19.5" customHeight="1" x14ac:dyDescent="0.25"/>
    <row r="59" ht="19.5" customHeight="1" x14ac:dyDescent="0.25"/>
    <row r="60" ht="19.5" customHeight="1" x14ac:dyDescent="0.25"/>
    <row r="61" ht="19.5" customHeight="1" x14ac:dyDescent="0.25"/>
    <row r="62" ht="19.5" customHeight="1" x14ac:dyDescent="0.25"/>
    <row r="63" ht="19.5" customHeight="1" x14ac:dyDescent="0.25"/>
    <row r="64" ht="19.5" customHeight="1" x14ac:dyDescent="0.25"/>
    <row r="65" ht="19.5" customHeight="1" x14ac:dyDescent="0.25"/>
    <row r="66" ht="19.5" customHeight="1" x14ac:dyDescent="0.25"/>
    <row r="67" ht="19.5" customHeight="1" x14ac:dyDescent="0.25"/>
    <row r="68" ht="19.5" customHeight="1" x14ac:dyDescent="0.25"/>
    <row r="69" ht="19.5" customHeight="1" x14ac:dyDescent="0.25"/>
    <row r="70" ht="19.5" customHeight="1" x14ac:dyDescent="0.25"/>
    <row r="71" ht="19.5" customHeight="1" x14ac:dyDescent="0.25"/>
    <row r="72" ht="19.5" customHeight="1" x14ac:dyDescent="0.25"/>
    <row r="73" ht="19.5" customHeight="1" x14ac:dyDescent="0.25"/>
    <row r="74" ht="19.5" customHeight="1" x14ac:dyDescent="0.25"/>
    <row r="75" ht="19.5" customHeight="1" x14ac:dyDescent="0.25"/>
    <row r="76" ht="19.5" customHeight="1" x14ac:dyDescent="0.25"/>
    <row r="77" ht="19.5" customHeight="1" x14ac:dyDescent="0.25"/>
    <row r="78" ht="19.5" customHeight="1" x14ac:dyDescent="0.25"/>
    <row r="79" ht="19.5" customHeight="1" x14ac:dyDescent="0.25"/>
    <row r="80" ht="19.5" customHeight="1" x14ac:dyDescent="0.25"/>
    <row r="81" ht="19.5" customHeight="1" x14ac:dyDescent="0.25"/>
    <row r="82" ht="19.5" customHeight="1" x14ac:dyDescent="0.25"/>
    <row r="83" ht="19.5" customHeight="1" x14ac:dyDescent="0.25"/>
    <row r="84" ht="19.5" customHeight="1" x14ac:dyDescent="0.25"/>
    <row r="85" ht="19.5" customHeight="1" x14ac:dyDescent="0.25"/>
    <row r="86" ht="19.5" customHeight="1" x14ac:dyDescent="0.25"/>
    <row r="87" ht="19.5" customHeight="1" x14ac:dyDescent="0.25"/>
    <row r="88" ht="19.5" customHeight="1" x14ac:dyDescent="0.25"/>
    <row r="89" ht="19.5" customHeight="1" x14ac:dyDescent="0.25"/>
    <row r="90" ht="19.5" customHeight="1" x14ac:dyDescent="0.25"/>
    <row r="91" ht="19.5" customHeight="1" x14ac:dyDescent="0.25"/>
    <row r="92" ht="19.5" customHeight="1" x14ac:dyDescent="0.25"/>
    <row r="93" ht="19.5" customHeight="1" x14ac:dyDescent="0.25"/>
    <row r="94" ht="19.5" customHeight="1" x14ac:dyDescent="0.25"/>
    <row r="95" ht="19.5" customHeight="1" x14ac:dyDescent="0.25"/>
    <row r="96" ht="19.5" customHeight="1" x14ac:dyDescent="0.25"/>
    <row r="97" ht="19.5" customHeight="1" x14ac:dyDescent="0.25"/>
    <row r="98" ht="19.5" customHeight="1" x14ac:dyDescent="0.25"/>
    <row r="99" ht="19.5" customHeight="1" x14ac:dyDescent="0.25"/>
    <row r="100" ht="19.5" customHeight="1" x14ac:dyDescent="0.25"/>
    <row r="101" ht="19.5" customHeight="1" x14ac:dyDescent="0.25"/>
    <row r="102" ht="19.5" customHeight="1" x14ac:dyDescent="0.25"/>
    <row r="103" ht="19.5" customHeight="1" x14ac:dyDescent="0.25"/>
    <row r="104" ht="19.5" customHeight="1" x14ac:dyDescent="0.25"/>
    <row r="105" ht="19.5" customHeight="1" x14ac:dyDescent="0.25"/>
    <row r="106" ht="19.5" customHeight="1" x14ac:dyDescent="0.25"/>
    <row r="107" ht="19.5" customHeight="1" x14ac:dyDescent="0.25"/>
    <row r="108" ht="19.5" customHeight="1" x14ac:dyDescent="0.25"/>
    <row r="109" ht="19.5" customHeight="1" x14ac:dyDescent="0.25"/>
    <row r="110" ht="19.5" customHeight="1" x14ac:dyDescent="0.25"/>
    <row r="111" ht="19.5" customHeight="1" x14ac:dyDescent="0.25"/>
    <row r="112" ht="19.5" customHeight="1" x14ac:dyDescent="0.25"/>
    <row r="113" ht="19.5" customHeight="1" x14ac:dyDescent="0.25"/>
    <row r="114" ht="19.5" customHeight="1" x14ac:dyDescent="0.25"/>
    <row r="115" ht="19.5" customHeight="1" x14ac:dyDescent="0.25"/>
    <row r="116" ht="19.5" customHeight="1" x14ac:dyDescent="0.25"/>
    <row r="117" ht="19.5" customHeight="1" x14ac:dyDescent="0.25"/>
    <row r="118" ht="19.5" customHeight="1" x14ac:dyDescent="0.25"/>
    <row r="119" ht="19.5" customHeight="1" x14ac:dyDescent="0.25"/>
    <row r="120" ht="19.5" customHeight="1" x14ac:dyDescent="0.25"/>
    <row r="121" ht="19.5" customHeight="1" x14ac:dyDescent="0.25"/>
    <row r="122" ht="19.5" customHeight="1" x14ac:dyDescent="0.25"/>
    <row r="123" ht="19.5" customHeight="1" x14ac:dyDescent="0.25"/>
    <row r="124" ht="19.5" customHeight="1" x14ac:dyDescent="0.25"/>
    <row r="125" ht="19.5" customHeight="1" x14ac:dyDescent="0.25"/>
    <row r="126" ht="19.5" customHeight="1" x14ac:dyDescent="0.25"/>
    <row r="127" ht="19.5" customHeight="1" x14ac:dyDescent="0.25"/>
    <row r="128" ht="19.5" customHeight="1" x14ac:dyDescent="0.25"/>
    <row r="129" ht="19.5" customHeight="1" x14ac:dyDescent="0.25"/>
    <row r="130" ht="19.5" customHeight="1" x14ac:dyDescent="0.25"/>
    <row r="131" ht="19.5" customHeight="1" x14ac:dyDescent="0.25"/>
    <row r="132" ht="19.5" customHeight="1" x14ac:dyDescent="0.25"/>
    <row r="133" ht="19.5" customHeight="1" x14ac:dyDescent="0.25"/>
    <row r="134" ht="19.5" customHeight="1" x14ac:dyDescent="0.25"/>
    <row r="135" ht="19.5" customHeight="1" x14ac:dyDescent="0.25"/>
    <row r="136" ht="19.5" customHeight="1" x14ac:dyDescent="0.25"/>
    <row r="137" ht="19.5" customHeight="1" x14ac:dyDescent="0.25"/>
    <row r="138" ht="19.5" customHeight="1" x14ac:dyDescent="0.25"/>
    <row r="139" ht="19.5" customHeight="1" x14ac:dyDescent="0.25"/>
    <row r="140" ht="19.5" customHeight="1" x14ac:dyDescent="0.25"/>
    <row r="141" ht="19.5" customHeight="1" x14ac:dyDescent="0.25"/>
    <row r="142" ht="19.5" customHeight="1" x14ac:dyDescent="0.25"/>
    <row r="143" ht="19.5" customHeight="1" x14ac:dyDescent="0.25"/>
    <row r="144" ht="19.5" customHeight="1" x14ac:dyDescent="0.25"/>
    <row r="145" ht="19.5" customHeight="1" x14ac:dyDescent="0.25"/>
    <row r="146" ht="19.5" customHeight="1" x14ac:dyDescent="0.25"/>
    <row r="147" ht="19.5" customHeight="1" x14ac:dyDescent="0.25"/>
    <row r="148" ht="19.5" customHeight="1" x14ac:dyDescent="0.25"/>
    <row r="149" ht="19.5" customHeight="1" x14ac:dyDescent="0.25"/>
    <row r="150" ht="19.5" customHeight="1" x14ac:dyDescent="0.25"/>
    <row r="151" ht="19.5" customHeight="1" x14ac:dyDescent="0.25"/>
    <row r="152" ht="19.5" customHeight="1" x14ac:dyDescent="0.25"/>
    <row r="153" ht="19.5" customHeight="1" x14ac:dyDescent="0.25"/>
    <row r="154" ht="19.5" customHeight="1" x14ac:dyDescent="0.25"/>
    <row r="155" ht="19.5" customHeight="1" x14ac:dyDescent="0.25"/>
    <row r="156" ht="19.5" customHeight="1" x14ac:dyDescent="0.25"/>
    <row r="157" ht="19.5" customHeight="1" x14ac:dyDescent="0.25"/>
    <row r="158" ht="19.5" customHeight="1" x14ac:dyDescent="0.25"/>
  </sheetData>
  <mergeCells count="1">
    <mergeCell ref="C8:D8"/>
  </mergeCells>
  <hyperlinks>
    <hyperlink ref="A5" location="'1.1'!A1" display="1.1-Residuos Urbanos generados por fracción de residuo y operación de tratamiento. C.A del País Vasco. 2019" xr:uid="{00000000-0004-0000-1900-000000000000}"/>
    <hyperlink ref="A7" location="'2.1'!A1" display="2.1-Residuos Urbanos generados por origen y tipo de recogida y año. C.A del País Vasco. 2003-2019." xr:uid="{00000000-0004-0000-1900-000001000000}"/>
    <hyperlink ref="A8" location="'2.2'!A1" display="2.2-Residuos Urbanos generados por origen y tipo de recogida y año. Álava. 2003-2019" xr:uid="{00000000-0004-0000-1900-000002000000}"/>
    <hyperlink ref="A9" location="'2.3'!A1" display="2.3-Residuos Urbanos generados por origen y tipo de recogida y año. Bizkaia. 2003-2019" xr:uid="{00000000-0004-0000-1900-000003000000}"/>
    <hyperlink ref="A10" location="'2.4'!A1" display="2.4-Residuos Urbanos generados por origen y tipo de recogida y año. Gipuzkoa. 2003-2019" xr:uid="{00000000-0004-0000-1900-000004000000}"/>
    <hyperlink ref="A12" location="'3.1'!A1" display="3.1-Residuos Urbanos per cápita generados por año y Territorio Histórico. C.A del País Vasco. 2003-2019" xr:uid="{00000000-0004-0000-1900-000005000000}"/>
    <hyperlink ref="A13" location="'3.2'!A1" display="3.2-Residuos Domésticos per cápita generados por año y Territorio Histórico. C.A del País Vasco. 2003-2019" xr:uid="{00000000-0004-0000-1900-000006000000}"/>
    <hyperlink ref="A14" location="'3.3'!A1" display="3.3-Residuos Comerciales per cápita generados por año y Territorio Histórico. C.A del País Vasco. 2003-2019" xr:uid="{00000000-0004-0000-1900-000007000000}"/>
    <hyperlink ref="A16" location="'4.1'!A1" display="4.1-Residuos Urbanos generados por tipo de recogida, origen y código LER a 6 dígitos. C.A. del País Vasco. 2005-2019" xr:uid="{00000000-0004-0000-1900-000008000000}"/>
    <hyperlink ref="A17" location="'4.2'!A1" display="4.2-Residuos Urbanos per cápita generados por tipo de recogida, origen y código LER a 6 dígitos. C.A. del País Vasco. 2005-2019" xr:uid="{00000000-0004-0000-1900-000009000000}"/>
    <hyperlink ref="A19" location="'5.1'!A1" display="5.1-Total de Residuos Urbanos per cápita generados por Territorio Histórico y año. 2003-2019" xr:uid="{00000000-0004-0000-1900-00000A000000}"/>
    <hyperlink ref="A20" location="'5.2'!A1" display="5.2-Total de Residuos Urbanos per cápita gestionados por Territorio Histórico y año. 2003-2019" xr:uid="{00000000-0004-0000-1900-00000B000000}"/>
    <hyperlink ref="A21" location="'5.3'!A1" display="5.3-Residuos Urbanos per cápita por Territorio Histórico y año. Depósito en vertedero. 2003-2019" xr:uid="{00000000-0004-0000-1900-00000C000000}"/>
    <hyperlink ref="A22" location="'5.4'!A1" display="5.4-Residuos Urbanos per cápita por Territorio Histórico y año. Valorización energética e Incineración. 2003-2019" xr:uid="{00000000-0004-0000-1900-00000D000000}"/>
    <hyperlink ref="A23" location="'5.5'!A1" display="5.5-Residuos Urbanos per cápita por Territorio Histórico y año. Reciclaje. 2003-2019" xr:uid="{00000000-0004-0000-1900-00000E000000}"/>
    <hyperlink ref="A24" location="'5.6'!A1" display="5.6-Residuos Urbanos per cápita por Territorio Histórico y año. Compostaje. 2003-2019" xr:uid="{00000000-0004-0000-1900-00000F000000}"/>
  </hyperlinks>
  <pageMargins left="0.75" right="0.75" top="1" bottom="1" header="0" footer="0"/>
  <pageSetup paperSize="9" scale="97"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7">
    <tabColor rgb="FFCC99FF"/>
    <pageSetUpPr fitToPage="1"/>
  </sheetPr>
  <dimension ref="A1:Y33"/>
  <sheetViews>
    <sheetView topLeftCell="A29" workbookViewId="0"/>
  </sheetViews>
  <sheetFormatPr baseColWidth="10" defaultColWidth="11.44140625" defaultRowHeight="13.2" x14ac:dyDescent="0.25"/>
  <cols>
    <col min="1" max="1" width="41.5546875" style="669" customWidth="1"/>
    <col min="2" max="2" width="14.6640625" style="669" customWidth="1"/>
    <col min="3" max="3" width="12.109375" style="669" bestFit="1" customWidth="1"/>
    <col min="4" max="4" width="12" style="669" customWidth="1"/>
    <col min="5" max="5" width="16.109375" style="669" customWidth="1"/>
    <col min="6" max="6" width="14.109375" style="669" customWidth="1"/>
    <col min="7" max="7" width="12.109375" style="669" bestFit="1" customWidth="1"/>
    <col min="8" max="8" width="11" style="669" customWidth="1"/>
    <col min="9" max="9" width="14.5546875" style="669" customWidth="1"/>
    <col min="10" max="10" width="14.33203125" style="669" customWidth="1"/>
    <col min="11" max="11" width="16.6640625" style="669" customWidth="1"/>
    <col min="12" max="12" width="15.88671875" style="669" customWidth="1"/>
    <col min="13" max="13" width="13.88671875" style="669" customWidth="1"/>
    <col min="14" max="14" width="13.5546875" style="669" customWidth="1"/>
    <col min="15" max="15" width="13.109375" style="669" customWidth="1"/>
    <col min="16" max="16" width="14.88671875" style="669" customWidth="1"/>
    <col min="17" max="17" width="15.6640625" style="669" customWidth="1"/>
    <col min="18" max="18" width="15.109375" style="669" customWidth="1"/>
    <col min="19" max="19" width="14.109375" style="669" customWidth="1"/>
    <col min="20" max="20" width="14.44140625" style="669" customWidth="1"/>
    <col min="21" max="21" width="12.88671875" style="669" customWidth="1"/>
    <col min="22" max="22" width="13.109375" style="669" customWidth="1"/>
    <col min="23" max="23" width="12.109375" style="669" bestFit="1" customWidth="1"/>
    <col min="24" max="16384" width="11.44140625" style="669"/>
  </cols>
  <sheetData>
    <row r="1" spans="1:25" ht="36" customHeight="1" thickTop="1" x14ac:dyDescent="0.55000000000000004">
      <c r="A1" s="3642" t="s">
        <v>1795</v>
      </c>
      <c r="B1" s="3543"/>
      <c r="C1" s="3543"/>
      <c r="D1" s="3543"/>
      <c r="E1" s="3543"/>
      <c r="F1" s="3543"/>
      <c r="G1" s="3543"/>
      <c r="H1" s="3543"/>
      <c r="I1" s="3543"/>
      <c r="J1" s="3543"/>
      <c r="K1" s="3543"/>
      <c r="L1" s="3543"/>
      <c r="M1" s="3543"/>
      <c r="N1" s="3543"/>
      <c r="O1" s="3543"/>
      <c r="P1" s="3543"/>
      <c r="Q1" s="3543"/>
      <c r="R1" s="3543"/>
      <c r="S1" s="3543"/>
      <c r="T1" s="3543"/>
      <c r="U1" s="3543"/>
      <c r="V1" s="3543"/>
    </row>
    <row r="2" spans="1:25" ht="58.5" customHeight="1" x14ac:dyDescent="0.25">
      <c r="A2" s="3544" t="s">
        <v>1626</v>
      </c>
      <c r="B2" s="672"/>
      <c r="C2" s="672"/>
      <c r="D2" s="672"/>
      <c r="E2" s="673"/>
      <c r="F2" s="673"/>
      <c r="G2" s="673"/>
      <c r="H2" s="673"/>
      <c r="I2" s="673"/>
      <c r="J2" s="673"/>
      <c r="K2" s="673"/>
      <c r="L2" s="673"/>
      <c r="M2" s="3844"/>
      <c r="N2" s="3844"/>
      <c r="O2" s="3844"/>
      <c r="P2" s="3844"/>
      <c r="Q2" s="673"/>
      <c r="R2" s="673"/>
    </row>
    <row r="3" spans="1:25" s="3647" customFormat="1" ht="79.2" x14ac:dyDescent="0.2">
      <c r="A3" s="3646" t="s">
        <v>1627</v>
      </c>
      <c r="B3" s="3646" t="s">
        <v>1628</v>
      </c>
      <c r="C3" s="3646" t="s">
        <v>1629</v>
      </c>
      <c r="D3" s="3646" t="s">
        <v>1630</v>
      </c>
      <c r="E3" s="3646" t="s">
        <v>1632</v>
      </c>
      <c r="F3" s="3646" t="s">
        <v>1634</v>
      </c>
      <c r="G3" s="3646" t="s">
        <v>1757</v>
      </c>
      <c r="H3" s="3646" t="s">
        <v>1758</v>
      </c>
      <c r="I3" s="3646" t="s">
        <v>1636</v>
      </c>
      <c r="J3" s="3646" t="s">
        <v>1638</v>
      </c>
      <c r="K3" s="3646" t="s">
        <v>1760</v>
      </c>
      <c r="L3" s="3646" t="s">
        <v>1759</v>
      </c>
      <c r="M3" s="3646" t="s">
        <v>1761</v>
      </c>
      <c r="N3" s="3646" t="s">
        <v>1762</v>
      </c>
      <c r="O3" s="3646" t="s">
        <v>1631</v>
      </c>
      <c r="P3" s="3646" t="s">
        <v>1633</v>
      </c>
      <c r="Q3" s="3646" t="s">
        <v>1635</v>
      </c>
      <c r="R3" s="3646" t="s">
        <v>1763</v>
      </c>
      <c r="S3" s="3646" t="s">
        <v>1764</v>
      </c>
      <c r="T3" s="3646" t="s">
        <v>1637</v>
      </c>
      <c r="U3" s="3646" t="s">
        <v>1639</v>
      </c>
      <c r="V3" s="3646" t="s">
        <v>1765</v>
      </c>
      <c r="W3" s="3646" t="s">
        <v>1766</v>
      </c>
      <c r="X3" s="3646" t="s">
        <v>1767</v>
      </c>
    </row>
    <row r="4" spans="1:25" ht="13.5" customHeight="1" x14ac:dyDescent="0.25">
      <c r="A4" s="3553" t="s">
        <v>1640</v>
      </c>
      <c r="B4" s="3648">
        <v>64052.428138085881</v>
      </c>
      <c r="C4" s="3649">
        <v>21831.715453333331</v>
      </c>
      <c r="D4" s="3650">
        <v>0</v>
      </c>
      <c r="E4" s="3651">
        <v>0</v>
      </c>
      <c r="F4" s="3651">
        <v>19727.696793559408</v>
      </c>
      <c r="G4" s="3651">
        <v>33921.28229129441</v>
      </c>
      <c r="H4" s="3651">
        <v>160.78547209960541</v>
      </c>
      <c r="I4" s="3651">
        <v>10242.66358113246</v>
      </c>
      <c r="J4" s="3652">
        <v>0</v>
      </c>
      <c r="K4" s="3653">
        <v>19727.696793559408</v>
      </c>
      <c r="L4" s="3651">
        <v>53648.979084853818</v>
      </c>
      <c r="M4" s="3654">
        <v>573.30827317939202</v>
      </c>
      <c r="N4" s="3655">
        <v>0.34084134025751456</v>
      </c>
      <c r="O4" s="3656">
        <v>0</v>
      </c>
      <c r="P4" s="3657">
        <v>0</v>
      </c>
      <c r="Q4" s="3657">
        <v>0.30799295775376273</v>
      </c>
      <c r="R4" s="3657">
        <v>3.5391623966231897E-2</v>
      </c>
      <c r="S4" s="3657">
        <v>2.5102166580317602E-3</v>
      </c>
      <c r="T4" s="3657">
        <v>1.0686638988558863E-2</v>
      </c>
      <c r="U4" s="3658">
        <v>0</v>
      </c>
      <c r="V4" s="3659">
        <v>0.30799295775376273</v>
      </c>
      <c r="W4" s="3660">
        <v>0.83757916201390459</v>
      </c>
      <c r="X4" s="3661">
        <v>8.9506095216786968E-3</v>
      </c>
      <c r="Y4" s="674"/>
    </row>
    <row r="5" spans="1:25" ht="13.5" customHeight="1" x14ac:dyDescent="0.25">
      <c r="A5" s="3553" t="s">
        <v>1641</v>
      </c>
      <c r="B5" s="3648">
        <v>201451.28769470553</v>
      </c>
      <c r="C5" s="3649">
        <v>66461.722966864021</v>
      </c>
      <c r="D5" s="3650">
        <v>0</v>
      </c>
      <c r="E5" s="3651">
        <v>0</v>
      </c>
      <c r="F5" s="3651">
        <v>58763.45284902733</v>
      </c>
      <c r="G5" s="3651">
        <v>49362.378480291358</v>
      </c>
      <c r="H5" s="3651">
        <v>720.55991138091861</v>
      </c>
      <c r="I5" s="3651">
        <v>32900.829454005921</v>
      </c>
      <c r="J5" s="3652">
        <v>59704.06700000001</v>
      </c>
      <c r="K5" s="3653">
        <v>58763.45284902733</v>
      </c>
      <c r="L5" s="3651">
        <v>108125.83132931869</v>
      </c>
      <c r="M5" s="3654">
        <v>2620.6217116347511</v>
      </c>
      <c r="N5" s="3655">
        <v>0.3299146097670278</v>
      </c>
      <c r="O5" s="3656">
        <v>0</v>
      </c>
      <c r="P5" s="3657">
        <v>0</v>
      </c>
      <c r="Q5" s="3657">
        <v>0.29170055709984788</v>
      </c>
      <c r="R5" s="3657">
        <v>5.1502025255149179E-2</v>
      </c>
      <c r="S5" s="3657">
        <v>3.5768444055463643E-3</v>
      </c>
      <c r="T5" s="3657">
        <v>3.4326938887924666E-2</v>
      </c>
      <c r="U5" s="3658">
        <v>6.2291981487415757E-2</v>
      </c>
      <c r="V5" s="3659">
        <v>0.29170055709984788</v>
      </c>
      <c r="W5" s="3660">
        <v>0.53673437666569168</v>
      </c>
      <c r="X5" s="3661">
        <v>1.3008711642519946E-2</v>
      </c>
      <c r="Y5" s="674"/>
    </row>
    <row r="6" spans="1:25" ht="13.5" customHeight="1" x14ac:dyDescent="0.25">
      <c r="A6" s="3553" t="s">
        <v>1642</v>
      </c>
      <c r="B6" s="3648">
        <v>176338.31136168435</v>
      </c>
      <c r="C6" s="3649">
        <v>110250.34963355926</v>
      </c>
      <c r="D6" s="3650">
        <v>0</v>
      </c>
      <c r="E6" s="3651">
        <v>108671.37285251994</v>
      </c>
      <c r="F6" s="3651">
        <v>0</v>
      </c>
      <c r="G6" s="3651">
        <v>41081.577055053567</v>
      </c>
      <c r="H6" s="3651">
        <v>399.44680938737247</v>
      </c>
      <c r="I6" s="3651">
        <v>26185.91464472346</v>
      </c>
      <c r="J6" s="3652">
        <v>0</v>
      </c>
      <c r="K6" s="3662">
        <v>108671.37285251994</v>
      </c>
      <c r="L6" s="3652">
        <v>149752.94990757352</v>
      </c>
      <c r="M6" s="3654">
        <v>1397.8369911176592</v>
      </c>
      <c r="N6" s="3655">
        <v>0.62522062722618876</v>
      </c>
      <c r="O6" s="3656">
        <v>0</v>
      </c>
      <c r="P6" s="3657">
        <v>0.61626638030816816</v>
      </c>
      <c r="Q6" s="3657">
        <v>0</v>
      </c>
      <c r="R6" s="3657">
        <v>4.2862286707993281E-2</v>
      </c>
      <c r="S6" s="3657">
        <v>2.2652298658348514E-3</v>
      </c>
      <c r="T6" s="3657">
        <v>2.7320961405864739E-2</v>
      </c>
      <c r="U6" s="3658">
        <v>0</v>
      </c>
      <c r="V6" s="3659">
        <v>0.61626638030816816</v>
      </c>
      <c r="W6" s="3660">
        <v>0.84923661087134905</v>
      </c>
      <c r="X6" s="3661">
        <v>7.9270181296597578E-3</v>
      </c>
      <c r="Y6" s="674"/>
    </row>
    <row r="7" spans="1:25" ht="13.5" customHeight="1" x14ac:dyDescent="0.25">
      <c r="A7" s="3553" t="s">
        <v>1643</v>
      </c>
      <c r="B7" s="3648">
        <v>86992.717031417153</v>
      </c>
      <c r="C7" s="3649">
        <v>61197.955289999998</v>
      </c>
      <c r="D7" s="3650">
        <v>0</v>
      </c>
      <c r="E7" s="3651">
        <v>57687.390207854012</v>
      </c>
      <c r="F7" s="3651">
        <v>0</v>
      </c>
      <c r="G7" s="3651">
        <v>0</v>
      </c>
      <c r="H7" s="3651">
        <v>161.8621069525106</v>
      </c>
      <c r="I7" s="3651">
        <v>29120.648492094631</v>
      </c>
      <c r="J7" s="3652">
        <v>22.816224516000002</v>
      </c>
      <c r="K7" s="3662">
        <v>57687.390207854012</v>
      </c>
      <c r="L7" s="3652">
        <v>57687.390207854012</v>
      </c>
      <c r="M7" s="3654">
        <v>566.50479879243392</v>
      </c>
      <c r="N7" s="3655">
        <v>0.7034836636715065</v>
      </c>
      <c r="O7" s="3656">
        <v>0</v>
      </c>
      <c r="P7" s="3657">
        <v>0.66312896270408928</v>
      </c>
      <c r="Q7" s="3657">
        <v>0</v>
      </c>
      <c r="R7" s="3657">
        <v>0</v>
      </c>
      <c r="S7" s="3657">
        <v>1.8606397463600843E-3</v>
      </c>
      <c r="T7" s="3657">
        <v>3.0382903341762295E-2</v>
      </c>
      <c r="U7" s="3658">
        <v>2.3805209704782649E-5</v>
      </c>
      <c r="V7" s="3659">
        <v>0.66312896270408928</v>
      </c>
      <c r="W7" s="3660">
        <v>0.66312896270408928</v>
      </c>
      <c r="X7" s="3661">
        <v>6.512094553706633E-3</v>
      </c>
      <c r="Y7" s="674"/>
    </row>
    <row r="8" spans="1:25" ht="13.5" customHeight="1" x14ac:dyDescent="0.25">
      <c r="A8" s="3553" t="s">
        <v>1644</v>
      </c>
      <c r="B8" s="3663">
        <v>112280.49345932208</v>
      </c>
      <c r="C8" s="3664">
        <v>67718.83762230874</v>
      </c>
      <c r="D8" s="3665">
        <v>0</v>
      </c>
      <c r="E8" s="3666">
        <v>59076.713912258849</v>
      </c>
      <c r="F8" s="3666">
        <v>0</v>
      </c>
      <c r="G8" s="3666">
        <v>26762.821088071651</v>
      </c>
      <c r="H8" s="3666">
        <v>193.74690362974238</v>
      </c>
      <c r="I8" s="3666">
        <v>26247.211555361842</v>
      </c>
      <c r="J8" s="3667">
        <v>0</v>
      </c>
      <c r="K8" s="3668">
        <v>59076.713912258849</v>
      </c>
      <c r="L8" s="3667">
        <v>85839.535000330507</v>
      </c>
      <c r="M8" s="3669">
        <v>699.31491180335024</v>
      </c>
      <c r="N8" s="3670">
        <v>0.60312201644217467</v>
      </c>
      <c r="O8" s="3671">
        <v>0</v>
      </c>
      <c r="P8" s="3672">
        <v>0.52615295936209661</v>
      </c>
      <c r="Q8" s="3672">
        <v>0</v>
      </c>
      <c r="R8" s="3672">
        <v>2.7922874261969106E-2</v>
      </c>
      <c r="S8" s="3672">
        <v>1.7255615615898111E-3</v>
      </c>
      <c r="T8" s="3672">
        <v>2.7384915273910647E-2</v>
      </c>
      <c r="U8" s="3673">
        <v>0</v>
      </c>
      <c r="V8" s="3674">
        <v>0.52615295936209661</v>
      </c>
      <c r="W8" s="3672">
        <v>0.76450977686012012</v>
      </c>
      <c r="X8" s="3673">
        <v>6.2282849875139167E-3</v>
      </c>
      <c r="Y8" s="674"/>
    </row>
    <row r="9" spans="1:25" ht="13.5" customHeight="1" x14ac:dyDescent="0.25">
      <c r="A9" s="3553" t="s">
        <v>1645</v>
      </c>
      <c r="B9" s="3648">
        <v>33993.380966173885</v>
      </c>
      <c r="C9" s="3649">
        <v>5212.7613099999999</v>
      </c>
      <c r="D9" s="3650">
        <v>0</v>
      </c>
      <c r="E9" s="3651">
        <v>5104.1498704955211</v>
      </c>
      <c r="F9" s="3651">
        <v>0</v>
      </c>
      <c r="G9" s="3651">
        <v>14803.458209353203</v>
      </c>
      <c r="H9" s="3651">
        <v>186.13319502544348</v>
      </c>
      <c r="I9" s="3651">
        <v>13899.63969129971</v>
      </c>
      <c r="J9" s="3652">
        <v>0</v>
      </c>
      <c r="K9" s="3662">
        <v>5104.1498704955211</v>
      </c>
      <c r="L9" s="3652">
        <v>19907.608079848724</v>
      </c>
      <c r="M9" s="3654">
        <v>650.7026471730569</v>
      </c>
      <c r="N9" s="3655">
        <v>0.15334636219877956</v>
      </c>
      <c r="O9" s="3656">
        <v>0</v>
      </c>
      <c r="P9" s="3657">
        <v>0.15015128608638711</v>
      </c>
      <c r="Q9" s="3657">
        <v>0</v>
      </c>
      <c r="R9" s="3657">
        <v>1.5445124445655642E-2</v>
      </c>
      <c r="S9" s="3657">
        <v>5.475571706464291E-3</v>
      </c>
      <c r="T9" s="3657">
        <v>1.4502129282619736E-2</v>
      </c>
      <c r="U9" s="3658">
        <v>0</v>
      </c>
      <c r="V9" s="3659">
        <v>0.15015128608638711</v>
      </c>
      <c r="W9" s="3660">
        <v>0.58563189403426441</v>
      </c>
      <c r="X9" s="3661">
        <v>1.9142039675916843E-2</v>
      </c>
      <c r="Y9" s="674"/>
    </row>
    <row r="10" spans="1:25" ht="13.5" customHeight="1" x14ac:dyDescent="0.25">
      <c r="A10" s="3553" t="s">
        <v>1646</v>
      </c>
      <c r="B10" s="3648">
        <v>4496.6811097024774</v>
      </c>
      <c r="C10" s="3649">
        <v>1689.0895</v>
      </c>
      <c r="D10" s="3650">
        <v>0</v>
      </c>
      <c r="E10" s="3651">
        <v>3500.5424014185696</v>
      </c>
      <c r="F10" s="3651">
        <v>0</v>
      </c>
      <c r="G10" s="3651">
        <v>0</v>
      </c>
      <c r="H10" s="3651">
        <v>11.176010797734646</v>
      </c>
      <c r="I10" s="3651">
        <v>984.96269748617271</v>
      </c>
      <c r="J10" s="3652">
        <v>0</v>
      </c>
      <c r="K10" s="3662">
        <v>3500.5424014185696</v>
      </c>
      <c r="L10" s="3652">
        <v>3500.5424014185696</v>
      </c>
      <c r="M10" s="3654">
        <v>41.730624707104113</v>
      </c>
      <c r="N10" s="3655">
        <v>0.37563026125100485</v>
      </c>
      <c r="O10" s="3656">
        <v>0</v>
      </c>
      <c r="P10" s="3657">
        <v>0.77847245913557406</v>
      </c>
      <c r="Q10" s="3657">
        <v>0</v>
      </c>
      <c r="R10" s="3657">
        <v>0</v>
      </c>
      <c r="S10" s="3657">
        <v>2.4853910084084449E-3</v>
      </c>
      <c r="T10" s="3657">
        <v>1.0276565936053193E-3</v>
      </c>
      <c r="U10" s="3658">
        <v>0</v>
      </c>
      <c r="V10" s="3659">
        <v>0.77847245913557406</v>
      </c>
      <c r="W10" s="3660">
        <v>0.77847245913557406</v>
      </c>
      <c r="X10" s="3661">
        <v>9.2803166800203042E-3</v>
      </c>
      <c r="Y10" s="674"/>
    </row>
    <row r="11" spans="1:25" ht="13.5" customHeight="1" x14ac:dyDescent="0.25">
      <c r="A11" s="3553" t="s">
        <v>1647</v>
      </c>
      <c r="B11" s="3648">
        <v>411.58348601796627</v>
      </c>
      <c r="C11" s="3649">
        <v>390.91777000000002</v>
      </c>
      <c r="D11" s="3650">
        <v>0</v>
      </c>
      <c r="E11" s="3651">
        <v>192.87882771800003</v>
      </c>
      <c r="F11" s="3651">
        <v>0</v>
      </c>
      <c r="G11" s="3651">
        <v>3.12734216</v>
      </c>
      <c r="H11" s="3651">
        <v>0</v>
      </c>
      <c r="I11" s="3651">
        <v>215.57731613996629</v>
      </c>
      <c r="J11" s="3652">
        <v>0</v>
      </c>
      <c r="K11" s="3662">
        <v>192.87882771800003</v>
      </c>
      <c r="L11" s="3652">
        <v>196.00616987800004</v>
      </c>
      <c r="M11" s="3654">
        <v>2.4677195711782396E-2</v>
      </c>
      <c r="N11" s="3655">
        <v>0.94978973471966721</v>
      </c>
      <c r="O11" s="3656">
        <v>0</v>
      </c>
      <c r="P11" s="3657">
        <v>0.46862625511068384</v>
      </c>
      <c r="Q11" s="3657">
        <v>0</v>
      </c>
      <c r="R11" s="3657">
        <v>3.2628989903742196E-6</v>
      </c>
      <c r="S11" s="3657">
        <v>0</v>
      </c>
      <c r="T11" s="3657">
        <v>2.2492166548884437E-4</v>
      </c>
      <c r="U11" s="3658">
        <v>0</v>
      </c>
      <c r="V11" s="3659">
        <v>0.46862625511068384</v>
      </c>
      <c r="W11" s="3660">
        <v>0.47622457298844117</v>
      </c>
      <c r="X11" s="3661">
        <v>5.9956719718111328E-5</v>
      </c>
      <c r="Y11" s="674"/>
    </row>
    <row r="12" spans="1:25" ht="13.5" customHeight="1" x14ac:dyDescent="0.25">
      <c r="A12" s="3553" t="s">
        <v>1648</v>
      </c>
      <c r="B12" s="3648">
        <v>29.106947837209297</v>
      </c>
      <c r="C12" s="3649">
        <v>29.106947837209297</v>
      </c>
      <c r="D12" s="3650">
        <v>0</v>
      </c>
      <c r="E12" s="3651">
        <v>28.980887916353137</v>
      </c>
      <c r="F12" s="3651">
        <v>0</v>
      </c>
      <c r="G12" s="3651">
        <v>6.1357444419754673E-2</v>
      </c>
      <c r="H12" s="3651">
        <v>0</v>
      </c>
      <c r="I12" s="3651">
        <v>6.4702476436409501E-2</v>
      </c>
      <c r="J12" s="3652">
        <v>0</v>
      </c>
      <c r="K12" s="3662">
        <v>28.980887916353137</v>
      </c>
      <c r="L12" s="3652">
        <v>29.042245360772892</v>
      </c>
      <c r="M12" s="3654">
        <v>0</v>
      </c>
      <c r="N12" s="3655">
        <v>1</v>
      </c>
      <c r="O12" s="3656">
        <v>0</v>
      </c>
      <c r="P12" s="3657">
        <v>0.99566907799604432</v>
      </c>
      <c r="Q12" s="3657">
        <v>0</v>
      </c>
      <c r="R12" s="3657">
        <v>6.4017025706314088E-8</v>
      </c>
      <c r="S12" s="3657">
        <v>0</v>
      </c>
      <c r="T12" s="3657">
        <v>6.750705047223624E-8</v>
      </c>
      <c r="U12" s="3658">
        <v>0</v>
      </c>
      <c r="V12" s="3659">
        <v>0.99566907799604432</v>
      </c>
      <c r="W12" s="3660">
        <v>0.99777707794035031</v>
      </c>
      <c r="X12" s="3661">
        <v>0</v>
      </c>
      <c r="Y12" s="674"/>
    </row>
    <row r="13" spans="1:25" ht="13.5" customHeight="1" x14ac:dyDescent="0.25">
      <c r="A13" s="3553" t="s">
        <v>1649</v>
      </c>
      <c r="B13" s="3663">
        <v>2201.8191467725046</v>
      </c>
      <c r="C13" s="3664">
        <v>717.40924999999993</v>
      </c>
      <c r="D13" s="3665">
        <v>0</v>
      </c>
      <c r="E13" s="3666">
        <v>609.90621365827326</v>
      </c>
      <c r="F13" s="3666">
        <v>0</v>
      </c>
      <c r="G13" s="3666">
        <v>1077.3574409165838</v>
      </c>
      <c r="H13" s="3666">
        <v>0</v>
      </c>
      <c r="I13" s="3666">
        <v>514.55549219764737</v>
      </c>
      <c r="J13" s="3667">
        <v>0</v>
      </c>
      <c r="K13" s="3668">
        <v>609.90621365827326</v>
      </c>
      <c r="L13" s="3667">
        <v>1687.2636545748569</v>
      </c>
      <c r="M13" s="3669">
        <v>2.0868918945618589</v>
      </c>
      <c r="N13" s="3670">
        <v>0.32582569329165878</v>
      </c>
      <c r="O13" s="3671">
        <v>0</v>
      </c>
      <c r="P13" s="3672">
        <v>0.27700104913352802</v>
      </c>
      <c r="Q13" s="3672">
        <v>0</v>
      </c>
      <c r="R13" s="3672">
        <v>1.1240562517274651E-3</v>
      </c>
      <c r="S13" s="3672">
        <v>0</v>
      </c>
      <c r="T13" s="3672">
        <v>5.3685925942405146E-4</v>
      </c>
      <c r="U13" s="3673">
        <v>0</v>
      </c>
      <c r="V13" s="3674">
        <v>0.27700104913352802</v>
      </c>
      <c r="W13" s="3672">
        <v>0.76630437928932571</v>
      </c>
      <c r="X13" s="3673">
        <v>9.4780350040142504E-4</v>
      </c>
      <c r="Y13" s="674"/>
    </row>
    <row r="14" spans="1:25" ht="13.5" customHeight="1" x14ac:dyDescent="0.25">
      <c r="A14" s="3553" t="s">
        <v>1650</v>
      </c>
      <c r="B14" s="3648">
        <v>71846.884760677232</v>
      </c>
      <c r="C14" s="3649">
        <v>9569.4344500000007</v>
      </c>
      <c r="D14" s="3650">
        <v>5866.0633178500002</v>
      </c>
      <c r="E14" s="3651">
        <v>2239.2476612999999</v>
      </c>
      <c r="F14" s="3651">
        <v>0</v>
      </c>
      <c r="G14" s="3651">
        <v>48106.055620819076</v>
      </c>
      <c r="H14" s="3651">
        <v>251.44088665707429</v>
      </c>
      <c r="I14" s="3651">
        <v>15384.07727405108</v>
      </c>
      <c r="J14" s="3652">
        <v>0</v>
      </c>
      <c r="K14" s="3662">
        <v>8105.3109791500001</v>
      </c>
      <c r="L14" s="3652">
        <v>56211.366599969078</v>
      </c>
      <c r="M14" s="3654">
        <v>881.05158292249689</v>
      </c>
      <c r="N14" s="3655">
        <v>0.13319205810907311</v>
      </c>
      <c r="O14" s="3656">
        <v>8.1646731620861807E-2</v>
      </c>
      <c r="P14" s="3657">
        <v>3.1166941597523101E-2</v>
      </c>
      <c r="Q14" s="3657">
        <v>0</v>
      </c>
      <c r="R14" s="3657">
        <v>5.0191246203791347E-2</v>
      </c>
      <c r="S14" s="3657">
        <v>3.4996769518208987E-3</v>
      </c>
      <c r="T14" s="3657">
        <v>1.6050910849275363E-2</v>
      </c>
      <c r="U14" s="3658">
        <v>0</v>
      </c>
      <c r="V14" s="3659">
        <v>0.11281367321838491</v>
      </c>
      <c r="W14" s="3660">
        <v>0.78237722884172034</v>
      </c>
      <c r="X14" s="3661">
        <v>1.2262905842853026E-2</v>
      </c>
      <c r="Y14" s="674"/>
    </row>
    <row r="15" spans="1:25" ht="13.5" customHeight="1" x14ac:dyDescent="0.25">
      <c r="A15" s="3553" t="s">
        <v>1651</v>
      </c>
      <c r="B15" s="3648">
        <v>68195.779670746735</v>
      </c>
      <c r="C15" s="3649">
        <v>52553.335470000005</v>
      </c>
      <c r="D15" s="3650">
        <v>0</v>
      </c>
      <c r="E15" s="3651">
        <v>52553.335470000005</v>
      </c>
      <c r="F15" s="3651">
        <v>0</v>
      </c>
      <c r="G15" s="3651">
        <v>9187.1568760149476</v>
      </c>
      <c r="H15" s="3651">
        <v>83.219941871221181</v>
      </c>
      <c r="I15" s="3651">
        <v>6372.0673828605659</v>
      </c>
      <c r="J15" s="3652">
        <v>0</v>
      </c>
      <c r="K15" s="3662">
        <v>52553.335470000005</v>
      </c>
      <c r="L15" s="3652">
        <v>61740.492346014951</v>
      </c>
      <c r="M15" s="3654">
        <v>292.09325136098528</v>
      </c>
      <c r="N15" s="3655">
        <v>0.77062445394320034</v>
      </c>
      <c r="O15" s="3656">
        <v>0</v>
      </c>
      <c r="P15" s="3657">
        <v>0.77062445394320034</v>
      </c>
      <c r="Q15" s="3657">
        <v>0</v>
      </c>
      <c r="R15" s="3657">
        <v>9.5853806080364243E-3</v>
      </c>
      <c r="S15" s="3657">
        <v>1.220309266541302E-3</v>
      </c>
      <c r="T15" s="3657">
        <v>6.6482690944607856E-3</v>
      </c>
      <c r="U15" s="3658">
        <v>0</v>
      </c>
      <c r="V15" s="3659">
        <v>0.77062445394320034</v>
      </c>
      <c r="W15" s="3660">
        <v>0.90534183558134695</v>
      </c>
      <c r="X15" s="3661">
        <v>4.283157297581006E-3</v>
      </c>
      <c r="Y15" s="674"/>
    </row>
    <row r="16" spans="1:25" ht="13.5" customHeight="1" x14ac:dyDescent="0.25">
      <c r="A16" s="3553" t="s">
        <v>1652</v>
      </c>
      <c r="B16" s="3648">
        <v>2313.7047900000002</v>
      </c>
      <c r="C16" s="3649">
        <v>2313.7047900000002</v>
      </c>
      <c r="D16" s="3650">
        <v>0</v>
      </c>
      <c r="E16" s="3651">
        <v>78.807358539999996</v>
      </c>
      <c r="F16" s="3651">
        <v>0</v>
      </c>
      <c r="G16" s="3651">
        <v>1944.4295160200004</v>
      </c>
      <c r="H16" s="3651">
        <v>0</v>
      </c>
      <c r="I16" s="3651">
        <v>10.08164</v>
      </c>
      <c r="J16" s="3652">
        <v>280.38627544000008</v>
      </c>
      <c r="K16" s="3662">
        <v>78.807358539999996</v>
      </c>
      <c r="L16" s="3652">
        <v>2023.2368745600004</v>
      </c>
      <c r="M16" s="3654">
        <v>0</v>
      </c>
      <c r="N16" s="3655">
        <v>1</v>
      </c>
      <c r="O16" s="3656">
        <v>0</v>
      </c>
      <c r="P16" s="3657">
        <v>3.4061112238955943E-2</v>
      </c>
      <c r="Q16" s="3657">
        <v>0</v>
      </c>
      <c r="R16" s="3657">
        <v>2.0287121715762283E-3</v>
      </c>
      <c r="S16" s="3657">
        <v>0</v>
      </c>
      <c r="T16" s="3657">
        <v>1.0518635727827219E-5</v>
      </c>
      <c r="U16" s="3658">
        <v>2.9253981439880699E-4</v>
      </c>
      <c r="V16" s="3659">
        <v>3.4061112238955943E-2</v>
      </c>
      <c r="W16" s="3660">
        <v>0.87445765912080775</v>
      </c>
      <c r="X16" s="3661">
        <v>0</v>
      </c>
      <c r="Y16" s="674"/>
    </row>
    <row r="17" spans="1:25" ht="13.5" customHeight="1" x14ac:dyDescent="0.25">
      <c r="A17" s="3553" t="s">
        <v>1653</v>
      </c>
      <c r="B17" s="3648">
        <v>549.12610643653773</v>
      </c>
      <c r="C17" s="3649">
        <v>241.29000000000002</v>
      </c>
      <c r="D17" s="3650">
        <v>0</v>
      </c>
      <c r="E17" s="3651">
        <v>93.251808591636689</v>
      </c>
      <c r="F17" s="3651">
        <v>0</v>
      </c>
      <c r="G17" s="3651">
        <v>148.0381914083633</v>
      </c>
      <c r="H17" s="3651">
        <v>0</v>
      </c>
      <c r="I17" s="3651">
        <v>307.83610643653776</v>
      </c>
      <c r="J17" s="3652">
        <v>0</v>
      </c>
      <c r="K17" s="3662">
        <v>93.251808591636689</v>
      </c>
      <c r="L17" s="3652">
        <v>241.29</v>
      </c>
      <c r="M17" s="3654">
        <v>0.42624247138533633</v>
      </c>
      <c r="N17" s="3655">
        <v>0.43940726396311991</v>
      </c>
      <c r="O17" s="3656">
        <v>0</v>
      </c>
      <c r="P17" s="3657">
        <v>0.16981856717171717</v>
      </c>
      <c r="Q17" s="3657">
        <v>0</v>
      </c>
      <c r="R17" s="3657">
        <v>1.5445501021966017E-4</v>
      </c>
      <c r="S17" s="3657">
        <v>0</v>
      </c>
      <c r="T17" s="3657">
        <v>3.2117947749360113E-4</v>
      </c>
      <c r="U17" s="3658">
        <v>0</v>
      </c>
      <c r="V17" s="3659">
        <v>0.16981856717171717</v>
      </c>
      <c r="W17" s="3660">
        <v>0.43940726396311985</v>
      </c>
      <c r="X17" s="3661">
        <v>7.7621964497620729E-4</v>
      </c>
      <c r="Y17" s="674"/>
    </row>
    <row r="18" spans="1:25" ht="13.5" customHeight="1" x14ac:dyDescent="0.25">
      <c r="A18" s="3553" t="s">
        <v>1654</v>
      </c>
      <c r="B18" s="3663">
        <v>0.78300000000000003</v>
      </c>
      <c r="C18" s="3664">
        <v>0.78300000000000003</v>
      </c>
      <c r="D18" s="3665">
        <v>0</v>
      </c>
      <c r="E18" s="3666">
        <v>0.12910278372591005</v>
      </c>
      <c r="F18" s="3666">
        <v>0</v>
      </c>
      <c r="G18" s="3666">
        <v>0.65389721627409003</v>
      </c>
      <c r="H18" s="3666">
        <v>0</v>
      </c>
      <c r="I18" s="3666">
        <v>0</v>
      </c>
      <c r="J18" s="3667">
        <v>0</v>
      </c>
      <c r="K18" s="3668">
        <v>0.12910278372591005</v>
      </c>
      <c r="L18" s="3667">
        <v>0.78300000000000014</v>
      </c>
      <c r="M18" s="3669">
        <v>0</v>
      </c>
      <c r="N18" s="3670">
        <v>1</v>
      </c>
      <c r="O18" s="3671">
        <v>0</v>
      </c>
      <c r="P18" s="3672">
        <v>0.16488222698072802</v>
      </c>
      <c r="Q18" s="3672">
        <v>0</v>
      </c>
      <c r="R18" s="3672">
        <v>6.8224084786080502E-7</v>
      </c>
      <c r="S18" s="3672">
        <v>0</v>
      </c>
      <c r="T18" s="3672">
        <v>0</v>
      </c>
      <c r="U18" s="3673">
        <v>0</v>
      </c>
      <c r="V18" s="3674">
        <v>0.16488222698072802</v>
      </c>
      <c r="W18" s="3672">
        <v>1.0000000000000002</v>
      </c>
      <c r="X18" s="3673">
        <v>0</v>
      </c>
      <c r="Y18" s="674"/>
    </row>
    <row r="19" spans="1:25" ht="13.5" customHeight="1" x14ac:dyDescent="0.25">
      <c r="A19" s="3553" t="s">
        <v>1655</v>
      </c>
      <c r="B19" s="3648">
        <v>465.84105</v>
      </c>
      <c r="C19" s="3649">
        <v>465.84105</v>
      </c>
      <c r="D19" s="3650">
        <v>0</v>
      </c>
      <c r="E19" s="3651">
        <v>344.72237699999999</v>
      </c>
      <c r="F19" s="3651">
        <v>0</v>
      </c>
      <c r="G19" s="3651">
        <v>51.242515500000003</v>
      </c>
      <c r="H19" s="3651">
        <v>0</v>
      </c>
      <c r="I19" s="3651">
        <v>69.876157499999991</v>
      </c>
      <c r="J19" s="3652">
        <v>0</v>
      </c>
      <c r="K19" s="3662">
        <v>344.72237699999999</v>
      </c>
      <c r="L19" s="3652">
        <v>395.96489250000002</v>
      </c>
      <c r="M19" s="3654">
        <v>0</v>
      </c>
      <c r="N19" s="3655">
        <v>1</v>
      </c>
      <c r="O19" s="3656">
        <v>0</v>
      </c>
      <c r="P19" s="3657">
        <v>0.74</v>
      </c>
      <c r="Q19" s="3657">
        <v>0</v>
      </c>
      <c r="R19" s="3657">
        <v>5.346365812725312E-5</v>
      </c>
      <c r="S19" s="3657">
        <v>0</v>
      </c>
      <c r="T19" s="3657">
        <v>7.2904988355345149E-5</v>
      </c>
      <c r="U19" s="3658">
        <v>0</v>
      </c>
      <c r="V19" s="3659">
        <v>0.74</v>
      </c>
      <c r="W19" s="3660">
        <v>0.85000000000000009</v>
      </c>
      <c r="X19" s="3661">
        <v>0</v>
      </c>
      <c r="Y19" s="674"/>
    </row>
    <row r="20" spans="1:25" ht="13.5" customHeight="1" x14ac:dyDescent="0.25">
      <c r="A20" s="3553" t="s">
        <v>1656</v>
      </c>
      <c r="B20" s="3648">
        <v>14371.8277242125</v>
      </c>
      <c r="C20" s="3649">
        <v>12076.036368537654</v>
      </c>
      <c r="D20" s="3650">
        <v>719.90017088277864</v>
      </c>
      <c r="E20" s="3651">
        <v>11190.260485988307</v>
      </c>
      <c r="F20" s="3651">
        <v>0</v>
      </c>
      <c r="G20" s="3651">
        <v>27.977321478877229</v>
      </c>
      <c r="H20" s="3651">
        <v>0</v>
      </c>
      <c r="I20" s="3651">
        <v>2433.6897458625381</v>
      </c>
      <c r="J20" s="3652">
        <v>0</v>
      </c>
      <c r="K20" s="3662">
        <v>11910.160656871085</v>
      </c>
      <c r="L20" s="3652">
        <v>11938.137978349961</v>
      </c>
      <c r="M20" s="3654">
        <v>2.5443228394632342</v>
      </c>
      <c r="N20" s="3655">
        <v>0.84025752327888803</v>
      </c>
      <c r="O20" s="3656">
        <v>5.0091065986683704E-2</v>
      </c>
      <c r="P20" s="3657">
        <v>0.77862473032124191</v>
      </c>
      <c r="Q20" s="3657">
        <v>0</v>
      </c>
      <c r="R20" s="3657">
        <v>2.9190018020542876E-5</v>
      </c>
      <c r="S20" s="3657">
        <v>0</v>
      </c>
      <c r="T20" s="3657">
        <v>2.5391797278296428E-3</v>
      </c>
      <c r="U20" s="3658">
        <v>0</v>
      </c>
      <c r="V20" s="3659">
        <v>0.82871579630792558</v>
      </c>
      <c r="W20" s="3660">
        <v>0.83066247435164742</v>
      </c>
      <c r="X20" s="3661">
        <v>1.7703543963143697E-4</v>
      </c>
      <c r="Y20" s="674"/>
    </row>
    <row r="21" spans="1:25" ht="13.5" customHeight="1" x14ac:dyDescent="0.25">
      <c r="A21" s="3553" t="s">
        <v>1657</v>
      </c>
      <c r="B21" s="3648">
        <v>24964.863096351026</v>
      </c>
      <c r="C21" s="3649">
        <v>23472.65408576775</v>
      </c>
      <c r="D21" s="3650">
        <v>191.18770638576771</v>
      </c>
      <c r="E21" s="3651">
        <v>9293.2845160816396</v>
      </c>
      <c r="F21" s="3651">
        <v>0</v>
      </c>
      <c r="G21" s="3651">
        <v>13530.40404888362</v>
      </c>
      <c r="H21" s="3651">
        <v>0</v>
      </c>
      <c r="I21" s="3651">
        <v>1949.9868249999997</v>
      </c>
      <c r="J21" s="3652">
        <v>0</v>
      </c>
      <c r="K21" s="3662">
        <v>9484.4722224674078</v>
      </c>
      <c r="L21" s="3652">
        <v>23014.87627135103</v>
      </c>
      <c r="M21" s="3654">
        <v>0</v>
      </c>
      <c r="N21" s="3655">
        <v>0.94022763093776451</v>
      </c>
      <c r="O21" s="3656">
        <v>7.6582717737279536E-3</v>
      </c>
      <c r="P21" s="3657">
        <v>0.37225457556945252</v>
      </c>
      <c r="Q21" s="3657">
        <v>0</v>
      </c>
      <c r="R21" s="3657">
        <v>1.4116888863371964E-2</v>
      </c>
      <c r="S21" s="3657">
        <v>0</v>
      </c>
      <c r="T21" s="3657">
        <v>2.034510365995747E-3</v>
      </c>
      <c r="U21" s="3658">
        <v>0</v>
      </c>
      <c r="V21" s="3659">
        <v>0.37991284734318048</v>
      </c>
      <c r="W21" s="3660">
        <v>0.92189074630715617</v>
      </c>
      <c r="X21" s="3661">
        <v>0</v>
      </c>
      <c r="Y21" s="674"/>
    </row>
    <row r="22" spans="1:25" ht="32.25" customHeight="1" x14ac:dyDescent="0.25">
      <c r="A22" s="3553" t="s">
        <v>1659</v>
      </c>
      <c r="B22" s="3663">
        <v>93498.474909877594</v>
      </c>
      <c r="C22" s="3664">
        <v>205.76415</v>
      </c>
      <c r="D22" s="3665">
        <v>26.378964030000002</v>
      </c>
      <c r="E22" s="3666">
        <v>91.3592826</v>
      </c>
      <c r="F22" s="3666">
        <v>0</v>
      </c>
      <c r="G22" s="3666">
        <v>61878.523599873573</v>
      </c>
      <c r="H22" s="3651">
        <v>467.42328517612566</v>
      </c>
      <c r="I22" s="3666">
        <v>31034.598929483393</v>
      </c>
      <c r="J22" s="3667">
        <v>0</v>
      </c>
      <c r="K22" s="3668">
        <v>117.73824663000001</v>
      </c>
      <c r="L22" s="3667">
        <v>61996.261846503578</v>
      </c>
      <c r="M22" s="3669">
        <v>1658.9577375898953</v>
      </c>
      <c r="N22" s="3670">
        <v>2.2007219925066625E-3</v>
      </c>
      <c r="O22" s="3671">
        <v>2.8213255943935415E-4</v>
      </c>
      <c r="P22" s="3672">
        <v>9.7712056467295807E-4</v>
      </c>
      <c r="Q22" s="3672">
        <v>0</v>
      </c>
      <c r="R22" s="3672">
        <v>6.4560691427469133E-2</v>
      </c>
      <c r="S22" s="3672">
        <v>4.9992610641689189E-3</v>
      </c>
      <c r="T22" s="3672">
        <v>3.2379815297754376E-2</v>
      </c>
      <c r="U22" s="3673">
        <v>0</v>
      </c>
      <c r="V22" s="3674">
        <v>1.2592531241123123E-3</v>
      </c>
      <c r="W22" s="3672">
        <v>0.66307243948375905</v>
      </c>
      <c r="X22" s="3673">
        <v>1.7743152914407971E-2</v>
      </c>
      <c r="Y22" s="674"/>
    </row>
    <row r="23" spans="1:25" ht="13.5" customHeight="1" x14ac:dyDescent="0.25">
      <c r="A23" s="3644" t="s">
        <v>1756</v>
      </c>
      <c r="B23" s="3675">
        <v>958455.0944500207</v>
      </c>
      <c r="C23" s="3676">
        <v>436398.7091082079</v>
      </c>
      <c r="D23" s="3677">
        <v>6803.5301591485468</v>
      </c>
      <c r="E23" s="3678">
        <v>310756.33323672484</v>
      </c>
      <c r="F23" s="3678">
        <v>78491.149642586737</v>
      </c>
      <c r="G23" s="3678">
        <v>301886.54485179996</v>
      </c>
      <c r="H23" s="3678">
        <v>2635.7945229777488</v>
      </c>
      <c r="I23" s="3678">
        <v>197874.28168811233</v>
      </c>
      <c r="J23" s="3679">
        <v>60007.269499956012</v>
      </c>
      <c r="K23" s="3680">
        <v>396051.01303846022</v>
      </c>
      <c r="L23" s="3678">
        <v>697937.55789026001</v>
      </c>
      <c r="M23" s="3681">
        <v>9387.2046646822455</v>
      </c>
      <c r="N23" s="3682">
        <v>0.45531471597907419</v>
      </c>
      <c r="O23" s="3683">
        <v>7.0984339261637901E-3</v>
      </c>
      <c r="P23" s="3684">
        <v>0.32422628356422123</v>
      </c>
      <c r="Q23" s="3684">
        <v>8.1893403349925759E-2</v>
      </c>
      <c r="R23" s="3684">
        <v>0.31497202800620311</v>
      </c>
      <c r="S23" s="3684">
        <v>2.7500448776791326E-3</v>
      </c>
      <c r="T23" s="3684">
        <v>0.20645128064310228</v>
      </c>
      <c r="U23" s="3685">
        <v>6.2608326511519347E-2</v>
      </c>
      <c r="V23" s="3686">
        <v>0.4132181208403109</v>
      </c>
      <c r="W23" s="3687">
        <v>0.72819014884651379</v>
      </c>
      <c r="X23" s="3688">
        <v>9.7940996078369202E-3</v>
      </c>
      <c r="Y23" s="674"/>
    </row>
    <row r="24" spans="1:25" ht="27.75" customHeight="1" x14ac:dyDescent="0.25">
      <c r="B24" s="3689"/>
      <c r="C24" s="3689"/>
      <c r="D24" s="3689"/>
      <c r="E24" s="3689"/>
      <c r="F24" s="3689"/>
      <c r="G24" s="3689"/>
      <c r="H24" s="3689"/>
      <c r="I24" s="3689"/>
      <c r="J24" s="3689"/>
      <c r="K24" s="3689"/>
      <c r="L24" s="3689"/>
      <c r="M24" s="3689"/>
      <c r="N24" s="3690"/>
      <c r="O24" s="3691"/>
      <c r="P24" s="3691"/>
      <c r="Q24" s="3691"/>
      <c r="R24" s="3691"/>
      <c r="S24" s="3691"/>
      <c r="T24" s="3691"/>
      <c r="U24" s="3691"/>
      <c r="V24" s="3690"/>
      <c r="W24" s="3691"/>
      <c r="X24" s="3692"/>
      <c r="Y24" s="674"/>
    </row>
    <row r="25" spans="1:25" ht="33" customHeight="1" x14ac:dyDescent="0.25">
      <c r="A25" s="3553" t="s">
        <v>1658</v>
      </c>
      <c r="B25" s="3693">
        <v>164304.83989704255</v>
      </c>
      <c r="C25" s="3693">
        <v>142208.38543999998</v>
      </c>
      <c r="D25" s="3694">
        <v>0</v>
      </c>
      <c r="E25" s="3695">
        <v>110922.54064319999</v>
      </c>
      <c r="F25" s="3695">
        <v>0</v>
      </c>
      <c r="G25" s="3695">
        <v>11470.447409423297</v>
      </c>
      <c r="H25" s="3695">
        <v>132.20855592359973</v>
      </c>
      <c r="I25" s="3695">
        <v>41779.643288495652</v>
      </c>
      <c r="J25" s="3696">
        <v>0</v>
      </c>
      <c r="K25" s="3697">
        <v>110922.54064319999</v>
      </c>
      <c r="L25" s="3696">
        <v>122392.98805262329</v>
      </c>
      <c r="M25" s="3698">
        <v>465.13367911110345</v>
      </c>
      <c r="N25" s="3699">
        <v>0.86551549868592581</v>
      </c>
      <c r="O25" s="3700">
        <v>0</v>
      </c>
      <c r="P25" s="3701">
        <v>0.67510208897502211</v>
      </c>
      <c r="Q25" s="3701">
        <v>0</v>
      </c>
      <c r="R25" s="3701">
        <v>1.1967641964494177E-2</v>
      </c>
      <c r="S25" s="3701">
        <v>8.0465405648698395E-4</v>
      </c>
      <c r="T25" s="3701">
        <v>4.3590611109923294E-2</v>
      </c>
      <c r="U25" s="3702">
        <v>0</v>
      </c>
      <c r="V25" s="3703">
        <v>0.67510208897502211</v>
      </c>
      <c r="W25" s="3703">
        <v>0.74491407635537543</v>
      </c>
      <c r="X25" s="3704">
        <v>2.8309189151248838E-3</v>
      </c>
    </row>
    <row r="26" spans="1:25" s="3549" customFormat="1" ht="18" customHeight="1" x14ac:dyDescent="0.3">
      <c r="A26" s="3645" t="s">
        <v>1755</v>
      </c>
      <c r="B26" s="3705">
        <v>1122759.9343470633</v>
      </c>
      <c r="C26" s="3705">
        <v>578607.09454820794</v>
      </c>
      <c r="D26" s="3706">
        <v>6803.5301591485468</v>
      </c>
      <c r="E26" s="3707">
        <v>421678.87387992482</v>
      </c>
      <c r="F26" s="3707">
        <v>78491.149642586737</v>
      </c>
      <c r="G26" s="3707">
        <v>313356.99226122326</v>
      </c>
      <c r="H26" s="3707">
        <v>2768.0030789013485</v>
      </c>
      <c r="I26" s="3707">
        <v>239653.92497660799</v>
      </c>
      <c r="J26" s="3708">
        <v>60007.269499956012</v>
      </c>
      <c r="K26" s="3709">
        <v>506973.55368166021</v>
      </c>
      <c r="L26" s="3708">
        <v>820330.54594288324</v>
      </c>
      <c r="M26" s="3710">
        <v>9852.338343793348</v>
      </c>
      <c r="N26" s="3711">
        <v>0.51534355372655394</v>
      </c>
      <c r="O26" s="3712">
        <v>6.0596481500785945E-3</v>
      </c>
      <c r="P26" s="3713">
        <v>0.37557349615004793</v>
      </c>
      <c r="Q26" s="3713">
        <v>6.9909111682216349E-2</v>
      </c>
      <c r="R26" s="3713">
        <v>0.27909527466657846</v>
      </c>
      <c r="S26" s="3713">
        <v>2.4653561230888331E-3</v>
      </c>
      <c r="T26" s="3713">
        <v>0.21345072766243461</v>
      </c>
      <c r="U26" s="3714">
        <v>5.3446215583790854E-2</v>
      </c>
      <c r="V26" s="3715">
        <v>0.45154225598234293</v>
      </c>
      <c r="W26" s="3715">
        <v>0.73063753064892123</v>
      </c>
      <c r="X26" s="3716">
        <v>8.7751068081378739E-3</v>
      </c>
    </row>
    <row r="27" spans="1:25" s="3549" customFormat="1" ht="18" customHeight="1" x14ac:dyDescent="0.3"/>
    <row r="28" spans="1:25" ht="13.8" thickBot="1" x14ac:dyDescent="0.3"/>
    <row r="29" spans="1:25" ht="19.8" thickTop="1" x14ac:dyDescent="0.45">
      <c r="A29" s="3564"/>
      <c r="B29" s="3564"/>
      <c r="C29" s="3564"/>
      <c r="D29" s="3564"/>
      <c r="E29" s="3564"/>
      <c r="F29" s="3564"/>
      <c r="G29" s="3564"/>
      <c r="H29" s="3564"/>
      <c r="I29" s="3564"/>
      <c r="J29" s="3564"/>
      <c r="K29" s="3564"/>
      <c r="L29" s="3564"/>
      <c r="M29" s="3564"/>
      <c r="N29" s="3564"/>
      <c r="O29" s="3564"/>
      <c r="P29" s="3564"/>
      <c r="Q29" s="3564"/>
      <c r="R29" s="3564"/>
      <c r="S29" s="3564"/>
      <c r="T29" s="3564"/>
      <c r="U29" s="3564"/>
      <c r="V29" s="3564"/>
    </row>
    <row r="30" spans="1:25" ht="13.8" thickBot="1" x14ac:dyDescent="0.3"/>
    <row r="31" spans="1:25" x14ac:dyDescent="0.25">
      <c r="A31" s="3554" t="s">
        <v>1660</v>
      </c>
      <c r="B31" s="3550"/>
      <c r="C31" s="3550"/>
      <c r="D31" s="3550"/>
      <c r="E31" s="3550"/>
      <c r="F31" s="3550"/>
      <c r="G31" s="3550"/>
      <c r="H31" s="3550"/>
      <c r="I31" s="3550"/>
      <c r="J31" s="3550"/>
      <c r="K31" s="3550"/>
      <c r="L31" s="3550"/>
      <c r="M31" s="3550"/>
      <c r="N31" s="3550"/>
      <c r="O31" s="3550"/>
      <c r="P31" s="3550"/>
      <c r="Q31" s="3550"/>
      <c r="R31" s="3550"/>
      <c r="S31" s="3550"/>
      <c r="T31" s="3550"/>
      <c r="U31" s="3550"/>
      <c r="V31" s="3550"/>
    </row>
    <row r="32" spans="1:25" ht="13.8" x14ac:dyDescent="0.3">
      <c r="A32" s="3540" t="s">
        <v>1754</v>
      </c>
      <c r="B32" s="3552"/>
      <c r="C32" s="3552"/>
      <c r="D32" s="3552"/>
      <c r="E32" s="3552"/>
      <c r="F32" s="3552"/>
      <c r="G32" s="3552"/>
      <c r="H32" s="3552"/>
      <c r="I32" s="3552"/>
      <c r="J32" s="3552"/>
      <c r="K32" s="3552"/>
      <c r="L32" s="3552"/>
      <c r="M32" s="3552"/>
      <c r="N32" s="3552"/>
      <c r="O32" s="3552"/>
      <c r="P32" s="3552"/>
      <c r="Q32" s="3552"/>
      <c r="R32" s="3552"/>
      <c r="S32" s="3552"/>
      <c r="T32" s="3552"/>
      <c r="U32" s="3552"/>
      <c r="V32" s="3552"/>
    </row>
    <row r="33" spans="1:22" ht="14.4" x14ac:dyDescent="0.3">
      <c r="A33" s="3563"/>
      <c r="B33" s="3563"/>
      <c r="C33" s="3563"/>
      <c r="D33" s="3563"/>
      <c r="E33" s="3563"/>
      <c r="F33" s="3563"/>
      <c r="G33" s="3563"/>
      <c r="H33" s="3563"/>
      <c r="I33" s="3563"/>
      <c r="J33" s="3563"/>
      <c r="K33" s="3563"/>
      <c r="L33" s="3563"/>
      <c r="M33" s="3563"/>
      <c r="N33" s="3563"/>
      <c r="O33" s="3563"/>
      <c r="P33" s="3563"/>
      <c r="Q33" s="3563"/>
      <c r="R33" s="3563"/>
      <c r="S33" s="3563"/>
      <c r="T33" s="3563"/>
      <c r="U33" s="3563"/>
      <c r="V33" s="3563"/>
    </row>
  </sheetData>
  <autoFilter ref="N3:X3" xr:uid="{00000000-0001-0000-1A00-000000000000}"/>
  <mergeCells count="1">
    <mergeCell ref="M2:P2"/>
  </mergeCells>
  <pageMargins left="0.75" right="0.75" top="1" bottom="1" header="0" footer="0"/>
  <pageSetup paperSize="9" scale="5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8">
    <tabColor rgb="FFCC99FF"/>
    <pageSetUpPr fitToPage="1"/>
  </sheetPr>
  <dimension ref="A1:W43"/>
  <sheetViews>
    <sheetView topLeftCell="A12" workbookViewId="0"/>
  </sheetViews>
  <sheetFormatPr baseColWidth="10" defaultColWidth="9.109375" defaultRowHeight="13.2" x14ac:dyDescent="0.25"/>
  <cols>
    <col min="1" max="1" width="38.44140625" style="669" customWidth="1"/>
    <col min="2" max="9" width="10.44140625" style="669" bestFit="1" customWidth="1"/>
    <col min="10" max="13" width="10.44140625" style="679" bestFit="1" customWidth="1"/>
    <col min="14" max="19" width="10.44140625" style="669" bestFit="1" customWidth="1"/>
    <col min="20" max="20" width="10.44140625" style="3225" bestFit="1" customWidth="1"/>
    <col min="21" max="21" width="10.44140625" style="669" bestFit="1" customWidth="1"/>
    <col min="22" max="16384" width="9.109375" style="669"/>
  </cols>
  <sheetData>
    <row r="1" spans="1:23" ht="36" customHeight="1" thickTop="1" x14ac:dyDescent="0.55000000000000004">
      <c r="A1" s="3642" t="s">
        <v>1803</v>
      </c>
      <c r="B1" s="3543"/>
      <c r="C1" s="3543"/>
      <c r="D1" s="3543"/>
      <c r="E1" s="3543"/>
      <c r="F1" s="3543"/>
      <c r="G1" s="3543"/>
      <c r="H1" s="3543"/>
      <c r="I1" s="3543"/>
      <c r="J1" s="3543"/>
      <c r="K1" s="3543"/>
      <c r="L1" s="3543"/>
      <c r="M1" s="3543"/>
      <c r="N1" s="3543"/>
      <c r="O1" s="3543"/>
      <c r="P1" s="3543"/>
      <c r="Q1" s="3543"/>
      <c r="R1" s="3543"/>
      <c r="S1" s="3543"/>
      <c r="T1" s="3543"/>
      <c r="U1" s="3543"/>
    </row>
    <row r="2" spans="1:23" ht="24.9" customHeight="1" x14ac:dyDescent="0.25">
      <c r="A2" s="3544" t="s">
        <v>1662</v>
      </c>
      <c r="B2" s="672"/>
      <c r="C2" s="672"/>
      <c r="D2" s="672"/>
      <c r="E2" s="673"/>
      <c r="F2" s="673"/>
      <c r="G2" s="673"/>
      <c r="H2" s="673"/>
      <c r="I2" s="673"/>
      <c r="J2" s="673"/>
      <c r="K2" s="673"/>
      <c r="L2" s="673"/>
      <c r="M2" s="3845"/>
      <c r="N2" s="3845"/>
      <c r="O2" s="3845"/>
      <c r="P2" s="3845"/>
      <c r="Q2" s="673"/>
      <c r="R2" s="673"/>
      <c r="S2" s="3304"/>
      <c r="T2" s="3304"/>
      <c r="U2" s="3304"/>
    </row>
    <row r="3" spans="1:23" ht="33" customHeight="1" x14ac:dyDescent="0.25">
      <c r="A3" s="3558" t="s">
        <v>1661</v>
      </c>
      <c r="B3" s="3560"/>
      <c r="C3" s="3561"/>
      <c r="D3" s="3561"/>
      <c r="E3" s="3561"/>
      <c r="F3" s="3561"/>
      <c r="G3" s="3561"/>
      <c r="H3" s="3561"/>
      <c r="I3" s="3561"/>
      <c r="J3" s="3561"/>
      <c r="K3" s="3561"/>
      <c r="L3" s="3561"/>
      <c r="M3" s="3561"/>
      <c r="N3" s="3561"/>
      <c r="O3" s="3561"/>
      <c r="P3" s="3561"/>
      <c r="Q3" s="3561"/>
      <c r="R3" s="3561"/>
      <c r="S3" s="3561"/>
      <c r="T3" s="3561"/>
      <c r="U3" s="3561"/>
      <c r="V3" s="3561"/>
      <c r="W3" s="3562"/>
    </row>
    <row r="4" spans="1:23" ht="22.5" customHeight="1" x14ac:dyDescent="0.25">
      <c r="A4" s="3545" t="s">
        <v>1666</v>
      </c>
      <c r="B4" s="3559">
        <v>2003</v>
      </c>
      <c r="C4" s="3559">
        <v>2004</v>
      </c>
      <c r="D4" s="3559">
        <v>2005</v>
      </c>
      <c r="E4" s="3559">
        <v>2006</v>
      </c>
      <c r="F4" s="3559">
        <v>2007</v>
      </c>
      <c r="G4" s="3559">
        <v>2008</v>
      </c>
      <c r="H4" s="3559">
        <v>2009</v>
      </c>
      <c r="I4" s="3559">
        <v>2010</v>
      </c>
      <c r="J4" s="3559">
        <v>2011</v>
      </c>
      <c r="K4" s="3559">
        <v>2012</v>
      </c>
      <c r="L4" s="3559">
        <v>2013</v>
      </c>
      <c r="M4" s="3559">
        <v>2014</v>
      </c>
      <c r="N4" s="3559">
        <v>2015</v>
      </c>
      <c r="O4" s="3559">
        <v>2016</v>
      </c>
      <c r="P4" s="3559">
        <v>2017</v>
      </c>
      <c r="Q4" s="3559">
        <v>2018</v>
      </c>
      <c r="R4" s="3559">
        <v>2019</v>
      </c>
      <c r="S4" s="3559">
        <v>2020</v>
      </c>
      <c r="T4" s="3559">
        <v>2021</v>
      </c>
      <c r="U4" s="3559">
        <v>2022</v>
      </c>
      <c r="V4" s="3559">
        <v>2023</v>
      </c>
      <c r="W4" s="3559">
        <v>2024</v>
      </c>
    </row>
    <row r="5" spans="1:23" ht="36" customHeight="1" x14ac:dyDescent="0.25">
      <c r="A5" s="3556" t="s">
        <v>1667</v>
      </c>
      <c r="B5" s="3546">
        <v>1151202</v>
      </c>
      <c r="C5" s="3546">
        <v>1190472.0662431018</v>
      </c>
      <c r="D5" s="3546">
        <v>1163682.054</v>
      </c>
      <c r="E5" s="3546">
        <v>1190418.0559</v>
      </c>
      <c r="F5" s="3546">
        <v>1224514.095</v>
      </c>
      <c r="G5" s="3546">
        <v>1173231.9640000002</v>
      </c>
      <c r="H5" s="3546">
        <v>1108639.4546700001</v>
      </c>
      <c r="I5" s="3546">
        <v>1068580.953</v>
      </c>
      <c r="J5" s="3546">
        <v>1056297.0474</v>
      </c>
      <c r="K5" s="3546">
        <v>1037504.463246</v>
      </c>
      <c r="L5" s="3546">
        <v>1007446.8134627045</v>
      </c>
      <c r="M5" s="3546">
        <v>1029371.8168910441</v>
      </c>
      <c r="N5" s="3546">
        <v>1011866.3993892496</v>
      </c>
      <c r="O5" s="3546">
        <v>1039923.979150366</v>
      </c>
      <c r="P5" s="3546">
        <v>1036260.6201838328</v>
      </c>
      <c r="Q5" s="3546">
        <v>1066107.1657080506</v>
      </c>
      <c r="R5" s="3546">
        <v>1038480.5658520526</v>
      </c>
      <c r="S5" s="3546">
        <v>995090.16549577448</v>
      </c>
      <c r="T5" s="3546">
        <v>1011282.1386705698</v>
      </c>
      <c r="U5" s="3546">
        <v>988078.95841225213</v>
      </c>
      <c r="V5" s="3546">
        <v>957116.88627117267</v>
      </c>
      <c r="W5" s="3546">
        <v>980551.54890706332</v>
      </c>
    </row>
    <row r="6" spans="1:23" ht="19.5" customHeight="1" x14ac:dyDescent="0.25">
      <c r="A6" s="3556" t="s">
        <v>1668</v>
      </c>
      <c r="B6" s="3546">
        <v>884959</v>
      </c>
      <c r="C6" s="3546">
        <v>865017.06624310173</v>
      </c>
      <c r="D6" s="3546">
        <v>867444.17999999993</v>
      </c>
      <c r="E6" s="3546">
        <v>879562.13390000002</v>
      </c>
      <c r="F6" s="3546">
        <v>888500.89500000002</v>
      </c>
      <c r="G6" s="3546">
        <v>868084.44200000004</v>
      </c>
      <c r="H6" s="3546">
        <v>852221.01967000007</v>
      </c>
      <c r="I6" s="3546">
        <v>841826.97200000007</v>
      </c>
      <c r="J6" s="3546">
        <v>763141.04355320008</v>
      </c>
      <c r="K6" s="3546">
        <v>754729.89636770403</v>
      </c>
      <c r="L6" s="3546">
        <v>754516.63589770452</v>
      </c>
      <c r="M6" s="3546">
        <v>780388.32043822983</v>
      </c>
      <c r="N6" s="3546">
        <v>774313.05924338498</v>
      </c>
      <c r="O6" s="3546">
        <v>787899.69892994198</v>
      </c>
      <c r="P6" s="3546">
        <v>791723.97932479565</v>
      </c>
      <c r="Q6" s="3546">
        <v>800465.54599163297</v>
      </c>
      <c r="R6" s="3546">
        <v>805857.63041110779</v>
      </c>
      <c r="S6" s="3546">
        <v>776890.2428739774</v>
      </c>
      <c r="T6" s="3546">
        <v>796401.70593814889</v>
      </c>
      <c r="U6" s="3546">
        <v>775437.46850433201</v>
      </c>
      <c r="V6" s="3546">
        <v>785043.87700344855</v>
      </c>
      <c r="W6" s="3546">
        <v>801917.82637860451</v>
      </c>
    </row>
    <row r="7" spans="1:23" ht="18" customHeight="1" x14ac:dyDescent="0.25">
      <c r="A7" s="3557" t="s">
        <v>1669</v>
      </c>
      <c r="B7" s="3547">
        <v>714195</v>
      </c>
      <c r="C7" s="3547">
        <v>692659.06624310173</v>
      </c>
      <c r="D7" s="3547">
        <v>688364.45600000001</v>
      </c>
      <c r="E7" s="3547">
        <v>693085.06</v>
      </c>
      <c r="F7" s="3547">
        <v>688108.495</v>
      </c>
      <c r="G7" s="3547">
        <v>656906.35900000005</v>
      </c>
      <c r="H7" s="3547">
        <v>641169.10290490987</v>
      </c>
      <c r="I7" s="3547">
        <v>634577.36300000001</v>
      </c>
      <c r="J7" s="3547">
        <v>589861.32272000005</v>
      </c>
      <c r="K7" s="3547">
        <v>568761.77564000012</v>
      </c>
      <c r="L7" s="3547">
        <v>563304.45744000003</v>
      </c>
      <c r="M7" s="3547">
        <v>554238.38298862288</v>
      </c>
      <c r="N7" s="3547">
        <v>535267.3867830832</v>
      </c>
      <c r="O7" s="3547">
        <v>535796.98464744166</v>
      </c>
      <c r="P7" s="3547">
        <v>531351.23768526712</v>
      </c>
      <c r="Q7" s="3547">
        <v>518273.38651880005</v>
      </c>
      <c r="R7" s="3547">
        <v>507878.40852886596</v>
      </c>
      <c r="S7" s="3547">
        <v>479840.31153594615</v>
      </c>
      <c r="T7" s="3547">
        <v>487872.79857627588</v>
      </c>
      <c r="U7" s="3547">
        <v>472218.39590771706</v>
      </c>
      <c r="V7" s="3547">
        <v>471379.44965903793</v>
      </c>
      <c r="W7" s="3547">
        <v>475664.90751974686</v>
      </c>
    </row>
    <row r="8" spans="1:23" ht="18" customHeight="1" x14ac:dyDescent="0.25">
      <c r="A8" s="3557" t="s">
        <v>1670</v>
      </c>
      <c r="B8" s="3547">
        <v>170764</v>
      </c>
      <c r="C8" s="3547">
        <v>172358</v>
      </c>
      <c r="D8" s="3547">
        <v>179079.72399999999</v>
      </c>
      <c r="E8" s="3547">
        <v>186477.07390000002</v>
      </c>
      <c r="F8" s="3547">
        <v>200392.4</v>
      </c>
      <c r="G8" s="3547">
        <v>211178.08299999998</v>
      </c>
      <c r="H8" s="3547">
        <v>211051.91676509014</v>
      </c>
      <c r="I8" s="3547">
        <v>207249.609</v>
      </c>
      <c r="J8" s="3547">
        <v>173279.7208332</v>
      </c>
      <c r="K8" s="3547">
        <v>185968.12072770396</v>
      </c>
      <c r="L8" s="3547">
        <v>191212.17845770452</v>
      </c>
      <c r="M8" s="3547">
        <v>226149.93744960698</v>
      </c>
      <c r="N8" s="3547">
        <v>239045.67246030178</v>
      </c>
      <c r="O8" s="3547">
        <v>252102.71428250038</v>
      </c>
      <c r="P8" s="3547">
        <v>260372.74163952854</v>
      </c>
      <c r="Q8" s="3547">
        <v>282192.15947283292</v>
      </c>
      <c r="R8" s="3547">
        <v>297979.22188224184</v>
      </c>
      <c r="S8" s="3547">
        <v>297049.93133803131</v>
      </c>
      <c r="T8" s="3547">
        <v>308528.90736187302</v>
      </c>
      <c r="U8" s="3547">
        <v>303219.07259661495</v>
      </c>
      <c r="V8" s="3547">
        <v>313664.42734441068</v>
      </c>
      <c r="W8" s="3547">
        <v>326252.91885885765</v>
      </c>
    </row>
    <row r="9" spans="1:23" ht="19.5" customHeight="1" x14ac:dyDescent="0.25">
      <c r="A9" s="3556" t="s">
        <v>1671</v>
      </c>
      <c r="B9" s="3546">
        <v>266243</v>
      </c>
      <c r="C9" s="3546">
        <v>325455</v>
      </c>
      <c r="D9" s="3546">
        <v>296237.87400000001</v>
      </c>
      <c r="E9" s="3546">
        <v>310855.92200000002</v>
      </c>
      <c r="F9" s="3546">
        <v>336013.2</v>
      </c>
      <c r="G9" s="3546">
        <v>305147.522</v>
      </c>
      <c r="H9" s="3546">
        <v>256418.435</v>
      </c>
      <c r="I9" s="3546">
        <v>226753.981</v>
      </c>
      <c r="J9" s="3546">
        <v>293156.00384679995</v>
      </c>
      <c r="K9" s="3546">
        <v>282774.56687829597</v>
      </c>
      <c r="L9" s="3546">
        <v>252930.17756500002</v>
      </c>
      <c r="M9" s="3546">
        <v>248983.49645281432</v>
      </c>
      <c r="N9" s="3546">
        <v>237553.34014586467</v>
      </c>
      <c r="O9" s="3546">
        <v>252024.280220424</v>
      </c>
      <c r="P9" s="3546">
        <v>244536.64085903714</v>
      </c>
      <c r="Q9" s="3546">
        <v>265641.61971641774</v>
      </c>
      <c r="R9" s="3546">
        <v>232622.93544094486</v>
      </c>
      <c r="S9" s="3546">
        <v>218199.92262179713</v>
      </c>
      <c r="T9" s="3546">
        <v>214880.43273242092</v>
      </c>
      <c r="U9" s="3546">
        <v>212641.48990792007</v>
      </c>
      <c r="V9" s="3546">
        <v>172073.00926772409</v>
      </c>
      <c r="W9" s="3546">
        <v>178633.72252845878</v>
      </c>
    </row>
    <row r="10" spans="1:23" ht="18" customHeight="1" x14ac:dyDescent="0.25">
      <c r="A10" s="3557" t="s">
        <v>1672</v>
      </c>
      <c r="B10" s="3547">
        <v>135506</v>
      </c>
      <c r="C10" s="3547">
        <v>166579</v>
      </c>
      <c r="D10" s="3547">
        <v>143279.87400000001</v>
      </c>
      <c r="E10" s="3547">
        <v>149227.50200000001</v>
      </c>
      <c r="F10" s="3547">
        <v>162190</v>
      </c>
      <c r="G10" s="3547">
        <v>141321.42200000002</v>
      </c>
      <c r="H10" s="3547">
        <v>117312.435</v>
      </c>
      <c r="I10" s="3547">
        <v>102166.82</v>
      </c>
      <c r="J10" s="3547">
        <v>133362.80428000001</v>
      </c>
      <c r="K10" s="3547">
        <v>125334.51136</v>
      </c>
      <c r="L10" s="3547">
        <v>89236.610560000001</v>
      </c>
      <c r="M10" s="3547">
        <v>79464.260283193478</v>
      </c>
      <c r="N10" s="3547">
        <v>70324.159589833318</v>
      </c>
      <c r="O10" s="3547">
        <v>75402.070273690581</v>
      </c>
      <c r="P10" s="3547">
        <v>74982.40493047933</v>
      </c>
      <c r="Q10" s="3547">
        <v>74156.534631200004</v>
      </c>
      <c r="R10" s="3547">
        <v>68713.769069463626</v>
      </c>
      <c r="S10" s="3547">
        <v>74065.166027908359</v>
      </c>
      <c r="T10" s="3547">
        <v>71843.842347076788</v>
      </c>
      <c r="U10" s="3547">
        <v>71461.071494469987</v>
      </c>
      <c r="V10" s="3547">
        <v>64489.241636872866</v>
      </c>
      <c r="W10" s="3547">
        <v>68487.932279108412</v>
      </c>
    </row>
    <row r="11" spans="1:23" ht="18" customHeight="1" x14ac:dyDescent="0.25">
      <c r="A11" s="3557" t="s">
        <v>1673</v>
      </c>
      <c r="B11" s="3547">
        <v>130737</v>
      </c>
      <c r="C11" s="3547">
        <v>158876</v>
      </c>
      <c r="D11" s="3547">
        <v>152958</v>
      </c>
      <c r="E11" s="3547">
        <v>161628.41999999998</v>
      </c>
      <c r="F11" s="3547">
        <v>173823.2</v>
      </c>
      <c r="G11" s="3547">
        <v>163826.1</v>
      </c>
      <c r="H11" s="3547">
        <v>139106</v>
      </c>
      <c r="I11" s="3547">
        <v>124587.16099999999</v>
      </c>
      <c r="J11" s="3547">
        <v>159793.19956679997</v>
      </c>
      <c r="K11" s="3547">
        <v>157440.05551829599</v>
      </c>
      <c r="L11" s="3547">
        <v>163693.56700500002</v>
      </c>
      <c r="M11" s="3547">
        <v>169519.23616962082</v>
      </c>
      <c r="N11" s="3547">
        <v>167229.18055603135</v>
      </c>
      <c r="O11" s="3547">
        <v>176622.20994673343</v>
      </c>
      <c r="P11" s="3547">
        <v>169554.23592855781</v>
      </c>
      <c r="Q11" s="3547">
        <v>191485.08508521775</v>
      </c>
      <c r="R11" s="3547">
        <v>163909.16637148123</v>
      </c>
      <c r="S11" s="3547">
        <v>144134.75659388877</v>
      </c>
      <c r="T11" s="3547">
        <v>143036.59038534414</v>
      </c>
      <c r="U11" s="3547">
        <v>141180.4184134501</v>
      </c>
      <c r="V11" s="3547">
        <v>107583.76763085122</v>
      </c>
      <c r="W11" s="3547">
        <v>110145.79024935036</v>
      </c>
    </row>
    <row r="12" spans="1:23" ht="6.75" customHeight="1" thickBot="1" x14ac:dyDescent="0.3">
      <c r="A12" s="677"/>
      <c r="B12" s="3304"/>
      <c r="C12" s="3304"/>
      <c r="D12" s="3304"/>
      <c r="E12" s="3304"/>
      <c r="F12" s="3304"/>
      <c r="G12" s="3304"/>
      <c r="H12" s="3304"/>
      <c r="I12" s="3304"/>
      <c r="J12" s="3565"/>
      <c r="K12" s="3565"/>
      <c r="L12" s="3565"/>
      <c r="M12" s="3565"/>
      <c r="N12" s="3565"/>
      <c r="O12" s="3304"/>
      <c r="P12" s="3304"/>
      <c r="Q12" s="3304"/>
      <c r="R12" s="3304"/>
      <c r="S12" s="3304"/>
      <c r="T12" s="3304"/>
      <c r="U12" s="3304"/>
      <c r="V12" s="3304"/>
      <c r="W12" s="3304"/>
    </row>
    <row r="13" spans="1:23" ht="13.8" x14ac:dyDescent="0.3">
      <c r="A13" s="3541" t="s">
        <v>1663</v>
      </c>
      <c r="B13" s="3541"/>
      <c r="C13" s="3541"/>
      <c r="D13" s="3541"/>
      <c r="E13" s="3541"/>
      <c r="F13" s="3541"/>
      <c r="G13" s="3541"/>
      <c r="H13" s="3541"/>
      <c r="I13" s="3541"/>
      <c r="J13" s="3541"/>
      <c r="K13" s="3541"/>
      <c r="L13" s="3541"/>
      <c r="M13" s="3541"/>
      <c r="N13" s="3541"/>
      <c r="O13" s="3541"/>
      <c r="P13" s="3541"/>
      <c r="Q13" s="3541"/>
      <c r="R13" s="3541"/>
      <c r="S13" s="3541"/>
      <c r="T13" s="3541"/>
      <c r="U13" s="3541"/>
      <c r="V13" s="3541"/>
      <c r="W13" s="3541"/>
    </row>
    <row r="14" spans="1:23" ht="13.8" x14ac:dyDescent="0.3">
      <c r="A14" s="3542" t="s">
        <v>1664</v>
      </c>
      <c r="B14" s="3225"/>
      <c r="C14" s="3225"/>
      <c r="D14" s="3225"/>
      <c r="E14" s="3225"/>
      <c r="F14" s="3225"/>
      <c r="G14" s="3225"/>
      <c r="H14" s="3225"/>
      <c r="I14" s="3225"/>
      <c r="J14" s="3566"/>
      <c r="K14" s="3566"/>
      <c r="L14" s="3566"/>
      <c r="M14" s="3566"/>
      <c r="N14" s="3566"/>
      <c r="O14" s="3566"/>
      <c r="P14" s="3566"/>
      <c r="Q14" s="3566"/>
      <c r="R14" s="3566"/>
      <c r="S14" s="3566"/>
      <c r="T14" s="3566"/>
      <c r="U14" s="3566"/>
      <c r="V14" s="3566"/>
    </row>
    <row r="15" spans="1:23" ht="13.8" x14ac:dyDescent="0.3">
      <c r="A15" s="3542" t="s">
        <v>1665</v>
      </c>
      <c r="B15" s="3225"/>
      <c r="C15" s="3225"/>
      <c r="D15" s="3225"/>
      <c r="E15" s="3225"/>
      <c r="F15" s="3225"/>
      <c r="G15" s="3225"/>
      <c r="H15" s="3225"/>
      <c r="I15" s="3225"/>
      <c r="J15" s="3566"/>
      <c r="K15" s="3566"/>
      <c r="L15" s="3566"/>
      <c r="M15" s="3566"/>
      <c r="N15" s="3566"/>
      <c r="O15" s="3566"/>
      <c r="P15" s="3566"/>
      <c r="Q15" s="3566"/>
      <c r="R15" s="3566"/>
      <c r="S15" s="3566"/>
      <c r="T15" s="3566"/>
      <c r="U15" s="3566"/>
      <c r="V15" s="3566"/>
    </row>
    <row r="16" spans="1:23" x14ac:dyDescent="0.25">
      <c r="A16" s="3555" t="s">
        <v>1768</v>
      </c>
      <c r="B16" s="3225"/>
      <c r="C16" s="3225"/>
      <c r="D16" s="3225"/>
      <c r="E16" s="3225"/>
      <c r="F16" s="3225"/>
      <c r="G16" s="3225"/>
      <c r="H16" s="3225"/>
      <c r="I16" s="3225"/>
      <c r="J16" s="3566"/>
      <c r="K16" s="3566"/>
      <c r="L16" s="3566"/>
      <c r="M16" s="3566"/>
      <c r="N16" s="3566"/>
      <c r="O16" s="3566"/>
      <c r="P16" s="3566"/>
      <c r="Q16" s="3566"/>
      <c r="R16" s="3566"/>
      <c r="S16" s="3566"/>
      <c r="T16" s="3566"/>
      <c r="U16" s="3566"/>
      <c r="V16" s="3566"/>
    </row>
    <row r="17" spans="1:23" s="3637" customFormat="1" x14ac:dyDescent="0.25">
      <c r="A17" s="3725" t="s">
        <v>1772</v>
      </c>
      <c r="B17" s="3555"/>
      <c r="C17" s="3555"/>
      <c r="D17" s="3555"/>
      <c r="E17" s="3555"/>
      <c r="F17" s="3555"/>
      <c r="G17" s="3555"/>
      <c r="H17" s="3555"/>
      <c r="I17" s="3555"/>
      <c r="J17" s="3555"/>
      <c r="K17" s="3555"/>
      <c r="L17" s="3555"/>
      <c r="M17" s="3555"/>
      <c r="N17" s="3555"/>
      <c r="O17" s="3555"/>
      <c r="P17" s="3555"/>
      <c r="Q17" s="3555"/>
      <c r="R17" s="3555"/>
      <c r="S17" s="3555"/>
      <c r="T17" s="3555"/>
      <c r="U17" s="3555"/>
      <c r="V17" s="3555"/>
    </row>
    <row r="18" spans="1:23" ht="14.4" x14ac:dyDescent="0.3">
      <c r="A18" s="3540" t="s">
        <v>1754</v>
      </c>
      <c r="B18" s="3563"/>
      <c r="C18" s="3563"/>
      <c r="D18" s="3563"/>
      <c r="E18" s="3563"/>
      <c r="F18" s="3563"/>
      <c r="G18" s="3563"/>
      <c r="H18" s="3563"/>
      <c r="I18" s="3563"/>
      <c r="J18" s="3563"/>
      <c r="K18" s="3563"/>
      <c r="L18" s="3563"/>
      <c r="M18" s="3563"/>
      <c r="N18" s="3563"/>
      <c r="O18" s="3563"/>
      <c r="P18" s="3563"/>
      <c r="Q18" s="3563"/>
      <c r="R18" s="3563"/>
      <c r="S18" s="3563"/>
      <c r="T18" s="3563"/>
      <c r="U18" s="3563"/>
      <c r="V18" s="3563"/>
    </row>
    <row r="19" spans="1:23" ht="15" thickBot="1" x14ac:dyDescent="0.35">
      <c r="A19" s="3563"/>
      <c r="B19" s="3563"/>
      <c r="C19" s="3563"/>
      <c r="D19" s="3563"/>
      <c r="E19" s="3563"/>
      <c r="F19" s="3563"/>
      <c r="G19" s="3563"/>
      <c r="H19" s="3563"/>
      <c r="I19" s="3563"/>
      <c r="J19" s="3563"/>
      <c r="K19" s="3563"/>
      <c r="L19" s="3563"/>
      <c r="M19" s="3563"/>
      <c r="N19" s="3563"/>
      <c r="O19" s="3563"/>
      <c r="P19" s="3563"/>
      <c r="Q19" s="3563"/>
      <c r="R19" s="3563"/>
      <c r="S19" s="3563"/>
      <c r="T19" s="3563"/>
      <c r="U19" s="3563"/>
      <c r="V19" s="3563"/>
    </row>
    <row r="20" spans="1:23" ht="19.8" thickTop="1" x14ac:dyDescent="0.45">
      <c r="A20" s="3564"/>
      <c r="B20" s="3564"/>
      <c r="C20" s="3564"/>
      <c r="D20" s="3564"/>
      <c r="E20" s="3564"/>
      <c r="F20" s="3564"/>
      <c r="G20" s="3564"/>
      <c r="H20" s="3564"/>
      <c r="I20" s="3564"/>
      <c r="J20" s="3564"/>
      <c r="K20" s="3564"/>
      <c r="L20" s="3564"/>
      <c r="M20" s="3564"/>
      <c r="N20" s="3564"/>
      <c r="O20" s="3564"/>
      <c r="P20" s="3564"/>
      <c r="Q20" s="3564"/>
      <c r="R20" s="3564"/>
      <c r="S20" s="3564"/>
      <c r="T20" s="3564"/>
      <c r="U20" s="3564"/>
      <c r="V20" s="3564"/>
      <c r="W20" s="3564"/>
    </row>
    <row r="21" spans="1:23" x14ac:dyDescent="0.25">
      <c r="B21" s="675"/>
      <c r="C21" s="675"/>
      <c r="D21" s="675"/>
      <c r="E21" s="675"/>
      <c r="F21" s="675"/>
      <c r="G21" s="675"/>
      <c r="H21" s="675"/>
      <c r="I21" s="675"/>
      <c r="J21" s="680"/>
      <c r="K21" s="680"/>
      <c r="L21" s="680"/>
      <c r="M21" s="680"/>
    </row>
    <row r="22" spans="1:23" x14ac:dyDescent="0.25">
      <c r="B22" s="675"/>
      <c r="C22" s="675"/>
      <c r="D22" s="675"/>
      <c r="E22" s="675"/>
      <c r="F22" s="675"/>
      <c r="G22" s="675"/>
      <c r="H22" s="675"/>
      <c r="I22" s="675"/>
      <c r="J22" s="680"/>
      <c r="K22" s="680"/>
      <c r="L22" s="680"/>
      <c r="M22" s="680"/>
      <c r="O22" s="2638"/>
    </row>
    <row r="23" spans="1:23" x14ac:dyDescent="0.25">
      <c r="B23" s="675"/>
      <c r="C23" s="675"/>
      <c r="D23" s="675"/>
      <c r="E23" s="675"/>
      <c r="F23" s="675"/>
      <c r="G23" s="675"/>
      <c r="H23" s="675"/>
      <c r="I23" s="675"/>
      <c r="J23" s="680"/>
      <c r="K23" s="680"/>
      <c r="L23" s="680"/>
      <c r="M23" s="680"/>
      <c r="O23" s="2638"/>
    </row>
    <row r="24" spans="1:23" x14ac:dyDescent="0.25">
      <c r="B24" s="675"/>
      <c r="C24" s="675"/>
      <c r="D24" s="675"/>
      <c r="E24" s="675"/>
      <c r="F24" s="675"/>
      <c r="G24" s="675"/>
      <c r="H24" s="675"/>
      <c r="I24" s="675"/>
      <c r="J24" s="680"/>
      <c r="K24" s="680"/>
      <c r="L24" s="680"/>
      <c r="M24" s="680"/>
    </row>
    <row r="25" spans="1:23" x14ac:dyDescent="0.25">
      <c r="B25" s="675"/>
      <c r="C25" s="675"/>
      <c r="D25" s="675"/>
      <c r="E25" s="675"/>
      <c r="F25" s="675"/>
      <c r="G25" s="675"/>
      <c r="H25" s="675"/>
      <c r="I25" s="675"/>
      <c r="J25" s="680"/>
      <c r="K25" s="680"/>
      <c r="L25" s="680"/>
      <c r="M25" s="680"/>
    </row>
    <row r="26" spans="1:23" x14ac:dyDescent="0.25">
      <c r="B26" s="675"/>
      <c r="C26" s="675"/>
      <c r="D26" s="675"/>
      <c r="E26" s="675"/>
      <c r="F26" s="675"/>
      <c r="G26" s="675"/>
      <c r="H26" s="675"/>
      <c r="I26" s="675"/>
      <c r="J26" s="680"/>
      <c r="K26" s="680"/>
      <c r="L26" s="680"/>
      <c r="M26" s="680"/>
    </row>
    <row r="27" spans="1:23" x14ac:dyDescent="0.25">
      <c r="B27" s="675"/>
      <c r="C27" s="675"/>
      <c r="D27" s="675"/>
      <c r="E27" s="675"/>
      <c r="F27" s="675"/>
      <c r="G27" s="675"/>
      <c r="H27" s="675"/>
      <c r="I27" s="675"/>
      <c r="J27" s="680"/>
      <c r="K27" s="680"/>
      <c r="L27" s="680"/>
      <c r="M27" s="680"/>
    </row>
    <row r="28" spans="1:23" x14ac:dyDescent="0.25">
      <c r="B28" s="675"/>
      <c r="C28" s="675"/>
      <c r="D28" s="675"/>
      <c r="E28" s="675"/>
      <c r="F28" s="675"/>
      <c r="G28" s="675"/>
      <c r="H28" s="675"/>
      <c r="I28" s="675"/>
      <c r="J28" s="680"/>
      <c r="K28" s="680"/>
      <c r="L28" s="680"/>
      <c r="M28" s="680"/>
    </row>
    <row r="29" spans="1:23" x14ac:dyDescent="0.25">
      <c r="B29" s="675"/>
      <c r="C29" s="675"/>
      <c r="D29" s="675"/>
      <c r="E29" s="675"/>
      <c r="F29" s="675"/>
      <c r="G29" s="675"/>
      <c r="H29" s="675"/>
      <c r="I29" s="675"/>
      <c r="J29" s="680"/>
      <c r="K29" s="680"/>
      <c r="L29" s="680"/>
      <c r="M29" s="680"/>
    </row>
    <row r="30" spans="1:23" x14ac:dyDescent="0.25">
      <c r="B30" s="675"/>
      <c r="C30" s="675"/>
      <c r="D30" s="675"/>
      <c r="E30" s="675"/>
      <c r="F30" s="675"/>
      <c r="G30" s="675"/>
      <c r="H30" s="675"/>
      <c r="I30" s="675"/>
      <c r="J30" s="680"/>
      <c r="K30" s="680"/>
      <c r="L30" s="680"/>
      <c r="M30" s="680"/>
    </row>
    <row r="31" spans="1:23" x14ac:dyDescent="0.25">
      <c r="B31" s="675"/>
      <c r="C31" s="675"/>
      <c r="D31" s="675"/>
      <c r="E31" s="675"/>
      <c r="F31" s="675"/>
      <c r="G31" s="675"/>
      <c r="H31" s="675"/>
      <c r="I31" s="675"/>
      <c r="J31" s="680"/>
      <c r="K31" s="680"/>
      <c r="L31" s="680"/>
      <c r="M31" s="680"/>
    </row>
    <row r="32" spans="1:23" x14ac:dyDescent="0.25">
      <c r="B32" s="675"/>
      <c r="C32" s="675"/>
      <c r="D32" s="675"/>
      <c r="E32" s="675"/>
      <c r="F32" s="675"/>
      <c r="G32" s="675"/>
      <c r="H32" s="675"/>
      <c r="I32" s="675"/>
      <c r="J32" s="680"/>
      <c r="K32" s="680"/>
      <c r="L32" s="680"/>
      <c r="M32" s="680"/>
    </row>
    <row r="33" spans="2:13" x14ac:dyDescent="0.25">
      <c r="B33" s="675"/>
      <c r="C33" s="675"/>
      <c r="D33" s="675"/>
      <c r="E33" s="675"/>
      <c r="F33" s="675"/>
      <c r="G33" s="675"/>
      <c r="H33" s="675"/>
      <c r="I33" s="675"/>
      <c r="J33" s="680"/>
      <c r="K33" s="680"/>
      <c r="L33" s="680"/>
      <c r="M33" s="680"/>
    </row>
    <row r="34" spans="2:13" x14ac:dyDescent="0.25">
      <c r="B34" s="675"/>
      <c r="C34" s="675"/>
      <c r="D34" s="675"/>
      <c r="E34" s="675"/>
      <c r="F34" s="675"/>
      <c r="G34" s="675"/>
      <c r="H34" s="675"/>
      <c r="I34" s="675"/>
      <c r="J34" s="680"/>
      <c r="K34" s="680"/>
      <c r="L34" s="680"/>
      <c r="M34" s="680"/>
    </row>
    <row r="35" spans="2:13" x14ac:dyDescent="0.25">
      <c r="B35" s="675"/>
      <c r="C35" s="675"/>
      <c r="D35" s="675"/>
      <c r="E35" s="675"/>
      <c r="F35" s="675"/>
      <c r="G35" s="675"/>
      <c r="H35" s="675"/>
      <c r="I35" s="675"/>
      <c r="J35" s="680"/>
      <c r="K35" s="680"/>
      <c r="L35" s="680"/>
      <c r="M35" s="680"/>
    </row>
    <row r="36" spans="2:13" x14ac:dyDescent="0.25">
      <c r="B36" s="675"/>
      <c r="C36" s="675"/>
      <c r="D36" s="675"/>
      <c r="E36" s="675"/>
      <c r="F36" s="675"/>
      <c r="G36" s="675"/>
      <c r="H36" s="675"/>
      <c r="I36" s="675"/>
      <c r="J36" s="680"/>
      <c r="K36" s="680"/>
      <c r="L36" s="680"/>
      <c r="M36" s="680"/>
    </row>
    <row r="37" spans="2:13" x14ac:dyDescent="0.25">
      <c r="B37" s="675"/>
      <c r="C37" s="675"/>
      <c r="D37" s="675"/>
      <c r="E37" s="675"/>
      <c r="F37" s="675"/>
      <c r="G37" s="675"/>
      <c r="H37" s="675"/>
      <c r="I37" s="675"/>
      <c r="J37" s="680"/>
      <c r="K37" s="680"/>
      <c r="L37" s="680"/>
      <c r="M37" s="680"/>
    </row>
    <row r="38" spans="2:13" x14ac:dyDescent="0.25">
      <c r="B38" s="675"/>
      <c r="C38" s="675"/>
      <c r="D38" s="675"/>
      <c r="E38" s="675"/>
      <c r="F38" s="675"/>
      <c r="G38" s="675"/>
      <c r="H38" s="675"/>
      <c r="I38" s="675"/>
      <c r="J38" s="680"/>
      <c r="K38" s="680"/>
      <c r="L38" s="680"/>
      <c r="M38" s="680"/>
    </row>
    <row r="39" spans="2:13" x14ac:dyDescent="0.25">
      <c r="B39" s="675"/>
      <c r="C39" s="675"/>
      <c r="D39" s="675"/>
      <c r="E39" s="675"/>
      <c r="F39" s="675"/>
      <c r="G39" s="675"/>
      <c r="H39" s="675"/>
      <c r="I39" s="675"/>
      <c r="J39" s="680"/>
      <c r="K39" s="680"/>
      <c r="L39" s="680"/>
      <c r="M39" s="680"/>
    </row>
    <row r="40" spans="2:13" x14ac:dyDescent="0.25">
      <c r="B40" s="675"/>
      <c r="C40" s="675"/>
      <c r="D40" s="675"/>
      <c r="E40" s="675"/>
      <c r="F40" s="675"/>
      <c r="G40" s="675"/>
      <c r="H40" s="675"/>
      <c r="I40" s="675"/>
      <c r="J40" s="680"/>
      <c r="K40" s="680"/>
      <c r="L40" s="680"/>
      <c r="M40" s="680"/>
    </row>
    <row r="41" spans="2:13" x14ac:dyDescent="0.25">
      <c r="B41" s="675"/>
      <c r="C41" s="675"/>
      <c r="D41" s="675"/>
      <c r="E41" s="675"/>
      <c r="F41" s="675"/>
      <c r="G41" s="675"/>
      <c r="H41" s="675"/>
      <c r="I41" s="675"/>
      <c r="J41" s="680"/>
      <c r="K41" s="680"/>
      <c r="L41" s="680"/>
      <c r="M41" s="680"/>
    </row>
    <row r="42" spans="2:13" x14ac:dyDescent="0.25">
      <c r="B42" s="675"/>
      <c r="C42" s="675"/>
      <c r="D42" s="675"/>
      <c r="E42" s="675"/>
      <c r="F42" s="675"/>
      <c r="G42" s="675"/>
      <c r="H42" s="675"/>
      <c r="I42" s="675"/>
      <c r="J42" s="680"/>
      <c r="K42" s="680"/>
      <c r="L42" s="680"/>
      <c r="M42" s="680"/>
    </row>
    <row r="43" spans="2:13" x14ac:dyDescent="0.25">
      <c r="B43" s="675"/>
      <c r="C43" s="675"/>
      <c r="D43" s="675"/>
      <c r="E43" s="675"/>
      <c r="F43" s="675"/>
      <c r="G43" s="675"/>
      <c r="H43" s="675"/>
      <c r="I43" s="675"/>
      <c r="J43" s="680"/>
      <c r="K43" s="680"/>
      <c r="L43" s="680"/>
      <c r="M43" s="680"/>
    </row>
  </sheetData>
  <mergeCells count="1">
    <mergeCell ref="M2:P2"/>
  </mergeCells>
  <pageMargins left="0.75" right="0.75" top="1" bottom="1" header="0" footer="0"/>
  <pageSetup paperSize="9" scale="52"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9">
    <tabColor rgb="FFCC99FF"/>
    <pageSetUpPr fitToPage="1"/>
  </sheetPr>
  <dimension ref="A1:W42"/>
  <sheetViews>
    <sheetView topLeftCell="A12" workbookViewId="0"/>
  </sheetViews>
  <sheetFormatPr baseColWidth="10" defaultColWidth="9.109375" defaultRowHeight="13.2" x14ac:dyDescent="0.25"/>
  <cols>
    <col min="1" max="1" width="38.44140625" style="669" customWidth="1"/>
    <col min="2" max="9" width="9.44140625" style="669" customWidth="1"/>
    <col min="10" max="12" width="10.109375" style="679" bestFit="1" customWidth="1"/>
    <col min="13" max="19" width="9.109375" style="669"/>
    <col min="20" max="20" width="9.109375" style="3225"/>
    <col min="21" max="16384" width="9.109375" style="669"/>
  </cols>
  <sheetData>
    <row r="1" spans="1:23" s="3238" customFormat="1" ht="36" customHeight="1" thickTop="1" x14ac:dyDescent="0.55000000000000004">
      <c r="A1" s="3642" t="s">
        <v>1802</v>
      </c>
      <c r="B1" s="3543"/>
      <c r="C1" s="3543"/>
      <c r="D1" s="3543"/>
      <c r="E1" s="3543"/>
      <c r="F1" s="3543"/>
      <c r="G1" s="3543"/>
      <c r="H1" s="3543"/>
      <c r="I1" s="3543"/>
      <c r="J1" s="3543"/>
      <c r="K1" s="3543"/>
      <c r="L1" s="3543"/>
      <c r="M1" s="3543"/>
      <c r="N1" s="3543"/>
      <c r="O1" s="3543"/>
      <c r="P1" s="3543"/>
      <c r="Q1" s="3543"/>
      <c r="R1" s="3543"/>
      <c r="S1" s="3543"/>
      <c r="T1" s="3543"/>
      <c r="U1" s="3543"/>
    </row>
    <row r="2" spans="1:23" s="3238" customFormat="1" ht="24.9" customHeight="1" x14ac:dyDescent="0.25">
      <c r="A2" s="3544" t="s">
        <v>1662</v>
      </c>
      <c r="B2" s="3567"/>
      <c r="C2" s="3567"/>
      <c r="D2" s="3567"/>
      <c r="E2" s="3568"/>
      <c r="F2" s="3568"/>
      <c r="G2" s="3568"/>
      <c r="H2" s="3568"/>
      <c r="I2" s="3568"/>
      <c r="J2" s="3568"/>
      <c r="K2" s="3568"/>
      <c r="L2" s="3568"/>
      <c r="M2" s="3846"/>
      <c r="N2" s="3846"/>
      <c r="O2" s="3846"/>
      <c r="P2" s="3846"/>
      <c r="Q2" s="3568"/>
      <c r="R2" s="3568"/>
      <c r="S2" s="3569"/>
      <c r="T2" s="3569"/>
      <c r="U2" s="3569"/>
    </row>
    <row r="3" spans="1:23" ht="33" customHeight="1" x14ac:dyDescent="0.25">
      <c r="A3" s="3558" t="s">
        <v>185</v>
      </c>
      <c r="B3" s="3560"/>
      <c r="C3" s="3561"/>
      <c r="D3" s="3561"/>
      <c r="E3" s="3561"/>
      <c r="F3" s="3561"/>
      <c r="G3" s="3561"/>
      <c r="H3" s="3561"/>
      <c r="I3" s="3561"/>
      <c r="J3" s="3561"/>
      <c r="K3" s="3561"/>
      <c r="L3" s="3561"/>
      <c r="M3" s="3561"/>
      <c r="N3" s="3561"/>
      <c r="O3" s="3561"/>
      <c r="P3" s="3561"/>
      <c r="Q3" s="3561"/>
      <c r="R3" s="3561"/>
      <c r="S3" s="3561"/>
      <c r="T3" s="3561"/>
      <c r="U3" s="3561"/>
      <c r="V3" s="3561"/>
      <c r="W3" s="3562"/>
    </row>
    <row r="4" spans="1:23" ht="22.5" customHeight="1" x14ac:dyDescent="0.25">
      <c r="A4" s="3545" t="s">
        <v>1666</v>
      </c>
      <c r="B4" s="3559">
        <v>2003</v>
      </c>
      <c r="C4" s="3559">
        <v>2004</v>
      </c>
      <c r="D4" s="3559">
        <v>2005</v>
      </c>
      <c r="E4" s="3559">
        <v>2006</v>
      </c>
      <c r="F4" s="3559">
        <v>2007</v>
      </c>
      <c r="G4" s="3559">
        <v>2008</v>
      </c>
      <c r="H4" s="3559">
        <v>2009</v>
      </c>
      <c r="I4" s="3559">
        <v>2010</v>
      </c>
      <c r="J4" s="3559">
        <v>2011</v>
      </c>
      <c r="K4" s="3559">
        <v>2012</v>
      </c>
      <c r="L4" s="3559">
        <v>2013</v>
      </c>
      <c r="M4" s="3559">
        <v>2014</v>
      </c>
      <c r="N4" s="3559">
        <v>2015</v>
      </c>
      <c r="O4" s="3559">
        <v>2016</v>
      </c>
      <c r="P4" s="3559">
        <v>2017</v>
      </c>
      <c r="Q4" s="3559">
        <v>2018</v>
      </c>
      <c r="R4" s="3559">
        <v>2019</v>
      </c>
      <c r="S4" s="3559">
        <v>2020</v>
      </c>
      <c r="T4" s="3559">
        <v>2021</v>
      </c>
      <c r="U4" s="3559">
        <v>2022</v>
      </c>
      <c r="V4" s="3559">
        <v>2023</v>
      </c>
      <c r="W4" s="3559">
        <v>2024</v>
      </c>
    </row>
    <row r="5" spans="1:23" ht="36" customHeight="1" x14ac:dyDescent="0.25">
      <c r="A5" s="3556" t="s">
        <v>1667</v>
      </c>
      <c r="B5" s="3546">
        <v>169992</v>
      </c>
      <c r="C5" s="3546">
        <v>171451.06624310173</v>
      </c>
      <c r="D5" s="3546">
        <v>159444.054</v>
      </c>
      <c r="E5" s="3546">
        <v>165503.05590000004</v>
      </c>
      <c r="F5" s="3546">
        <v>169935.09499999997</v>
      </c>
      <c r="G5" s="3546">
        <v>156538.52399999998</v>
      </c>
      <c r="H5" s="3546">
        <v>155978.47967000003</v>
      </c>
      <c r="I5" s="3546">
        <v>147872.75700000001</v>
      </c>
      <c r="J5" s="3546">
        <v>141088.58549999999</v>
      </c>
      <c r="K5" s="3546">
        <v>132553.7795</v>
      </c>
      <c r="L5" s="3546">
        <v>123894.09929831041</v>
      </c>
      <c r="M5" s="3546">
        <v>127267.86731691367</v>
      </c>
      <c r="N5" s="3546">
        <v>133085.07176489945</v>
      </c>
      <c r="O5" s="3546">
        <v>132528.53028797437</v>
      </c>
      <c r="P5" s="3546">
        <v>138151.58616966137</v>
      </c>
      <c r="Q5" s="3546">
        <v>143413.17630286815</v>
      </c>
      <c r="R5" s="3546">
        <v>140874.36850838998</v>
      </c>
      <c r="S5" s="3546">
        <v>136527.84054387215</v>
      </c>
      <c r="T5" s="3546">
        <v>134190.5822220319</v>
      </c>
      <c r="U5" s="3546">
        <v>133016.32002526824</v>
      </c>
      <c r="V5" s="3546">
        <v>130302.13337181695</v>
      </c>
      <c r="W5" s="3546">
        <v>134820.79833814778</v>
      </c>
    </row>
    <row r="6" spans="1:23" ht="19.5" customHeight="1" x14ac:dyDescent="0.25">
      <c r="A6" s="3556" t="s">
        <v>1668</v>
      </c>
      <c r="B6" s="3546">
        <v>118682</v>
      </c>
      <c r="C6" s="3546">
        <v>113358.06624310173</v>
      </c>
      <c r="D6" s="3546">
        <v>113819.18</v>
      </c>
      <c r="E6" s="3546">
        <v>117578.13390000002</v>
      </c>
      <c r="F6" s="3546">
        <v>113133.89499999999</v>
      </c>
      <c r="G6" s="3546">
        <v>108336.00199999999</v>
      </c>
      <c r="H6" s="3546">
        <v>112022.04467000002</v>
      </c>
      <c r="I6" s="3546">
        <v>115041.48500000002</v>
      </c>
      <c r="J6" s="3546">
        <v>99344.422499999986</v>
      </c>
      <c r="K6" s="3546">
        <v>106689.8662</v>
      </c>
      <c r="L6" s="3546">
        <v>103003.84335056729</v>
      </c>
      <c r="M6" s="3546">
        <v>108456.07055298782</v>
      </c>
      <c r="N6" s="3546">
        <v>112179.89022134579</v>
      </c>
      <c r="O6" s="3546">
        <v>108209.58637594266</v>
      </c>
      <c r="P6" s="3546">
        <v>113804.22855530184</v>
      </c>
      <c r="Q6" s="3546">
        <v>118134.07189144817</v>
      </c>
      <c r="R6" s="3546">
        <v>123176.14282092033</v>
      </c>
      <c r="S6" s="3546">
        <v>115683.04083831387</v>
      </c>
      <c r="T6" s="3546">
        <v>113792.84313841841</v>
      </c>
      <c r="U6" s="3546">
        <v>113301.46721489771</v>
      </c>
      <c r="V6" s="3546">
        <v>115783.81185181695</v>
      </c>
      <c r="W6" s="3546">
        <v>119844.30114814777</v>
      </c>
    </row>
    <row r="7" spans="1:23" ht="18" customHeight="1" x14ac:dyDescent="0.25">
      <c r="A7" s="3557" t="s">
        <v>1669</v>
      </c>
      <c r="B7" s="3547">
        <v>92897</v>
      </c>
      <c r="C7" s="3547">
        <v>85122.066243101726</v>
      </c>
      <c r="D7" s="3547">
        <v>88196.455999999991</v>
      </c>
      <c r="E7" s="3547">
        <v>90261.060000000012</v>
      </c>
      <c r="F7" s="3547">
        <v>84153.494999999995</v>
      </c>
      <c r="G7" s="3547">
        <v>79034.264999999999</v>
      </c>
      <c r="H7" s="3547">
        <v>82983.446904909899</v>
      </c>
      <c r="I7" s="3547">
        <v>85413.650000000009</v>
      </c>
      <c r="J7" s="3547">
        <v>74623.959999999992</v>
      </c>
      <c r="K7" s="3547">
        <v>80945.680000000008</v>
      </c>
      <c r="L7" s="3547">
        <v>79398.52</v>
      </c>
      <c r="M7" s="3547">
        <v>82945.541298551834</v>
      </c>
      <c r="N7" s="3547">
        <v>84576.492240000007</v>
      </c>
      <c r="O7" s="3547">
        <v>77767.070640000005</v>
      </c>
      <c r="P7" s="3547">
        <v>82912.793600400022</v>
      </c>
      <c r="Q7" s="3547">
        <v>82791.887380800006</v>
      </c>
      <c r="R7" s="3547">
        <v>86576.737160000004</v>
      </c>
      <c r="S7" s="3547">
        <v>75462.505719999986</v>
      </c>
      <c r="T7" s="3547">
        <v>74321.800492021139</v>
      </c>
      <c r="U7" s="3547">
        <v>70324.830027930017</v>
      </c>
      <c r="V7" s="3547">
        <v>73716.507079999996</v>
      </c>
      <c r="W7" s="3547">
        <v>73249.653680000003</v>
      </c>
    </row>
    <row r="8" spans="1:23" ht="18" customHeight="1" x14ac:dyDescent="0.25">
      <c r="A8" s="3557" t="s">
        <v>1670</v>
      </c>
      <c r="B8" s="3547">
        <v>25785</v>
      </c>
      <c r="C8" s="3547">
        <v>28236</v>
      </c>
      <c r="D8" s="3547">
        <v>25622.723999999998</v>
      </c>
      <c r="E8" s="3547">
        <v>27317.073899999999</v>
      </c>
      <c r="F8" s="3547">
        <v>28980.399999999998</v>
      </c>
      <c r="G8" s="3547">
        <v>29301.736999999997</v>
      </c>
      <c r="H8" s="3547">
        <v>29038.597765090122</v>
      </c>
      <c r="I8" s="3547">
        <v>29627.834999999999</v>
      </c>
      <c r="J8" s="3547">
        <v>24720.462500000001</v>
      </c>
      <c r="K8" s="3547">
        <v>25744.1862</v>
      </c>
      <c r="L8" s="3547">
        <v>23605.32335056728</v>
      </c>
      <c r="M8" s="3547">
        <v>25510.529254435984</v>
      </c>
      <c r="N8" s="3547">
        <v>27603.397981345777</v>
      </c>
      <c r="O8" s="3547">
        <v>30442.515735942648</v>
      </c>
      <c r="P8" s="3547">
        <v>30891.434954901815</v>
      </c>
      <c r="Q8" s="3547">
        <v>35342.184510648163</v>
      </c>
      <c r="R8" s="3547">
        <v>36599.405660920325</v>
      </c>
      <c r="S8" s="3547">
        <v>40220.535118313892</v>
      </c>
      <c r="T8" s="3547">
        <v>39471.042646397269</v>
      </c>
      <c r="U8" s="3547">
        <v>42976.637186967695</v>
      </c>
      <c r="V8" s="3547">
        <v>42067.304771816962</v>
      </c>
      <c r="W8" s="3547">
        <v>46594.64746814777</v>
      </c>
    </row>
    <row r="9" spans="1:23" ht="19.5" customHeight="1" x14ac:dyDescent="0.25">
      <c r="A9" s="3556" t="s">
        <v>1671</v>
      </c>
      <c r="B9" s="3546">
        <v>51310</v>
      </c>
      <c r="C9" s="3546">
        <v>58093</v>
      </c>
      <c r="D9" s="3546">
        <v>45624.873999999996</v>
      </c>
      <c r="E9" s="3546">
        <v>47924.922000000006</v>
      </c>
      <c r="F9" s="3546">
        <v>56801.2</v>
      </c>
      <c r="G9" s="3546">
        <v>48202.521999999997</v>
      </c>
      <c r="H9" s="3546">
        <v>43956.434999999998</v>
      </c>
      <c r="I9" s="3546">
        <v>32831.271999999997</v>
      </c>
      <c r="J9" s="3546">
        <v>41744.162999999993</v>
      </c>
      <c r="K9" s="3546">
        <v>25863.9133</v>
      </c>
      <c r="L9" s="3546">
        <v>20890.25594774312</v>
      </c>
      <c r="M9" s="3546">
        <v>18811.796763925857</v>
      </c>
      <c r="N9" s="3546">
        <v>20905.181543553663</v>
      </c>
      <c r="O9" s="3546">
        <v>24318.943912031718</v>
      </c>
      <c r="P9" s="3546">
        <v>24347.35761435952</v>
      </c>
      <c r="Q9" s="3546">
        <v>25279.104411419969</v>
      </c>
      <c r="R9" s="3546">
        <v>17698.225687469658</v>
      </c>
      <c r="S9" s="3546">
        <v>20844.799705558267</v>
      </c>
      <c r="T9" s="3546">
        <v>20397.739083613495</v>
      </c>
      <c r="U9" s="3546">
        <v>19714.852810370518</v>
      </c>
      <c r="V9" s="3546">
        <v>14518.32152</v>
      </c>
      <c r="W9" s="3546">
        <v>14976.497190000002</v>
      </c>
    </row>
    <row r="10" spans="1:23" ht="18" customHeight="1" x14ac:dyDescent="0.25">
      <c r="A10" s="3557" t="s">
        <v>1672</v>
      </c>
      <c r="B10" s="3547">
        <v>31059</v>
      </c>
      <c r="C10" s="3547">
        <v>37465</v>
      </c>
      <c r="D10" s="3547">
        <v>28647.874</v>
      </c>
      <c r="E10" s="3547">
        <v>30448.502</v>
      </c>
      <c r="F10" s="3547">
        <v>39668</v>
      </c>
      <c r="G10" s="3547">
        <v>31044.422000000002</v>
      </c>
      <c r="H10" s="3547">
        <v>26790.434999999998</v>
      </c>
      <c r="I10" s="3547">
        <v>27225.82</v>
      </c>
      <c r="J10" s="3547">
        <v>33033.769999999997</v>
      </c>
      <c r="K10" s="3547">
        <v>16631.32</v>
      </c>
      <c r="L10" s="3547">
        <v>11835.48</v>
      </c>
      <c r="M10" s="3547">
        <v>10245.66370144816</v>
      </c>
      <c r="N10" s="3547">
        <v>12332.12976</v>
      </c>
      <c r="O10" s="3547">
        <v>15523.071360000002</v>
      </c>
      <c r="P10" s="3547">
        <v>15423.680939600003</v>
      </c>
      <c r="Q10" s="3547">
        <v>15610.104699200001</v>
      </c>
      <c r="R10" s="3547">
        <v>7148.5858400000006</v>
      </c>
      <c r="S10" s="3547">
        <v>11219.37528</v>
      </c>
      <c r="T10" s="3547">
        <v>11125.873507978868</v>
      </c>
      <c r="U10" s="3547">
        <v>10553.937972069984</v>
      </c>
      <c r="V10" s="3547">
        <v>6257.6759199999997</v>
      </c>
      <c r="W10" s="3547">
        <v>6351.0603200000005</v>
      </c>
    </row>
    <row r="11" spans="1:23" ht="18" customHeight="1" x14ac:dyDescent="0.25">
      <c r="A11" s="3557" t="s">
        <v>1673</v>
      </c>
      <c r="B11" s="3547">
        <v>20251</v>
      </c>
      <c r="C11" s="3547">
        <v>20628</v>
      </c>
      <c r="D11" s="3547">
        <v>16977</v>
      </c>
      <c r="E11" s="3547">
        <v>17476.420000000002</v>
      </c>
      <c r="F11" s="3547">
        <v>17133.199999999997</v>
      </c>
      <c r="G11" s="3547">
        <v>17158.099999999999</v>
      </c>
      <c r="H11" s="3547">
        <v>17166</v>
      </c>
      <c r="I11" s="3547">
        <v>5605.4520000000002</v>
      </c>
      <c r="J11" s="3547">
        <v>8710.3929999999982</v>
      </c>
      <c r="K11" s="3547">
        <v>9232.5932999999986</v>
      </c>
      <c r="L11" s="3547">
        <v>9054.7759477431209</v>
      </c>
      <c r="M11" s="3547">
        <v>8566.1330624776947</v>
      </c>
      <c r="N11" s="3547">
        <v>8573.051783553663</v>
      </c>
      <c r="O11" s="3547">
        <v>8795.8725520317148</v>
      </c>
      <c r="P11" s="3547">
        <v>8923.6766747595193</v>
      </c>
      <c r="Q11" s="3547">
        <v>9668.9997122199693</v>
      </c>
      <c r="R11" s="3547">
        <v>10549.639847469656</v>
      </c>
      <c r="S11" s="3547">
        <v>9625.4244255582653</v>
      </c>
      <c r="T11" s="3547">
        <v>9271.8655756346288</v>
      </c>
      <c r="U11" s="3547">
        <v>9160.914838300534</v>
      </c>
      <c r="V11" s="3547">
        <v>8260.6455999999998</v>
      </c>
      <c r="W11" s="3547">
        <v>8625.4368700000014</v>
      </c>
    </row>
    <row r="12" spans="1:23" ht="6.75" customHeight="1" thickBot="1" x14ac:dyDescent="0.3">
      <c r="A12" s="677"/>
      <c r="B12" s="676"/>
      <c r="C12" s="676"/>
      <c r="D12" s="676"/>
      <c r="E12" s="676"/>
      <c r="F12" s="676"/>
      <c r="G12" s="676"/>
      <c r="H12" s="676"/>
      <c r="I12" s="676"/>
      <c r="J12" s="678"/>
      <c r="K12" s="678"/>
      <c r="L12" s="678"/>
    </row>
    <row r="13" spans="1:23" ht="13.8" x14ac:dyDescent="0.3">
      <c r="A13" s="3541" t="s">
        <v>1663</v>
      </c>
      <c r="B13" s="3541"/>
      <c r="C13" s="3541"/>
      <c r="D13" s="3541"/>
      <c r="E13" s="3541"/>
      <c r="F13" s="3541"/>
      <c r="G13" s="3541"/>
      <c r="H13" s="3541"/>
      <c r="I13" s="3541"/>
      <c r="J13" s="3541"/>
      <c r="K13" s="3541"/>
      <c r="L13" s="3541"/>
      <c r="M13" s="3541"/>
      <c r="N13" s="3541"/>
      <c r="O13" s="3541"/>
      <c r="P13" s="3541"/>
      <c r="Q13" s="3541"/>
      <c r="R13" s="3541"/>
      <c r="S13" s="3541"/>
      <c r="T13" s="3541"/>
      <c r="U13" s="3541"/>
      <c r="V13" s="3541"/>
      <c r="W13" s="3541"/>
    </row>
    <row r="14" spans="1:23" ht="13.8" x14ac:dyDescent="0.3">
      <c r="A14" s="3542" t="s">
        <v>1674</v>
      </c>
      <c r="B14" s="3225"/>
      <c r="C14" s="3225"/>
      <c r="D14" s="3225"/>
      <c r="E14" s="3225"/>
      <c r="F14" s="3225"/>
      <c r="G14" s="3225"/>
      <c r="H14" s="3225"/>
      <c r="I14" s="3225"/>
      <c r="J14" s="3566"/>
      <c r="K14" s="3566"/>
      <c r="L14" s="3566"/>
      <c r="M14" s="3566"/>
      <c r="N14" s="3566"/>
      <c r="O14" s="3566"/>
      <c r="P14" s="3566"/>
      <c r="Q14" s="3566"/>
      <c r="R14" s="3566"/>
      <c r="S14" s="3566"/>
      <c r="T14" s="3566"/>
      <c r="U14" s="3566"/>
    </row>
    <row r="15" spans="1:23" ht="13.8" x14ac:dyDescent="0.3">
      <c r="A15" s="3542" t="s">
        <v>1665</v>
      </c>
      <c r="B15" s="3225"/>
      <c r="C15" s="3225"/>
      <c r="D15" s="3225"/>
      <c r="E15" s="3225"/>
      <c r="F15" s="3225"/>
      <c r="G15" s="3225"/>
      <c r="H15" s="3225"/>
      <c r="I15" s="3225"/>
      <c r="J15" s="3566"/>
      <c r="K15" s="3566"/>
      <c r="L15" s="3566"/>
      <c r="M15" s="3566"/>
      <c r="N15" s="3566"/>
      <c r="O15" s="3566"/>
      <c r="P15" s="3566"/>
      <c r="Q15" s="3566"/>
      <c r="R15" s="3566"/>
      <c r="S15" s="3566"/>
      <c r="T15" s="3566"/>
      <c r="U15" s="3566"/>
    </row>
    <row r="16" spans="1:23" x14ac:dyDescent="0.25">
      <c r="A16" s="3555" t="s">
        <v>1675</v>
      </c>
      <c r="B16" s="3225"/>
      <c r="C16" s="3225"/>
      <c r="D16" s="3225"/>
      <c r="E16" s="3225"/>
      <c r="F16" s="3225"/>
      <c r="G16" s="3225"/>
      <c r="H16" s="3225"/>
      <c r="I16" s="3225"/>
      <c r="J16" s="3566"/>
      <c r="K16" s="3566"/>
      <c r="L16" s="3566"/>
      <c r="M16" s="3566"/>
      <c r="N16" s="3566"/>
      <c r="O16" s="3566"/>
      <c r="P16" s="3566"/>
      <c r="Q16" s="3566"/>
      <c r="R16" s="3566"/>
      <c r="S16" s="3566"/>
      <c r="T16" s="3566"/>
      <c r="U16" s="3566"/>
    </row>
    <row r="17" spans="1:23" x14ac:dyDescent="0.25">
      <c r="A17" s="3555" t="s">
        <v>1772</v>
      </c>
      <c r="J17" s="669"/>
      <c r="K17" s="669"/>
      <c r="L17" s="669"/>
      <c r="T17" s="669"/>
    </row>
    <row r="18" spans="1:23" ht="13.8" x14ac:dyDescent="0.3">
      <c r="A18" s="3540" t="s">
        <v>1754</v>
      </c>
      <c r="J18" s="669"/>
      <c r="K18" s="669"/>
      <c r="L18" s="669"/>
      <c r="T18" s="669"/>
    </row>
    <row r="19" spans="1:23" ht="15" thickBot="1" x14ac:dyDescent="0.35">
      <c r="A19" s="3563"/>
      <c r="B19" s="3563"/>
      <c r="C19" s="3563"/>
      <c r="D19" s="3563"/>
      <c r="E19" s="3563"/>
      <c r="F19" s="3563"/>
      <c r="G19" s="3563"/>
      <c r="H19" s="3563"/>
      <c r="I19" s="3563"/>
      <c r="J19" s="3563"/>
      <c r="K19" s="3563"/>
      <c r="L19" s="3563"/>
      <c r="M19" s="3563"/>
      <c r="N19" s="3563"/>
      <c r="O19" s="3563"/>
      <c r="P19" s="3563"/>
      <c r="Q19" s="3563"/>
      <c r="R19" s="3563"/>
      <c r="S19" s="3563"/>
      <c r="T19" s="3563"/>
      <c r="U19" s="3563"/>
      <c r="V19" s="3563"/>
    </row>
    <row r="20" spans="1:23" ht="19.8" thickTop="1" x14ac:dyDescent="0.45">
      <c r="A20" s="3564"/>
      <c r="B20" s="3564"/>
      <c r="C20" s="3564"/>
      <c r="D20" s="3564"/>
      <c r="E20" s="3564"/>
      <c r="F20" s="3564"/>
      <c r="G20" s="3564"/>
      <c r="H20" s="3564"/>
      <c r="I20" s="3564"/>
      <c r="J20" s="3564"/>
      <c r="K20" s="3564"/>
      <c r="L20" s="3564"/>
      <c r="M20" s="3564"/>
      <c r="N20" s="3564"/>
      <c r="O20" s="3564"/>
      <c r="P20" s="3564"/>
      <c r="Q20" s="3564"/>
      <c r="R20" s="3564"/>
      <c r="S20" s="3564"/>
      <c r="T20" s="3564"/>
      <c r="U20" s="3564"/>
      <c r="V20" s="3564"/>
      <c r="W20" s="3564"/>
    </row>
    <row r="21" spans="1:23" x14ac:dyDescent="0.25">
      <c r="B21" s="675"/>
      <c r="C21" s="675"/>
      <c r="D21" s="675"/>
      <c r="E21" s="675"/>
      <c r="F21" s="675"/>
      <c r="G21" s="675"/>
      <c r="H21" s="675"/>
      <c r="I21" s="675"/>
      <c r="J21" s="680"/>
      <c r="K21" s="680"/>
      <c r="L21" s="680"/>
    </row>
    <row r="22" spans="1:23" x14ac:dyDescent="0.25">
      <c r="B22" s="675"/>
      <c r="C22" s="675"/>
      <c r="D22" s="675"/>
      <c r="E22" s="675"/>
      <c r="F22" s="675"/>
      <c r="G22" s="675"/>
      <c r="H22" s="675"/>
      <c r="I22" s="675"/>
      <c r="J22" s="680"/>
      <c r="K22" s="680"/>
      <c r="L22" s="680"/>
    </row>
    <row r="23" spans="1:23" x14ac:dyDescent="0.25">
      <c r="B23" s="675"/>
      <c r="C23" s="675"/>
      <c r="D23" s="675"/>
      <c r="E23" s="675"/>
      <c r="F23" s="675"/>
      <c r="G23" s="675"/>
      <c r="H23" s="675"/>
      <c r="I23" s="675"/>
      <c r="J23" s="680"/>
      <c r="K23" s="680"/>
      <c r="L23" s="680"/>
    </row>
    <row r="24" spans="1:23" x14ac:dyDescent="0.25">
      <c r="B24" s="675"/>
      <c r="C24" s="675"/>
      <c r="D24" s="675"/>
      <c r="E24" s="675"/>
      <c r="F24" s="675"/>
      <c r="G24" s="675"/>
      <c r="H24" s="675"/>
      <c r="I24" s="675"/>
      <c r="J24" s="680"/>
      <c r="K24" s="680"/>
      <c r="L24" s="680"/>
    </row>
    <row r="25" spans="1:23" x14ac:dyDescent="0.25">
      <c r="B25" s="675"/>
      <c r="C25" s="675"/>
      <c r="D25" s="675"/>
      <c r="E25" s="675"/>
      <c r="F25" s="675"/>
      <c r="G25" s="675"/>
      <c r="H25" s="675"/>
      <c r="I25" s="675"/>
      <c r="J25" s="680"/>
      <c r="K25" s="680"/>
      <c r="L25" s="680"/>
    </row>
    <row r="26" spans="1:23" x14ac:dyDescent="0.25">
      <c r="B26" s="675"/>
      <c r="C26" s="675"/>
      <c r="D26" s="675"/>
      <c r="E26" s="675"/>
      <c r="F26" s="675"/>
      <c r="G26" s="675"/>
      <c r="H26" s="675"/>
      <c r="I26" s="675"/>
      <c r="J26" s="680"/>
      <c r="K26" s="680"/>
      <c r="L26" s="680"/>
    </row>
    <row r="27" spans="1:23" x14ac:dyDescent="0.25">
      <c r="B27" s="675"/>
      <c r="C27" s="675"/>
      <c r="D27" s="675"/>
      <c r="E27" s="675"/>
      <c r="F27" s="675"/>
      <c r="G27" s="675"/>
      <c r="H27" s="675"/>
      <c r="I27" s="675"/>
      <c r="J27" s="680"/>
      <c r="K27" s="680"/>
      <c r="L27" s="680"/>
    </row>
    <row r="28" spans="1:23" x14ac:dyDescent="0.25">
      <c r="B28" s="675"/>
      <c r="C28" s="675"/>
      <c r="D28" s="675"/>
      <c r="E28" s="675"/>
      <c r="F28" s="675"/>
      <c r="G28" s="675"/>
      <c r="H28" s="675"/>
      <c r="I28" s="675"/>
      <c r="J28" s="680"/>
      <c r="K28" s="680"/>
      <c r="L28" s="680"/>
    </row>
    <row r="29" spans="1:23" x14ac:dyDescent="0.25">
      <c r="B29" s="675"/>
      <c r="C29" s="675"/>
      <c r="D29" s="675"/>
      <c r="E29" s="675"/>
      <c r="F29" s="675"/>
      <c r="G29" s="675"/>
      <c r="H29" s="675"/>
      <c r="I29" s="675"/>
      <c r="J29" s="680"/>
      <c r="K29" s="680"/>
      <c r="L29" s="680"/>
    </row>
    <row r="30" spans="1:23" x14ac:dyDescent="0.25">
      <c r="B30" s="675"/>
      <c r="C30" s="675"/>
      <c r="D30" s="675"/>
      <c r="E30" s="675"/>
      <c r="F30" s="675"/>
      <c r="G30" s="675"/>
      <c r="H30" s="675"/>
      <c r="I30" s="675"/>
      <c r="J30" s="680"/>
      <c r="K30" s="680"/>
      <c r="L30" s="680"/>
    </row>
    <row r="31" spans="1:23" x14ac:dyDescent="0.25">
      <c r="B31" s="675"/>
      <c r="C31" s="675"/>
      <c r="D31" s="675"/>
      <c r="E31" s="675"/>
      <c r="F31" s="675"/>
      <c r="G31" s="675"/>
      <c r="H31" s="675"/>
      <c r="I31" s="675"/>
      <c r="J31" s="680"/>
      <c r="K31" s="680"/>
      <c r="L31" s="680"/>
    </row>
    <row r="32" spans="1:23" x14ac:dyDescent="0.25">
      <c r="B32" s="675"/>
      <c r="C32" s="675"/>
      <c r="D32" s="675"/>
      <c r="E32" s="675"/>
      <c r="F32" s="675"/>
      <c r="G32" s="675"/>
      <c r="H32" s="675"/>
      <c r="I32" s="675"/>
      <c r="J32" s="680"/>
      <c r="K32" s="680"/>
      <c r="L32" s="680"/>
    </row>
    <row r="33" spans="2:12" x14ac:dyDescent="0.25">
      <c r="B33" s="675"/>
      <c r="C33" s="675"/>
      <c r="D33" s="675"/>
      <c r="E33" s="675"/>
      <c r="F33" s="675"/>
      <c r="G33" s="675"/>
      <c r="H33" s="675"/>
      <c r="I33" s="675"/>
      <c r="J33" s="680"/>
      <c r="K33" s="680"/>
      <c r="L33" s="680"/>
    </row>
    <row r="34" spans="2:12" x14ac:dyDescent="0.25">
      <c r="B34" s="675"/>
      <c r="C34" s="675"/>
      <c r="D34" s="675"/>
      <c r="E34" s="675"/>
      <c r="F34" s="675"/>
      <c r="G34" s="675"/>
      <c r="H34" s="675"/>
      <c r="I34" s="675"/>
      <c r="J34" s="680"/>
      <c r="K34" s="680"/>
      <c r="L34" s="680"/>
    </row>
    <row r="35" spans="2:12" x14ac:dyDescent="0.25">
      <c r="B35" s="675"/>
      <c r="C35" s="675"/>
      <c r="D35" s="675"/>
      <c r="E35" s="675"/>
      <c r="F35" s="675"/>
      <c r="G35" s="675"/>
      <c r="H35" s="675"/>
      <c r="I35" s="675"/>
      <c r="J35" s="680"/>
      <c r="K35" s="680"/>
      <c r="L35" s="680"/>
    </row>
    <row r="36" spans="2:12" x14ac:dyDescent="0.25">
      <c r="B36" s="675"/>
      <c r="C36" s="675"/>
      <c r="D36" s="675"/>
      <c r="E36" s="675"/>
      <c r="F36" s="675"/>
      <c r="G36" s="675"/>
      <c r="H36" s="675"/>
      <c r="I36" s="675"/>
      <c r="J36" s="680"/>
      <c r="K36" s="680"/>
      <c r="L36" s="680"/>
    </row>
    <row r="37" spans="2:12" x14ac:dyDescent="0.25">
      <c r="B37" s="675"/>
      <c r="C37" s="675"/>
      <c r="D37" s="675"/>
      <c r="E37" s="675"/>
      <c r="F37" s="675"/>
      <c r="G37" s="675"/>
      <c r="H37" s="675"/>
      <c r="I37" s="675"/>
      <c r="J37" s="680"/>
      <c r="K37" s="680"/>
      <c r="L37" s="680"/>
    </row>
    <row r="38" spans="2:12" x14ac:dyDescent="0.25">
      <c r="B38" s="675"/>
      <c r="C38" s="675"/>
      <c r="D38" s="675"/>
      <c r="E38" s="675"/>
      <c r="F38" s="675"/>
      <c r="G38" s="675"/>
      <c r="H38" s="675"/>
      <c r="I38" s="675"/>
      <c r="J38" s="680"/>
      <c r="K38" s="680"/>
      <c r="L38" s="680"/>
    </row>
    <row r="39" spans="2:12" x14ac:dyDescent="0.25">
      <c r="B39" s="675"/>
      <c r="C39" s="675"/>
      <c r="D39" s="675"/>
      <c r="E39" s="675"/>
      <c r="F39" s="675"/>
      <c r="G39" s="675"/>
      <c r="H39" s="675"/>
      <c r="I39" s="675"/>
      <c r="J39" s="680"/>
      <c r="K39" s="680"/>
      <c r="L39" s="680"/>
    </row>
    <row r="40" spans="2:12" x14ac:dyDescent="0.25">
      <c r="B40" s="675"/>
      <c r="C40" s="675"/>
      <c r="D40" s="675"/>
      <c r="E40" s="675"/>
      <c r="F40" s="675"/>
      <c r="G40" s="675"/>
      <c r="H40" s="675"/>
      <c r="I40" s="675"/>
      <c r="J40" s="680"/>
      <c r="K40" s="680"/>
      <c r="L40" s="680"/>
    </row>
    <row r="41" spans="2:12" x14ac:dyDescent="0.25">
      <c r="B41" s="675"/>
      <c r="C41" s="675"/>
      <c r="D41" s="675"/>
      <c r="E41" s="675"/>
      <c r="F41" s="675"/>
      <c r="G41" s="675"/>
      <c r="H41" s="675"/>
      <c r="I41" s="675"/>
      <c r="J41" s="680"/>
      <c r="K41" s="680"/>
      <c r="L41" s="680"/>
    </row>
    <row r="42" spans="2:12" x14ac:dyDescent="0.25">
      <c r="B42" s="675"/>
      <c r="C42" s="675"/>
      <c r="D42" s="675"/>
      <c r="E42" s="675"/>
      <c r="F42" s="675"/>
      <c r="G42" s="675"/>
      <c r="H42" s="675"/>
      <c r="I42" s="675"/>
      <c r="J42" s="680"/>
      <c r="K42" s="680"/>
      <c r="L42" s="680"/>
    </row>
  </sheetData>
  <mergeCells count="1">
    <mergeCell ref="M2:P2"/>
  </mergeCells>
  <pageMargins left="0.75" right="0.75" top="1" bottom="1" header="0" footer="0"/>
  <pageSetup paperSize="9" scale="9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0">
    <tabColor rgb="FFCC99FF"/>
    <pageSetUpPr fitToPage="1"/>
  </sheetPr>
  <dimension ref="A1:W42"/>
  <sheetViews>
    <sheetView topLeftCell="A12" workbookViewId="0"/>
  </sheetViews>
  <sheetFormatPr baseColWidth="10" defaultColWidth="9.109375" defaultRowHeight="13.2" x14ac:dyDescent="0.25"/>
  <cols>
    <col min="1" max="1" width="38.44140625" style="669" customWidth="1"/>
    <col min="2" max="9" width="9.44140625" style="669" customWidth="1"/>
    <col min="10" max="12" width="10.109375" style="679" bestFit="1" customWidth="1"/>
    <col min="13" max="19" width="9.109375" style="669"/>
    <col min="20" max="20" width="9.109375" style="3225"/>
    <col min="21" max="16384" width="9.109375" style="669"/>
  </cols>
  <sheetData>
    <row r="1" spans="1:23" s="3238" customFormat="1" ht="36" customHeight="1" thickTop="1" x14ac:dyDescent="0.55000000000000004">
      <c r="A1" s="3642" t="s">
        <v>1801</v>
      </c>
      <c r="B1" s="3543"/>
      <c r="C1" s="3543"/>
      <c r="D1" s="3543"/>
      <c r="E1" s="3543"/>
      <c r="F1" s="3543"/>
      <c r="G1" s="3543"/>
      <c r="H1" s="3543"/>
      <c r="I1" s="3543"/>
      <c r="J1" s="3543"/>
      <c r="K1" s="3543"/>
      <c r="L1" s="3543"/>
      <c r="M1" s="3543"/>
      <c r="N1" s="3543"/>
      <c r="O1" s="3543"/>
      <c r="P1" s="3543"/>
      <c r="Q1" s="3543"/>
      <c r="R1" s="3543"/>
      <c r="S1" s="3543"/>
      <c r="T1" s="3543"/>
      <c r="U1" s="3543"/>
    </row>
    <row r="2" spans="1:23" s="3238" customFormat="1" ht="24.9" customHeight="1" x14ac:dyDescent="0.25">
      <c r="A2" s="3544" t="s">
        <v>1662</v>
      </c>
      <c r="B2" s="3567"/>
      <c r="C2" s="3567"/>
      <c r="D2" s="3567"/>
      <c r="E2" s="3568"/>
      <c r="F2" s="3568"/>
      <c r="G2" s="3568"/>
      <c r="H2" s="3568"/>
      <c r="I2" s="3568"/>
      <c r="J2" s="3568"/>
      <c r="K2" s="3568"/>
      <c r="L2" s="3568"/>
      <c r="M2" s="3846"/>
      <c r="N2" s="3846"/>
      <c r="O2" s="3846"/>
      <c r="P2" s="3846"/>
      <c r="Q2" s="3568"/>
      <c r="R2" s="3568"/>
      <c r="S2" s="3569"/>
      <c r="T2" s="3569"/>
      <c r="U2" s="3569"/>
    </row>
    <row r="3" spans="1:23" ht="33" customHeight="1" x14ac:dyDescent="0.25">
      <c r="A3" s="3558" t="s">
        <v>182</v>
      </c>
      <c r="B3" s="3560"/>
      <c r="C3" s="3561"/>
      <c r="D3" s="3561"/>
      <c r="E3" s="3561"/>
      <c r="F3" s="3561"/>
      <c r="G3" s="3561"/>
      <c r="H3" s="3561"/>
      <c r="I3" s="3561"/>
      <c r="J3" s="3561"/>
      <c r="K3" s="3561"/>
      <c r="L3" s="3561"/>
      <c r="M3" s="3561"/>
      <c r="N3" s="3561"/>
      <c r="O3" s="3561"/>
      <c r="P3" s="3561"/>
      <c r="Q3" s="3561"/>
      <c r="R3" s="3561"/>
      <c r="S3" s="3561"/>
      <c r="T3" s="3561"/>
      <c r="U3" s="3561"/>
      <c r="V3" s="3561"/>
      <c r="W3" s="3562"/>
    </row>
    <row r="4" spans="1:23" ht="22.5" customHeight="1" x14ac:dyDescent="0.25">
      <c r="A4" s="3545" t="s">
        <v>1666</v>
      </c>
      <c r="B4" s="3559">
        <v>2003</v>
      </c>
      <c r="C4" s="3559">
        <v>2004</v>
      </c>
      <c r="D4" s="3559">
        <v>2005</v>
      </c>
      <c r="E4" s="3559">
        <v>2006</v>
      </c>
      <c r="F4" s="3559">
        <v>2007</v>
      </c>
      <c r="G4" s="3559">
        <v>2008</v>
      </c>
      <c r="H4" s="3559">
        <v>2009</v>
      </c>
      <c r="I4" s="3559">
        <v>2010</v>
      </c>
      <c r="J4" s="3559">
        <v>2011</v>
      </c>
      <c r="K4" s="3559">
        <v>2012</v>
      </c>
      <c r="L4" s="3559">
        <v>2013</v>
      </c>
      <c r="M4" s="3559">
        <v>2014</v>
      </c>
      <c r="N4" s="3559">
        <v>2015</v>
      </c>
      <c r="O4" s="3559">
        <v>2016</v>
      </c>
      <c r="P4" s="3559">
        <v>2017</v>
      </c>
      <c r="Q4" s="3559">
        <v>2018</v>
      </c>
      <c r="R4" s="3559">
        <v>2019</v>
      </c>
      <c r="S4" s="3559">
        <v>2020</v>
      </c>
      <c r="T4" s="3559">
        <v>2021</v>
      </c>
      <c r="U4" s="3559">
        <v>2022</v>
      </c>
      <c r="V4" s="3559">
        <v>2023</v>
      </c>
      <c r="W4" s="3559">
        <v>2024</v>
      </c>
    </row>
    <row r="5" spans="1:23" ht="36" customHeight="1" x14ac:dyDescent="0.25">
      <c r="A5" s="3556" t="s">
        <v>1667</v>
      </c>
      <c r="B5" s="3546">
        <v>607024</v>
      </c>
      <c r="C5" s="3546">
        <v>632812</v>
      </c>
      <c r="D5" s="3546">
        <v>628292</v>
      </c>
      <c r="E5" s="3546">
        <v>638269</v>
      </c>
      <c r="F5" s="3546">
        <v>662839</v>
      </c>
      <c r="G5" s="3546">
        <v>635415</v>
      </c>
      <c r="H5" s="3546">
        <v>595488</v>
      </c>
      <c r="I5" s="3546">
        <v>580862.429</v>
      </c>
      <c r="J5" s="3546">
        <v>565553.76900000009</v>
      </c>
      <c r="K5" s="3546">
        <v>549184.174</v>
      </c>
      <c r="L5" s="3546">
        <v>536536.22181878029</v>
      </c>
      <c r="M5" s="3546">
        <v>527289.23890034389</v>
      </c>
      <c r="N5" s="3546">
        <v>512921.52819540305</v>
      </c>
      <c r="O5" s="3546">
        <v>528752.88182548503</v>
      </c>
      <c r="P5" s="3546">
        <v>545082.54180534836</v>
      </c>
      <c r="Q5" s="3546">
        <v>554780.07802718994</v>
      </c>
      <c r="R5" s="3546">
        <v>567368.93815656495</v>
      </c>
      <c r="S5" s="3546">
        <v>547536.80629733216</v>
      </c>
      <c r="T5" s="3546">
        <v>551016.05191725516</v>
      </c>
      <c r="U5" s="3546">
        <v>540090.35864251433</v>
      </c>
      <c r="V5" s="3546">
        <v>510243.08143086242</v>
      </c>
      <c r="W5" s="3546">
        <v>524397.61362744786</v>
      </c>
    </row>
    <row r="6" spans="1:23" ht="19.5" customHeight="1" x14ac:dyDescent="0.25">
      <c r="A6" s="3556" t="s">
        <v>1668</v>
      </c>
      <c r="B6" s="3546">
        <v>467774</v>
      </c>
      <c r="C6" s="3546">
        <v>461810</v>
      </c>
      <c r="D6" s="3546">
        <v>468771</v>
      </c>
      <c r="E6" s="3546">
        <v>469373</v>
      </c>
      <c r="F6" s="3546">
        <v>474112</v>
      </c>
      <c r="G6" s="3546">
        <v>470817</v>
      </c>
      <c r="H6" s="3546">
        <v>458787</v>
      </c>
      <c r="I6" s="3546">
        <v>451990.82</v>
      </c>
      <c r="J6" s="3546">
        <v>418039.08900000004</v>
      </c>
      <c r="K6" s="3546">
        <v>395278.99979999999</v>
      </c>
      <c r="L6" s="3546">
        <v>387823.74315999972</v>
      </c>
      <c r="M6" s="3546">
        <v>389954.54273229424</v>
      </c>
      <c r="N6" s="3546">
        <v>392419.7450510792</v>
      </c>
      <c r="O6" s="3546">
        <v>398591.23645964928</v>
      </c>
      <c r="P6" s="3546">
        <v>398448.16952007054</v>
      </c>
      <c r="Q6" s="3546">
        <v>400274.6119287879</v>
      </c>
      <c r="R6" s="3546">
        <v>403745.86612945725</v>
      </c>
      <c r="S6" s="3546">
        <v>392476.31943079259</v>
      </c>
      <c r="T6" s="3546">
        <v>402444.39756949514</v>
      </c>
      <c r="U6" s="3546">
        <v>391379.4937321305</v>
      </c>
      <c r="V6" s="3546">
        <v>389838.89015323838</v>
      </c>
      <c r="W6" s="3546">
        <v>398816.83538908907</v>
      </c>
    </row>
    <row r="7" spans="1:23" ht="18" customHeight="1" x14ac:dyDescent="0.25">
      <c r="A7" s="3557" t="s">
        <v>1669</v>
      </c>
      <c r="B7" s="3547">
        <v>375023</v>
      </c>
      <c r="C7" s="3547">
        <v>369408</v>
      </c>
      <c r="D7" s="3547">
        <v>369223</v>
      </c>
      <c r="E7" s="3547">
        <v>366373</v>
      </c>
      <c r="F7" s="3547">
        <v>362981</v>
      </c>
      <c r="G7" s="3547">
        <v>358080</v>
      </c>
      <c r="H7" s="3547">
        <v>346787</v>
      </c>
      <c r="I7" s="3547">
        <v>347979</v>
      </c>
      <c r="J7" s="3547">
        <v>332695.08</v>
      </c>
      <c r="K7" s="3547">
        <v>313549.28000000003</v>
      </c>
      <c r="L7" s="3547">
        <v>305995</v>
      </c>
      <c r="M7" s="3547">
        <v>305243.79149818607</v>
      </c>
      <c r="N7" s="3547">
        <v>309002.78090048156</v>
      </c>
      <c r="O7" s="3547">
        <v>309653</v>
      </c>
      <c r="P7" s="3547">
        <v>307451</v>
      </c>
      <c r="Q7" s="3547">
        <v>304590.00000000006</v>
      </c>
      <c r="R7" s="3547">
        <v>296867.12529766595</v>
      </c>
      <c r="S7" s="3547">
        <v>285975.16902331554</v>
      </c>
      <c r="T7" s="3547">
        <v>289691.17121962865</v>
      </c>
      <c r="U7" s="3547">
        <v>278867.16482218704</v>
      </c>
      <c r="V7" s="3547">
        <v>275172.98460383789</v>
      </c>
      <c r="W7" s="3547">
        <v>278182.16911574692</v>
      </c>
    </row>
    <row r="8" spans="1:23" ht="18" customHeight="1" x14ac:dyDescent="0.25">
      <c r="A8" s="3557" t="s">
        <v>1670</v>
      </c>
      <c r="B8" s="3547">
        <v>92751</v>
      </c>
      <c r="C8" s="3547">
        <v>92402</v>
      </c>
      <c r="D8" s="3547">
        <v>99548</v>
      </c>
      <c r="E8" s="3547">
        <v>103000</v>
      </c>
      <c r="F8" s="3547">
        <v>111131</v>
      </c>
      <c r="G8" s="3547">
        <v>112737</v>
      </c>
      <c r="H8" s="3547">
        <v>112000</v>
      </c>
      <c r="I8" s="3547">
        <v>104011.81999999999</v>
      </c>
      <c r="J8" s="3547">
        <v>85344.009000000005</v>
      </c>
      <c r="K8" s="3547">
        <v>81729.719799999992</v>
      </c>
      <c r="L8" s="3547">
        <v>81828.743159999693</v>
      </c>
      <c r="M8" s="3547">
        <v>84710.751234108175</v>
      </c>
      <c r="N8" s="3547">
        <v>83416.964150597632</v>
      </c>
      <c r="O8" s="3547">
        <v>88938.236459649284</v>
      </c>
      <c r="P8" s="3547">
        <v>90997.169520070558</v>
      </c>
      <c r="Q8" s="3547">
        <v>95684.611928787825</v>
      </c>
      <c r="R8" s="3547">
        <v>106878.74083179134</v>
      </c>
      <c r="S8" s="3547">
        <v>106501.15040747703</v>
      </c>
      <c r="T8" s="3547">
        <v>112753.22634986651</v>
      </c>
      <c r="U8" s="3547">
        <v>112512.32890994349</v>
      </c>
      <c r="V8" s="3547">
        <v>114665.90554940049</v>
      </c>
      <c r="W8" s="3547">
        <v>120634.66627334215</v>
      </c>
    </row>
    <row r="9" spans="1:23" ht="19.5" customHeight="1" x14ac:dyDescent="0.25">
      <c r="A9" s="3556" t="s">
        <v>1671</v>
      </c>
      <c r="B9" s="3546">
        <v>139250</v>
      </c>
      <c r="C9" s="3546">
        <v>171002</v>
      </c>
      <c r="D9" s="3546">
        <v>159521</v>
      </c>
      <c r="E9" s="3546">
        <v>168896</v>
      </c>
      <c r="F9" s="3546">
        <v>188727</v>
      </c>
      <c r="G9" s="3546">
        <v>164598</v>
      </c>
      <c r="H9" s="3546">
        <v>136701</v>
      </c>
      <c r="I9" s="3546">
        <v>128871.609</v>
      </c>
      <c r="J9" s="3546">
        <v>147514.68</v>
      </c>
      <c r="K9" s="3546">
        <v>153905.17420000001</v>
      </c>
      <c r="L9" s="3546">
        <v>148712.47865878063</v>
      </c>
      <c r="M9" s="3546">
        <v>137334.69616804959</v>
      </c>
      <c r="N9" s="3546">
        <v>120501.78314432382</v>
      </c>
      <c r="O9" s="3546">
        <v>130161.64536583571</v>
      </c>
      <c r="P9" s="3546">
        <v>146634.37228527776</v>
      </c>
      <c r="Q9" s="3546">
        <v>154505.46609840199</v>
      </c>
      <c r="R9" s="3546">
        <v>163623.07202710773</v>
      </c>
      <c r="S9" s="3546">
        <v>155060.48686653961</v>
      </c>
      <c r="T9" s="3546">
        <v>148571.65434776002</v>
      </c>
      <c r="U9" s="3546">
        <v>148710.86491038388</v>
      </c>
      <c r="V9" s="3546">
        <v>120404.19127762406</v>
      </c>
      <c r="W9" s="3546">
        <v>125580.77823835876</v>
      </c>
    </row>
    <row r="10" spans="1:23" ht="18" customHeight="1" x14ac:dyDescent="0.25">
      <c r="A10" s="3557" t="s">
        <v>1672</v>
      </c>
      <c r="B10" s="3547">
        <v>72007</v>
      </c>
      <c r="C10" s="3547">
        <v>83243</v>
      </c>
      <c r="D10" s="3547">
        <v>80323</v>
      </c>
      <c r="E10" s="3547">
        <v>82707</v>
      </c>
      <c r="F10" s="3547">
        <v>85968</v>
      </c>
      <c r="G10" s="3547">
        <v>75727</v>
      </c>
      <c r="H10" s="3547">
        <v>62254</v>
      </c>
      <c r="I10" s="3547">
        <v>56081</v>
      </c>
      <c r="J10" s="3547">
        <v>68852.92</v>
      </c>
      <c r="K10" s="3547">
        <v>67260.72</v>
      </c>
      <c r="L10" s="3547">
        <v>63169.08</v>
      </c>
      <c r="M10" s="3547">
        <v>56313.348999842259</v>
      </c>
      <c r="N10" s="3547">
        <v>46213.173513085349</v>
      </c>
      <c r="O10" s="3547">
        <v>47946</v>
      </c>
      <c r="P10" s="3547">
        <v>47912</v>
      </c>
      <c r="Q10" s="3547">
        <v>47826</v>
      </c>
      <c r="R10" s="3547">
        <v>50027.351190663619</v>
      </c>
      <c r="S10" s="3547">
        <v>52730.050189853529</v>
      </c>
      <c r="T10" s="3547">
        <v>50324</v>
      </c>
      <c r="U10" s="3547">
        <v>50867</v>
      </c>
      <c r="V10" s="3547">
        <v>48204.086922072864</v>
      </c>
      <c r="W10" s="3547">
        <v>51794.197923108419</v>
      </c>
    </row>
    <row r="11" spans="1:23" ht="18" customHeight="1" x14ac:dyDescent="0.25">
      <c r="A11" s="3557" t="s">
        <v>1673</v>
      </c>
      <c r="B11" s="3547">
        <v>67243</v>
      </c>
      <c r="C11" s="3547">
        <v>87759</v>
      </c>
      <c r="D11" s="3547">
        <v>79198</v>
      </c>
      <c r="E11" s="3547">
        <v>86189</v>
      </c>
      <c r="F11" s="3547">
        <v>102759</v>
      </c>
      <c r="G11" s="3547">
        <v>88871</v>
      </c>
      <c r="H11" s="3547">
        <v>74447</v>
      </c>
      <c r="I11" s="3547">
        <v>72790.608999999997</v>
      </c>
      <c r="J11" s="3547">
        <v>78661.759999999995</v>
      </c>
      <c r="K11" s="3547">
        <v>86644.454199999993</v>
      </c>
      <c r="L11" s="3547">
        <v>85543.398658780643</v>
      </c>
      <c r="M11" s="3547">
        <v>81021.347168207329</v>
      </c>
      <c r="N11" s="3547">
        <v>74288.609631238476</v>
      </c>
      <c r="O11" s="3547">
        <v>82215.645365835706</v>
      </c>
      <c r="P11" s="3547">
        <v>98722.372285277757</v>
      </c>
      <c r="Q11" s="3547">
        <v>106679.466098402</v>
      </c>
      <c r="R11" s="3547">
        <v>113595.7208364441</v>
      </c>
      <c r="S11" s="3547">
        <v>102330.43667668608</v>
      </c>
      <c r="T11" s="3547">
        <v>98247.654347760035</v>
      </c>
      <c r="U11" s="3547">
        <v>97843.864910383883</v>
      </c>
      <c r="V11" s="3547">
        <v>72200.104355551201</v>
      </c>
      <c r="W11" s="3547">
        <v>73786.58031525035</v>
      </c>
    </row>
    <row r="12" spans="1:23" ht="6.75" customHeight="1" thickBot="1" x14ac:dyDescent="0.3">
      <c r="A12" s="677"/>
      <c r="B12" s="3717"/>
      <c r="C12" s="3717"/>
      <c r="D12" s="3717"/>
      <c r="E12" s="3717"/>
      <c r="F12" s="3717"/>
      <c r="G12" s="3717"/>
      <c r="H12" s="3717"/>
      <c r="I12" s="3717"/>
      <c r="J12" s="3718"/>
      <c r="K12" s="3718"/>
      <c r="L12" s="3718"/>
      <c r="M12" s="3643"/>
      <c r="N12" s="3643"/>
      <c r="O12" s="3643"/>
      <c r="P12" s="3643"/>
      <c r="Q12" s="3643"/>
      <c r="R12" s="3643"/>
      <c r="S12" s="3643"/>
      <c r="T12" s="3643"/>
      <c r="U12" s="3643"/>
      <c r="V12" s="3643"/>
      <c r="W12" s="3643"/>
    </row>
    <row r="13" spans="1:23" ht="13.8" x14ac:dyDescent="0.3">
      <c r="A13" s="3541" t="s">
        <v>1663</v>
      </c>
      <c r="B13" s="3541"/>
      <c r="C13" s="3541"/>
      <c r="D13" s="3541"/>
      <c r="E13" s="3541"/>
      <c r="F13" s="3541"/>
      <c r="G13" s="3541"/>
      <c r="H13" s="3541"/>
      <c r="I13" s="3541"/>
      <c r="J13" s="3541"/>
      <c r="K13" s="3541"/>
      <c r="L13" s="3541"/>
      <c r="M13" s="3541"/>
      <c r="N13" s="3541"/>
      <c r="O13" s="3541"/>
      <c r="P13" s="3541"/>
      <c r="Q13" s="3541"/>
      <c r="R13" s="3541"/>
      <c r="S13" s="3541"/>
      <c r="T13" s="3541"/>
      <c r="U13" s="3541"/>
      <c r="V13" s="3541"/>
      <c r="W13" s="3541"/>
    </row>
    <row r="14" spans="1:23" ht="13.8" x14ac:dyDescent="0.3">
      <c r="A14" s="3542" t="s">
        <v>1674</v>
      </c>
      <c r="B14" s="3643"/>
      <c r="C14" s="3643"/>
      <c r="D14" s="3643"/>
      <c r="E14" s="3643"/>
      <c r="F14" s="3643"/>
      <c r="G14" s="3643"/>
      <c r="H14" s="3643"/>
      <c r="I14" s="3643"/>
      <c r="J14" s="3719"/>
      <c r="K14" s="3719"/>
      <c r="L14" s="3719"/>
      <c r="M14" s="3719"/>
      <c r="N14" s="3719"/>
      <c r="O14" s="3719"/>
      <c r="P14" s="3719"/>
      <c r="Q14" s="3719"/>
      <c r="R14" s="3719"/>
      <c r="S14" s="3719"/>
      <c r="T14" s="3719"/>
      <c r="U14" s="3719"/>
      <c r="V14" s="3719"/>
    </row>
    <row r="15" spans="1:23" ht="13.8" x14ac:dyDescent="0.3">
      <c r="A15" s="3542" t="s">
        <v>1665</v>
      </c>
      <c r="B15" s="3643"/>
      <c r="C15" s="3643"/>
      <c r="D15" s="3643"/>
      <c r="E15" s="3643"/>
      <c r="F15" s="3643"/>
      <c r="G15" s="3643"/>
      <c r="H15" s="3643"/>
      <c r="I15" s="3643"/>
      <c r="J15" s="3719"/>
      <c r="K15" s="3719"/>
      <c r="L15" s="3719"/>
      <c r="M15" s="3719"/>
      <c r="N15" s="3719"/>
      <c r="O15" s="3719"/>
      <c r="P15" s="3719"/>
      <c r="Q15" s="3719"/>
      <c r="R15" s="3719"/>
      <c r="S15" s="3719"/>
      <c r="T15" s="3719"/>
      <c r="U15" s="3719"/>
      <c r="V15" s="3719"/>
    </row>
    <row r="16" spans="1:23" x14ac:dyDescent="0.25">
      <c r="A16" s="3555" t="s">
        <v>1675</v>
      </c>
      <c r="B16" s="3643"/>
      <c r="C16" s="3643"/>
      <c r="D16" s="3643"/>
      <c r="E16" s="3643"/>
      <c r="F16" s="3643"/>
      <c r="G16" s="3643"/>
      <c r="H16" s="3643"/>
      <c r="I16" s="3643"/>
      <c r="J16" s="3719"/>
      <c r="K16" s="3719"/>
      <c r="L16" s="3719"/>
      <c r="M16" s="3719"/>
      <c r="N16" s="3719"/>
      <c r="O16" s="3719"/>
      <c r="P16" s="3719"/>
      <c r="Q16" s="3719"/>
      <c r="R16" s="3719"/>
      <c r="S16" s="3719"/>
      <c r="T16" s="3719"/>
      <c r="U16" s="3719"/>
    </row>
    <row r="17" spans="1:23" ht="14.4" x14ac:dyDescent="0.3">
      <c r="A17" s="3725" t="s">
        <v>1771</v>
      </c>
      <c r="B17" s="3563"/>
      <c r="C17" s="3563"/>
      <c r="D17" s="3563"/>
      <c r="E17" s="3563"/>
      <c r="F17" s="3563"/>
      <c r="G17" s="3563"/>
      <c r="H17" s="3563"/>
      <c r="I17" s="3563"/>
      <c r="J17" s="3563"/>
      <c r="K17" s="3563"/>
      <c r="L17" s="3563"/>
      <c r="M17" s="3563"/>
      <c r="N17" s="3563"/>
      <c r="O17" s="3563"/>
      <c r="P17" s="3563"/>
      <c r="Q17" s="3563"/>
      <c r="R17" s="3563"/>
      <c r="S17" s="3563"/>
      <c r="T17" s="3563"/>
      <c r="U17" s="3563"/>
      <c r="V17" s="3563"/>
      <c r="W17" s="3563"/>
    </row>
    <row r="18" spans="1:23" ht="14.4" x14ac:dyDescent="0.3">
      <c r="A18" s="3540" t="s">
        <v>1754</v>
      </c>
      <c r="B18" s="3563"/>
      <c r="C18" s="3563"/>
      <c r="D18" s="3563"/>
      <c r="E18" s="3563"/>
      <c r="F18" s="3563"/>
      <c r="G18" s="3563"/>
      <c r="H18" s="3563"/>
      <c r="I18" s="3563"/>
      <c r="J18" s="3563"/>
      <c r="K18" s="3563"/>
      <c r="L18" s="3563"/>
      <c r="M18" s="3563"/>
      <c r="N18" s="3563"/>
      <c r="O18" s="3563"/>
      <c r="P18" s="3563"/>
      <c r="Q18" s="3563"/>
      <c r="R18" s="3563"/>
      <c r="S18" s="3563"/>
      <c r="T18" s="3563"/>
      <c r="U18" s="3563"/>
      <c r="V18" s="3563"/>
      <c r="W18" s="3563"/>
    </row>
    <row r="19" spans="1:23" ht="15" thickBot="1" x14ac:dyDescent="0.35">
      <c r="A19" s="3563"/>
      <c r="B19" s="3563"/>
      <c r="C19" s="3563"/>
      <c r="D19" s="3563"/>
      <c r="E19" s="3563"/>
      <c r="F19" s="3563"/>
      <c r="G19" s="3563"/>
      <c r="H19" s="3563"/>
      <c r="I19" s="3563"/>
      <c r="J19" s="3563"/>
      <c r="K19" s="3563"/>
      <c r="L19" s="3563"/>
      <c r="M19" s="3563"/>
      <c r="N19" s="3563"/>
      <c r="O19" s="3563"/>
      <c r="P19" s="3563"/>
      <c r="Q19" s="3563"/>
      <c r="R19" s="3563"/>
      <c r="S19" s="3563"/>
      <c r="T19" s="3563"/>
      <c r="U19" s="3563"/>
      <c r="V19" s="3563"/>
    </row>
    <row r="20" spans="1:23" ht="19.8" thickTop="1" x14ac:dyDescent="0.45">
      <c r="A20" s="3564"/>
      <c r="B20" s="3564"/>
      <c r="C20" s="3564"/>
      <c r="D20" s="3564"/>
      <c r="E20" s="3564"/>
      <c r="F20" s="3564"/>
      <c r="G20" s="3564"/>
      <c r="H20" s="3564"/>
      <c r="I20" s="3564"/>
      <c r="J20" s="3564"/>
      <c r="K20" s="3564"/>
      <c r="L20" s="3564"/>
      <c r="M20" s="3564"/>
      <c r="N20" s="3564"/>
      <c r="O20" s="3564"/>
      <c r="P20" s="3564"/>
      <c r="Q20" s="3564"/>
      <c r="R20" s="3564"/>
      <c r="S20" s="3564"/>
      <c r="T20" s="3564"/>
      <c r="U20" s="3564"/>
      <c r="V20" s="3564"/>
      <c r="W20" s="3564"/>
    </row>
    <row r="21" spans="1:23" x14ac:dyDescent="0.25">
      <c r="B21" s="675"/>
      <c r="C21" s="675"/>
      <c r="D21" s="675"/>
      <c r="E21" s="675"/>
      <c r="F21" s="675"/>
      <c r="G21" s="675"/>
      <c r="H21" s="675"/>
      <c r="I21" s="675"/>
      <c r="J21" s="680"/>
      <c r="K21" s="680"/>
      <c r="L21" s="680"/>
    </row>
    <row r="22" spans="1:23" x14ac:dyDescent="0.25">
      <c r="B22" s="675"/>
      <c r="C22" s="675"/>
      <c r="D22" s="675"/>
      <c r="E22" s="675"/>
      <c r="F22" s="675"/>
      <c r="G22" s="675"/>
      <c r="H22" s="675"/>
      <c r="I22" s="675"/>
      <c r="J22" s="680"/>
      <c r="K22" s="680"/>
      <c r="L22" s="680"/>
    </row>
    <row r="23" spans="1:23" x14ac:dyDescent="0.25">
      <c r="B23" s="675"/>
      <c r="C23" s="675"/>
      <c r="D23" s="675"/>
      <c r="E23" s="675"/>
      <c r="F23" s="675"/>
      <c r="G23" s="675"/>
      <c r="H23" s="675"/>
      <c r="I23" s="675"/>
      <c r="J23" s="680"/>
      <c r="K23" s="680"/>
      <c r="L23" s="680"/>
    </row>
    <row r="24" spans="1:23" x14ac:dyDescent="0.25">
      <c r="B24" s="675"/>
      <c r="C24" s="675"/>
      <c r="D24" s="675"/>
      <c r="E24" s="675"/>
      <c r="F24" s="675"/>
      <c r="G24" s="675"/>
      <c r="H24" s="675"/>
      <c r="I24" s="675"/>
      <c r="J24" s="680"/>
      <c r="K24" s="680"/>
      <c r="L24" s="680"/>
    </row>
    <row r="25" spans="1:23" x14ac:dyDescent="0.25">
      <c r="B25" s="675"/>
      <c r="C25" s="675"/>
      <c r="D25" s="675"/>
      <c r="E25" s="675"/>
      <c r="F25" s="675"/>
      <c r="G25" s="675"/>
      <c r="H25" s="675"/>
      <c r="I25" s="675"/>
      <c r="J25" s="680"/>
      <c r="K25" s="680"/>
      <c r="L25" s="680"/>
    </row>
    <row r="26" spans="1:23" x14ac:dyDescent="0.25">
      <c r="B26" s="675"/>
      <c r="C26" s="675"/>
      <c r="D26" s="675"/>
      <c r="E26" s="675"/>
      <c r="F26" s="675"/>
      <c r="G26" s="675"/>
      <c r="H26" s="675"/>
      <c r="I26" s="675"/>
      <c r="J26" s="680"/>
      <c r="K26" s="680"/>
      <c r="L26" s="680"/>
    </row>
    <row r="27" spans="1:23" x14ac:dyDescent="0.25">
      <c r="B27" s="675"/>
      <c r="C27" s="675"/>
      <c r="D27" s="675"/>
      <c r="E27" s="675"/>
      <c r="F27" s="675"/>
      <c r="G27" s="675"/>
      <c r="H27" s="675"/>
      <c r="I27" s="675"/>
      <c r="J27" s="680"/>
      <c r="K27" s="680"/>
      <c r="L27" s="680"/>
    </row>
    <row r="28" spans="1:23" x14ac:dyDescent="0.25">
      <c r="B28" s="675"/>
      <c r="C28" s="675"/>
      <c r="D28" s="675"/>
      <c r="E28" s="675"/>
      <c r="F28" s="675"/>
      <c r="G28" s="675"/>
      <c r="H28" s="675"/>
      <c r="I28" s="675"/>
      <c r="J28" s="680"/>
      <c r="K28" s="680"/>
      <c r="L28" s="680"/>
    </row>
    <row r="29" spans="1:23" x14ac:dyDescent="0.25">
      <c r="B29" s="675"/>
      <c r="C29" s="675"/>
      <c r="D29" s="675"/>
      <c r="E29" s="675"/>
      <c r="F29" s="675"/>
      <c r="G29" s="675"/>
      <c r="H29" s="675"/>
      <c r="I29" s="675"/>
      <c r="J29" s="680"/>
      <c r="K29" s="680"/>
      <c r="L29" s="680"/>
    </row>
    <row r="30" spans="1:23" x14ac:dyDescent="0.25">
      <c r="B30" s="675"/>
      <c r="C30" s="675"/>
      <c r="D30" s="675"/>
      <c r="E30" s="675"/>
      <c r="F30" s="675"/>
      <c r="G30" s="675"/>
      <c r="H30" s="675"/>
      <c r="I30" s="675"/>
      <c r="J30" s="680"/>
      <c r="K30" s="680"/>
      <c r="L30" s="680"/>
    </row>
    <row r="31" spans="1:23" x14ac:dyDescent="0.25">
      <c r="B31" s="675"/>
      <c r="C31" s="675"/>
      <c r="D31" s="675"/>
      <c r="E31" s="675"/>
      <c r="F31" s="675"/>
      <c r="G31" s="675"/>
      <c r="H31" s="675"/>
      <c r="I31" s="675"/>
      <c r="J31" s="680"/>
      <c r="K31" s="680"/>
      <c r="L31" s="680"/>
    </row>
    <row r="32" spans="1:23" x14ac:dyDescent="0.25">
      <c r="B32" s="675"/>
      <c r="C32" s="675"/>
      <c r="D32" s="675"/>
      <c r="E32" s="675"/>
      <c r="F32" s="675"/>
      <c r="G32" s="675"/>
      <c r="H32" s="675"/>
      <c r="I32" s="675"/>
      <c r="J32" s="680"/>
      <c r="K32" s="680"/>
      <c r="L32" s="680"/>
    </row>
    <row r="33" spans="2:12" x14ac:dyDescent="0.25">
      <c r="B33" s="675"/>
      <c r="C33" s="675"/>
      <c r="D33" s="675"/>
      <c r="E33" s="675"/>
      <c r="F33" s="675"/>
      <c r="G33" s="675"/>
      <c r="H33" s="675"/>
      <c r="I33" s="675"/>
      <c r="J33" s="680"/>
      <c r="K33" s="680"/>
      <c r="L33" s="680"/>
    </row>
    <row r="34" spans="2:12" x14ac:dyDescent="0.25">
      <c r="B34" s="675"/>
      <c r="C34" s="675"/>
      <c r="D34" s="675"/>
      <c r="E34" s="675"/>
      <c r="F34" s="675"/>
      <c r="G34" s="675"/>
      <c r="H34" s="675"/>
      <c r="I34" s="675"/>
      <c r="J34" s="680"/>
      <c r="K34" s="680"/>
      <c r="L34" s="680"/>
    </row>
    <row r="35" spans="2:12" x14ac:dyDescent="0.25">
      <c r="B35" s="675"/>
      <c r="C35" s="675"/>
      <c r="D35" s="675"/>
      <c r="E35" s="675"/>
      <c r="F35" s="675"/>
      <c r="G35" s="675"/>
      <c r="H35" s="675"/>
      <c r="I35" s="675"/>
      <c r="J35" s="680"/>
      <c r="K35" s="680"/>
      <c r="L35" s="680"/>
    </row>
    <row r="36" spans="2:12" x14ac:dyDescent="0.25">
      <c r="B36" s="675"/>
      <c r="C36" s="675"/>
      <c r="D36" s="675"/>
      <c r="E36" s="675"/>
      <c r="F36" s="675"/>
      <c r="G36" s="675"/>
      <c r="H36" s="675"/>
      <c r="I36" s="675"/>
      <c r="J36" s="680"/>
      <c r="K36" s="680"/>
      <c r="L36" s="680"/>
    </row>
    <row r="37" spans="2:12" x14ac:dyDescent="0.25">
      <c r="B37" s="675"/>
      <c r="C37" s="675"/>
      <c r="D37" s="675"/>
      <c r="E37" s="675"/>
      <c r="F37" s="675"/>
      <c r="G37" s="675"/>
      <c r="H37" s="675"/>
      <c r="I37" s="675"/>
      <c r="J37" s="680"/>
      <c r="K37" s="680"/>
      <c r="L37" s="680"/>
    </row>
    <row r="38" spans="2:12" x14ac:dyDescent="0.25">
      <c r="B38" s="675"/>
      <c r="C38" s="675"/>
      <c r="D38" s="675"/>
      <c r="E38" s="675"/>
      <c r="F38" s="675"/>
      <c r="G38" s="675"/>
      <c r="H38" s="675"/>
      <c r="I38" s="675"/>
      <c r="J38" s="680"/>
      <c r="K38" s="680"/>
      <c r="L38" s="680"/>
    </row>
    <row r="39" spans="2:12" x14ac:dyDescent="0.25">
      <c r="B39" s="675"/>
      <c r="C39" s="675"/>
      <c r="D39" s="675"/>
      <c r="E39" s="675"/>
      <c r="F39" s="675"/>
      <c r="G39" s="675"/>
      <c r="H39" s="675"/>
      <c r="I39" s="675"/>
      <c r="J39" s="680"/>
      <c r="K39" s="680"/>
      <c r="L39" s="680"/>
    </row>
    <row r="40" spans="2:12" x14ac:dyDescent="0.25">
      <c r="B40" s="675"/>
      <c r="C40" s="675"/>
      <c r="D40" s="675"/>
      <c r="E40" s="675"/>
      <c r="F40" s="675"/>
      <c r="G40" s="675"/>
      <c r="H40" s="675"/>
      <c r="I40" s="675"/>
      <c r="J40" s="680"/>
      <c r="K40" s="680"/>
      <c r="L40" s="680"/>
    </row>
    <row r="41" spans="2:12" x14ac:dyDescent="0.25">
      <c r="B41" s="675"/>
      <c r="C41" s="675"/>
      <c r="D41" s="675"/>
      <c r="E41" s="675"/>
      <c r="F41" s="675"/>
      <c r="G41" s="675"/>
      <c r="H41" s="675"/>
      <c r="I41" s="675"/>
      <c r="J41" s="680"/>
      <c r="K41" s="680"/>
      <c r="L41" s="680"/>
    </row>
    <row r="42" spans="2:12" x14ac:dyDescent="0.25">
      <c r="B42" s="675"/>
      <c r="C42" s="675"/>
      <c r="D42" s="675"/>
      <c r="E42" s="675"/>
      <c r="F42" s="675"/>
      <c r="G42" s="675"/>
      <c r="H42" s="675"/>
      <c r="I42" s="675"/>
      <c r="J42" s="680"/>
      <c r="K42" s="680"/>
      <c r="L42" s="680"/>
    </row>
  </sheetData>
  <mergeCells count="1">
    <mergeCell ref="M2:P2"/>
  </mergeCells>
  <pageMargins left="0.75" right="0.75" top="1" bottom="1" header="0" footer="0"/>
  <pageSetup paperSize="9" scale="91"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1">
    <tabColor rgb="FFCC99FF"/>
    <pageSetUpPr fitToPage="1"/>
  </sheetPr>
  <dimension ref="A1:W42"/>
  <sheetViews>
    <sheetView topLeftCell="A12" workbookViewId="0"/>
  </sheetViews>
  <sheetFormatPr baseColWidth="10" defaultColWidth="9.109375" defaultRowHeight="13.2" x14ac:dyDescent="0.25"/>
  <cols>
    <col min="1" max="1" width="38.44140625" style="669" customWidth="1"/>
    <col min="2" max="9" width="9.44140625" style="669" customWidth="1"/>
    <col min="10" max="12" width="10.109375" style="679" bestFit="1" customWidth="1"/>
    <col min="13" max="19" width="9.109375" style="669"/>
    <col min="20" max="20" width="9.109375" style="3225"/>
    <col min="21" max="16384" width="9.109375" style="669"/>
  </cols>
  <sheetData>
    <row r="1" spans="1:23" s="3238" customFormat="1" ht="36" customHeight="1" thickTop="1" x14ac:dyDescent="0.55000000000000004">
      <c r="A1" s="3642" t="s">
        <v>1800</v>
      </c>
      <c r="B1" s="3543"/>
      <c r="C1" s="3543"/>
      <c r="D1" s="3543"/>
      <c r="E1" s="3543"/>
      <c r="F1" s="3543"/>
      <c r="G1" s="3543"/>
      <c r="H1" s="3543"/>
      <c r="I1" s="3543"/>
      <c r="J1" s="3543"/>
      <c r="K1" s="3543"/>
      <c r="L1" s="3543"/>
      <c r="M1" s="3543"/>
      <c r="N1" s="3543"/>
      <c r="O1" s="3543"/>
      <c r="P1" s="3543"/>
      <c r="Q1" s="3543"/>
      <c r="R1" s="3543"/>
      <c r="S1" s="3543"/>
      <c r="T1" s="3543"/>
      <c r="U1" s="3543"/>
    </row>
    <row r="2" spans="1:23" s="3238" customFormat="1" ht="24.9" customHeight="1" x14ac:dyDescent="0.25">
      <c r="A2" s="3544" t="s">
        <v>1662</v>
      </c>
      <c r="B2" s="3567"/>
      <c r="C2" s="3567"/>
      <c r="D2" s="3567"/>
      <c r="E2" s="3568"/>
      <c r="F2" s="3568"/>
      <c r="G2" s="3568"/>
      <c r="H2" s="3568"/>
      <c r="I2" s="3568"/>
      <c r="J2" s="3568"/>
      <c r="K2" s="3568"/>
      <c r="L2" s="3568"/>
      <c r="M2" s="3846"/>
      <c r="N2" s="3846"/>
      <c r="O2" s="3846"/>
      <c r="P2" s="3846"/>
      <c r="Q2" s="3568"/>
      <c r="R2" s="3568"/>
      <c r="S2" s="3569"/>
      <c r="T2" s="3569"/>
      <c r="U2" s="3569"/>
    </row>
    <row r="3" spans="1:23" ht="33" customHeight="1" x14ac:dyDescent="0.25">
      <c r="A3" s="3558" t="s">
        <v>184</v>
      </c>
      <c r="B3" s="3560"/>
      <c r="C3" s="3561"/>
      <c r="D3" s="3561"/>
      <c r="E3" s="3561"/>
      <c r="F3" s="3561"/>
      <c r="G3" s="3561"/>
      <c r="H3" s="3561"/>
      <c r="I3" s="3561"/>
      <c r="J3" s="3561"/>
      <c r="K3" s="3561"/>
      <c r="L3" s="3561"/>
      <c r="M3" s="3561"/>
      <c r="N3" s="3561"/>
      <c r="O3" s="3561"/>
      <c r="P3" s="3561"/>
      <c r="Q3" s="3561"/>
      <c r="R3" s="3561"/>
      <c r="S3" s="3561"/>
      <c r="T3" s="3561"/>
      <c r="U3" s="3561"/>
      <c r="V3" s="3561"/>
      <c r="W3" s="3562"/>
    </row>
    <row r="4" spans="1:23" ht="22.5" customHeight="1" x14ac:dyDescent="0.25">
      <c r="A4" s="3545" t="s">
        <v>1666</v>
      </c>
      <c r="B4" s="3559">
        <v>2003</v>
      </c>
      <c r="C4" s="3559">
        <v>2004</v>
      </c>
      <c r="D4" s="3559">
        <v>2005</v>
      </c>
      <c r="E4" s="3559">
        <v>2006</v>
      </c>
      <c r="F4" s="3559">
        <v>2007</v>
      </c>
      <c r="G4" s="3559">
        <v>2008</v>
      </c>
      <c r="H4" s="3559">
        <v>2009</v>
      </c>
      <c r="I4" s="3559">
        <v>2010</v>
      </c>
      <c r="J4" s="3559">
        <v>2011</v>
      </c>
      <c r="K4" s="3559">
        <v>2012</v>
      </c>
      <c r="L4" s="3559">
        <v>2013</v>
      </c>
      <c r="M4" s="3559">
        <v>2014</v>
      </c>
      <c r="N4" s="3559">
        <v>2015</v>
      </c>
      <c r="O4" s="3559">
        <v>2016</v>
      </c>
      <c r="P4" s="3559">
        <v>2017</v>
      </c>
      <c r="Q4" s="3559">
        <v>2018</v>
      </c>
      <c r="R4" s="3559">
        <v>2019</v>
      </c>
      <c r="S4" s="3559">
        <v>2020</v>
      </c>
      <c r="T4" s="3559">
        <v>2021</v>
      </c>
      <c r="U4" s="3559">
        <v>2022</v>
      </c>
      <c r="V4" s="3559">
        <v>2023</v>
      </c>
      <c r="W4" s="3559">
        <v>2024</v>
      </c>
    </row>
    <row r="5" spans="1:23" ht="36" customHeight="1" x14ac:dyDescent="0.25">
      <c r="A5" s="3556" t="s">
        <v>1667</v>
      </c>
      <c r="B5" s="3546">
        <v>374186</v>
      </c>
      <c r="C5" s="3546">
        <v>386209</v>
      </c>
      <c r="D5" s="3546">
        <v>375946</v>
      </c>
      <c r="E5" s="3546">
        <v>386646</v>
      </c>
      <c r="F5" s="3546">
        <v>391740</v>
      </c>
      <c r="G5" s="3546">
        <v>381278.44</v>
      </c>
      <c r="H5" s="3546">
        <v>357172.97499999998</v>
      </c>
      <c r="I5" s="3546">
        <v>339845.76699999999</v>
      </c>
      <c r="J5" s="3546">
        <v>349654.69290000002</v>
      </c>
      <c r="K5" s="3546">
        <v>355766.509746</v>
      </c>
      <c r="L5" s="3546">
        <v>347016.49234561383</v>
      </c>
      <c r="M5" s="3546">
        <v>374814.7106737867</v>
      </c>
      <c r="N5" s="3546">
        <v>365859.79942894727</v>
      </c>
      <c r="O5" s="3546">
        <v>366567.69136218209</v>
      </c>
      <c r="P5" s="3546">
        <v>353026.49220882304</v>
      </c>
      <c r="Q5" s="3546">
        <v>367913.91137799271</v>
      </c>
      <c r="R5" s="3546">
        <v>330237.2591870976</v>
      </c>
      <c r="S5" s="3546">
        <v>311025.51865457033</v>
      </c>
      <c r="T5" s="3546">
        <v>326075.50453128276</v>
      </c>
      <c r="U5" s="3546">
        <v>314972.27974446944</v>
      </c>
      <c r="V5" s="3546">
        <v>316571.67146849318</v>
      </c>
      <c r="W5" s="3546">
        <v>321333.1369414677</v>
      </c>
    </row>
    <row r="6" spans="1:23" ht="19.5" customHeight="1" x14ac:dyDescent="0.25">
      <c r="A6" s="3556" t="s">
        <v>1668</v>
      </c>
      <c r="B6" s="3546">
        <v>298503</v>
      </c>
      <c r="C6" s="3546">
        <v>289849</v>
      </c>
      <c r="D6" s="3546">
        <v>284854</v>
      </c>
      <c r="E6" s="3546">
        <v>292611</v>
      </c>
      <c r="F6" s="3546">
        <v>301255</v>
      </c>
      <c r="G6" s="3546">
        <v>288931.44</v>
      </c>
      <c r="H6" s="3546">
        <v>281411.97499999998</v>
      </c>
      <c r="I6" s="3546">
        <v>274794.66700000002</v>
      </c>
      <c r="J6" s="3546">
        <v>245757.53205320003</v>
      </c>
      <c r="K6" s="3546">
        <v>252761.03036770399</v>
      </c>
      <c r="L6" s="3546">
        <v>263689.04938713758</v>
      </c>
      <c r="M6" s="3546">
        <v>281977.70715294784</v>
      </c>
      <c r="N6" s="3546">
        <v>269713.42397096008</v>
      </c>
      <c r="O6" s="3546">
        <v>266677.10086094285</v>
      </c>
      <c r="P6" s="3546">
        <v>279471.58124942321</v>
      </c>
      <c r="Q6" s="3546">
        <v>282056.86217139696</v>
      </c>
      <c r="R6" s="3546">
        <v>278935.62146073015</v>
      </c>
      <c r="S6" s="3546">
        <v>268730.88260487106</v>
      </c>
      <c r="T6" s="3546">
        <v>280164.46523023536</v>
      </c>
      <c r="U6" s="3546">
        <v>270756.50755730376</v>
      </c>
      <c r="V6" s="3546">
        <v>279421.17499839317</v>
      </c>
      <c r="W6" s="3546">
        <v>283256.68984136771</v>
      </c>
    </row>
    <row r="7" spans="1:23" ht="18" customHeight="1" x14ac:dyDescent="0.25">
      <c r="A7" s="3557" t="s">
        <v>1669</v>
      </c>
      <c r="B7" s="3547">
        <v>246275</v>
      </c>
      <c r="C7" s="3547">
        <v>238129</v>
      </c>
      <c r="D7" s="3547">
        <v>230945</v>
      </c>
      <c r="E7" s="3547">
        <v>236451</v>
      </c>
      <c r="F7" s="3547">
        <v>240974</v>
      </c>
      <c r="G7" s="3547">
        <v>219792.09400000001</v>
      </c>
      <c r="H7" s="3547">
        <v>211398.65599999999</v>
      </c>
      <c r="I7" s="3547">
        <v>201184.71300000002</v>
      </c>
      <c r="J7" s="3547">
        <v>182542.28272000002</v>
      </c>
      <c r="K7" s="3547">
        <v>174266.81564000002</v>
      </c>
      <c r="L7" s="3547">
        <v>177910.93744000001</v>
      </c>
      <c r="M7" s="3547">
        <v>166049.05019188504</v>
      </c>
      <c r="N7" s="3547">
        <v>141688.11364260165</v>
      </c>
      <c r="O7" s="3547">
        <v>148376.91400744161</v>
      </c>
      <c r="P7" s="3547">
        <v>140987.44408486705</v>
      </c>
      <c r="Q7" s="3547">
        <v>130891.49913800001</v>
      </c>
      <c r="R7" s="3547">
        <v>124434.54607120001</v>
      </c>
      <c r="S7" s="3547">
        <v>118402.63679263063</v>
      </c>
      <c r="T7" s="3547">
        <v>123859.82686462608</v>
      </c>
      <c r="U7" s="3547">
        <v>123026.40105760001</v>
      </c>
      <c r="V7" s="3547">
        <v>122489.9579752</v>
      </c>
      <c r="W7" s="3547">
        <v>124233.08472399999</v>
      </c>
    </row>
    <row r="8" spans="1:23" ht="18" customHeight="1" x14ac:dyDescent="0.25">
      <c r="A8" s="3557" t="s">
        <v>1670</v>
      </c>
      <c r="B8" s="3547">
        <v>52228</v>
      </c>
      <c r="C8" s="3547">
        <v>51720</v>
      </c>
      <c r="D8" s="3547">
        <v>53909</v>
      </c>
      <c r="E8" s="3547">
        <v>56160</v>
      </c>
      <c r="F8" s="3547">
        <v>60281</v>
      </c>
      <c r="G8" s="3547">
        <v>69139.34599999999</v>
      </c>
      <c r="H8" s="3547">
        <v>70013.319000000003</v>
      </c>
      <c r="I8" s="3547">
        <v>73609.953999999998</v>
      </c>
      <c r="J8" s="3547">
        <v>63215.249333200009</v>
      </c>
      <c r="K8" s="3547">
        <v>78494.214727703977</v>
      </c>
      <c r="L8" s="3547">
        <v>85778.111947137571</v>
      </c>
      <c r="M8" s="3547">
        <v>115928.65696106281</v>
      </c>
      <c r="N8" s="3547">
        <v>128025.31032835841</v>
      </c>
      <c r="O8" s="3547">
        <v>118300.18685350128</v>
      </c>
      <c r="P8" s="3547">
        <v>138484.13716455613</v>
      </c>
      <c r="Q8" s="3547">
        <v>151165.36303339695</v>
      </c>
      <c r="R8" s="3547">
        <v>154501.07538953016</v>
      </c>
      <c r="S8" s="3547">
        <v>150328.24581224041</v>
      </c>
      <c r="T8" s="3547">
        <v>156304.63836560925</v>
      </c>
      <c r="U8" s="3547">
        <v>147730.10649970378</v>
      </c>
      <c r="V8" s="3547">
        <v>156931.21702319317</v>
      </c>
      <c r="W8" s="3547">
        <v>159023.60511736773</v>
      </c>
    </row>
    <row r="9" spans="1:23" ht="19.5" customHeight="1" x14ac:dyDescent="0.25">
      <c r="A9" s="3556" t="s">
        <v>1671</v>
      </c>
      <c r="B9" s="3546">
        <v>75683</v>
      </c>
      <c r="C9" s="3546">
        <v>96360</v>
      </c>
      <c r="D9" s="3546">
        <v>91092</v>
      </c>
      <c r="E9" s="3546">
        <v>94035</v>
      </c>
      <c r="F9" s="3546">
        <v>90485</v>
      </c>
      <c r="G9" s="3546">
        <v>92347</v>
      </c>
      <c r="H9" s="3546">
        <v>75761</v>
      </c>
      <c r="I9" s="3546">
        <v>65051.1</v>
      </c>
      <c r="J9" s="3546">
        <v>103897.16084679999</v>
      </c>
      <c r="K9" s="3546">
        <v>103005.479378296</v>
      </c>
      <c r="L9" s="3546">
        <v>83327.44295847624</v>
      </c>
      <c r="M9" s="3546">
        <v>92837.003520838873</v>
      </c>
      <c r="N9" s="3546">
        <v>96146.375457987189</v>
      </c>
      <c r="O9" s="3546">
        <v>99890.590501239218</v>
      </c>
      <c r="P9" s="3546">
        <v>73554.910959399844</v>
      </c>
      <c r="Q9" s="3546">
        <v>85857.049206595781</v>
      </c>
      <c r="R9" s="3546">
        <v>51301.637726367459</v>
      </c>
      <c r="S9" s="3546">
        <v>42294.636049699257</v>
      </c>
      <c r="T9" s="3546">
        <v>45911.039301047407</v>
      </c>
      <c r="U9" s="3546">
        <v>44215.772187165676</v>
      </c>
      <c r="V9" s="3546">
        <v>37150.496470100006</v>
      </c>
      <c r="W9" s="3546">
        <v>38076.447100100006</v>
      </c>
    </row>
    <row r="10" spans="1:23" ht="18" customHeight="1" x14ac:dyDescent="0.25">
      <c r="A10" s="3557" t="s">
        <v>1672</v>
      </c>
      <c r="B10" s="3547">
        <v>32440</v>
      </c>
      <c r="C10" s="3547">
        <v>45871</v>
      </c>
      <c r="D10" s="3547">
        <v>34309</v>
      </c>
      <c r="E10" s="3547">
        <v>36072</v>
      </c>
      <c r="F10" s="3547">
        <v>36554</v>
      </c>
      <c r="G10" s="3547">
        <v>34550</v>
      </c>
      <c r="H10" s="3547">
        <v>28268</v>
      </c>
      <c r="I10" s="3547">
        <v>18860</v>
      </c>
      <c r="J10" s="3547">
        <v>31476.114280000002</v>
      </c>
      <c r="K10" s="3547">
        <v>41442.471359999996</v>
      </c>
      <c r="L10" s="3547">
        <v>14232.05056</v>
      </c>
      <c r="M10" s="3547">
        <v>12905.247581903046</v>
      </c>
      <c r="N10" s="3547">
        <v>11778.85631674797</v>
      </c>
      <c r="O10" s="3547">
        <v>15523.071360000002</v>
      </c>
      <c r="P10" s="3547">
        <v>11646.723990879327</v>
      </c>
      <c r="Q10" s="3547">
        <v>10720.429932000001</v>
      </c>
      <c r="R10" s="3547">
        <v>11537.832038799999</v>
      </c>
      <c r="S10" s="3547">
        <v>10115.740558054837</v>
      </c>
      <c r="T10" s="3547">
        <v>10393.968839097921</v>
      </c>
      <c r="U10" s="3547">
        <v>10040.133522400001</v>
      </c>
      <c r="V10" s="3547">
        <v>10027.478794800001</v>
      </c>
      <c r="W10" s="3547">
        <v>10342.674036</v>
      </c>
    </row>
    <row r="11" spans="1:23" ht="18" customHeight="1" x14ac:dyDescent="0.25">
      <c r="A11" s="3557" t="s">
        <v>1673</v>
      </c>
      <c r="B11" s="3547">
        <v>43243</v>
      </c>
      <c r="C11" s="3547">
        <v>50489</v>
      </c>
      <c r="D11" s="3547">
        <v>56783</v>
      </c>
      <c r="E11" s="3547">
        <v>57963</v>
      </c>
      <c r="F11" s="3547">
        <v>53931</v>
      </c>
      <c r="G11" s="3547">
        <v>57797</v>
      </c>
      <c r="H11" s="3547">
        <v>47493</v>
      </c>
      <c r="I11" s="3547">
        <v>46191.1</v>
      </c>
      <c r="J11" s="3547">
        <v>72421.046566799982</v>
      </c>
      <c r="K11" s="3547">
        <v>61563.008018296008</v>
      </c>
      <c r="L11" s="3547">
        <v>69095.392398476237</v>
      </c>
      <c r="M11" s="3547">
        <v>79931.755938935821</v>
      </c>
      <c r="N11" s="3547">
        <v>84367.519141239216</v>
      </c>
      <c r="O11" s="3547">
        <v>84367.519141239216</v>
      </c>
      <c r="P11" s="3547">
        <v>61908.186968520517</v>
      </c>
      <c r="Q11" s="3547">
        <v>75136.619274595781</v>
      </c>
      <c r="R11" s="3547">
        <v>39763.805687567459</v>
      </c>
      <c r="S11" s="3547">
        <v>32178.895491644424</v>
      </c>
      <c r="T11" s="3547">
        <v>35517.070461949486</v>
      </c>
      <c r="U11" s="3547">
        <v>34175.638664765676</v>
      </c>
      <c r="V11" s="3547">
        <v>27123.017675300005</v>
      </c>
      <c r="W11" s="3547">
        <v>27733.773064100005</v>
      </c>
    </row>
    <row r="12" spans="1:23" ht="6.75" customHeight="1" thickBot="1" x14ac:dyDescent="0.3">
      <c r="A12" s="677"/>
      <c r="B12" s="3717"/>
      <c r="C12" s="3717"/>
      <c r="D12" s="3717"/>
      <c r="E12" s="3717"/>
      <c r="F12" s="3717"/>
      <c r="G12" s="3717"/>
      <c r="H12" s="3717"/>
      <c r="I12" s="3717"/>
      <c r="J12" s="3718"/>
      <c r="K12" s="3718"/>
      <c r="L12" s="3718"/>
      <c r="M12" s="3643"/>
      <c r="N12" s="3643"/>
      <c r="O12" s="3643"/>
      <c r="P12" s="3643"/>
      <c r="Q12" s="3643"/>
      <c r="R12" s="3643"/>
      <c r="S12" s="3643"/>
      <c r="T12" s="3643"/>
      <c r="U12" s="3643"/>
      <c r="V12" s="3643"/>
      <c r="W12" s="3643"/>
    </row>
    <row r="13" spans="1:23" ht="13.8" x14ac:dyDescent="0.3">
      <c r="A13" s="3541" t="s">
        <v>1663</v>
      </c>
      <c r="B13" s="3541"/>
      <c r="C13" s="3541"/>
      <c r="D13" s="3541"/>
      <c r="E13" s="3541"/>
      <c r="F13" s="3541"/>
      <c r="G13" s="3541"/>
      <c r="H13" s="3541"/>
      <c r="I13" s="3541"/>
      <c r="J13" s="3541"/>
      <c r="K13" s="3541"/>
      <c r="L13" s="3541"/>
      <c r="M13" s="3541"/>
      <c r="N13" s="3541"/>
      <c r="O13" s="3541"/>
      <c r="P13" s="3541"/>
      <c r="Q13" s="3541"/>
      <c r="R13" s="3541"/>
      <c r="S13" s="3541"/>
      <c r="T13" s="3541"/>
      <c r="U13" s="3541"/>
      <c r="V13" s="3541"/>
      <c r="W13" s="3541"/>
    </row>
    <row r="14" spans="1:23" ht="13.8" x14ac:dyDescent="0.3">
      <c r="A14" s="3542" t="s">
        <v>1674</v>
      </c>
      <c r="B14" s="3643"/>
      <c r="C14" s="3643"/>
      <c r="D14" s="3643"/>
      <c r="E14" s="3643"/>
      <c r="F14" s="3643"/>
      <c r="G14" s="3643"/>
      <c r="H14" s="3643"/>
      <c r="I14" s="3643"/>
      <c r="J14" s="3719"/>
      <c r="K14" s="3719"/>
      <c r="L14" s="3719"/>
      <c r="M14" s="3719"/>
      <c r="N14" s="3719"/>
      <c r="O14" s="3719"/>
      <c r="P14" s="3719"/>
      <c r="Q14" s="3719"/>
      <c r="R14" s="3719"/>
      <c r="S14" s="3719"/>
      <c r="T14" s="3719"/>
      <c r="U14" s="3719"/>
      <c r="V14" s="3719"/>
      <c r="W14" s="3719"/>
    </row>
    <row r="15" spans="1:23" ht="13.8" x14ac:dyDescent="0.3">
      <c r="A15" s="3542" t="s">
        <v>1665</v>
      </c>
      <c r="B15" s="3643"/>
      <c r="C15" s="3643"/>
      <c r="D15" s="3643"/>
      <c r="E15" s="3643"/>
      <c r="F15" s="3643"/>
      <c r="G15" s="3643"/>
      <c r="H15" s="3643"/>
      <c r="I15" s="3643"/>
      <c r="J15" s="3719"/>
      <c r="K15" s="3719"/>
      <c r="L15" s="3719"/>
      <c r="M15" s="3719"/>
      <c r="N15" s="3719"/>
      <c r="O15" s="3719"/>
      <c r="P15" s="3719"/>
      <c r="Q15" s="3719"/>
      <c r="R15" s="3719"/>
      <c r="S15" s="3719"/>
      <c r="T15" s="3719"/>
      <c r="U15" s="3719"/>
      <c r="V15" s="3719"/>
      <c r="W15" s="3719"/>
    </row>
    <row r="16" spans="1:23" x14ac:dyDescent="0.25">
      <c r="A16" s="3555" t="s">
        <v>1675</v>
      </c>
      <c r="B16" s="3643"/>
      <c r="C16" s="3643"/>
      <c r="D16" s="3643"/>
      <c r="E16" s="3643"/>
      <c r="F16" s="3643"/>
      <c r="G16" s="3643"/>
      <c r="H16" s="3643"/>
      <c r="I16" s="3643"/>
      <c r="J16" s="3719"/>
      <c r="K16" s="3719"/>
      <c r="L16" s="3719"/>
      <c r="M16" s="3719"/>
      <c r="N16" s="3719"/>
      <c r="O16" s="3719"/>
      <c r="P16" s="3719"/>
      <c r="Q16" s="3719"/>
      <c r="R16" s="3719"/>
      <c r="S16" s="3719"/>
      <c r="T16" s="3719"/>
      <c r="U16" s="3719"/>
      <c r="V16" s="3719"/>
      <c r="W16" s="3719"/>
    </row>
    <row r="17" spans="1:23" ht="14.4" x14ac:dyDescent="0.3">
      <c r="A17" s="3725" t="s">
        <v>1771</v>
      </c>
      <c r="B17" s="3563"/>
      <c r="C17" s="3563"/>
      <c r="D17" s="3563"/>
      <c r="E17" s="3563"/>
      <c r="F17" s="3563"/>
      <c r="G17" s="3563"/>
      <c r="H17" s="3563"/>
      <c r="I17" s="3563"/>
      <c r="J17" s="3563"/>
      <c r="K17" s="3563"/>
      <c r="L17" s="3563"/>
      <c r="M17" s="3563"/>
      <c r="N17" s="3563"/>
      <c r="O17" s="3563"/>
      <c r="P17" s="3563"/>
      <c r="Q17" s="3563"/>
      <c r="R17" s="3563"/>
      <c r="S17" s="3563"/>
      <c r="T17" s="3563"/>
      <c r="U17" s="3563"/>
      <c r="V17" s="3563"/>
      <c r="W17" s="3563"/>
    </row>
    <row r="18" spans="1:23" ht="14.4" x14ac:dyDescent="0.3">
      <c r="A18" s="3540" t="s">
        <v>1754</v>
      </c>
      <c r="B18" s="3563"/>
      <c r="C18" s="3563"/>
      <c r="D18" s="3563"/>
      <c r="E18" s="3563"/>
      <c r="F18" s="3563"/>
      <c r="G18" s="3563"/>
      <c r="H18" s="3563"/>
      <c r="I18" s="3563"/>
      <c r="J18" s="3563"/>
      <c r="K18" s="3563"/>
      <c r="L18" s="3563"/>
      <c r="M18" s="3563"/>
      <c r="N18" s="3563"/>
      <c r="O18" s="3563"/>
      <c r="P18" s="3563"/>
      <c r="Q18" s="3563"/>
      <c r="R18" s="3563"/>
      <c r="S18" s="3563"/>
      <c r="T18" s="3563"/>
      <c r="U18" s="3563"/>
      <c r="V18" s="3563"/>
      <c r="W18" s="3563"/>
    </row>
    <row r="19" spans="1:23" ht="15" thickBot="1" x14ac:dyDescent="0.35">
      <c r="A19" s="3563"/>
      <c r="B19" s="3563"/>
      <c r="C19" s="3563"/>
      <c r="D19" s="3563"/>
      <c r="E19" s="3563"/>
      <c r="F19" s="3563"/>
      <c r="G19" s="3563"/>
      <c r="H19" s="3563"/>
      <c r="I19" s="3563"/>
      <c r="J19" s="3563"/>
      <c r="K19" s="3563"/>
      <c r="L19" s="3563"/>
      <c r="M19" s="3563"/>
      <c r="N19" s="3563"/>
      <c r="O19" s="3563"/>
      <c r="P19" s="3563"/>
      <c r="Q19" s="3563"/>
      <c r="R19" s="3563"/>
      <c r="S19" s="3563"/>
      <c r="T19" s="3563"/>
      <c r="U19" s="3563"/>
      <c r="V19" s="3563"/>
    </row>
    <row r="20" spans="1:23" ht="19.8" thickTop="1" x14ac:dyDescent="0.45">
      <c r="A20" s="3564"/>
      <c r="B20" s="3564"/>
      <c r="C20" s="3564"/>
      <c r="D20" s="3564"/>
      <c r="E20" s="3564"/>
      <c r="F20" s="3564"/>
      <c r="G20" s="3564"/>
      <c r="H20" s="3564"/>
      <c r="I20" s="3564"/>
      <c r="J20" s="3564"/>
      <c r="K20" s="3564"/>
      <c r="L20" s="3564"/>
      <c r="M20" s="3564"/>
      <c r="N20" s="3564"/>
      <c r="O20" s="3564"/>
      <c r="P20" s="3564"/>
      <c r="Q20" s="3564"/>
      <c r="R20" s="3564"/>
      <c r="S20" s="3564"/>
      <c r="T20" s="3564"/>
      <c r="U20" s="3564"/>
      <c r="V20" s="3564"/>
      <c r="W20" s="3564"/>
    </row>
    <row r="21" spans="1:23" x14ac:dyDescent="0.25">
      <c r="B21" s="675"/>
      <c r="C21" s="675"/>
      <c r="D21" s="675"/>
      <c r="E21" s="675"/>
      <c r="F21" s="675"/>
      <c r="G21" s="675"/>
      <c r="H21" s="675"/>
      <c r="I21" s="675"/>
      <c r="J21" s="680"/>
      <c r="K21" s="680"/>
      <c r="L21" s="680"/>
    </row>
    <row r="22" spans="1:23" x14ac:dyDescent="0.25">
      <c r="B22" s="675"/>
      <c r="C22" s="675"/>
      <c r="D22" s="675"/>
      <c r="E22" s="675"/>
      <c r="F22" s="675"/>
      <c r="G22" s="675"/>
      <c r="H22" s="675"/>
      <c r="I22" s="675"/>
      <c r="J22" s="680"/>
      <c r="K22" s="680"/>
      <c r="L22" s="680"/>
    </row>
    <row r="23" spans="1:23" x14ac:dyDescent="0.25">
      <c r="B23" s="675"/>
      <c r="C23" s="675"/>
      <c r="D23" s="675"/>
      <c r="E23" s="675"/>
      <c r="F23" s="675"/>
      <c r="G23" s="675"/>
      <c r="H23" s="675"/>
      <c r="I23" s="675"/>
      <c r="J23" s="680"/>
      <c r="K23" s="680"/>
      <c r="L23" s="680"/>
    </row>
    <row r="24" spans="1:23" x14ac:dyDescent="0.25">
      <c r="B24" s="675"/>
      <c r="C24" s="675"/>
      <c r="D24" s="675"/>
      <c r="E24" s="675"/>
      <c r="F24" s="675"/>
      <c r="G24" s="675"/>
      <c r="H24" s="675"/>
      <c r="I24" s="675"/>
      <c r="J24" s="680"/>
      <c r="K24" s="680"/>
      <c r="L24" s="680"/>
    </row>
    <row r="25" spans="1:23" x14ac:dyDescent="0.25">
      <c r="B25" s="675"/>
      <c r="C25" s="675"/>
      <c r="D25" s="675"/>
      <c r="E25" s="675"/>
      <c r="F25" s="675"/>
      <c r="G25" s="675"/>
      <c r="H25" s="675"/>
      <c r="I25" s="675"/>
      <c r="J25" s="680"/>
      <c r="K25" s="680"/>
      <c r="L25" s="680"/>
    </row>
    <row r="26" spans="1:23" x14ac:dyDescent="0.25">
      <c r="B26" s="675"/>
      <c r="C26" s="675"/>
      <c r="D26" s="675"/>
      <c r="E26" s="675"/>
      <c r="F26" s="675"/>
      <c r="G26" s="675"/>
      <c r="H26" s="675"/>
      <c r="I26" s="675"/>
      <c r="J26" s="680"/>
      <c r="K26" s="680"/>
      <c r="L26" s="680"/>
    </row>
    <row r="27" spans="1:23" x14ac:dyDescent="0.25">
      <c r="B27" s="675"/>
      <c r="C27" s="675"/>
      <c r="D27" s="675"/>
      <c r="E27" s="675"/>
      <c r="F27" s="675"/>
      <c r="G27" s="675"/>
      <c r="H27" s="675"/>
      <c r="I27" s="675"/>
      <c r="J27" s="680"/>
      <c r="K27" s="680"/>
      <c r="L27" s="680"/>
    </row>
    <row r="28" spans="1:23" x14ac:dyDescent="0.25">
      <c r="B28" s="675"/>
      <c r="C28" s="675"/>
      <c r="D28" s="675"/>
      <c r="E28" s="675"/>
      <c r="F28" s="675"/>
      <c r="G28" s="675"/>
      <c r="H28" s="675"/>
      <c r="I28" s="675"/>
      <c r="J28" s="680"/>
      <c r="K28" s="680"/>
      <c r="L28" s="680"/>
    </row>
    <row r="29" spans="1:23" x14ac:dyDescent="0.25">
      <c r="B29" s="675"/>
      <c r="C29" s="675"/>
      <c r="D29" s="675"/>
      <c r="E29" s="675"/>
      <c r="F29" s="675"/>
      <c r="G29" s="675"/>
      <c r="H29" s="675"/>
      <c r="I29" s="675"/>
      <c r="J29" s="680"/>
      <c r="K29" s="680"/>
      <c r="L29" s="680"/>
    </row>
    <row r="30" spans="1:23" x14ac:dyDescent="0.25">
      <c r="B30" s="675"/>
      <c r="C30" s="675"/>
      <c r="D30" s="675"/>
      <c r="E30" s="675"/>
      <c r="F30" s="675"/>
      <c r="G30" s="675"/>
      <c r="H30" s="675"/>
      <c r="I30" s="675"/>
      <c r="J30" s="680"/>
      <c r="K30" s="680"/>
      <c r="L30" s="680"/>
    </row>
    <row r="31" spans="1:23" x14ac:dyDescent="0.25">
      <c r="B31" s="675"/>
      <c r="C31" s="675"/>
      <c r="D31" s="675"/>
      <c r="E31" s="675"/>
      <c r="F31" s="675"/>
      <c r="G31" s="675"/>
      <c r="H31" s="675"/>
      <c r="I31" s="675"/>
      <c r="J31" s="680"/>
      <c r="K31" s="680"/>
      <c r="L31" s="680"/>
    </row>
    <row r="32" spans="1:23" x14ac:dyDescent="0.25">
      <c r="B32" s="675"/>
      <c r="C32" s="675"/>
      <c r="D32" s="675"/>
      <c r="E32" s="675"/>
      <c r="F32" s="675"/>
      <c r="G32" s="675"/>
      <c r="H32" s="675"/>
      <c r="I32" s="675"/>
      <c r="J32" s="680"/>
      <c r="K32" s="680"/>
      <c r="L32" s="680"/>
    </row>
    <row r="33" spans="2:12" x14ac:dyDescent="0.25">
      <c r="B33" s="675"/>
      <c r="C33" s="675"/>
      <c r="D33" s="675"/>
      <c r="E33" s="675"/>
      <c r="F33" s="675"/>
      <c r="G33" s="675"/>
      <c r="H33" s="675"/>
      <c r="I33" s="675"/>
      <c r="J33" s="680"/>
      <c r="K33" s="680"/>
      <c r="L33" s="680"/>
    </row>
    <row r="34" spans="2:12" x14ac:dyDescent="0.25">
      <c r="B34" s="675"/>
      <c r="C34" s="675"/>
      <c r="D34" s="675"/>
      <c r="E34" s="675"/>
      <c r="F34" s="675"/>
      <c r="G34" s="675"/>
      <c r="H34" s="675"/>
      <c r="I34" s="675"/>
      <c r="J34" s="680"/>
      <c r="K34" s="680"/>
      <c r="L34" s="680"/>
    </row>
    <row r="35" spans="2:12" x14ac:dyDescent="0.25">
      <c r="B35" s="675"/>
      <c r="C35" s="675"/>
      <c r="D35" s="675"/>
      <c r="E35" s="675"/>
      <c r="F35" s="675"/>
      <c r="G35" s="675"/>
      <c r="H35" s="675"/>
      <c r="I35" s="675"/>
      <c r="J35" s="680"/>
      <c r="K35" s="680"/>
      <c r="L35" s="680"/>
    </row>
    <row r="36" spans="2:12" x14ac:dyDescent="0.25">
      <c r="B36" s="675"/>
      <c r="C36" s="675"/>
      <c r="D36" s="675"/>
      <c r="E36" s="675"/>
      <c r="F36" s="675"/>
      <c r="G36" s="675"/>
      <c r="H36" s="675"/>
      <c r="I36" s="675"/>
      <c r="J36" s="680"/>
      <c r="K36" s="680"/>
      <c r="L36" s="680"/>
    </row>
    <row r="37" spans="2:12" x14ac:dyDescent="0.25">
      <c r="B37" s="675"/>
      <c r="C37" s="675"/>
      <c r="D37" s="675"/>
      <c r="E37" s="675"/>
      <c r="F37" s="675"/>
      <c r="G37" s="675"/>
      <c r="H37" s="675"/>
      <c r="I37" s="675"/>
      <c r="J37" s="680"/>
      <c r="K37" s="680"/>
      <c r="L37" s="680"/>
    </row>
    <row r="38" spans="2:12" x14ac:dyDescent="0.25">
      <c r="B38" s="675"/>
      <c r="C38" s="675"/>
      <c r="D38" s="675"/>
      <c r="E38" s="675"/>
      <c r="F38" s="675"/>
      <c r="G38" s="675"/>
      <c r="H38" s="675"/>
      <c r="I38" s="675"/>
      <c r="J38" s="680"/>
      <c r="K38" s="680"/>
      <c r="L38" s="680"/>
    </row>
    <row r="39" spans="2:12" x14ac:dyDescent="0.25">
      <c r="B39" s="675"/>
      <c r="C39" s="675"/>
      <c r="D39" s="675"/>
      <c r="E39" s="675"/>
      <c r="F39" s="675"/>
      <c r="G39" s="675"/>
      <c r="H39" s="675"/>
      <c r="I39" s="675"/>
      <c r="J39" s="680"/>
      <c r="K39" s="680"/>
      <c r="L39" s="680"/>
    </row>
    <row r="40" spans="2:12" x14ac:dyDescent="0.25">
      <c r="B40" s="675"/>
      <c r="C40" s="675"/>
      <c r="D40" s="675"/>
      <c r="E40" s="675"/>
      <c r="F40" s="675"/>
      <c r="G40" s="675"/>
      <c r="H40" s="675"/>
      <c r="I40" s="675"/>
      <c r="J40" s="680"/>
      <c r="K40" s="680"/>
      <c r="L40" s="680"/>
    </row>
    <row r="41" spans="2:12" x14ac:dyDescent="0.25">
      <c r="B41" s="675"/>
      <c r="C41" s="675"/>
      <c r="D41" s="675"/>
      <c r="E41" s="675"/>
      <c r="F41" s="675"/>
      <c r="G41" s="675"/>
      <c r="H41" s="675"/>
      <c r="I41" s="675"/>
      <c r="J41" s="680"/>
      <c r="K41" s="680"/>
      <c r="L41" s="680"/>
    </row>
    <row r="42" spans="2:12" x14ac:dyDescent="0.25">
      <c r="B42" s="675"/>
      <c r="C42" s="675"/>
      <c r="D42" s="675"/>
      <c r="E42" s="675"/>
      <c r="F42" s="675"/>
      <c r="G42" s="675"/>
      <c r="H42" s="675"/>
      <c r="I42" s="675"/>
      <c r="J42" s="680"/>
      <c r="K42" s="680"/>
      <c r="L42" s="680"/>
    </row>
  </sheetData>
  <mergeCells count="1">
    <mergeCell ref="M2:P2"/>
  </mergeCells>
  <pageMargins left="0.75" right="0.75" top="1" bottom="1" header="0" footer="0"/>
  <pageSetup paperSize="9" scale="91"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2">
    <tabColor rgb="FFCC99FF"/>
  </sheetPr>
  <dimension ref="A1:U34"/>
  <sheetViews>
    <sheetView tabSelected="1" topLeftCell="A29" workbookViewId="0"/>
  </sheetViews>
  <sheetFormatPr baseColWidth="10" defaultColWidth="11.44140625" defaultRowHeight="13.2" x14ac:dyDescent="0.25"/>
  <cols>
    <col min="1" max="1" width="30.88671875" style="669" customWidth="1"/>
    <col min="2" max="5" width="15.88671875" style="669" customWidth="1"/>
    <col min="6" max="16384" width="11.44140625" style="669"/>
  </cols>
  <sheetData>
    <row r="1" spans="1:21" s="3238" customFormat="1" ht="36" customHeight="1" thickTop="1" x14ac:dyDescent="0.55000000000000004">
      <c r="A1" s="3642" t="s">
        <v>1799</v>
      </c>
      <c r="B1" s="3543"/>
      <c r="C1" s="3543"/>
      <c r="D1" s="3543"/>
      <c r="E1" s="3543"/>
      <c r="F1" s="3543"/>
      <c r="G1" s="3543"/>
      <c r="H1" s="3543"/>
      <c r="I1" s="3543"/>
      <c r="J1" s="3543"/>
      <c r="K1" s="3543"/>
      <c r="L1" s="3543"/>
      <c r="M1" s="3543"/>
      <c r="N1" s="3543"/>
      <c r="O1" s="3543"/>
      <c r="P1" s="3543"/>
      <c r="Q1" s="3543"/>
      <c r="R1" s="3543"/>
      <c r="S1" s="3543"/>
      <c r="T1" s="3543"/>
      <c r="U1" s="3543"/>
    </row>
    <row r="2" spans="1:21" s="3238" customFormat="1" ht="24.9" customHeight="1" x14ac:dyDescent="0.25">
      <c r="A2" s="3544" t="s">
        <v>1676</v>
      </c>
      <c r="B2" s="3567"/>
      <c r="C2" s="3567"/>
      <c r="D2" s="3567"/>
      <c r="E2" s="3568"/>
      <c r="F2" s="3568"/>
      <c r="G2" s="3568"/>
      <c r="H2" s="3568"/>
      <c r="I2" s="3568"/>
      <c r="J2" s="3568"/>
      <c r="K2" s="3568"/>
      <c r="L2" s="3568"/>
      <c r="M2" s="3846"/>
      <c r="N2" s="3846"/>
      <c r="O2" s="3846"/>
      <c r="P2" s="3846"/>
      <c r="Q2" s="3568"/>
      <c r="R2" s="3568"/>
      <c r="S2" s="3569"/>
      <c r="T2" s="3569"/>
      <c r="U2" s="3569"/>
    </row>
    <row r="3" spans="1:21" ht="36" customHeight="1" x14ac:dyDescent="0.25">
      <c r="A3" s="3571" t="s">
        <v>1677</v>
      </c>
      <c r="B3" s="3571" t="s">
        <v>1678</v>
      </c>
      <c r="C3" s="3571" t="s">
        <v>185</v>
      </c>
      <c r="D3" s="3571" t="s">
        <v>182</v>
      </c>
      <c r="E3" s="3571" t="s">
        <v>184</v>
      </c>
    </row>
    <row r="4" spans="1:21" ht="16.5" customHeight="1" x14ac:dyDescent="0.25">
      <c r="A4" s="3559">
        <v>2003</v>
      </c>
      <c r="B4" s="3570">
        <v>550.82753175913297</v>
      </c>
      <c r="C4" s="3547">
        <v>584.088675705578</v>
      </c>
      <c r="D4" s="3547">
        <v>542.05879542688342</v>
      </c>
      <c r="E4" s="3547">
        <v>551.03282022433859</v>
      </c>
      <c r="F4" s="681"/>
      <c r="G4" s="681"/>
      <c r="H4" s="681"/>
      <c r="I4" s="681"/>
      <c r="J4" s="681"/>
    </row>
    <row r="5" spans="1:21" ht="16.5" customHeight="1" x14ac:dyDescent="0.25">
      <c r="A5" s="3559">
        <v>2004</v>
      </c>
      <c r="B5" s="3570">
        <v>568.24059409626852</v>
      </c>
      <c r="C5" s="3547">
        <v>583.14286491707821</v>
      </c>
      <c r="D5" s="3547">
        <v>565</v>
      </c>
      <c r="E5" s="3547">
        <v>566</v>
      </c>
      <c r="F5" s="681"/>
      <c r="G5" s="681"/>
      <c r="H5" s="681"/>
      <c r="I5" s="681"/>
      <c r="J5" s="681"/>
    </row>
    <row r="6" spans="1:21" ht="16.5" customHeight="1" x14ac:dyDescent="0.25">
      <c r="A6" s="3559">
        <v>2005</v>
      </c>
      <c r="B6" s="3570">
        <v>550.10466378901606</v>
      </c>
      <c r="C6" s="3547">
        <v>528.31031809145134</v>
      </c>
      <c r="D6" s="3547">
        <v>557.34677204022739</v>
      </c>
      <c r="E6" s="3547">
        <v>547.7930676738182</v>
      </c>
      <c r="F6" s="681"/>
      <c r="G6" s="681"/>
      <c r="H6" s="681"/>
      <c r="I6" s="681"/>
      <c r="J6" s="681"/>
    </row>
    <row r="7" spans="1:21" ht="16.5" customHeight="1" x14ac:dyDescent="0.25">
      <c r="A7" s="3559">
        <v>2006</v>
      </c>
      <c r="B7" s="3570">
        <v>558.62050229094746</v>
      </c>
      <c r="C7" s="3547">
        <v>541.33376911805124</v>
      </c>
      <c r="D7" s="3547">
        <v>560.89272658249206</v>
      </c>
      <c r="E7" s="3547">
        <v>562.54801312940845</v>
      </c>
      <c r="F7" s="681"/>
      <c r="G7" s="681"/>
      <c r="H7" s="681"/>
      <c r="I7" s="681"/>
      <c r="J7" s="681"/>
    </row>
    <row r="8" spans="1:21" ht="16.5" customHeight="1" x14ac:dyDescent="0.25">
      <c r="A8" s="3559">
        <v>2007</v>
      </c>
      <c r="B8" s="3570">
        <v>570.13703385024542</v>
      </c>
      <c r="C8" s="3547">
        <v>548.55640668074079</v>
      </c>
      <c r="D8" s="3547">
        <v>579.19005543399999</v>
      </c>
      <c r="E8" s="3547">
        <v>564.83799153334178</v>
      </c>
      <c r="F8" s="681"/>
      <c r="G8" s="681"/>
      <c r="H8" s="681"/>
      <c r="I8" s="681"/>
      <c r="J8" s="681"/>
    </row>
    <row r="9" spans="1:21" ht="16.5" customHeight="1" x14ac:dyDescent="0.25">
      <c r="A9" s="3559">
        <v>2008</v>
      </c>
      <c r="B9" s="3570">
        <v>542.42364296070537</v>
      </c>
      <c r="C9" s="3547">
        <v>499.22988901645607</v>
      </c>
      <c r="D9" s="3547">
        <v>551.9986239452636</v>
      </c>
      <c r="E9" s="3547">
        <v>546.03531313952965</v>
      </c>
      <c r="F9" s="681"/>
      <c r="G9" s="681"/>
      <c r="H9" s="681"/>
      <c r="I9" s="681"/>
      <c r="J9" s="681"/>
    </row>
    <row r="10" spans="1:21" ht="16.5" customHeight="1" x14ac:dyDescent="0.25">
      <c r="A10" s="3559">
        <v>2009</v>
      </c>
      <c r="B10" s="3570">
        <v>511.12034674818972</v>
      </c>
      <c r="C10" s="3547">
        <v>492.02084333282869</v>
      </c>
      <c r="D10" s="3547">
        <v>517.04772390223911</v>
      </c>
      <c r="E10" s="3547">
        <v>510.01832749309597</v>
      </c>
      <c r="F10" s="681"/>
      <c r="G10" s="681"/>
      <c r="H10" s="681"/>
      <c r="I10" s="681"/>
      <c r="J10" s="681"/>
    </row>
    <row r="11" spans="1:21" ht="16.5" customHeight="1" x14ac:dyDescent="0.25">
      <c r="A11" s="3559">
        <v>2010</v>
      </c>
      <c r="B11" s="3570">
        <v>491.52011629998253</v>
      </c>
      <c r="C11" s="3547">
        <v>463.94364195400499</v>
      </c>
      <c r="D11" s="3547">
        <v>504.04321827550359</v>
      </c>
      <c r="E11" s="3547">
        <v>483.4929826133843</v>
      </c>
      <c r="F11" s="681"/>
      <c r="G11" s="681"/>
      <c r="H11" s="681"/>
      <c r="I11" s="681"/>
      <c r="J11" s="681"/>
    </row>
    <row r="12" spans="1:21" ht="16.5" customHeight="1" x14ac:dyDescent="0.25">
      <c r="A12" s="3559">
        <v>2011</v>
      </c>
      <c r="B12" s="3570">
        <v>485.86983150669749</v>
      </c>
      <c r="C12" s="3547">
        <v>442.65863112979639</v>
      </c>
      <c r="D12" s="3547">
        <v>490.75913263207593</v>
      </c>
      <c r="E12" s="3547">
        <v>497.4479801450284</v>
      </c>
      <c r="F12" s="681"/>
      <c r="G12" s="681"/>
      <c r="H12" s="681"/>
      <c r="I12" s="681"/>
      <c r="J12" s="681"/>
    </row>
    <row r="13" spans="1:21" ht="16.5" customHeight="1" x14ac:dyDescent="0.25">
      <c r="A13" s="3559">
        <v>2012</v>
      </c>
      <c r="B13" s="3570">
        <v>475.57261595716886</v>
      </c>
      <c r="C13" s="3547">
        <v>411.83420068227997</v>
      </c>
      <c r="D13" s="3547">
        <v>475.84091102073069</v>
      </c>
      <c r="E13" s="3547">
        <v>504.20852465582186</v>
      </c>
      <c r="F13" s="681"/>
      <c r="G13" s="681"/>
      <c r="H13" s="681"/>
      <c r="I13" s="681"/>
      <c r="J13" s="681"/>
    </row>
    <row r="14" spans="1:21" ht="16.5" customHeight="1" x14ac:dyDescent="0.25">
      <c r="A14" s="3559">
        <v>2013</v>
      </c>
      <c r="B14" s="3570">
        <v>462.35447156528426</v>
      </c>
      <c r="C14" s="3547">
        <v>386.84749332839078</v>
      </c>
      <c r="D14" s="3547">
        <v>466.2321443134644</v>
      </c>
      <c r="E14" s="3547">
        <v>490.21175907818269</v>
      </c>
      <c r="F14" s="681"/>
      <c r="G14" s="681"/>
      <c r="H14" s="681"/>
      <c r="I14" s="681"/>
      <c r="J14" s="681"/>
    </row>
    <row r="15" spans="1:21" ht="16.5" customHeight="1" x14ac:dyDescent="0.25">
      <c r="A15" s="3559">
        <v>2014</v>
      </c>
      <c r="B15" s="3570">
        <v>473.73680925843672</v>
      </c>
      <c r="C15" s="3547">
        <v>397.67231813354186</v>
      </c>
      <c r="D15" s="3547">
        <v>460.83096247759937</v>
      </c>
      <c r="E15" s="3547">
        <v>528.92790560078049</v>
      </c>
      <c r="F15" s="681"/>
      <c r="G15" s="681"/>
      <c r="H15" s="681"/>
      <c r="I15" s="681"/>
      <c r="J15" s="681"/>
    </row>
    <row r="16" spans="1:21" ht="16.5" customHeight="1" x14ac:dyDescent="0.25">
      <c r="A16" s="3559">
        <v>2015</v>
      </c>
      <c r="B16" s="3570">
        <v>465.60912170901554</v>
      </c>
      <c r="C16" s="3547">
        <v>413.59410947612616</v>
      </c>
      <c r="D16" s="3547">
        <v>449.36276060930214</v>
      </c>
      <c r="E16" s="3547">
        <v>515.30202415093606</v>
      </c>
      <c r="F16" s="681"/>
      <c r="G16" s="681"/>
      <c r="H16" s="681"/>
      <c r="I16" s="681"/>
      <c r="J16" s="681"/>
    </row>
    <row r="17" spans="1:7" ht="16.5" customHeight="1" x14ac:dyDescent="0.25">
      <c r="A17" s="3559">
        <v>2016</v>
      </c>
      <c r="B17" s="3570">
        <v>478.81149339807251</v>
      </c>
      <c r="C17" s="3547">
        <v>411.15153578722254</v>
      </c>
      <c r="D17" s="3547">
        <v>464.28586139857072</v>
      </c>
      <c r="E17" s="3547">
        <v>515.78472934699789</v>
      </c>
    </row>
    <row r="18" spans="1:7" ht="16.5" customHeight="1" x14ac:dyDescent="0.25">
      <c r="A18" s="3559">
        <v>2017</v>
      </c>
      <c r="B18" s="3570">
        <v>476.2623270519436</v>
      </c>
      <c r="C18" s="3547">
        <v>426.9314017950424</v>
      </c>
      <c r="D18" s="3547">
        <v>478.3834507948286</v>
      </c>
      <c r="E18" s="3547">
        <v>495.26655014348046</v>
      </c>
    </row>
    <row r="19" spans="1:7" ht="16.5" customHeight="1" x14ac:dyDescent="0.25">
      <c r="A19" s="3559">
        <v>2018</v>
      </c>
      <c r="B19" s="3570">
        <v>488.9392807206454</v>
      </c>
      <c r="C19" s="3547">
        <v>440.5691123159645</v>
      </c>
      <c r="D19" s="3547">
        <v>486.36675722272679</v>
      </c>
      <c r="E19" s="3547">
        <v>515.09152907097007</v>
      </c>
    </row>
    <row r="20" spans="1:7" ht="16.5" customHeight="1" x14ac:dyDescent="0.25">
      <c r="A20" s="3559">
        <v>2019</v>
      </c>
      <c r="B20" s="3570">
        <v>474.62179948878492</v>
      </c>
      <c r="C20" s="3547">
        <v>429.53824167794312</v>
      </c>
      <c r="D20" s="3547">
        <v>496.44962051686872</v>
      </c>
      <c r="E20" s="3547">
        <v>460.45543858535046</v>
      </c>
      <c r="G20" s="2584"/>
    </row>
    <row r="21" spans="1:7" ht="16.5" customHeight="1" x14ac:dyDescent="0.25">
      <c r="A21" s="3559">
        <v>2020</v>
      </c>
      <c r="B21" s="3570">
        <v>450.52394195921363</v>
      </c>
      <c r="C21" s="3547">
        <v>411.12940682661031</v>
      </c>
      <c r="D21" s="3547">
        <v>474.196326791275</v>
      </c>
      <c r="E21" s="3547">
        <v>430.82510912597513</v>
      </c>
      <c r="G21" s="2584"/>
    </row>
    <row r="22" spans="1:7" s="3225" customFormat="1" ht="16.5" customHeight="1" x14ac:dyDescent="0.25">
      <c r="A22" s="3559">
        <v>2021</v>
      </c>
      <c r="B22" s="3570">
        <v>457.66070105351343</v>
      </c>
      <c r="C22" s="3547">
        <v>404.11067776803992</v>
      </c>
      <c r="D22" s="3547">
        <v>479.25012191903085</v>
      </c>
      <c r="E22" s="3547">
        <v>447.89654572686078</v>
      </c>
      <c r="G22" s="3222"/>
    </row>
    <row r="23" spans="1:7" s="3223" customFormat="1" ht="16.5" customHeight="1" x14ac:dyDescent="0.25">
      <c r="A23" s="3559">
        <v>2022</v>
      </c>
      <c r="B23" s="3570">
        <v>448.52667908732582</v>
      </c>
      <c r="C23" s="3547">
        <v>400.09014915881016</v>
      </c>
      <c r="D23" s="3547">
        <v>471.81240509534388</v>
      </c>
      <c r="E23" s="3547">
        <v>433.86089478339204</v>
      </c>
      <c r="F23" s="669"/>
      <c r="G23" s="3222"/>
    </row>
    <row r="24" spans="1:7" ht="19.2" x14ac:dyDescent="0.25">
      <c r="A24" s="3559">
        <v>2023</v>
      </c>
      <c r="B24" s="3570">
        <v>426.52294131137779</v>
      </c>
      <c r="C24" s="3547">
        <v>383.91216424626356</v>
      </c>
      <c r="D24" s="3547">
        <v>432.78201018991359</v>
      </c>
      <c r="E24" s="3547">
        <v>436.27817109091825</v>
      </c>
    </row>
    <row r="25" spans="1:7" s="3643" customFormat="1" ht="19.8" thickBot="1" x14ac:dyDescent="0.3">
      <c r="A25" s="3720">
        <v>2024</v>
      </c>
      <c r="B25" s="3721">
        <v>434.08154704673524</v>
      </c>
      <c r="C25" s="3722">
        <v>394.75346340538078</v>
      </c>
      <c r="D25" s="3722">
        <v>442.2787282147213</v>
      </c>
      <c r="E25" s="3722">
        <v>439.27449620334619</v>
      </c>
      <c r="F25" s="3723"/>
      <c r="G25" s="3724"/>
    </row>
    <row r="26" spans="1:7" ht="13.8" x14ac:dyDescent="0.3">
      <c r="A26" s="3541"/>
      <c r="B26" s="3541"/>
      <c r="C26" s="3541"/>
      <c r="D26" s="3541"/>
      <c r="E26" s="3541"/>
      <c r="F26" s="3222"/>
      <c r="G26" s="3222"/>
    </row>
    <row r="27" spans="1:7" ht="13.8" x14ac:dyDescent="0.3">
      <c r="A27" s="3542" t="s">
        <v>1674</v>
      </c>
      <c r="B27" s="3225"/>
      <c r="C27" s="3225"/>
      <c r="D27" s="3225"/>
      <c r="E27" s="3225"/>
      <c r="F27" s="3222"/>
      <c r="G27" s="3222"/>
    </row>
    <row r="28" spans="1:7" ht="13.8" x14ac:dyDescent="0.3">
      <c r="A28" s="3542" t="s">
        <v>1665</v>
      </c>
      <c r="B28" s="3225"/>
      <c r="C28" s="3225"/>
      <c r="D28" s="3225"/>
      <c r="E28" s="3225"/>
      <c r="F28" s="3222"/>
      <c r="G28" s="3222"/>
    </row>
    <row r="29" spans="1:7" ht="14.4" x14ac:dyDescent="0.3">
      <c r="A29" s="3726" t="s">
        <v>1773</v>
      </c>
      <c r="B29" s="3222"/>
      <c r="C29" s="3222"/>
      <c r="D29" s="3222"/>
      <c r="E29" s="3222"/>
      <c r="F29" s="3222"/>
    </row>
    <row r="30" spans="1:7" x14ac:dyDescent="0.25">
      <c r="A30" s="3727" t="s">
        <v>1774</v>
      </c>
    </row>
    <row r="31" spans="1:7" ht="13.8" x14ac:dyDescent="0.3">
      <c r="A31" s="3540" t="s">
        <v>1754</v>
      </c>
    </row>
    <row r="32" spans="1:7" s="3637" customFormat="1" ht="13.8" x14ac:dyDescent="0.3">
      <c r="A32" s="3540" t="s">
        <v>1679</v>
      </c>
    </row>
    <row r="33" spans="1:5" ht="15" thickBot="1" x14ac:dyDescent="0.35">
      <c r="A33" s="3563"/>
      <c r="B33" s="3563"/>
      <c r="C33" s="3563"/>
      <c r="D33" s="3563"/>
      <c r="E33" s="3563"/>
    </row>
    <row r="34" spans="1:5" ht="19.8" thickTop="1" x14ac:dyDescent="0.45">
      <c r="A34" s="3564"/>
      <c r="B34" s="3564"/>
      <c r="C34" s="3564"/>
      <c r="D34" s="3564"/>
      <c r="E34" s="3564"/>
    </row>
  </sheetData>
  <mergeCells count="1">
    <mergeCell ref="M2:P2"/>
  </mergeCells>
  <pageMargins left="0.75" right="0.75" top="1" bottom="1" header="0" footer="0"/>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3">
    <tabColor rgb="FFCC99FF"/>
  </sheetPr>
  <dimension ref="A1:U34"/>
  <sheetViews>
    <sheetView topLeftCell="A11" workbookViewId="0"/>
  </sheetViews>
  <sheetFormatPr baseColWidth="10" defaultColWidth="11.44140625" defaultRowHeight="13.2" x14ac:dyDescent="0.25"/>
  <cols>
    <col min="1" max="1" width="30.88671875" style="669" customWidth="1"/>
    <col min="2" max="5" width="15.88671875" style="669" customWidth="1"/>
    <col min="6" max="16384" width="11.44140625" style="669"/>
  </cols>
  <sheetData>
    <row r="1" spans="1:21" s="3238" customFormat="1" ht="36" customHeight="1" thickTop="1" x14ac:dyDescent="0.55000000000000004">
      <c r="A1" s="3642" t="s">
        <v>1798</v>
      </c>
      <c r="B1" s="3543"/>
      <c r="C1" s="3543"/>
      <c r="D1" s="3543"/>
      <c r="E1" s="3543"/>
      <c r="F1" s="3543"/>
      <c r="G1" s="3543"/>
      <c r="H1" s="3543"/>
      <c r="I1" s="3543"/>
      <c r="J1" s="3543"/>
      <c r="K1" s="3543"/>
      <c r="L1" s="3543"/>
      <c r="M1" s="3543"/>
      <c r="N1" s="3543"/>
      <c r="O1" s="3543"/>
      <c r="P1" s="3543"/>
      <c r="Q1" s="3543"/>
      <c r="R1" s="3543"/>
      <c r="S1" s="3543"/>
      <c r="T1" s="3543"/>
      <c r="U1" s="3543"/>
    </row>
    <row r="2" spans="1:21" s="3238" customFormat="1" ht="24.9" customHeight="1" x14ac:dyDescent="0.25">
      <c r="A2" s="3544" t="s">
        <v>1676</v>
      </c>
      <c r="B2" s="3567"/>
      <c r="C2" s="3567"/>
      <c r="D2" s="3567"/>
      <c r="E2" s="3568"/>
      <c r="F2" s="3568"/>
      <c r="G2" s="3568"/>
      <c r="H2" s="3568"/>
      <c r="I2" s="3568"/>
      <c r="J2" s="3568"/>
      <c r="K2" s="3568"/>
      <c r="L2" s="3568"/>
      <c r="M2" s="3846"/>
      <c r="N2" s="3846"/>
      <c r="O2" s="3846"/>
      <c r="P2" s="3846"/>
      <c r="Q2" s="3568"/>
      <c r="R2" s="3568"/>
      <c r="S2" s="3569"/>
      <c r="T2" s="3569"/>
      <c r="U2" s="3569"/>
    </row>
    <row r="3" spans="1:21" ht="36" customHeight="1" x14ac:dyDescent="0.25">
      <c r="A3" s="3571" t="s">
        <v>440</v>
      </c>
      <c r="B3" s="3571" t="s">
        <v>1623</v>
      </c>
      <c r="C3" s="3571" t="s">
        <v>183</v>
      </c>
      <c r="D3" s="3571" t="s">
        <v>182</v>
      </c>
      <c r="E3" s="3571" t="s">
        <v>184</v>
      </c>
    </row>
    <row r="4" spans="1:21" ht="16.5" customHeight="1" x14ac:dyDescent="0.25">
      <c r="A4" s="3571" t="s">
        <v>440</v>
      </c>
      <c r="B4" s="3571" t="s">
        <v>151</v>
      </c>
      <c r="C4" s="3571" t="s">
        <v>183</v>
      </c>
      <c r="D4" s="3571" t="s">
        <v>182</v>
      </c>
      <c r="E4" s="3571" t="s">
        <v>184</v>
      </c>
      <c r="F4" s="675"/>
      <c r="G4" s="675"/>
      <c r="H4" s="675"/>
    </row>
    <row r="5" spans="1:21" ht="16.5" customHeight="1" x14ac:dyDescent="0.25">
      <c r="A5" s="3559">
        <v>2003</v>
      </c>
      <c r="B5" s="3570">
        <v>423.43548888729396</v>
      </c>
      <c r="C5" s="3547">
        <v>407.7886736439915</v>
      </c>
      <c r="D5" s="3547">
        <v>417.71167362742653</v>
      </c>
      <c r="E5" s="3547">
        <v>439.58071636946795</v>
      </c>
      <c r="F5" s="675"/>
      <c r="G5" s="675"/>
      <c r="H5" s="675"/>
    </row>
    <row r="6" spans="1:21" ht="16.5" customHeight="1" x14ac:dyDescent="0.25">
      <c r="A6" s="3559">
        <v>2004</v>
      </c>
      <c r="B6" s="3570">
        <v>412.89318353003847</v>
      </c>
      <c r="C6" s="3547">
        <v>385.55569160442434</v>
      </c>
      <c r="D6" s="3547">
        <v>412.44193741699763</v>
      </c>
      <c r="E6" s="3547">
        <v>425</v>
      </c>
      <c r="F6" s="675"/>
      <c r="G6" s="675"/>
      <c r="H6" s="675"/>
    </row>
    <row r="7" spans="1:21" ht="16.5" customHeight="1" x14ac:dyDescent="0.25">
      <c r="A7" s="3559">
        <v>2005</v>
      </c>
      <c r="B7" s="3570">
        <v>410.06483459496457</v>
      </c>
      <c r="C7" s="3547">
        <v>377.13445990722334</v>
      </c>
      <c r="D7" s="3547">
        <v>415.83850132751883</v>
      </c>
      <c r="E7" s="3547">
        <v>415.06239326700592</v>
      </c>
      <c r="F7" s="675"/>
      <c r="G7" s="675"/>
      <c r="H7" s="675"/>
    </row>
    <row r="8" spans="1:21" ht="16.5" customHeight="1" x14ac:dyDescent="0.25">
      <c r="A8" s="3559">
        <v>2006</v>
      </c>
      <c r="B8" s="3570">
        <v>412.74696616042451</v>
      </c>
      <c r="C8" s="3547">
        <v>384.57908854814025</v>
      </c>
      <c r="D8" s="3547">
        <v>412.47170355164366</v>
      </c>
      <c r="E8" s="3547">
        <v>425.7324184649766</v>
      </c>
      <c r="F8" s="675"/>
      <c r="G8" s="675"/>
      <c r="H8" s="675"/>
    </row>
    <row r="9" spans="1:21" ht="16.5" customHeight="1" x14ac:dyDescent="0.25">
      <c r="A9" s="3559">
        <v>2007</v>
      </c>
      <c r="B9" s="3570">
        <v>413.68839029050815</v>
      </c>
      <c r="C9" s="3547">
        <v>365.20015430006521</v>
      </c>
      <c r="D9" s="3547">
        <v>414.28002208971498</v>
      </c>
      <c r="E9" s="3547">
        <v>434.37042206406517</v>
      </c>
      <c r="F9" s="675"/>
      <c r="G9" s="675"/>
      <c r="H9" s="675"/>
    </row>
    <row r="10" spans="1:21" ht="16.5" customHeight="1" x14ac:dyDescent="0.25">
      <c r="A10" s="3559">
        <v>2008</v>
      </c>
      <c r="B10" s="3570">
        <v>401.34392846046876</v>
      </c>
      <c r="C10" s="3547">
        <v>345.50325934430407</v>
      </c>
      <c r="D10" s="3547">
        <v>409.0088149162944</v>
      </c>
      <c r="E10" s="3547">
        <v>413.78360999445772</v>
      </c>
      <c r="F10" s="675"/>
      <c r="G10" s="675"/>
      <c r="H10" s="675"/>
    </row>
    <row r="11" spans="1:21" ht="16.5" customHeight="1" x14ac:dyDescent="0.25">
      <c r="A11" s="3559">
        <v>2009</v>
      </c>
      <c r="B11" s="3570">
        <v>392.90276134857942</v>
      </c>
      <c r="C11" s="3547">
        <v>353.36400897746489</v>
      </c>
      <c r="D11" s="3547">
        <v>398.35357573273785</v>
      </c>
      <c r="E11" s="3547">
        <v>401.83685461093165</v>
      </c>
      <c r="F11" s="675"/>
      <c r="G11" s="675"/>
      <c r="H11" s="675"/>
    </row>
    <row r="12" spans="1:21" ht="16.5" customHeight="1" x14ac:dyDescent="0.25">
      <c r="A12" s="3559">
        <v>2010</v>
      </c>
      <c r="B12" s="3570">
        <v>387.21904037335224</v>
      </c>
      <c r="C12" s="3547">
        <v>360.93710977943721</v>
      </c>
      <c r="D12" s="3547">
        <v>392.21491384112886</v>
      </c>
      <c r="E12" s="3547">
        <v>390.94585266404607</v>
      </c>
      <c r="F12" s="675"/>
      <c r="G12" s="675"/>
      <c r="H12" s="675"/>
    </row>
    <row r="13" spans="1:21" ht="16.5" customHeight="1" x14ac:dyDescent="0.25">
      <c r="A13" s="3559">
        <v>2011</v>
      </c>
      <c r="B13" s="3570">
        <v>351.02551044680558</v>
      </c>
      <c r="C13" s="3547">
        <v>311.68833338562416</v>
      </c>
      <c r="D13" s="3547">
        <v>362.75330829586107</v>
      </c>
      <c r="E13" s="3547">
        <v>349.63519840488726</v>
      </c>
      <c r="F13" s="675"/>
      <c r="G13" s="675"/>
      <c r="H13" s="675"/>
    </row>
    <row r="14" spans="1:21" ht="16.5" customHeight="1" x14ac:dyDescent="0.25">
      <c r="A14" s="3559">
        <v>2012</v>
      </c>
      <c r="B14" s="3570">
        <v>345.95405019628072</v>
      </c>
      <c r="C14" s="3547">
        <v>331.47704979152559</v>
      </c>
      <c r="D14" s="3547">
        <v>342.48969339782036</v>
      </c>
      <c r="E14" s="3547">
        <v>358.22446104658485</v>
      </c>
      <c r="F14" s="675"/>
      <c r="G14" s="675"/>
      <c r="H14" s="675"/>
    </row>
    <row r="15" spans="1:21" ht="16.5" customHeight="1" x14ac:dyDescent="0.25">
      <c r="A15" s="3559">
        <v>2013</v>
      </c>
      <c r="B15" s="3570">
        <v>346.27549148589731</v>
      </c>
      <c r="C15" s="3547">
        <v>321.61966412471912</v>
      </c>
      <c r="D15" s="3547">
        <v>337.00594300273178</v>
      </c>
      <c r="E15" s="3547">
        <v>372.49950823945716</v>
      </c>
      <c r="F15" s="675"/>
      <c r="G15" s="675"/>
      <c r="H15" s="675"/>
    </row>
    <row r="16" spans="1:21" ht="16.5" customHeight="1" x14ac:dyDescent="0.25">
      <c r="A16" s="3559">
        <v>2014</v>
      </c>
      <c r="B16" s="3570">
        <v>359.14979100898483</v>
      </c>
      <c r="C16" s="3547">
        <v>338.89133134495239</v>
      </c>
      <c r="D16" s="3547">
        <v>340.80560343807559</v>
      </c>
      <c r="E16" s="3547">
        <v>397.91895521498191</v>
      </c>
      <c r="F16" s="675"/>
      <c r="G16" s="675"/>
      <c r="H16" s="675"/>
    </row>
    <row r="17" spans="1:5" ht="16.5" customHeight="1" x14ac:dyDescent="0.25">
      <c r="A17" s="3559">
        <v>2015</v>
      </c>
      <c r="B17" s="3570">
        <v>356.29923442436996</v>
      </c>
      <c r="C17" s="3547">
        <v>348.62619211859703</v>
      </c>
      <c r="D17" s="3547">
        <v>343.7929785754153</v>
      </c>
      <c r="E17" s="3547">
        <v>379.88287734768477</v>
      </c>
    </row>
    <row r="18" spans="1:5" ht="16.5" customHeight="1" x14ac:dyDescent="0.25">
      <c r="A18" s="3559">
        <v>2016</v>
      </c>
      <c r="B18" s="3570">
        <v>362.77212474777315</v>
      </c>
      <c r="C18" s="3547">
        <v>335.70535739507858</v>
      </c>
      <c r="D18" s="3547">
        <v>349.9938854738362</v>
      </c>
      <c r="E18" s="3547">
        <v>375.23213183210169</v>
      </c>
    </row>
    <row r="19" spans="1:5" ht="16.5" customHeight="1" x14ac:dyDescent="0.25">
      <c r="A19" s="3559">
        <v>2017</v>
      </c>
      <c r="B19" s="3570">
        <v>363.87400759198977</v>
      </c>
      <c r="C19" s="3547">
        <v>351.6904885018846</v>
      </c>
      <c r="D19" s="3547">
        <v>349.69201117059868</v>
      </c>
      <c r="E19" s="3547">
        <v>392.07518122087822</v>
      </c>
    </row>
    <row r="20" spans="1:5" ht="16.5" customHeight="1" x14ac:dyDescent="0.25">
      <c r="A20" s="3559">
        <v>2018</v>
      </c>
      <c r="B20" s="3570">
        <v>367.11041899701985</v>
      </c>
      <c r="C20" s="3547">
        <v>362.91102762811323</v>
      </c>
      <c r="D20" s="3547">
        <v>350.91430408726507</v>
      </c>
      <c r="E20" s="3547">
        <v>394.88884743898586</v>
      </c>
    </row>
    <row r="21" spans="1:5" ht="16.5" customHeight="1" x14ac:dyDescent="0.25">
      <c r="A21" s="3559">
        <v>2019</v>
      </c>
      <c r="B21" s="3570">
        <v>368.30501335734948</v>
      </c>
      <c r="C21" s="3547">
        <v>375.57480728524615</v>
      </c>
      <c r="D21" s="3547">
        <v>353.27891349933657</v>
      </c>
      <c r="E21" s="3547">
        <v>388.92469079029911</v>
      </c>
    </row>
    <row r="22" spans="1:5" s="3225" customFormat="1" ht="16.5" customHeight="1" x14ac:dyDescent="0.25">
      <c r="A22" s="3559">
        <v>2020</v>
      </c>
      <c r="B22" s="3570">
        <v>353.17832336792304</v>
      </c>
      <c r="C22" s="3547">
        <v>350.33279177222266</v>
      </c>
      <c r="D22" s="3547">
        <v>341.56770274314351</v>
      </c>
      <c r="E22" s="3547">
        <v>373.00006746385083</v>
      </c>
    </row>
    <row r="23" spans="1:5" s="3223" customFormat="1" ht="16.5" customHeight="1" x14ac:dyDescent="0.25">
      <c r="A23" s="3559">
        <v>2021</v>
      </c>
      <c r="B23" s="3570">
        <v>363.12332165852206</v>
      </c>
      <c r="C23" s="3547">
        <v>344.62941872206045</v>
      </c>
      <c r="D23" s="3547">
        <v>351.74924161955937</v>
      </c>
      <c r="E23" s="3547">
        <v>389.71975460710149</v>
      </c>
    </row>
    <row r="24" spans="1:5" s="3643" customFormat="1" ht="16.5" customHeight="1" x14ac:dyDescent="0.25">
      <c r="A24" s="3559">
        <v>2022</v>
      </c>
      <c r="B24" s="3570">
        <v>354.64506724819978</v>
      </c>
      <c r="C24" s="3547">
        <v>342.61931711350053</v>
      </c>
      <c r="D24" s="3547">
        <v>343.55372344506628</v>
      </c>
      <c r="E24" s="3547">
        <v>377.82648944107274</v>
      </c>
    </row>
    <row r="25" spans="1:5" ht="19.2" x14ac:dyDescent="0.25">
      <c r="A25" s="3559">
        <v>2023</v>
      </c>
      <c r="B25" s="3570">
        <v>357.36686643349526</v>
      </c>
      <c r="C25" s="3547">
        <v>347.85478142417162</v>
      </c>
      <c r="D25" s="3547">
        <v>340.7626011047355</v>
      </c>
      <c r="E25" s="3547">
        <v>388.15235283680244</v>
      </c>
    </row>
    <row r="26" spans="1:5" s="3643" customFormat="1" ht="19.2" x14ac:dyDescent="0.25">
      <c r="A26" s="3720">
        <v>2024</v>
      </c>
      <c r="B26" s="3721">
        <v>363.18626996137442</v>
      </c>
      <c r="C26" s="3722">
        <v>357.58833806206178</v>
      </c>
      <c r="D26" s="3722">
        <v>346.78609069889842</v>
      </c>
      <c r="E26" s="3722">
        <v>391.87504820173058</v>
      </c>
    </row>
    <row r="27" spans="1:5" ht="13.8" x14ac:dyDescent="0.3">
      <c r="A27" s="3542" t="s">
        <v>1674</v>
      </c>
      <c r="B27" s="3225"/>
      <c r="C27" s="3225"/>
      <c r="D27" s="3225"/>
      <c r="E27" s="3225"/>
    </row>
    <row r="28" spans="1:5" ht="13.8" x14ac:dyDescent="0.3">
      <c r="A28" s="3542" t="s">
        <v>1665</v>
      </c>
      <c r="B28" s="3225"/>
      <c r="C28" s="3225"/>
      <c r="D28" s="3225"/>
      <c r="E28" s="3225"/>
    </row>
    <row r="29" spans="1:5" x14ac:dyDescent="0.25">
      <c r="A29" s="3555" t="s">
        <v>1675</v>
      </c>
    </row>
    <row r="30" spans="1:5" ht="14.4" x14ac:dyDescent="0.3">
      <c r="A30" s="3726" t="s">
        <v>1775</v>
      </c>
    </row>
    <row r="31" spans="1:5" ht="13.8" x14ac:dyDescent="0.3">
      <c r="A31" s="3540" t="s">
        <v>1754</v>
      </c>
    </row>
    <row r="32" spans="1:5" ht="13.8" x14ac:dyDescent="0.3">
      <c r="A32" s="3540" t="s">
        <v>1679</v>
      </c>
    </row>
    <row r="33" spans="1:5" ht="15" thickBot="1" x14ac:dyDescent="0.35">
      <c r="A33" s="3563"/>
      <c r="B33" s="3563"/>
      <c r="C33" s="3563"/>
      <c r="D33" s="3563"/>
      <c r="E33" s="3563"/>
    </row>
    <row r="34" spans="1:5" ht="19.8" thickTop="1" x14ac:dyDescent="0.45">
      <c r="A34" s="3564"/>
      <c r="B34" s="3564"/>
      <c r="C34" s="3564"/>
      <c r="D34" s="3564"/>
      <c r="E34" s="3564"/>
    </row>
  </sheetData>
  <mergeCells count="1">
    <mergeCell ref="M2:P2"/>
  </mergeCells>
  <pageMargins left="0.75" right="0.75" top="1" bottom="1" header="0" footer="0"/>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4">
    <tabColor rgb="FFCC99FF"/>
  </sheetPr>
  <dimension ref="A1:U32"/>
  <sheetViews>
    <sheetView workbookViewId="0"/>
  </sheetViews>
  <sheetFormatPr baseColWidth="10" defaultColWidth="11.44140625" defaultRowHeight="13.2" x14ac:dyDescent="0.25"/>
  <cols>
    <col min="1" max="1" width="30.88671875" style="669" customWidth="1"/>
    <col min="2" max="5" width="15.88671875" style="669" customWidth="1"/>
    <col min="6" max="6" width="9.88671875" style="669" customWidth="1"/>
    <col min="7" max="7" width="6.44140625" style="669" customWidth="1"/>
    <col min="8" max="16384" width="11.44140625" style="669"/>
  </cols>
  <sheetData>
    <row r="1" spans="1:21" s="3238" customFormat="1" ht="36" customHeight="1" thickTop="1" x14ac:dyDescent="0.55000000000000004">
      <c r="A1" s="3642" t="s">
        <v>1786</v>
      </c>
      <c r="B1" s="3543"/>
      <c r="C1" s="3543"/>
      <c r="D1" s="3543"/>
      <c r="E1" s="3543"/>
      <c r="F1" s="3543"/>
      <c r="G1" s="3543"/>
      <c r="H1" s="3543"/>
      <c r="I1" s="3543"/>
      <c r="J1" s="3543"/>
      <c r="K1" s="3543"/>
      <c r="L1" s="3543"/>
      <c r="M1" s="3543"/>
      <c r="N1" s="3543"/>
      <c r="O1" s="3543"/>
      <c r="P1" s="3543"/>
      <c r="Q1" s="3543"/>
      <c r="R1" s="3543"/>
      <c r="S1" s="3543"/>
      <c r="T1" s="3543"/>
      <c r="U1" s="3543"/>
    </row>
    <row r="2" spans="1:21" s="3238" customFormat="1" ht="24.9" customHeight="1" x14ac:dyDescent="0.25">
      <c r="A2" s="3544" t="s">
        <v>1676</v>
      </c>
      <c r="B2" s="3567"/>
      <c r="C2" s="3567"/>
      <c r="D2" s="3567"/>
      <c r="E2" s="3568"/>
      <c r="F2" s="3568"/>
      <c r="G2" s="3568"/>
      <c r="H2" s="3568"/>
      <c r="I2" s="3568"/>
      <c r="J2" s="3568"/>
      <c r="K2" s="3568"/>
      <c r="L2" s="3568"/>
      <c r="M2" s="3846"/>
      <c r="N2" s="3846"/>
      <c r="O2" s="3846"/>
      <c r="P2" s="3846"/>
      <c r="Q2" s="3568"/>
      <c r="R2" s="3568"/>
      <c r="S2" s="3569"/>
      <c r="T2" s="3569"/>
      <c r="U2" s="3569"/>
    </row>
    <row r="3" spans="1:21" ht="36" customHeight="1" x14ac:dyDescent="0.25">
      <c r="A3" s="3571" t="s">
        <v>440</v>
      </c>
      <c r="B3" s="3571" t="s">
        <v>1623</v>
      </c>
      <c r="C3" s="3571" t="s">
        <v>183</v>
      </c>
      <c r="D3" s="3571" t="s">
        <v>182</v>
      </c>
      <c r="E3" s="3571" t="s">
        <v>184</v>
      </c>
    </row>
    <row r="4" spans="1:21" ht="16.5" customHeight="1" x14ac:dyDescent="0.25">
      <c r="A4" s="3559">
        <v>2003</v>
      </c>
      <c r="B4" s="3570">
        <v>127.39204287183902</v>
      </c>
      <c r="C4" s="3547">
        <v>176.30000206158647</v>
      </c>
      <c r="D4" s="3547">
        <v>124.3471217994569</v>
      </c>
      <c r="E4" s="3547">
        <v>111.4521038548706</v>
      </c>
      <c r="F4" s="675"/>
      <c r="G4" s="675"/>
      <c r="H4" s="675"/>
      <c r="I4" s="675"/>
    </row>
    <row r="5" spans="1:21" ht="16.5" customHeight="1" x14ac:dyDescent="0.25">
      <c r="A5" s="3559">
        <v>2004</v>
      </c>
      <c r="B5" s="3570">
        <v>155.34741056623011</v>
      </c>
      <c r="C5" s="3547">
        <v>197.5871733126539</v>
      </c>
      <c r="D5" s="3547">
        <v>152.72167380996822</v>
      </c>
      <c r="E5" s="3547">
        <v>141.19999999999999</v>
      </c>
    </row>
    <row r="6" spans="1:21" ht="16.5" customHeight="1" x14ac:dyDescent="0.25">
      <c r="A6" s="3559">
        <v>2005</v>
      </c>
      <c r="B6" s="3570">
        <v>140.03982919405138</v>
      </c>
      <c r="C6" s="3547">
        <v>151.17585818422796</v>
      </c>
      <c r="D6" s="3547">
        <v>141.50827071270859</v>
      </c>
      <c r="E6" s="3547">
        <v>132.73067440681228</v>
      </c>
    </row>
    <row r="7" spans="1:21" ht="16.5" customHeight="1" x14ac:dyDescent="0.25">
      <c r="A7" s="3559">
        <v>2006</v>
      </c>
      <c r="B7" s="3570">
        <v>145.87353613052301</v>
      </c>
      <c r="C7" s="3547">
        <v>156.75468056991093</v>
      </c>
      <c r="D7" s="3547">
        <v>148.4210230308484</v>
      </c>
      <c r="E7" s="3547">
        <v>136.81559466443187</v>
      </c>
    </row>
    <row r="8" spans="1:21" ht="16.5" customHeight="1" x14ac:dyDescent="0.25">
      <c r="A8" s="3559">
        <v>2007</v>
      </c>
      <c r="B8" s="3570">
        <v>156.44864355973729</v>
      </c>
      <c r="C8" s="3547">
        <v>183.35625238067567</v>
      </c>
      <c r="D8" s="3547">
        <v>164.91003334428498</v>
      </c>
      <c r="E8" s="3547">
        <v>130.46756946927664</v>
      </c>
    </row>
    <row r="9" spans="1:21" ht="16.5" customHeight="1" x14ac:dyDescent="0.25">
      <c r="A9" s="3559">
        <v>2008</v>
      </c>
      <c r="B9" s="3570">
        <v>141.07971450023672</v>
      </c>
      <c r="C9" s="3547">
        <v>153.72662967215206</v>
      </c>
      <c r="D9" s="3547">
        <v>142.98980902896926</v>
      </c>
      <c r="E9" s="3547">
        <v>132.25170314507201</v>
      </c>
    </row>
    <row r="10" spans="1:21" ht="16.5" customHeight="1" x14ac:dyDescent="0.25">
      <c r="A10" s="3559">
        <v>2009</v>
      </c>
      <c r="B10" s="3570">
        <v>118.21758539961033</v>
      </c>
      <c r="C10" s="3547">
        <v>138.65683435536377</v>
      </c>
      <c r="D10" s="3547">
        <v>118.6941481695013</v>
      </c>
      <c r="E10" s="3547">
        <v>108.18147288216429</v>
      </c>
    </row>
    <row r="11" spans="1:21" ht="16.5" customHeight="1" x14ac:dyDescent="0.25">
      <c r="A11" s="3559">
        <v>2010</v>
      </c>
      <c r="B11" s="3570">
        <v>104.30107592663036</v>
      </c>
      <c r="C11" s="3547">
        <v>103.00653217456781</v>
      </c>
      <c r="D11" s="3547">
        <v>111.82830443437469</v>
      </c>
      <c r="E11" s="3547">
        <v>92.547129949338242</v>
      </c>
    </row>
    <row r="12" spans="1:21" ht="16.5" customHeight="1" x14ac:dyDescent="0.25">
      <c r="A12" s="3559">
        <v>2011</v>
      </c>
      <c r="B12" s="3570">
        <v>134.84432105989191</v>
      </c>
      <c r="C12" s="3547">
        <v>130.97029774417217</v>
      </c>
      <c r="D12" s="3547">
        <v>128.00582433621483</v>
      </c>
      <c r="E12" s="3547">
        <v>147.81278174014113</v>
      </c>
    </row>
    <row r="13" spans="1:21" ht="16.5" customHeight="1" x14ac:dyDescent="0.25">
      <c r="A13" s="3559">
        <v>2012</v>
      </c>
      <c r="B13" s="3570">
        <v>129.61856576088815</v>
      </c>
      <c r="C13" s="3547">
        <v>80.357150890754411</v>
      </c>
      <c r="D13" s="3547">
        <v>133.35121762291035</v>
      </c>
      <c r="E13" s="3547">
        <v>145.98406360923704</v>
      </c>
    </row>
    <row r="14" spans="1:21" ht="16.5" customHeight="1" x14ac:dyDescent="0.25">
      <c r="A14" s="3559">
        <v>2013</v>
      </c>
      <c r="B14" s="3570">
        <v>116.07898007938691</v>
      </c>
      <c r="C14" s="3547">
        <v>65.227829203671703</v>
      </c>
      <c r="D14" s="3547">
        <v>129.22620131073265</v>
      </c>
      <c r="E14" s="3547">
        <v>117.71225083872551</v>
      </c>
    </row>
    <row r="15" spans="1:21" ht="16.5" customHeight="1" x14ac:dyDescent="0.25">
      <c r="A15" s="3559">
        <v>2014</v>
      </c>
      <c r="B15" s="3570">
        <v>114.58701824945192</v>
      </c>
      <c r="C15" s="3547">
        <v>58.780986788589445</v>
      </c>
      <c r="D15" s="3547">
        <v>120.02535903952372</v>
      </c>
      <c r="E15" s="3547">
        <v>131.00895038579864</v>
      </c>
    </row>
    <row r="16" spans="1:21" ht="16.5" customHeight="1" x14ac:dyDescent="0.25">
      <c r="A16" s="3559">
        <v>2015</v>
      </c>
      <c r="B16" s="3570">
        <v>109.30988728464561</v>
      </c>
      <c r="C16" s="3547">
        <v>64.967917357529174</v>
      </c>
      <c r="D16" s="3547">
        <v>105.56978203388681</v>
      </c>
      <c r="E16" s="3547">
        <v>135.41914680325129</v>
      </c>
    </row>
    <row r="17" spans="1:6" ht="16.5" customHeight="1" x14ac:dyDescent="0.25">
      <c r="A17" s="3559">
        <v>2016</v>
      </c>
      <c r="B17" s="3570">
        <v>116.03936865029932</v>
      </c>
      <c r="C17" s="3547">
        <v>75.446178392143949</v>
      </c>
      <c r="D17" s="3547">
        <v>114.29197592473447</v>
      </c>
      <c r="E17" s="3547">
        <v>140.55259751489621</v>
      </c>
      <c r="F17" s="681"/>
    </row>
    <row r="18" spans="1:6" ht="16.5" customHeight="1" x14ac:dyDescent="0.25">
      <c r="A18" s="3559">
        <v>2017</v>
      </c>
      <c r="B18" s="3570">
        <v>112.38831945995376</v>
      </c>
      <c r="C18" s="3547">
        <v>75.240913293157817</v>
      </c>
      <c r="D18" s="3547">
        <v>128.69143962422987</v>
      </c>
      <c r="E18" s="3547">
        <v>103.19136892260231</v>
      </c>
      <c r="F18" s="681"/>
    </row>
    <row r="19" spans="1:6" ht="16.5" customHeight="1" x14ac:dyDescent="0.25">
      <c r="A19" s="3559">
        <v>2018</v>
      </c>
      <c r="B19" s="3570">
        <v>121.82886172362561</v>
      </c>
      <c r="C19" s="3547">
        <v>77.658084687851257</v>
      </c>
      <c r="D19" s="3547">
        <v>135.45245313546167</v>
      </c>
      <c r="E19" s="3547">
        <v>120.20268163198428</v>
      </c>
    </row>
    <row r="20" spans="1:6" ht="16.5" customHeight="1" x14ac:dyDescent="0.25">
      <c r="A20" s="3559">
        <v>2019</v>
      </c>
      <c r="B20" s="3570">
        <v>106.31678613143539</v>
      </c>
      <c r="C20" s="3547">
        <v>53.963434392697003</v>
      </c>
      <c r="D20" s="3547">
        <v>143.17070701753221</v>
      </c>
      <c r="E20" s="3547">
        <v>71.530747795051383</v>
      </c>
    </row>
    <row r="21" spans="1:6" s="2586" customFormat="1" ht="16.5" customHeight="1" x14ac:dyDescent="0.25">
      <c r="A21" s="3559">
        <v>2020</v>
      </c>
      <c r="B21" s="3570">
        <v>99.194813601330864</v>
      </c>
      <c r="C21" s="3547">
        <v>63.126079863232889</v>
      </c>
      <c r="D21" s="3547">
        <v>134.94738832154349</v>
      </c>
      <c r="E21" s="3547">
        <v>58.705207034551989</v>
      </c>
    </row>
    <row r="22" spans="1:6" s="3225" customFormat="1" ht="16.5" customHeight="1" x14ac:dyDescent="0.25">
      <c r="A22" s="3559">
        <v>2021</v>
      </c>
      <c r="B22" s="3570">
        <v>97.975802803311936</v>
      </c>
      <c r="C22" s="3547">
        <v>61.775949785163938</v>
      </c>
      <c r="D22" s="3547">
        <v>129.85636539756655</v>
      </c>
      <c r="E22" s="3547">
        <v>63.864055548434465</v>
      </c>
    </row>
    <row r="23" spans="1:6" s="3223" customFormat="1" ht="16.5" customHeight="1" x14ac:dyDescent="0.25">
      <c r="A23" s="3559">
        <v>2022</v>
      </c>
      <c r="B23" s="3570">
        <v>97.251240172347195</v>
      </c>
      <c r="C23" s="3547">
        <v>59.616963247887817</v>
      </c>
      <c r="D23" s="3547">
        <v>130.53870265279144</v>
      </c>
      <c r="E23" s="3547">
        <v>61.700788409923412</v>
      </c>
    </row>
    <row r="24" spans="1:6" ht="19.2" x14ac:dyDescent="0.25">
      <c r="A24" s="3559">
        <v>2023</v>
      </c>
      <c r="B24" s="3570">
        <v>78.330898337187108</v>
      </c>
      <c r="C24" s="3547">
        <v>43.618079921646626</v>
      </c>
      <c r="D24" s="3547">
        <v>105.24667097104512</v>
      </c>
      <c r="E24" s="3547">
        <v>51.606871290293462</v>
      </c>
    </row>
    <row r="25" spans="1:6" s="3643" customFormat="1" ht="19.8" thickBot="1" x14ac:dyDescent="0.3">
      <c r="A25" s="3559">
        <v>2024</v>
      </c>
      <c r="B25" s="3570">
        <v>80.902697558684721</v>
      </c>
      <c r="C25" s="3547">
        <v>44.686486456648751</v>
      </c>
      <c r="D25" s="3547">
        <v>109.19716342896686</v>
      </c>
      <c r="E25" s="3547">
        <v>52.677342064043259</v>
      </c>
    </row>
    <row r="26" spans="1:6" ht="14.25" customHeight="1" x14ac:dyDescent="0.3">
      <c r="A26" s="3541"/>
      <c r="B26" s="3541"/>
      <c r="C26" s="3541"/>
      <c r="D26" s="3541"/>
      <c r="E26" s="3541"/>
    </row>
    <row r="27" spans="1:6" ht="13.8" x14ac:dyDescent="0.3">
      <c r="A27" s="3542" t="s">
        <v>1769</v>
      </c>
      <c r="B27" s="3225"/>
      <c r="C27" s="3225"/>
      <c r="D27" s="3225"/>
      <c r="E27" s="3225"/>
    </row>
    <row r="28" spans="1:6" ht="14.4" x14ac:dyDescent="0.3">
      <c r="A28" s="3563"/>
    </row>
    <row r="29" spans="1:6" ht="13.8" x14ac:dyDescent="0.3">
      <c r="A29" s="3540" t="s">
        <v>1754</v>
      </c>
    </row>
    <row r="30" spans="1:6" ht="13.8" x14ac:dyDescent="0.3">
      <c r="A30" s="3540" t="s">
        <v>1679</v>
      </c>
    </row>
    <row r="31" spans="1:6" ht="15" thickBot="1" x14ac:dyDescent="0.35">
      <c r="A31" s="3563"/>
      <c r="B31" s="3563"/>
      <c r="C31" s="3563"/>
      <c r="D31" s="3563"/>
      <c r="E31" s="3563"/>
    </row>
    <row r="32" spans="1:6" ht="19.8" thickTop="1" x14ac:dyDescent="0.45">
      <c r="A32" s="3564"/>
      <c r="B32" s="3564"/>
      <c r="C32" s="3564"/>
      <c r="D32" s="3564"/>
      <c r="E32" s="3564"/>
    </row>
  </sheetData>
  <mergeCells count="1">
    <mergeCell ref="M2:P2"/>
  </mergeCells>
  <pageMargins left="0.75" right="0.75" top="1" bottom="1"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5B348-B33D-413C-A072-82F4101A2E1A}">
  <sheetPr>
    <tabColor rgb="FFFFC000"/>
  </sheetPr>
  <dimension ref="A1:CF69"/>
  <sheetViews>
    <sheetView topLeftCell="P31" zoomScale="85" zoomScaleNormal="85" workbookViewId="0">
      <selection activeCell="BL7" sqref="BL7:BU30"/>
    </sheetView>
  </sheetViews>
  <sheetFormatPr baseColWidth="10" defaultColWidth="10.6640625" defaultRowHeight="13.2" x14ac:dyDescent="0.25"/>
  <cols>
    <col min="1" max="1" width="32.6640625" style="52" customWidth="1"/>
    <col min="2" max="7" width="11.88671875" style="52" customWidth="1"/>
    <col min="8" max="8" width="13.44140625" style="52" customWidth="1"/>
    <col min="9" max="9" width="11.88671875" style="52" customWidth="1"/>
    <col min="10" max="10" width="13.109375" style="52" customWidth="1"/>
    <col min="11" max="11" width="11.88671875" style="52" customWidth="1"/>
    <col min="12" max="12" width="12.5546875" style="52" customWidth="1"/>
    <col min="13" max="18" width="11.88671875" style="52" customWidth="1"/>
    <col min="19" max="19" width="11.88671875" style="52" hidden="1" customWidth="1"/>
    <col min="20" max="20" width="11.88671875" style="376" hidden="1" customWidth="1"/>
    <col min="21" max="21" width="11.88671875" style="52" hidden="1" customWidth="1"/>
    <col min="22" max="22" width="11.88671875" style="376" hidden="1" customWidth="1"/>
    <col min="23" max="23" width="11.88671875" style="52" hidden="1" customWidth="1"/>
    <col min="24" max="24" width="11.88671875" style="376" hidden="1" customWidth="1"/>
    <col min="25" max="25" width="11.88671875" style="52" hidden="1" customWidth="1"/>
    <col min="26" max="31" width="11.88671875" style="52" customWidth="1"/>
    <col min="32" max="32" width="14" style="52" bestFit="1" customWidth="1"/>
    <col min="33" max="33" width="16.5546875" style="52" customWidth="1"/>
    <col min="34" max="40" width="11.88671875" style="52" customWidth="1"/>
    <col min="41" max="43" width="10.6640625" style="52"/>
    <col min="44" max="45" width="12.109375" style="52" customWidth="1"/>
    <col min="46" max="48" width="10.6640625" style="52"/>
    <col min="49" max="49" width="12" style="52" customWidth="1"/>
    <col min="50" max="52" width="10.6640625" style="52"/>
    <col min="53" max="54" width="12" style="52" customWidth="1"/>
    <col min="55" max="57" width="10.6640625" style="52"/>
    <col min="58" max="58" width="7.88671875" style="61" customWidth="1"/>
    <col min="59" max="59" width="7.88671875" style="52" customWidth="1"/>
    <col min="60" max="16384" width="10.6640625" style="52"/>
  </cols>
  <sheetData>
    <row r="1" spans="1:84" ht="27" thickBot="1" x14ac:dyDescent="0.3">
      <c r="A1" s="51" t="s">
        <v>189</v>
      </c>
      <c r="C1" s="5" t="s">
        <v>150</v>
      </c>
      <c r="D1" s="53">
        <v>716616</v>
      </c>
      <c r="F1" s="371" t="s">
        <v>11</v>
      </c>
      <c r="G1" s="372">
        <v>123859.82686462608</v>
      </c>
      <c r="H1" s="371" t="s">
        <v>99</v>
      </c>
      <c r="I1" s="372">
        <v>10393.968839097921</v>
      </c>
      <c r="J1" s="373" t="s">
        <v>190</v>
      </c>
      <c r="K1" s="374">
        <v>134253.795703724</v>
      </c>
      <c r="P1" s="61"/>
      <c r="Z1" s="3192" t="s">
        <v>1616</v>
      </c>
      <c r="AA1" s="3192">
        <v>93797.73091370154</v>
      </c>
      <c r="AB1" s="61"/>
      <c r="AD1" s="61"/>
      <c r="AG1" s="61"/>
    </row>
    <row r="2" spans="1:84" ht="13.8" thickBot="1" x14ac:dyDescent="0.3">
      <c r="A2" s="63" t="s">
        <v>184</v>
      </c>
      <c r="B2" s="61"/>
      <c r="AD2" s="61"/>
    </row>
    <row r="3" spans="1:84" ht="16.5" customHeight="1" thickBot="1" x14ac:dyDescent="0.35">
      <c r="A3" s="3010">
        <v>2021</v>
      </c>
      <c r="B3" s="61"/>
      <c r="M3" s="3744" t="s">
        <v>193</v>
      </c>
      <c r="N3" s="3745"/>
      <c r="O3" s="3745"/>
      <c r="P3" s="3745"/>
      <c r="Q3" s="3745"/>
      <c r="R3" s="3746"/>
      <c r="S3" s="2364"/>
      <c r="T3" s="377"/>
      <c r="U3" s="2364"/>
      <c r="V3" s="377"/>
      <c r="W3" s="2364"/>
      <c r="X3" s="377"/>
      <c r="Y3" s="2364"/>
      <c r="Z3" s="2364"/>
      <c r="AA3" s="2364"/>
      <c r="AB3" s="2364"/>
      <c r="AC3" s="3741" t="s">
        <v>194</v>
      </c>
      <c r="AD3" s="3741"/>
      <c r="AE3" s="3741"/>
      <c r="AF3" s="3741"/>
      <c r="AG3" s="3741"/>
      <c r="AH3" s="3737" t="s">
        <v>134</v>
      </c>
      <c r="AI3" s="3737"/>
      <c r="AJ3" s="3737"/>
      <c r="AK3" s="2362" t="s">
        <v>133</v>
      </c>
      <c r="AL3" s="378"/>
      <c r="AM3" s="2363" t="s">
        <v>162</v>
      </c>
      <c r="AN3" s="3733" t="s">
        <v>195</v>
      </c>
      <c r="AO3" s="3733"/>
      <c r="AP3" s="3733"/>
      <c r="AQ3" s="3733"/>
      <c r="AR3" s="3733"/>
      <c r="AS3" s="3733"/>
      <c r="AT3" s="3733"/>
      <c r="AU3" s="3733"/>
      <c r="AV3" s="3733"/>
      <c r="AW3" s="3733" t="s">
        <v>196</v>
      </c>
      <c r="AX3" s="3733"/>
      <c r="AY3" s="3733"/>
      <c r="AZ3" s="3733"/>
      <c r="BA3" s="3733"/>
      <c r="BB3" s="3733"/>
      <c r="BC3" s="3733"/>
      <c r="BD3" s="3733"/>
      <c r="BE3" s="3733"/>
      <c r="BF3" s="379" t="s">
        <v>268</v>
      </c>
      <c r="BG3" s="65" t="s">
        <v>119</v>
      </c>
      <c r="BH3" s="65"/>
    </row>
    <row r="4" spans="1:84" ht="53.4" thickBot="1" x14ac:dyDescent="0.3">
      <c r="A4" s="8" t="s">
        <v>198</v>
      </c>
      <c r="B4" s="66" t="s">
        <v>9</v>
      </c>
      <c r="C4" s="67" t="s">
        <v>199</v>
      </c>
      <c r="D4" s="67" t="s">
        <v>158</v>
      </c>
      <c r="E4" s="380" t="s">
        <v>200</v>
      </c>
      <c r="F4" s="381" t="s">
        <v>201</v>
      </c>
      <c r="G4" s="70" t="s">
        <v>11</v>
      </c>
      <c r="H4" s="70" t="s">
        <v>202</v>
      </c>
      <c r="I4" s="70" t="s">
        <v>99</v>
      </c>
      <c r="J4" s="70" t="s">
        <v>203</v>
      </c>
      <c r="K4" s="71" t="s">
        <v>204</v>
      </c>
      <c r="L4" s="382" t="s">
        <v>205</v>
      </c>
      <c r="M4" s="383" t="s">
        <v>206</v>
      </c>
      <c r="N4" s="384" t="s">
        <v>207</v>
      </c>
      <c r="O4" s="385" t="s">
        <v>140</v>
      </c>
      <c r="P4" s="385" t="s">
        <v>269</v>
      </c>
      <c r="Q4" s="385" t="s">
        <v>133</v>
      </c>
      <c r="R4" s="386" t="s">
        <v>162</v>
      </c>
      <c r="S4" s="387" t="s">
        <v>270</v>
      </c>
      <c r="T4" s="388" t="s">
        <v>271</v>
      </c>
      <c r="U4" s="387" t="s">
        <v>272</v>
      </c>
      <c r="V4" s="388" t="s">
        <v>273</v>
      </c>
      <c r="W4" s="387" t="s">
        <v>274</v>
      </c>
      <c r="X4" s="388" t="s">
        <v>275</v>
      </c>
      <c r="Y4" s="389" t="s">
        <v>276</v>
      </c>
      <c r="Z4" s="390" t="s">
        <v>212</v>
      </c>
      <c r="AA4" s="390" t="s">
        <v>197</v>
      </c>
      <c r="AB4" s="390" t="s">
        <v>1463</v>
      </c>
      <c r="AC4" s="77" t="s">
        <v>122</v>
      </c>
      <c r="AD4" s="391" t="s">
        <v>277</v>
      </c>
      <c r="AE4" s="391" t="s">
        <v>278</v>
      </c>
      <c r="AF4" s="392" t="s">
        <v>279</v>
      </c>
      <c r="AG4" s="393" t="s">
        <v>280</v>
      </c>
      <c r="AH4" s="394" t="s">
        <v>218</v>
      </c>
      <c r="AI4" s="79" t="s">
        <v>257</v>
      </c>
      <c r="AJ4" s="79" t="s">
        <v>281</v>
      </c>
      <c r="AK4" s="283" t="s">
        <v>209</v>
      </c>
      <c r="AL4" s="285" t="s">
        <v>219</v>
      </c>
      <c r="AM4" s="395" t="s">
        <v>282</v>
      </c>
      <c r="AN4" s="287" t="s">
        <v>220</v>
      </c>
      <c r="AO4" s="89" t="s">
        <v>221</v>
      </c>
      <c r="AP4" s="90" t="s">
        <v>222</v>
      </c>
      <c r="AQ4" s="83" t="s">
        <v>223</v>
      </c>
      <c r="AR4" s="84" t="s">
        <v>224</v>
      </c>
      <c r="AS4" s="85" t="s">
        <v>225</v>
      </c>
      <c r="AT4" s="86" t="s">
        <v>226</v>
      </c>
      <c r="AU4" s="396" t="s">
        <v>259</v>
      </c>
      <c r="AV4" s="397" t="s">
        <v>227</v>
      </c>
      <c r="AW4" s="287" t="s">
        <v>228</v>
      </c>
      <c r="AX4" s="89" t="s">
        <v>229</v>
      </c>
      <c r="AY4" s="90" t="s">
        <v>230</v>
      </c>
      <c r="AZ4" s="83" t="s">
        <v>231</v>
      </c>
      <c r="BA4" s="84" t="s">
        <v>232</v>
      </c>
      <c r="BB4" s="91" t="s">
        <v>233</v>
      </c>
      <c r="BC4" s="86" t="s">
        <v>234</v>
      </c>
      <c r="BD4" s="398" t="s">
        <v>260</v>
      </c>
      <c r="BE4" s="87" t="s">
        <v>235</v>
      </c>
      <c r="BF4" s="61" t="s">
        <v>283</v>
      </c>
    </row>
    <row r="5" spans="1:84" ht="14.4" x14ac:dyDescent="0.3">
      <c r="A5" s="8" t="s">
        <v>113</v>
      </c>
      <c r="B5" s="3006">
        <v>191821.70882755876</v>
      </c>
      <c r="C5" s="3378">
        <v>0.59574363686765597</v>
      </c>
      <c r="D5" s="3006">
        <v>195870.52882755877</v>
      </c>
      <c r="E5" s="3379">
        <v>0.60831811952952652</v>
      </c>
      <c r="F5" s="3251">
        <v>0.96709999999999996</v>
      </c>
      <c r="G5" s="3252">
        <v>119784.83856077988</v>
      </c>
      <c r="H5" s="3253">
        <v>0.99870000000000003</v>
      </c>
      <c r="I5" s="3252">
        <v>10380.456679607096</v>
      </c>
      <c r="J5" s="3284"/>
      <c r="K5" s="3254">
        <v>130165.29524038699</v>
      </c>
      <c r="L5" s="3380">
        <v>321987.00406794576</v>
      </c>
      <c r="M5" s="3028">
        <v>2162.2483326330662</v>
      </c>
      <c r="N5" s="3285">
        <v>113360.8188212301</v>
      </c>
      <c r="O5" s="3286">
        <v>56844.514876333327</v>
      </c>
      <c r="P5" s="3286">
        <v>7973.3144508094547</v>
      </c>
      <c r="Q5" s="3286">
        <v>11321.956754017809</v>
      </c>
      <c r="R5" s="3287">
        <v>158.85559253500043</v>
      </c>
      <c r="S5" s="3381">
        <v>90711.785566640741</v>
      </c>
      <c r="T5" s="3382">
        <v>-229.47440491377347</v>
      </c>
      <c r="U5" s="3381">
        <v>48726.857490010094</v>
      </c>
      <c r="V5" s="3382">
        <v>542.01193185143984</v>
      </c>
      <c r="W5" s="3381">
        <v>41984.928076630662</v>
      </c>
      <c r="X5" s="3382">
        <v>-771.48633676520694</v>
      </c>
      <c r="Y5" s="3383">
        <v>0</v>
      </c>
      <c r="Z5" s="3288">
        <v>90941.259971554522</v>
      </c>
      <c r="AA5" s="3289">
        <v>0</v>
      </c>
      <c r="AB5" s="3289">
        <v>86892.439971554515</v>
      </c>
      <c r="AC5" s="3265">
        <v>4048.8199999999997</v>
      </c>
      <c r="AD5" s="3290">
        <v>37057.252146470382</v>
      </c>
      <c r="AE5" s="3265">
        <v>7078.7734116882721</v>
      </c>
      <c r="AF5" s="3265">
        <v>19306.981684970484</v>
      </c>
      <c r="AG5" s="3266">
        <v>23449.432728425385</v>
      </c>
      <c r="AH5" s="3291">
        <v>0</v>
      </c>
      <c r="AI5" s="3384">
        <v>37057.252146470382</v>
      </c>
      <c r="AJ5" s="3385">
        <v>46813.878289477296</v>
      </c>
      <c r="AK5" s="3386">
        <v>18400.730165706082</v>
      </c>
      <c r="AL5" s="3121">
        <v>0</v>
      </c>
      <c r="AM5" s="3387">
        <v>23608.288320960386</v>
      </c>
      <c r="AN5" s="3006">
        <v>2162.2483326330662</v>
      </c>
      <c r="AO5" s="3388">
        <v>117793.1102513947</v>
      </c>
      <c r="AP5" s="3389">
        <v>56844.514876333327</v>
      </c>
      <c r="AQ5" s="3390">
        <v>176799.87346036109</v>
      </c>
      <c r="AR5" s="3391">
        <v>83871.130435947678</v>
      </c>
      <c r="AS5" s="3392">
        <v>260671.00389630877</v>
      </c>
      <c r="AT5" s="3393">
        <v>18400.730165706082</v>
      </c>
      <c r="AU5" s="3394">
        <v>19306.981684970484</v>
      </c>
      <c r="AV5" s="3395">
        <v>23608.288320960386</v>
      </c>
      <c r="AW5" s="3213">
        <v>6.7153279645311027E-3</v>
      </c>
      <c r="AX5" s="3396">
        <v>0.36583187757024493</v>
      </c>
      <c r="AY5" s="3397">
        <v>0.1765428857629856</v>
      </c>
      <c r="AZ5" s="3398">
        <v>0.54909009129776165</v>
      </c>
      <c r="BA5" s="3399">
        <v>0.26047986215694957</v>
      </c>
      <c r="BB5" s="3400">
        <v>0.80956995345471128</v>
      </c>
      <c r="BC5" s="3401">
        <v>5.7147431210680652E-2</v>
      </c>
      <c r="BD5" s="3402">
        <v>5.9961990518400926E-2</v>
      </c>
      <c r="BE5" s="3158">
        <v>7.3320624816207061E-2</v>
      </c>
      <c r="BF5" s="61">
        <v>0</v>
      </c>
      <c r="BG5" s="52">
        <v>0</v>
      </c>
      <c r="BH5" s="61"/>
    </row>
    <row r="6" spans="1:84" ht="14.4" x14ac:dyDescent="0.3">
      <c r="A6" s="8" t="s">
        <v>236</v>
      </c>
      <c r="B6" s="3006">
        <v>209205.28323755876</v>
      </c>
      <c r="C6" s="3378">
        <v>0.60911268929747575</v>
      </c>
      <c r="D6" s="3006">
        <v>213254.10323755877</v>
      </c>
      <c r="E6" s="3379">
        <v>0.62090105142923402</v>
      </c>
      <c r="F6" s="3163">
        <v>1</v>
      </c>
      <c r="G6" s="3403">
        <v>123859.82686462608</v>
      </c>
      <c r="H6" s="3404">
        <v>1</v>
      </c>
      <c r="I6" s="3403">
        <v>10393.968839097923</v>
      </c>
      <c r="J6" s="3405"/>
      <c r="K6" s="3026">
        <v>134253.795703724</v>
      </c>
      <c r="L6" s="3380">
        <v>343459.07894128276</v>
      </c>
      <c r="M6" s="3006">
        <v>2162.2483326330662</v>
      </c>
      <c r="N6" s="3388">
        <v>126920.00686103011</v>
      </c>
      <c r="O6" s="3389">
        <v>56844.514876333327</v>
      </c>
      <c r="P6" s="3389">
        <v>7973.3144508094547</v>
      </c>
      <c r="Q6" s="3389">
        <v>15146.343124217809</v>
      </c>
      <c r="R6" s="3406">
        <v>158.85559253500043</v>
      </c>
      <c r="S6" s="3381">
        <v>93797.730913701525</v>
      </c>
      <c r="T6" s="3382">
        <v>0</v>
      </c>
      <c r="U6" s="3381">
        <v>50384.507796515449</v>
      </c>
      <c r="V6" s="3382">
        <v>0</v>
      </c>
      <c r="W6" s="3381">
        <v>43413.223117186084</v>
      </c>
      <c r="X6" s="3382">
        <v>0</v>
      </c>
      <c r="Y6" s="3383">
        <v>0</v>
      </c>
      <c r="Z6" s="3227">
        <v>93797.73091370154</v>
      </c>
      <c r="AA6" s="3407">
        <v>0</v>
      </c>
      <c r="AB6" s="3407">
        <v>89748.910913701533</v>
      </c>
      <c r="AC6" s="3407">
        <v>4048.8199999999997</v>
      </c>
      <c r="AD6" s="3376">
        <v>37057.252146470382</v>
      </c>
      <c r="AE6" s="3377">
        <v>9278.4356500450667</v>
      </c>
      <c r="AF6" s="3407">
        <v>19963.79038876071</v>
      </c>
      <c r="AG6" s="3228">
        <v>23449.432728425385</v>
      </c>
      <c r="AH6" s="3408"/>
      <c r="AI6" s="3409">
        <v>37057.252146470382</v>
      </c>
      <c r="AJ6" s="3051">
        <v>48045.907810667297</v>
      </c>
      <c r="AK6" s="3386">
        <v>24424.778774262879</v>
      </c>
      <c r="AL6" s="3121">
        <v>0</v>
      </c>
      <c r="AM6" s="3387">
        <v>23608.288320960386</v>
      </c>
      <c r="AN6" s="3006">
        <v>2162.2483326330662</v>
      </c>
      <c r="AO6" s="3388">
        <v>131352.29829119472</v>
      </c>
      <c r="AP6" s="3389">
        <v>56844.514876333327</v>
      </c>
      <c r="AQ6" s="3390">
        <v>190359.0615001611</v>
      </c>
      <c r="AR6" s="3391">
        <v>85103.159957137686</v>
      </c>
      <c r="AS6" s="3392">
        <v>275462.22145729879</v>
      </c>
      <c r="AT6" s="3393">
        <v>24424.778774262879</v>
      </c>
      <c r="AU6" s="3394">
        <v>19963.79038876071</v>
      </c>
      <c r="AV6" s="3395">
        <v>23608.288320960386</v>
      </c>
      <c r="AW6" s="3213">
        <v>6.2955049530157301E-3</v>
      </c>
      <c r="AX6" s="3396">
        <v>0.38243944139164976</v>
      </c>
      <c r="AY6" s="3397">
        <v>0.16550593174464134</v>
      </c>
      <c r="AZ6" s="3398">
        <v>0.55424087808930678</v>
      </c>
      <c r="BA6" s="3399">
        <v>0.24778253123914884</v>
      </c>
      <c r="BB6" s="3400">
        <v>0.80202340932845562</v>
      </c>
      <c r="BC6" s="3401">
        <v>7.1114086864591225E-2</v>
      </c>
      <c r="BD6" s="3402">
        <v>5.8125673807486365E-2</v>
      </c>
      <c r="BE6" s="3158">
        <v>6.8736829999466759E-2</v>
      </c>
      <c r="BF6" s="61">
        <v>0</v>
      </c>
      <c r="BG6" s="52">
        <v>0</v>
      </c>
      <c r="BH6" s="3305" t="s">
        <v>198</v>
      </c>
      <c r="BI6" s="3305" t="s">
        <v>395</v>
      </c>
      <c r="BJ6" s="3305" t="s">
        <v>156</v>
      </c>
      <c r="BK6" s="3305" t="s">
        <v>220</v>
      </c>
      <c r="BL6" s="3305" t="s">
        <v>221</v>
      </c>
      <c r="BM6" s="3305" t="s">
        <v>222</v>
      </c>
      <c r="BN6" s="3305" t="s">
        <v>223</v>
      </c>
      <c r="BO6" s="3305" t="s">
        <v>224</v>
      </c>
      <c r="BP6" s="3305" t="s">
        <v>225</v>
      </c>
      <c r="BQ6" s="3305" t="s">
        <v>226</v>
      </c>
      <c r="BR6" s="3305" t="s">
        <v>227</v>
      </c>
      <c r="BS6" s="3305" t="s">
        <v>259</v>
      </c>
      <c r="BT6" s="1"/>
      <c r="BU6" s="3305" t="s">
        <v>198</v>
      </c>
      <c r="BV6" s="3305" t="s">
        <v>395</v>
      </c>
      <c r="BW6" s="3305" t="s">
        <v>156</v>
      </c>
      <c r="BX6" s="3305" t="s">
        <v>228</v>
      </c>
      <c r="BY6" s="3305" t="s">
        <v>229</v>
      </c>
      <c r="BZ6" s="3305" t="s">
        <v>230</v>
      </c>
      <c r="CA6" s="3305" t="s">
        <v>231</v>
      </c>
      <c r="CB6" s="3305" t="s">
        <v>232</v>
      </c>
      <c r="CC6" s="3305" t="s">
        <v>233</v>
      </c>
      <c r="CD6" s="3305" t="s">
        <v>234</v>
      </c>
      <c r="CE6" s="3305" t="s">
        <v>235</v>
      </c>
      <c r="CF6" s="3305" t="s">
        <v>260</v>
      </c>
    </row>
    <row r="7" spans="1:84" ht="14.4" x14ac:dyDescent="0.3">
      <c r="A7" s="8" t="s">
        <v>14</v>
      </c>
      <c r="B7" s="3006">
        <v>24637.814476703003</v>
      </c>
      <c r="C7" s="3378">
        <v>0.60365298033151171</v>
      </c>
      <c r="D7" s="3006">
        <v>27385.351750531296</v>
      </c>
      <c r="E7" s="3379">
        <v>0.67097060160375011</v>
      </c>
      <c r="F7" s="3199">
        <v>0.11909999999999998</v>
      </c>
      <c r="G7" s="3403">
        <v>14751.705379576964</v>
      </c>
      <c r="H7" s="3410">
        <v>0.1371</v>
      </c>
      <c r="I7" s="3403">
        <v>1425.0131278403248</v>
      </c>
      <c r="J7" s="3405"/>
      <c r="K7" s="3026">
        <v>16176.718507417288</v>
      </c>
      <c r="L7" s="3380">
        <v>40814.532984120291</v>
      </c>
      <c r="M7" s="3006">
        <v>0</v>
      </c>
      <c r="N7" s="3388">
        <v>16848.19684993917</v>
      </c>
      <c r="O7" s="3389">
        <v>0</v>
      </c>
      <c r="P7" s="3389">
        <v>3172.5887427256653</v>
      </c>
      <c r="Q7" s="3389">
        <v>4617.0288840381672</v>
      </c>
      <c r="R7" s="3406">
        <v>0</v>
      </c>
      <c r="S7" s="3381">
        <v>11171.309751821851</v>
      </c>
      <c r="T7" s="3382">
        <v>-130.71326862176193</v>
      </c>
      <c r="U7" s="3381">
        <v>6000.7948785649887</v>
      </c>
      <c r="V7" s="3382">
        <v>-2923.5407065772238</v>
      </c>
      <c r="W7" s="3381">
        <v>5170.5148732568632</v>
      </c>
      <c r="X7" s="3382">
        <v>2792.8274379554632</v>
      </c>
      <c r="Y7" s="3383">
        <v>0</v>
      </c>
      <c r="Z7" s="3227">
        <v>11302.023020443612</v>
      </c>
      <c r="AA7" s="3407">
        <v>0</v>
      </c>
      <c r="AB7" s="3407">
        <v>8554.4857466153189</v>
      </c>
      <c r="AC7" s="3407">
        <v>2747.5372738282945</v>
      </c>
      <c r="AD7" s="3377">
        <v>6176.798311313918</v>
      </c>
      <c r="AE7" s="3377"/>
      <c r="AF7" s="3407">
        <v>2377.6874353014</v>
      </c>
      <c r="AG7" s="3228"/>
      <c r="AH7" s="3408"/>
      <c r="AI7" s="3409">
        <v>6176.798311313918</v>
      </c>
      <c r="AJ7" s="3051">
        <v>8047.2842296993404</v>
      </c>
      <c r="AK7" s="3386">
        <v>4617.0288840381672</v>
      </c>
      <c r="AL7" s="3121">
        <v>0</v>
      </c>
      <c r="AM7" s="3387">
        <v>0</v>
      </c>
      <c r="AN7" s="3006">
        <v>0</v>
      </c>
      <c r="AO7" s="3388">
        <v>19595.734123767463</v>
      </c>
      <c r="AP7" s="3389">
        <v>0</v>
      </c>
      <c r="AQ7" s="3390">
        <v>19595.734123767463</v>
      </c>
      <c r="AR7" s="3391">
        <v>14224.082541013258</v>
      </c>
      <c r="AS7" s="3392">
        <v>33819.816664780723</v>
      </c>
      <c r="AT7" s="3393">
        <v>4617.0288840381672</v>
      </c>
      <c r="AU7" s="3394">
        <v>2377.6874353014</v>
      </c>
      <c r="AV7" s="3395">
        <v>0</v>
      </c>
      <c r="AW7" s="3213" t="s">
        <v>153</v>
      </c>
      <c r="AX7" s="3396">
        <v>0.48011658326193696</v>
      </c>
      <c r="AY7" s="3397" t="s">
        <v>153</v>
      </c>
      <c r="AZ7" s="3398">
        <v>0.48011658326193696</v>
      </c>
      <c r="BA7" s="3399">
        <v>0.34850533623764413</v>
      </c>
      <c r="BB7" s="3400">
        <v>0.82862191949958108</v>
      </c>
      <c r="BC7" s="3401">
        <v>0.11312217846115045</v>
      </c>
      <c r="BD7" s="3402">
        <v>5.8255902039268385E-2</v>
      </c>
      <c r="BE7" s="3158" t="s">
        <v>153</v>
      </c>
      <c r="BF7" s="61">
        <v>0</v>
      </c>
      <c r="BG7" s="52">
        <v>0</v>
      </c>
      <c r="BH7" s="643" t="s">
        <v>14</v>
      </c>
      <c r="BI7" s="615">
        <v>40814.532984120291</v>
      </c>
      <c r="BJ7" s="3306">
        <v>0.60365298033151171</v>
      </c>
      <c r="BK7" s="615">
        <v>0</v>
      </c>
      <c r="BL7" s="615">
        <v>19595.734123767463</v>
      </c>
      <c r="BM7" s="615">
        <v>0</v>
      </c>
      <c r="BN7" s="615">
        <v>19595.734123767463</v>
      </c>
      <c r="BO7" s="615">
        <v>14224.082541013258</v>
      </c>
      <c r="BP7" s="615">
        <v>33819.816664780723</v>
      </c>
      <c r="BQ7" s="615">
        <v>4617.0288840381672</v>
      </c>
      <c r="BR7" s="615">
        <v>0</v>
      </c>
      <c r="BS7" s="615">
        <v>2377.6874353014</v>
      </c>
      <c r="BT7" s="1"/>
      <c r="BU7" s="643" t="s">
        <v>14</v>
      </c>
      <c r="BV7" s="615">
        <v>40814.532984120291</v>
      </c>
      <c r="BW7" s="3309">
        <v>0.60365298033151171</v>
      </c>
      <c r="BX7" s="3309" t="s">
        <v>153</v>
      </c>
      <c r="BY7" s="3309">
        <v>0.48011658326193696</v>
      </c>
      <c r="BZ7" s="3309" t="s">
        <v>153</v>
      </c>
      <c r="CA7" s="3309">
        <v>0.48011658326193696</v>
      </c>
      <c r="CB7" s="3309">
        <v>0.34850533623764413</v>
      </c>
      <c r="CC7" s="3309">
        <v>0.82862191949958108</v>
      </c>
      <c r="CD7" s="3309">
        <v>0.11312217846115045</v>
      </c>
      <c r="CE7" s="3309" t="s">
        <v>153</v>
      </c>
      <c r="CF7" s="3309">
        <v>5.8255902039268385E-2</v>
      </c>
    </row>
    <row r="8" spans="1:84" ht="14.4" x14ac:dyDescent="0.3">
      <c r="A8" s="8" t="s">
        <v>32</v>
      </c>
      <c r="B8" s="3006">
        <v>25484.635009999998</v>
      </c>
      <c r="C8" s="3378">
        <v>0.78457426331235225</v>
      </c>
      <c r="D8" s="3006">
        <v>25484.635009999998</v>
      </c>
      <c r="E8" s="3379">
        <v>0.78457426331235225</v>
      </c>
      <c r="F8" s="3199">
        <v>0.05</v>
      </c>
      <c r="G8" s="3403">
        <v>6192.9913432313042</v>
      </c>
      <c r="H8" s="3410">
        <v>7.7399999999999997E-2</v>
      </c>
      <c r="I8" s="3403">
        <v>804.49318814617902</v>
      </c>
      <c r="J8" s="3405"/>
      <c r="K8" s="3026">
        <v>6997.4845313774831</v>
      </c>
      <c r="L8" s="3380">
        <v>32482.11954137748</v>
      </c>
      <c r="M8" s="3006">
        <v>0</v>
      </c>
      <c r="N8" s="3388">
        <v>24692.062861188999</v>
      </c>
      <c r="O8" s="3412">
        <v>0</v>
      </c>
      <c r="P8" s="3389">
        <v>0</v>
      </c>
      <c r="Q8" s="3389">
        <v>703.37592627599997</v>
      </c>
      <c r="R8" s="3406">
        <v>89.19622253500043</v>
      </c>
      <c r="S8" s="3381">
        <v>4689.8865456850772</v>
      </c>
      <c r="T8" s="3382">
        <v>-198.97464223534735</v>
      </c>
      <c r="U8" s="3381">
        <v>2519.2253898257727</v>
      </c>
      <c r="V8" s="3382">
        <v>-1371.4462786566164</v>
      </c>
      <c r="W8" s="3381">
        <v>2170.6611558593045</v>
      </c>
      <c r="X8" s="3382">
        <v>1172.4716364212691</v>
      </c>
      <c r="Y8" s="3383">
        <v>0</v>
      </c>
      <c r="Z8" s="3227">
        <v>4888.8611879204245</v>
      </c>
      <c r="AA8" s="3407">
        <v>0</v>
      </c>
      <c r="AB8" s="3407">
        <v>4888.8611879204245</v>
      </c>
      <c r="AC8" s="3407"/>
      <c r="AD8" s="3377"/>
      <c r="AE8" s="3377">
        <v>3890.6716684823891</v>
      </c>
      <c r="AF8" s="3407">
        <v>998.1895194380354</v>
      </c>
      <c r="AG8" s="3228"/>
      <c r="AH8" s="3408"/>
      <c r="AI8" s="3409">
        <v>0</v>
      </c>
      <c r="AJ8" s="3051">
        <v>2108.6233434570586</v>
      </c>
      <c r="AK8" s="3386">
        <v>4594.0475947583891</v>
      </c>
      <c r="AL8" s="3121">
        <v>0</v>
      </c>
      <c r="AM8" s="3387">
        <v>89.19622253500043</v>
      </c>
      <c r="AN8" s="3006">
        <v>0</v>
      </c>
      <c r="AO8" s="3388">
        <v>24692.062861188999</v>
      </c>
      <c r="AP8" s="3389">
        <v>0</v>
      </c>
      <c r="AQ8" s="3390">
        <v>24692.062861188999</v>
      </c>
      <c r="AR8" s="3391">
        <v>2108.6233434570586</v>
      </c>
      <c r="AS8" s="3392">
        <v>26800.686204646059</v>
      </c>
      <c r="AT8" s="3393">
        <v>4594.0475947583891</v>
      </c>
      <c r="AU8" s="3394">
        <v>998.1895194380354</v>
      </c>
      <c r="AV8" s="3395">
        <v>89.19622253500043</v>
      </c>
      <c r="AW8" s="3213" t="s">
        <v>153</v>
      </c>
      <c r="AX8" s="3396">
        <v>0.7601740037233381</v>
      </c>
      <c r="AY8" s="3397" t="s">
        <v>153</v>
      </c>
      <c r="AZ8" s="3398">
        <v>0.7601740037233381</v>
      </c>
      <c r="BA8" s="3399">
        <v>6.4916433201687468E-2</v>
      </c>
      <c r="BB8" s="3400">
        <v>0.82509043692502571</v>
      </c>
      <c r="BC8" s="3401">
        <v>0.1414331225801396</v>
      </c>
      <c r="BD8" s="3402">
        <v>3.0730430573241613E-2</v>
      </c>
      <c r="BE8" s="3158">
        <v>2.7460099215932464E-3</v>
      </c>
      <c r="BF8" s="61">
        <v>0</v>
      </c>
      <c r="BG8" s="52">
        <v>0</v>
      </c>
      <c r="BH8" s="643" t="s">
        <v>32</v>
      </c>
      <c r="BI8" s="615">
        <v>32482.11954137748</v>
      </c>
      <c r="BJ8" s="3306">
        <v>0.78457426331235225</v>
      </c>
      <c r="BK8" s="615">
        <v>0</v>
      </c>
      <c r="BL8" s="615">
        <v>24692.062861188999</v>
      </c>
      <c r="BM8" s="615">
        <v>0</v>
      </c>
      <c r="BN8" s="615">
        <v>24692.062861188999</v>
      </c>
      <c r="BO8" s="615">
        <v>2108.6233434570586</v>
      </c>
      <c r="BP8" s="615">
        <v>26800.686204646059</v>
      </c>
      <c r="BQ8" s="615">
        <v>4594.0475947583891</v>
      </c>
      <c r="BR8" s="615">
        <v>89.19622253500043</v>
      </c>
      <c r="BS8" s="615">
        <v>998.1895194380354</v>
      </c>
      <c r="BT8" s="1"/>
      <c r="BU8" s="643" t="s">
        <v>32</v>
      </c>
      <c r="BV8" s="615">
        <v>32482.11954137748</v>
      </c>
      <c r="BW8" s="3309">
        <v>0.78457426331235225</v>
      </c>
      <c r="BX8" s="3309" t="s">
        <v>153</v>
      </c>
      <c r="BY8" s="3309">
        <v>0.7601740037233381</v>
      </c>
      <c r="BZ8" s="3309" t="s">
        <v>153</v>
      </c>
      <c r="CA8" s="3309">
        <v>0.7601740037233381</v>
      </c>
      <c r="CB8" s="3309">
        <v>6.4916433201687468E-2</v>
      </c>
      <c r="CC8" s="3309">
        <v>0.82509043692502571</v>
      </c>
      <c r="CD8" s="3309">
        <v>0.1414331225801396</v>
      </c>
      <c r="CE8" s="3309">
        <v>2.7460099215932464E-3</v>
      </c>
      <c r="CF8" s="3309">
        <v>3.0730430573241613E-2</v>
      </c>
    </row>
    <row r="9" spans="1:84" ht="14.4" x14ac:dyDescent="0.3">
      <c r="A9" s="8" t="s">
        <v>47</v>
      </c>
      <c r="B9" s="3006">
        <v>404.69288</v>
      </c>
      <c r="C9" s="3378">
        <v>0.33157337633971057</v>
      </c>
      <c r="D9" s="3006">
        <v>404.69288</v>
      </c>
      <c r="E9" s="3379">
        <v>0.33157337633971057</v>
      </c>
      <c r="F9" s="3199">
        <v>6.0999999999999995E-3</v>
      </c>
      <c r="G9" s="3403">
        <v>755.54494387421903</v>
      </c>
      <c r="H9" s="3410">
        <v>5.8000000000000005E-3</v>
      </c>
      <c r="I9" s="3403">
        <v>60.285019266767947</v>
      </c>
      <c r="J9" s="3405"/>
      <c r="K9" s="3026">
        <v>815.82996314098693</v>
      </c>
      <c r="L9" s="3380">
        <v>1220.5228431409869</v>
      </c>
      <c r="M9" s="3006">
        <v>0</v>
      </c>
      <c r="N9" s="3388">
        <v>404.61494323437694</v>
      </c>
      <c r="O9" s="3412">
        <v>0</v>
      </c>
      <c r="P9" s="3389">
        <v>0</v>
      </c>
      <c r="Q9" s="3389">
        <v>7.7936765622433665E-2</v>
      </c>
      <c r="R9" s="3406">
        <v>0</v>
      </c>
      <c r="S9" s="3381">
        <v>572.16615857357931</v>
      </c>
      <c r="T9" s="3382">
        <v>2.1785544770293512</v>
      </c>
      <c r="U9" s="3381">
        <v>307.34549755874423</v>
      </c>
      <c r="V9" s="3382">
        <v>-140.86298516636543</v>
      </c>
      <c r="W9" s="3381">
        <v>264.82066101483514</v>
      </c>
      <c r="X9" s="3382">
        <v>143.04153964339486</v>
      </c>
      <c r="Y9" s="3383">
        <v>0</v>
      </c>
      <c r="Z9" s="3227">
        <v>569.98760409654994</v>
      </c>
      <c r="AA9" s="3407">
        <v>0</v>
      </c>
      <c r="AB9" s="3407">
        <v>569.98760409654994</v>
      </c>
      <c r="AC9" s="3407"/>
      <c r="AD9" s="3377">
        <v>448.20848272510966</v>
      </c>
      <c r="AE9" s="3377"/>
      <c r="AF9" s="3407">
        <v>121.7791213714403</v>
      </c>
      <c r="AG9" s="3228"/>
      <c r="AH9" s="3408"/>
      <c r="AI9" s="3409">
        <v>448.20848272510966</v>
      </c>
      <c r="AJ9" s="3051">
        <v>245.84235904443696</v>
      </c>
      <c r="AK9" s="3386">
        <v>7.7936765622433665E-2</v>
      </c>
      <c r="AL9" s="3121">
        <v>0</v>
      </c>
      <c r="AM9" s="3387">
        <v>0</v>
      </c>
      <c r="AN9" s="3006">
        <v>0</v>
      </c>
      <c r="AO9" s="3388">
        <v>404.61494323437694</v>
      </c>
      <c r="AP9" s="3389">
        <v>0</v>
      </c>
      <c r="AQ9" s="3390">
        <v>404.61494323437694</v>
      </c>
      <c r="AR9" s="3391">
        <v>694.05084176954665</v>
      </c>
      <c r="AS9" s="3392">
        <v>1098.6657850039237</v>
      </c>
      <c r="AT9" s="3393">
        <v>7.7936765622433665E-2</v>
      </c>
      <c r="AU9" s="3394">
        <v>121.7791213714403</v>
      </c>
      <c r="AV9" s="3395">
        <v>0</v>
      </c>
      <c r="AW9" s="3213" t="s">
        <v>153</v>
      </c>
      <c r="AX9" s="3396">
        <v>0.33150952111073145</v>
      </c>
      <c r="AY9" s="3397" t="s">
        <v>153</v>
      </c>
      <c r="AZ9" s="3398">
        <v>0.33150952111073145</v>
      </c>
      <c r="BA9" s="3399">
        <v>0.56865043179644481</v>
      </c>
      <c r="BB9" s="3400">
        <v>0.90015995290717632</v>
      </c>
      <c r="BC9" s="3401">
        <v>6.3855228978644291E-5</v>
      </c>
      <c r="BD9" s="3402">
        <v>9.9776191863844663E-2</v>
      </c>
      <c r="BE9" s="3158" t="s">
        <v>153</v>
      </c>
      <c r="BF9" s="61">
        <v>0</v>
      </c>
      <c r="BG9" s="52">
        <v>0</v>
      </c>
      <c r="BH9" s="643" t="s">
        <v>47</v>
      </c>
      <c r="BI9" s="615">
        <v>1220.5228431409869</v>
      </c>
      <c r="BJ9" s="3306">
        <v>0.33157337633971057</v>
      </c>
      <c r="BK9" s="615">
        <v>0</v>
      </c>
      <c r="BL9" s="615">
        <v>404.61494323437694</v>
      </c>
      <c r="BM9" s="615">
        <v>0</v>
      </c>
      <c r="BN9" s="615">
        <v>404.61494323437694</v>
      </c>
      <c r="BO9" s="615">
        <v>694.05084176954665</v>
      </c>
      <c r="BP9" s="615">
        <v>1098.6657850039237</v>
      </c>
      <c r="BQ9" s="615">
        <v>7.7936765622433665E-2</v>
      </c>
      <c r="BR9" s="615">
        <v>0</v>
      </c>
      <c r="BS9" s="615">
        <v>121.7791213714403</v>
      </c>
      <c r="BT9" s="1"/>
      <c r="BU9" s="643" t="s">
        <v>47</v>
      </c>
      <c r="BV9" s="615">
        <v>1220.5228431409869</v>
      </c>
      <c r="BW9" s="3309">
        <v>0.33157337633971057</v>
      </c>
      <c r="BX9" s="3309" t="s">
        <v>153</v>
      </c>
      <c r="BY9" s="3309">
        <v>0.33150952111073145</v>
      </c>
      <c r="BZ9" s="3309" t="s">
        <v>153</v>
      </c>
      <c r="CA9" s="3309">
        <v>0.33150952111073145</v>
      </c>
      <c r="CB9" s="3309">
        <v>0.56865043179644481</v>
      </c>
      <c r="CC9" s="3309">
        <v>0.90015995290717632</v>
      </c>
      <c r="CD9" s="3309">
        <v>6.3855228978644291E-5</v>
      </c>
      <c r="CE9" s="3309" t="s">
        <v>153</v>
      </c>
      <c r="CF9" s="3309">
        <v>9.9776191863844663E-2</v>
      </c>
    </row>
    <row r="10" spans="1:84" ht="14.4" x14ac:dyDescent="0.3">
      <c r="A10" s="8" t="s">
        <v>1</v>
      </c>
      <c r="B10" s="3006">
        <v>7886.7173206814041</v>
      </c>
      <c r="C10" s="3378">
        <v>0.9086686814884869</v>
      </c>
      <c r="D10" s="3006">
        <v>7886.7173206814041</v>
      </c>
      <c r="E10" s="3379">
        <v>0.9086686814884869</v>
      </c>
      <c r="F10" s="3199">
        <v>6.4000000000000003E-3</v>
      </c>
      <c r="G10" s="3403">
        <v>792.70289193360702</v>
      </c>
      <c r="H10" s="3410">
        <v>0</v>
      </c>
      <c r="I10" s="3403">
        <v>0</v>
      </c>
      <c r="J10" s="3405"/>
      <c r="K10" s="3026">
        <v>792.70289193360702</v>
      </c>
      <c r="L10" s="3380">
        <v>8679.4202126150103</v>
      </c>
      <c r="M10" s="3006">
        <v>9.0052908880662397</v>
      </c>
      <c r="N10" s="3388">
        <v>6502.2729601526389</v>
      </c>
      <c r="O10" s="3412">
        <v>0</v>
      </c>
      <c r="P10" s="3389">
        <v>429.91941864045657</v>
      </c>
      <c r="Q10" s="3389">
        <v>945.51965100024177</v>
      </c>
      <c r="R10" s="3406">
        <v>0</v>
      </c>
      <c r="S10" s="3381">
        <v>600.30547784768987</v>
      </c>
      <c r="T10" s="3382">
        <v>46.475828843292774</v>
      </c>
      <c r="U10" s="3381">
        <v>322.46084989769889</v>
      </c>
      <c r="V10" s="3382">
        <v>-103.60054061862968</v>
      </c>
      <c r="W10" s="3381">
        <v>277.84462794999098</v>
      </c>
      <c r="X10" s="3382">
        <v>150.07636946192247</v>
      </c>
      <c r="Y10" s="3383">
        <v>0</v>
      </c>
      <c r="Z10" s="3227">
        <v>553.82964900439708</v>
      </c>
      <c r="AA10" s="3407">
        <v>0</v>
      </c>
      <c r="AB10" s="3407">
        <v>553.8296490043972</v>
      </c>
      <c r="AC10" s="3407"/>
      <c r="AD10" s="3377"/>
      <c r="AE10" s="3377">
        <v>426.06139051632857</v>
      </c>
      <c r="AF10" s="3407">
        <v>127.76825848806853</v>
      </c>
      <c r="AG10" s="3228"/>
      <c r="AH10" s="3408"/>
      <c r="AI10" s="3409">
        <v>0</v>
      </c>
      <c r="AJ10" s="3051">
        <v>668.79266156966651</v>
      </c>
      <c r="AK10" s="3386">
        <v>1371.5810415165704</v>
      </c>
      <c r="AL10" s="3121">
        <v>0</v>
      </c>
      <c r="AM10" s="3387">
        <v>0</v>
      </c>
      <c r="AN10" s="3006">
        <v>9.0052908880662397</v>
      </c>
      <c r="AO10" s="3388">
        <v>6502.2729601526389</v>
      </c>
      <c r="AP10" s="3389">
        <v>0</v>
      </c>
      <c r="AQ10" s="3390">
        <v>6511.2782510407051</v>
      </c>
      <c r="AR10" s="3391">
        <v>668.79266156966651</v>
      </c>
      <c r="AS10" s="3392">
        <v>7180.070912610372</v>
      </c>
      <c r="AT10" s="3393">
        <v>1371.5810415165704</v>
      </c>
      <c r="AU10" s="3394">
        <v>127.76825848806853</v>
      </c>
      <c r="AV10" s="3395">
        <v>0</v>
      </c>
      <c r="AW10" s="3213">
        <v>1.0375452124068835E-3</v>
      </c>
      <c r="AX10" s="3396">
        <v>0.74915982875238374</v>
      </c>
      <c r="AY10" s="3397" t="s">
        <v>153</v>
      </c>
      <c r="AZ10" s="3398">
        <v>0.75019737396479058</v>
      </c>
      <c r="BA10" s="3399">
        <v>7.7054992751430212E-2</v>
      </c>
      <c r="BB10" s="3400">
        <v>0.82725236671622082</v>
      </c>
      <c r="BC10" s="3401">
        <v>0.15802680454658258</v>
      </c>
      <c r="BD10" s="3402">
        <v>1.4720828737196653E-2</v>
      </c>
      <c r="BE10" s="3158" t="s">
        <v>153</v>
      </c>
      <c r="BF10" s="61">
        <v>0</v>
      </c>
      <c r="BG10" s="52">
        <v>0</v>
      </c>
      <c r="BH10" s="643" t="s">
        <v>1</v>
      </c>
      <c r="BI10" s="615">
        <v>8679.4202126150103</v>
      </c>
      <c r="BJ10" s="3306">
        <v>0.9086686814884869</v>
      </c>
      <c r="BK10" s="615">
        <v>9.0052908880662397</v>
      </c>
      <c r="BL10" s="615">
        <v>6502.2729601526389</v>
      </c>
      <c r="BM10" s="615">
        <v>0</v>
      </c>
      <c r="BN10" s="615">
        <v>6511.2782510407051</v>
      </c>
      <c r="BO10" s="615">
        <v>668.79266156966651</v>
      </c>
      <c r="BP10" s="615">
        <v>7180.070912610372</v>
      </c>
      <c r="BQ10" s="615">
        <v>1371.5810415165704</v>
      </c>
      <c r="BR10" s="615">
        <v>0</v>
      </c>
      <c r="BS10" s="615">
        <v>127.76825848806853</v>
      </c>
      <c r="BT10" s="1"/>
      <c r="BU10" s="643" t="s">
        <v>1</v>
      </c>
      <c r="BV10" s="615">
        <v>8679.4202126150103</v>
      </c>
      <c r="BW10" s="3309">
        <v>0.9086686814884869</v>
      </c>
      <c r="BX10" s="3309">
        <v>1.0375452124068835E-3</v>
      </c>
      <c r="BY10" s="3309">
        <v>0.74915982875238374</v>
      </c>
      <c r="BZ10" s="3309" t="s">
        <v>153</v>
      </c>
      <c r="CA10" s="3309">
        <v>0.75019737396479058</v>
      </c>
      <c r="CB10" s="3309">
        <v>7.7054992751430212E-2</v>
      </c>
      <c r="CC10" s="3309">
        <v>0.82725236671622082</v>
      </c>
      <c r="CD10" s="3309">
        <v>0.15802680454658258</v>
      </c>
      <c r="CE10" s="3309" t="s">
        <v>153</v>
      </c>
      <c r="CF10" s="3309">
        <v>1.4720828737196653E-2</v>
      </c>
    </row>
    <row r="11" spans="1:84" ht="14.4" x14ac:dyDescent="0.3">
      <c r="A11" s="8" t="s">
        <v>5</v>
      </c>
      <c r="B11" s="3006">
        <v>58004.607016666661</v>
      </c>
      <c r="C11" s="3378">
        <v>0.49391735104204365</v>
      </c>
      <c r="D11" s="3006">
        <v>58004.607016666661</v>
      </c>
      <c r="E11" s="3379">
        <v>0.49391735104204365</v>
      </c>
      <c r="F11" s="3199">
        <v>0.4521</v>
      </c>
      <c r="G11" s="3403">
        <v>55997.02772549745</v>
      </c>
      <c r="H11" s="3410">
        <v>0.3306</v>
      </c>
      <c r="I11" s="3403">
        <v>3436.2460982057728</v>
      </c>
      <c r="J11" s="3413"/>
      <c r="K11" s="3026">
        <v>59433.273823703224</v>
      </c>
      <c r="L11" s="3380">
        <v>117437.88084036988</v>
      </c>
      <c r="M11" s="3006">
        <v>0</v>
      </c>
      <c r="N11" s="3388">
        <v>0</v>
      </c>
      <c r="O11" s="3389">
        <v>56844.514876333327</v>
      </c>
      <c r="P11" s="3389">
        <v>1160.0921403333332</v>
      </c>
      <c r="Q11" s="3389">
        <v>0</v>
      </c>
      <c r="R11" s="3406">
        <v>0</v>
      </c>
      <c r="S11" s="3381">
        <v>42405.954146084463</v>
      </c>
      <c r="T11" s="3382">
        <v>882.31456319688004</v>
      </c>
      <c r="U11" s="3381">
        <v>22778.835974804635</v>
      </c>
      <c r="V11" s="3382">
        <v>13730.258755101153</v>
      </c>
      <c r="W11" s="3381">
        <v>19627.118171279832</v>
      </c>
      <c r="X11" s="3382">
        <v>-12847.944191904269</v>
      </c>
      <c r="Y11" s="3383">
        <v>0</v>
      </c>
      <c r="Z11" s="3227">
        <v>41523.639582887583</v>
      </c>
      <c r="AA11" s="3407">
        <v>0</v>
      </c>
      <c r="AB11" s="3407">
        <v>41523.639582887576</v>
      </c>
      <c r="AC11" s="3407"/>
      <c r="AD11" s="3377">
        <v>9048.5772197034821</v>
      </c>
      <c r="AE11" s="3377"/>
      <c r="AF11" s="3407">
        <v>9025.6296347587158</v>
      </c>
      <c r="AG11" s="3228">
        <v>23449.432728425385</v>
      </c>
      <c r="AH11" s="3408"/>
      <c r="AI11" s="3409">
        <v>9048.5772197034821</v>
      </c>
      <c r="AJ11" s="3051">
        <v>19069.726381148979</v>
      </c>
      <c r="AK11" s="3386">
        <v>0</v>
      </c>
      <c r="AL11" s="3121">
        <v>0</v>
      </c>
      <c r="AM11" s="3387">
        <v>23449.432728425385</v>
      </c>
      <c r="AN11" s="3006">
        <v>0</v>
      </c>
      <c r="AO11" s="3388">
        <v>0</v>
      </c>
      <c r="AP11" s="3389">
        <v>56844.514876333327</v>
      </c>
      <c r="AQ11" s="3390">
        <v>56844.514876333327</v>
      </c>
      <c r="AR11" s="3391">
        <v>28118.303600852461</v>
      </c>
      <c r="AS11" s="3392">
        <v>84962.818477185792</v>
      </c>
      <c r="AT11" s="3393">
        <v>0</v>
      </c>
      <c r="AU11" s="3394">
        <v>9025.6296347587158</v>
      </c>
      <c r="AV11" s="3395">
        <v>23449.432728425385</v>
      </c>
      <c r="AW11" s="3213" t="s">
        <v>153</v>
      </c>
      <c r="AX11" s="3396" t="s">
        <v>153</v>
      </c>
      <c r="AY11" s="3397">
        <v>0.48403900402120276</v>
      </c>
      <c r="AZ11" s="3398">
        <v>0.48403900402120276</v>
      </c>
      <c r="BA11" s="3399">
        <v>0.2394312925236867</v>
      </c>
      <c r="BB11" s="3400">
        <v>0.72347029654488948</v>
      </c>
      <c r="BC11" s="3401" t="s">
        <v>153</v>
      </c>
      <c r="BD11" s="3402">
        <v>7.6854500184885058E-2</v>
      </c>
      <c r="BE11" s="3158">
        <v>0.19967520327022559</v>
      </c>
      <c r="BF11" s="61">
        <v>0</v>
      </c>
      <c r="BG11" s="52">
        <v>0</v>
      </c>
      <c r="BH11" s="643" t="s">
        <v>5</v>
      </c>
      <c r="BI11" s="615">
        <v>117437.88084036988</v>
      </c>
      <c r="BJ11" s="3306">
        <v>0.49391735104204365</v>
      </c>
      <c r="BK11" s="615">
        <v>0</v>
      </c>
      <c r="BL11" s="615">
        <v>0</v>
      </c>
      <c r="BM11" s="615">
        <v>56844.514876333327</v>
      </c>
      <c r="BN11" s="615">
        <v>56844.514876333327</v>
      </c>
      <c r="BO11" s="615">
        <v>28118.303600852461</v>
      </c>
      <c r="BP11" s="615">
        <v>84962.818477185792</v>
      </c>
      <c r="BQ11" s="615">
        <v>0</v>
      </c>
      <c r="BR11" s="615">
        <v>23449.432728425385</v>
      </c>
      <c r="BS11" s="615">
        <v>9025.6296347587158</v>
      </c>
      <c r="BT11" s="1"/>
      <c r="BU11" s="643" t="s">
        <v>5</v>
      </c>
      <c r="BV11" s="615">
        <v>117437.88084036988</v>
      </c>
      <c r="BW11" s="3309">
        <v>0.49391735104204365</v>
      </c>
      <c r="BX11" s="3309" t="s">
        <v>153</v>
      </c>
      <c r="BY11" s="3309" t="s">
        <v>153</v>
      </c>
      <c r="BZ11" s="3309">
        <v>0.48403900402120276</v>
      </c>
      <c r="CA11" s="3309">
        <v>0.48403900402120276</v>
      </c>
      <c r="CB11" s="3309">
        <v>0.2394312925236867</v>
      </c>
      <c r="CC11" s="3309">
        <v>0.72347029654488948</v>
      </c>
      <c r="CD11" s="3309" t="s">
        <v>153</v>
      </c>
      <c r="CE11" s="3309">
        <v>0.19967520327022559</v>
      </c>
      <c r="CF11" s="3309">
        <v>7.6854500184885058E-2</v>
      </c>
    </row>
    <row r="12" spans="1:84" ht="14.4" x14ac:dyDescent="0.3">
      <c r="A12" s="8" t="s">
        <v>28</v>
      </c>
      <c r="B12" s="3006">
        <v>39715.780591000002</v>
      </c>
      <c r="C12" s="3378">
        <v>0.7410129877262932</v>
      </c>
      <c r="D12" s="3006">
        <v>40019.200591000001</v>
      </c>
      <c r="E12" s="3379">
        <v>0.74667416717159574</v>
      </c>
      <c r="F12" s="3199">
        <v>9.0200000000000002E-2</v>
      </c>
      <c r="G12" s="3403">
        <v>11172.156383189273</v>
      </c>
      <c r="H12" s="3410">
        <v>0.2606</v>
      </c>
      <c r="I12" s="3403">
        <v>2708.6682794689182</v>
      </c>
      <c r="J12" s="3405"/>
      <c r="K12" s="3026">
        <v>13880.824662658191</v>
      </c>
      <c r="L12" s="3380">
        <v>53596.605253658192</v>
      </c>
      <c r="M12" s="3006">
        <v>0</v>
      </c>
      <c r="N12" s="3388">
        <v>37729.991561449999</v>
      </c>
      <c r="O12" s="3412">
        <v>0</v>
      </c>
      <c r="P12" s="3389">
        <v>0</v>
      </c>
      <c r="Q12" s="3389">
        <v>1985.7890295500001</v>
      </c>
      <c r="R12" s="3406">
        <v>0</v>
      </c>
      <c r="S12" s="3381">
        <v>8460.5553284158796</v>
      </c>
      <c r="T12" s="3382">
        <v>-1237.4189429526709</v>
      </c>
      <c r="U12" s="3381">
        <v>4544.6826032456938</v>
      </c>
      <c r="V12" s="3382">
        <v>-3352.5577750566408</v>
      </c>
      <c r="W12" s="3381">
        <v>3915.8727251701857</v>
      </c>
      <c r="X12" s="3382">
        <v>2115.1388321039699</v>
      </c>
      <c r="Y12" s="3383">
        <v>0</v>
      </c>
      <c r="Z12" s="3227">
        <v>9697.97427136855</v>
      </c>
      <c r="AA12" s="3407">
        <v>0</v>
      </c>
      <c r="AB12" s="3407">
        <v>9394.55427136855</v>
      </c>
      <c r="AC12" s="3407">
        <v>303.42</v>
      </c>
      <c r="AD12" s="3377">
        <v>7593.8203783023346</v>
      </c>
      <c r="AE12" s="3377"/>
      <c r="AF12" s="3407">
        <v>1800.7338930662158</v>
      </c>
      <c r="AG12" s="3228"/>
      <c r="AH12" s="3408"/>
      <c r="AI12" s="3409">
        <v>7593.8203783023346</v>
      </c>
      <c r="AJ12" s="3051">
        <v>4182.8503912896413</v>
      </c>
      <c r="AK12" s="3386">
        <v>1985.7890295500001</v>
      </c>
      <c r="AL12" s="3121">
        <v>0</v>
      </c>
      <c r="AM12" s="3387">
        <v>0</v>
      </c>
      <c r="AN12" s="3006">
        <v>0</v>
      </c>
      <c r="AO12" s="3388">
        <v>38033.411561449997</v>
      </c>
      <c r="AP12" s="3389">
        <v>0</v>
      </c>
      <c r="AQ12" s="3390">
        <v>38033.411561449997</v>
      </c>
      <c r="AR12" s="3391">
        <v>11776.670769591976</v>
      </c>
      <c r="AS12" s="3392">
        <v>49810.082331041973</v>
      </c>
      <c r="AT12" s="3393">
        <v>1985.7890295500001</v>
      </c>
      <c r="AU12" s="3394">
        <v>1800.7338930662158</v>
      </c>
      <c r="AV12" s="3395">
        <v>0</v>
      </c>
      <c r="AW12" s="3213" t="s">
        <v>153</v>
      </c>
      <c r="AX12" s="3396">
        <v>0.70962351778528099</v>
      </c>
      <c r="AY12" s="3397" t="s">
        <v>153</v>
      </c>
      <c r="AZ12" s="3398">
        <v>0.70962351778528099</v>
      </c>
      <c r="BA12" s="3399">
        <v>0.21972792332380359</v>
      </c>
      <c r="BB12" s="3400">
        <v>0.92935144110908452</v>
      </c>
      <c r="BC12" s="3401">
        <v>3.7050649386314666E-2</v>
      </c>
      <c r="BD12" s="3402">
        <v>3.3597909504600725E-2</v>
      </c>
      <c r="BE12" s="3158" t="s">
        <v>153</v>
      </c>
      <c r="BF12" s="61">
        <v>0</v>
      </c>
      <c r="BG12" s="52">
        <v>0</v>
      </c>
      <c r="BH12" s="643" t="s">
        <v>28</v>
      </c>
      <c r="BI12" s="615">
        <v>53596.605253658192</v>
      </c>
      <c r="BJ12" s="3306">
        <v>0.7410129877262932</v>
      </c>
      <c r="BK12" s="615">
        <v>0</v>
      </c>
      <c r="BL12" s="615">
        <v>38033.411561449997</v>
      </c>
      <c r="BM12" s="615">
        <v>0</v>
      </c>
      <c r="BN12" s="615">
        <v>38033.411561449997</v>
      </c>
      <c r="BO12" s="615">
        <v>11776.670769591976</v>
      </c>
      <c r="BP12" s="615">
        <v>49810.082331041973</v>
      </c>
      <c r="BQ12" s="615">
        <v>1985.7890295500001</v>
      </c>
      <c r="BR12" s="615">
        <v>0</v>
      </c>
      <c r="BS12" s="615">
        <v>1800.7338930662158</v>
      </c>
      <c r="BT12" s="1"/>
      <c r="BU12" s="643" t="s">
        <v>28</v>
      </c>
      <c r="BV12" s="615">
        <v>53596.605253658192</v>
      </c>
      <c r="BW12" s="3309">
        <v>0.7410129877262932</v>
      </c>
      <c r="BX12" s="3309" t="s">
        <v>153</v>
      </c>
      <c r="BY12" s="3309">
        <v>0.70962351778528099</v>
      </c>
      <c r="BZ12" s="3309" t="s">
        <v>153</v>
      </c>
      <c r="CA12" s="3309">
        <v>0.70962351778528099</v>
      </c>
      <c r="CB12" s="3309">
        <v>0.21972792332380359</v>
      </c>
      <c r="CC12" s="3309">
        <v>0.92935144110908452</v>
      </c>
      <c r="CD12" s="3309">
        <v>3.7050649386314666E-2</v>
      </c>
      <c r="CE12" s="3309" t="s">
        <v>153</v>
      </c>
      <c r="CF12" s="3309">
        <v>3.3597909504600725E-2</v>
      </c>
    </row>
    <row r="13" spans="1:84" ht="14.4" x14ac:dyDescent="0.3">
      <c r="A13" s="8" t="s">
        <v>17</v>
      </c>
      <c r="B13" s="3006">
        <v>1375.19344</v>
      </c>
      <c r="C13" s="3378">
        <v>0.51938256286172257</v>
      </c>
      <c r="D13" s="3006">
        <v>1858.7538997701149</v>
      </c>
      <c r="E13" s="3379">
        <v>0.70201350305439481</v>
      </c>
      <c r="F13" s="3199">
        <v>9.1999999999999998E-3</v>
      </c>
      <c r="G13" s="3403">
        <v>1139.51040715456</v>
      </c>
      <c r="H13" s="3410">
        <v>1.2800000000000001E-2</v>
      </c>
      <c r="I13" s="3403">
        <v>133.04280114045341</v>
      </c>
      <c r="J13" s="3405"/>
      <c r="K13" s="3026">
        <v>1272.5532082950133</v>
      </c>
      <c r="L13" s="3380">
        <v>2647.7466482950131</v>
      </c>
      <c r="M13" s="3006">
        <v>0</v>
      </c>
      <c r="N13" s="3388">
        <v>1306.4337679999999</v>
      </c>
      <c r="O13" s="3412">
        <v>0</v>
      </c>
      <c r="P13" s="3389">
        <v>0</v>
      </c>
      <c r="Q13" s="3389">
        <v>68.759672000000009</v>
      </c>
      <c r="R13" s="3406">
        <v>0</v>
      </c>
      <c r="S13" s="3381">
        <v>862.93912440605413</v>
      </c>
      <c r="T13" s="3382">
        <v>-26.142653724352158</v>
      </c>
      <c r="U13" s="3381">
        <v>463.53747172794215</v>
      </c>
      <c r="V13" s="3382">
        <v>-241.87743482586566</v>
      </c>
      <c r="W13" s="3381">
        <v>399.40165267811204</v>
      </c>
      <c r="X13" s="3382">
        <v>215.73478110151356</v>
      </c>
      <c r="Y13" s="3383">
        <v>0</v>
      </c>
      <c r="Z13" s="3227">
        <v>889.08177813040629</v>
      </c>
      <c r="AA13" s="3407">
        <v>0</v>
      </c>
      <c r="AB13" s="3407">
        <v>405.52131836029145</v>
      </c>
      <c r="AC13" s="3407">
        <v>483.56045977011496</v>
      </c>
      <c r="AD13" s="3377"/>
      <c r="AE13" s="3377">
        <v>221.85444678369285</v>
      </c>
      <c r="AF13" s="3407">
        <v>183.66687157659848</v>
      </c>
      <c r="AG13" s="3228"/>
      <c r="AH13" s="3408"/>
      <c r="AI13" s="3409">
        <v>0</v>
      </c>
      <c r="AJ13" s="3051">
        <v>0</v>
      </c>
      <c r="AK13" s="3386">
        <v>290.61411878369285</v>
      </c>
      <c r="AL13" s="3121">
        <v>0</v>
      </c>
      <c r="AM13" s="3387">
        <v>0</v>
      </c>
      <c r="AN13" s="3006">
        <v>0</v>
      </c>
      <c r="AO13" s="3388">
        <v>2173.4656579347215</v>
      </c>
      <c r="AP13" s="3389">
        <v>0</v>
      </c>
      <c r="AQ13" s="3390">
        <v>2173.4656579347215</v>
      </c>
      <c r="AR13" s="3391">
        <v>0</v>
      </c>
      <c r="AS13" s="3392">
        <v>2173.4656579347215</v>
      </c>
      <c r="AT13" s="3393">
        <v>290.61411878369285</v>
      </c>
      <c r="AU13" s="3394">
        <v>183.66687157659848</v>
      </c>
      <c r="AV13" s="3395">
        <v>0</v>
      </c>
      <c r="AW13" s="3213" t="s">
        <v>153</v>
      </c>
      <c r="AX13" s="3396">
        <v>0.82087372647012902</v>
      </c>
      <c r="AY13" s="3397" t="s">
        <v>153</v>
      </c>
      <c r="AZ13" s="3398">
        <v>0.82087372647012902</v>
      </c>
      <c r="BA13" s="3399" t="s">
        <v>153</v>
      </c>
      <c r="BB13" s="3400">
        <v>0.82087372647012902</v>
      </c>
      <c r="BC13" s="3401">
        <v>0.1097590356580493</v>
      </c>
      <c r="BD13" s="3402">
        <v>6.9367237871821585E-2</v>
      </c>
      <c r="BE13" s="3158" t="s">
        <v>153</v>
      </c>
      <c r="BF13" s="61">
        <v>0</v>
      </c>
      <c r="BG13" s="52">
        <v>0</v>
      </c>
      <c r="BH13" s="643" t="s">
        <v>17</v>
      </c>
      <c r="BI13" s="615">
        <v>2647.7466482950131</v>
      </c>
      <c r="BJ13" s="3306">
        <v>0.51938256286172257</v>
      </c>
      <c r="BK13" s="615">
        <v>0</v>
      </c>
      <c r="BL13" s="615">
        <v>2173.4656579347215</v>
      </c>
      <c r="BM13" s="615">
        <v>0</v>
      </c>
      <c r="BN13" s="615">
        <v>2173.4656579347215</v>
      </c>
      <c r="BO13" s="615">
        <v>0</v>
      </c>
      <c r="BP13" s="615">
        <v>2173.4656579347215</v>
      </c>
      <c r="BQ13" s="615">
        <v>290.61411878369285</v>
      </c>
      <c r="BR13" s="615">
        <v>0</v>
      </c>
      <c r="BS13" s="615">
        <v>183.66687157659848</v>
      </c>
      <c r="BT13" s="1"/>
      <c r="BU13" s="643" t="s">
        <v>17</v>
      </c>
      <c r="BV13" s="615">
        <v>2647.7466482950131</v>
      </c>
      <c r="BW13" s="3309">
        <v>0.51938256286172257</v>
      </c>
      <c r="BX13" s="3309" t="s">
        <v>153</v>
      </c>
      <c r="BY13" s="3309">
        <v>0.82087372647012902</v>
      </c>
      <c r="BZ13" s="3309" t="s">
        <v>153</v>
      </c>
      <c r="CA13" s="3309">
        <v>0.82087372647012902</v>
      </c>
      <c r="CB13" s="3309" t="s">
        <v>153</v>
      </c>
      <c r="CC13" s="3309">
        <v>0.82087372647012902</v>
      </c>
      <c r="CD13" s="3309">
        <v>0.1097590356580493</v>
      </c>
      <c r="CE13" s="3309" t="s">
        <v>153</v>
      </c>
      <c r="CF13" s="3309">
        <v>6.9367237871821585E-2</v>
      </c>
    </row>
    <row r="14" spans="1:84" ht="14.4" x14ac:dyDescent="0.3">
      <c r="A14" s="8" t="s">
        <v>29</v>
      </c>
      <c r="B14" s="3006">
        <v>20015.911874999998</v>
      </c>
      <c r="C14" s="3378">
        <v>0.95196698186052142</v>
      </c>
      <c r="D14" s="3006">
        <v>20015.911874999998</v>
      </c>
      <c r="E14" s="3379">
        <v>0.95196698186052142</v>
      </c>
      <c r="F14" s="3199">
        <v>7.6E-3</v>
      </c>
      <c r="G14" s="3403">
        <v>941.33468417115819</v>
      </c>
      <c r="H14" s="3410">
        <v>6.5999999999999991E-3</v>
      </c>
      <c r="I14" s="3403">
        <v>68.600194338046265</v>
      </c>
      <c r="J14" s="3405"/>
      <c r="K14" s="3026">
        <v>1009.9348785092045</v>
      </c>
      <c r="L14" s="3380">
        <v>21025.846753509202</v>
      </c>
      <c r="M14" s="3006">
        <v>0</v>
      </c>
      <c r="N14" s="3388">
        <v>17413.843331249998</v>
      </c>
      <c r="O14" s="3412">
        <v>0</v>
      </c>
      <c r="P14" s="3389">
        <v>0</v>
      </c>
      <c r="Q14" s="3389">
        <v>2602.0685437499997</v>
      </c>
      <c r="R14" s="3406">
        <v>0</v>
      </c>
      <c r="S14" s="3381">
        <v>712.86275494413167</v>
      </c>
      <c r="T14" s="3382">
        <v>7.2618482567644378</v>
      </c>
      <c r="U14" s="3381">
        <v>382.92225925351738</v>
      </c>
      <c r="V14" s="3382">
        <v>-170.95384047926848</v>
      </c>
      <c r="W14" s="3381">
        <v>329.94049569061428</v>
      </c>
      <c r="X14" s="3382">
        <v>178.21568873603292</v>
      </c>
      <c r="Y14" s="3383">
        <v>0</v>
      </c>
      <c r="Z14" s="3227">
        <v>705.60090668736723</v>
      </c>
      <c r="AA14" s="3407">
        <v>0</v>
      </c>
      <c r="AB14" s="3407">
        <v>705.60090668736723</v>
      </c>
      <c r="AC14" s="3414"/>
      <c r="AD14" s="3377">
        <v>553.87609973278586</v>
      </c>
      <c r="AE14" s="3377"/>
      <c r="AF14" s="3407">
        <v>151.72480695458137</v>
      </c>
      <c r="AG14" s="3228"/>
      <c r="AH14" s="3408"/>
      <c r="AI14" s="3409">
        <v>553.87609973278586</v>
      </c>
      <c r="AJ14" s="3051">
        <v>304.33397182183728</v>
      </c>
      <c r="AK14" s="3386">
        <v>2602.0685437499997</v>
      </c>
      <c r="AL14" s="3121">
        <v>0</v>
      </c>
      <c r="AM14" s="3387">
        <v>0</v>
      </c>
      <c r="AN14" s="3006">
        <v>0</v>
      </c>
      <c r="AO14" s="3388">
        <v>17413.843331249998</v>
      </c>
      <c r="AP14" s="3389">
        <v>0</v>
      </c>
      <c r="AQ14" s="3390">
        <v>17413.843331249998</v>
      </c>
      <c r="AR14" s="3391">
        <v>858.21007155462314</v>
      </c>
      <c r="AS14" s="3392">
        <v>18272.05340280462</v>
      </c>
      <c r="AT14" s="3393">
        <v>2602.0685437499997</v>
      </c>
      <c r="AU14" s="3394">
        <v>151.72480695458137</v>
      </c>
      <c r="AV14" s="3395">
        <v>0</v>
      </c>
      <c r="AW14" s="3213" t="s">
        <v>153</v>
      </c>
      <c r="AX14" s="3396">
        <v>0.82821127421865359</v>
      </c>
      <c r="AY14" s="3397" t="s">
        <v>153</v>
      </c>
      <c r="AZ14" s="3398">
        <v>0.82821127421865359</v>
      </c>
      <c r="BA14" s="3399">
        <v>4.0816908903389987E-2</v>
      </c>
      <c r="BB14" s="3400">
        <v>0.86902818312204355</v>
      </c>
      <c r="BC14" s="3401">
        <v>0.12375570764186779</v>
      </c>
      <c r="BD14" s="3402">
        <v>7.2161092360886053E-3</v>
      </c>
      <c r="BE14" s="3158" t="s">
        <v>153</v>
      </c>
      <c r="BF14" s="61">
        <v>0</v>
      </c>
      <c r="BG14" s="52">
        <v>0</v>
      </c>
      <c r="BH14" s="643" t="s">
        <v>29</v>
      </c>
      <c r="BI14" s="615">
        <v>21025.846753509202</v>
      </c>
      <c r="BJ14" s="3306">
        <v>0.95196698186052142</v>
      </c>
      <c r="BK14" s="615">
        <v>0</v>
      </c>
      <c r="BL14" s="615">
        <v>17413.843331249998</v>
      </c>
      <c r="BM14" s="615">
        <v>0</v>
      </c>
      <c r="BN14" s="615">
        <v>17413.843331249998</v>
      </c>
      <c r="BO14" s="615">
        <v>858.21007155462314</v>
      </c>
      <c r="BP14" s="615">
        <v>18272.05340280462</v>
      </c>
      <c r="BQ14" s="615">
        <v>2602.0685437499997</v>
      </c>
      <c r="BR14" s="615">
        <v>0</v>
      </c>
      <c r="BS14" s="615">
        <v>151.72480695458137</v>
      </c>
      <c r="BT14" s="1"/>
      <c r="BU14" s="643" t="s">
        <v>29</v>
      </c>
      <c r="BV14" s="615">
        <v>21025.846753509202</v>
      </c>
      <c r="BW14" s="3309">
        <v>0.95196698186052142</v>
      </c>
      <c r="BX14" s="3309" t="s">
        <v>153</v>
      </c>
      <c r="BY14" s="3309">
        <v>0.82821127421865359</v>
      </c>
      <c r="BZ14" s="3309" t="s">
        <v>153</v>
      </c>
      <c r="CA14" s="3309">
        <v>0.82821127421865359</v>
      </c>
      <c r="CB14" s="3309">
        <v>4.0816908903389987E-2</v>
      </c>
      <c r="CC14" s="3309">
        <v>0.86902818312204355</v>
      </c>
      <c r="CD14" s="3309">
        <v>0.12375570764186779</v>
      </c>
      <c r="CE14" s="3309" t="s">
        <v>153</v>
      </c>
      <c r="CF14" s="3309">
        <v>7.2161092360886053E-3</v>
      </c>
    </row>
    <row r="15" spans="1:84" ht="14.4" x14ac:dyDescent="0.3">
      <c r="A15" s="8" t="s">
        <v>308</v>
      </c>
      <c r="B15" s="3006">
        <v>29.97541</v>
      </c>
      <c r="C15" s="3378">
        <v>0.35822789645387759</v>
      </c>
      <c r="D15" s="3006">
        <v>29.97541</v>
      </c>
      <c r="E15" s="3379">
        <v>0.35822789645387759</v>
      </c>
      <c r="F15" s="3199">
        <v>4.0000000000000002E-4</v>
      </c>
      <c r="G15" s="3403">
        <v>49.543930745850439</v>
      </c>
      <c r="H15" s="3410">
        <v>4.0000000000000002E-4</v>
      </c>
      <c r="I15" s="3403">
        <v>4.1575875356391689</v>
      </c>
      <c r="J15" s="3405"/>
      <c r="K15" s="3026">
        <v>53.701518281489605</v>
      </c>
      <c r="L15" s="3380">
        <v>83.676928281489609</v>
      </c>
      <c r="M15" s="3006">
        <v>0</v>
      </c>
      <c r="N15" s="3388">
        <v>14.789867294</v>
      </c>
      <c r="O15" s="3412">
        <v>0</v>
      </c>
      <c r="P15" s="3389">
        <v>0.23980328000000001</v>
      </c>
      <c r="Q15" s="3389">
        <v>14.945739425999999</v>
      </c>
      <c r="R15" s="3406">
        <v>0</v>
      </c>
      <c r="S15" s="3381">
        <v>37.519092365480617</v>
      </c>
      <c r="T15" s="3382">
        <v>-8.8817841970012523E-16</v>
      </c>
      <c r="U15" s="3381">
        <v>20.153803118606181</v>
      </c>
      <c r="V15" s="3382">
        <v>-9.3797730913701542</v>
      </c>
      <c r="W15" s="3381">
        <v>17.365289246874436</v>
      </c>
      <c r="X15" s="3382">
        <v>9.3797730913701542</v>
      </c>
      <c r="Y15" s="3383">
        <v>0</v>
      </c>
      <c r="Z15" s="3227">
        <v>37.519092365480617</v>
      </c>
      <c r="AA15" s="3407">
        <v>0</v>
      </c>
      <c r="AB15" s="3407">
        <v>37.519092365480617</v>
      </c>
      <c r="AC15" s="3414"/>
      <c r="AD15" s="3377"/>
      <c r="AE15" s="3377">
        <v>29.533576209976335</v>
      </c>
      <c r="AF15" s="3407">
        <v>7.9855161555042828</v>
      </c>
      <c r="AG15" s="3228"/>
      <c r="AH15" s="3408"/>
      <c r="AI15" s="3409">
        <v>0</v>
      </c>
      <c r="AJ15" s="3051">
        <v>16.422229196008985</v>
      </c>
      <c r="AK15" s="3386">
        <v>44.479315635976334</v>
      </c>
      <c r="AL15" s="3121">
        <v>0</v>
      </c>
      <c r="AM15" s="3387">
        <v>0</v>
      </c>
      <c r="AN15" s="3006">
        <v>0</v>
      </c>
      <c r="AO15" s="3388">
        <v>14.789867294</v>
      </c>
      <c r="AP15" s="3389">
        <v>0</v>
      </c>
      <c r="AQ15" s="3390">
        <v>14.789867294</v>
      </c>
      <c r="AR15" s="3391">
        <v>16.422229196008985</v>
      </c>
      <c r="AS15" s="3392">
        <v>31.212096490008985</v>
      </c>
      <c r="AT15" s="3393">
        <v>44.479315635976334</v>
      </c>
      <c r="AU15" s="3394">
        <v>7.9855161555042828</v>
      </c>
      <c r="AV15" s="3395">
        <v>0</v>
      </c>
      <c r="AW15" s="3213" t="s">
        <v>153</v>
      </c>
      <c r="AX15" s="3396">
        <v>0.17674964411034319</v>
      </c>
      <c r="AY15" s="3397" t="s">
        <v>153</v>
      </c>
      <c r="AZ15" s="3398">
        <v>0.17674964411034319</v>
      </c>
      <c r="BA15" s="3399">
        <v>0.19625755310668819</v>
      </c>
      <c r="BB15" s="3400">
        <v>0.37300719721703141</v>
      </c>
      <c r="BC15" s="3401">
        <v>0.53156009128762105</v>
      </c>
      <c r="BD15" s="3402">
        <v>9.5432711495347516E-2</v>
      </c>
      <c r="BE15" s="3158" t="s">
        <v>153</v>
      </c>
      <c r="BF15" s="61">
        <v>0</v>
      </c>
      <c r="BG15" s="52">
        <v>0</v>
      </c>
      <c r="BH15" s="643" t="s">
        <v>308</v>
      </c>
      <c r="BI15" s="615">
        <v>83.676928281489609</v>
      </c>
      <c r="BJ15" s="3306">
        <v>0.35822789645387759</v>
      </c>
      <c r="BK15" s="615">
        <v>0</v>
      </c>
      <c r="BL15" s="615">
        <v>14.789867294</v>
      </c>
      <c r="BM15" s="615">
        <v>0</v>
      </c>
      <c r="BN15" s="615">
        <v>14.789867294</v>
      </c>
      <c r="BO15" s="615">
        <v>16.422229196008985</v>
      </c>
      <c r="BP15" s="615">
        <v>31.212096490008985</v>
      </c>
      <c r="BQ15" s="615">
        <v>44.479315635976334</v>
      </c>
      <c r="BR15" s="615">
        <v>0</v>
      </c>
      <c r="BS15" s="615">
        <v>7.9855161555042828</v>
      </c>
      <c r="BT15" s="1"/>
      <c r="BU15" s="643" t="s">
        <v>308</v>
      </c>
      <c r="BV15" s="615">
        <v>83.676928281489609</v>
      </c>
      <c r="BW15" s="3309">
        <v>0.35822789645387759</v>
      </c>
      <c r="BX15" s="3309" t="s">
        <v>153</v>
      </c>
      <c r="BY15" s="3309">
        <v>0.17674964411034319</v>
      </c>
      <c r="BZ15" s="3309" t="s">
        <v>153</v>
      </c>
      <c r="CA15" s="3309">
        <v>0.17674964411034319</v>
      </c>
      <c r="CB15" s="3309">
        <v>0.19625755310668819</v>
      </c>
      <c r="CC15" s="3309">
        <v>0.37300719721703141</v>
      </c>
      <c r="CD15" s="3309">
        <v>0.53156009128762105</v>
      </c>
      <c r="CE15" s="3309" t="s">
        <v>153</v>
      </c>
      <c r="CF15" s="3309">
        <v>9.5432711495347516E-2</v>
      </c>
    </row>
    <row r="16" spans="1:84" ht="14.4" x14ac:dyDescent="0.3">
      <c r="A16" s="2107" t="s">
        <v>60</v>
      </c>
      <c r="B16" s="3006">
        <v>58.567029999999995</v>
      </c>
      <c r="C16" s="3378">
        <v>1</v>
      </c>
      <c r="D16" s="3006">
        <v>58.567029999999995</v>
      </c>
      <c r="E16" s="3379">
        <v>1</v>
      </c>
      <c r="F16" s="3199">
        <v>0</v>
      </c>
      <c r="G16" s="3403">
        <v>0</v>
      </c>
      <c r="H16" s="3410">
        <v>0</v>
      </c>
      <c r="I16" s="3403">
        <v>0</v>
      </c>
      <c r="J16" s="3405"/>
      <c r="K16" s="3026">
        <v>0</v>
      </c>
      <c r="L16" s="3380">
        <v>58.567029999999995</v>
      </c>
      <c r="M16" s="3006">
        <v>0</v>
      </c>
      <c r="N16" s="3388">
        <v>28.896972601999998</v>
      </c>
      <c r="O16" s="3412">
        <v>0</v>
      </c>
      <c r="P16" s="3389">
        <v>0.46853623999999999</v>
      </c>
      <c r="Q16" s="3389">
        <v>29.201521157999998</v>
      </c>
      <c r="R16" s="3406">
        <v>0</v>
      </c>
      <c r="S16" s="3381">
        <v>0</v>
      </c>
      <c r="T16" s="3382">
        <v>0</v>
      </c>
      <c r="U16" s="3381">
        <v>0</v>
      </c>
      <c r="V16" s="3382">
        <v>0</v>
      </c>
      <c r="W16" s="3381">
        <v>0</v>
      </c>
      <c r="X16" s="3382">
        <v>0</v>
      </c>
      <c r="Y16" s="3383">
        <v>0</v>
      </c>
      <c r="Z16" s="3227">
        <v>0</v>
      </c>
      <c r="AA16" s="3407">
        <v>0</v>
      </c>
      <c r="AB16" s="3407">
        <v>0</v>
      </c>
      <c r="AC16" s="3414"/>
      <c r="AD16" s="3377"/>
      <c r="AE16" s="3377">
        <v>0</v>
      </c>
      <c r="AF16" s="3407">
        <v>0</v>
      </c>
      <c r="AG16" s="3228"/>
      <c r="AH16" s="3408"/>
      <c r="AI16" s="3409">
        <v>0</v>
      </c>
      <c r="AJ16" s="3051">
        <v>0.46853623999999999</v>
      </c>
      <c r="AK16" s="3386">
        <v>29.201521157999998</v>
      </c>
      <c r="AL16" s="3121">
        <v>0</v>
      </c>
      <c r="AM16" s="3387">
        <v>0</v>
      </c>
      <c r="AN16" s="3006">
        <v>0</v>
      </c>
      <c r="AO16" s="3388">
        <v>28.896972601999998</v>
      </c>
      <c r="AP16" s="3389">
        <v>0</v>
      </c>
      <c r="AQ16" s="3390">
        <v>28.896972601999998</v>
      </c>
      <c r="AR16" s="3391">
        <v>0.46853623999999999</v>
      </c>
      <c r="AS16" s="3392">
        <v>29.365508841999997</v>
      </c>
      <c r="AT16" s="3393">
        <v>29.201521157999998</v>
      </c>
      <c r="AU16" s="3394">
        <v>0</v>
      </c>
      <c r="AV16" s="3395">
        <v>0</v>
      </c>
      <c r="AW16" s="3213" t="s">
        <v>153</v>
      </c>
      <c r="AX16" s="3396">
        <v>0.49340000000000001</v>
      </c>
      <c r="AY16" s="3397" t="s">
        <v>153</v>
      </c>
      <c r="AZ16" s="3398">
        <v>0.49340000000000001</v>
      </c>
      <c r="BA16" s="3399">
        <v>8.0000000000000002E-3</v>
      </c>
      <c r="BB16" s="3400">
        <v>0.50139999999999996</v>
      </c>
      <c r="BC16" s="3401">
        <v>0.49859999999999999</v>
      </c>
      <c r="BD16" s="3402" t="s">
        <v>153</v>
      </c>
      <c r="BE16" s="3158" t="s">
        <v>153</v>
      </c>
      <c r="BF16" s="61">
        <v>0</v>
      </c>
      <c r="BG16" s="52">
        <v>0</v>
      </c>
      <c r="BH16" s="643" t="s">
        <v>60</v>
      </c>
      <c r="BI16" s="615">
        <v>58.567029999999995</v>
      </c>
      <c r="BJ16" s="3306">
        <v>1</v>
      </c>
      <c r="BK16" s="615">
        <v>0</v>
      </c>
      <c r="BL16" s="615">
        <v>28.896972601999998</v>
      </c>
      <c r="BM16" s="615">
        <v>0</v>
      </c>
      <c r="BN16" s="615">
        <v>28.896972601999998</v>
      </c>
      <c r="BO16" s="615">
        <v>0.46853623999999999</v>
      </c>
      <c r="BP16" s="615">
        <v>29.365508841999997</v>
      </c>
      <c r="BQ16" s="615">
        <v>29.201521157999998</v>
      </c>
      <c r="BR16" s="615">
        <v>0</v>
      </c>
      <c r="BS16" s="615">
        <v>0</v>
      </c>
      <c r="BT16" s="1"/>
      <c r="BU16" s="643" t="s">
        <v>60</v>
      </c>
      <c r="BV16" s="615">
        <v>58.567029999999995</v>
      </c>
      <c r="BW16" s="3309">
        <v>1</v>
      </c>
      <c r="BX16" s="3309" t="s">
        <v>153</v>
      </c>
      <c r="BY16" s="3309">
        <v>0.49340000000000001</v>
      </c>
      <c r="BZ16" s="3309" t="s">
        <v>153</v>
      </c>
      <c r="CA16" s="3309">
        <v>0.49340000000000001</v>
      </c>
      <c r="CB16" s="3309">
        <v>8.0000000000000002E-3</v>
      </c>
      <c r="CC16" s="3309">
        <v>0.50139999999999996</v>
      </c>
      <c r="CD16" s="3309">
        <v>0.49859999999999999</v>
      </c>
      <c r="CE16" s="3309" t="s">
        <v>153</v>
      </c>
      <c r="CF16" s="3309" t="s">
        <v>153</v>
      </c>
    </row>
    <row r="17" spans="1:84" ht="14.4" x14ac:dyDescent="0.3">
      <c r="A17" s="8" t="s">
        <v>57</v>
      </c>
      <c r="B17" s="3006">
        <v>3321.2533800000001</v>
      </c>
      <c r="C17" s="3378">
        <v>0.28409955900148881</v>
      </c>
      <c r="D17" s="3006">
        <v>3321.2533800000001</v>
      </c>
      <c r="E17" s="3379">
        <v>0.28409955900148881</v>
      </c>
      <c r="F17" s="3199">
        <v>6.59E-2</v>
      </c>
      <c r="G17" s="3403">
        <v>8162.3625903788588</v>
      </c>
      <c r="H17" s="3410">
        <v>1.9900000000000001E-2</v>
      </c>
      <c r="I17" s="3403">
        <v>206.83997989804863</v>
      </c>
      <c r="J17" s="3405"/>
      <c r="K17" s="3026">
        <v>8369.2025702769079</v>
      </c>
      <c r="L17" s="3380">
        <v>11690.455950276908</v>
      </c>
      <c r="M17" s="3006">
        <v>1969.50325434</v>
      </c>
      <c r="N17" s="3388">
        <v>743.96075712000004</v>
      </c>
      <c r="O17" s="3412">
        <v>0</v>
      </c>
      <c r="P17" s="3389">
        <v>607.78936854000005</v>
      </c>
      <c r="Q17" s="3389">
        <v>0</v>
      </c>
      <c r="R17" s="3406">
        <v>0</v>
      </c>
      <c r="S17" s="3381">
        <v>6181.2704672129312</v>
      </c>
      <c r="T17" s="3382">
        <v>334.04501981116641</v>
      </c>
      <c r="U17" s="3381">
        <v>3320.3390637903681</v>
      </c>
      <c r="V17" s="3382">
        <v>-1211.2725969920662</v>
      </c>
      <c r="W17" s="3381">
        <v>2860.9314034225636</v>
      </c>
      <c r="X17" s="3382">
        <v>1545.317616803233</v>
      </c>
      <c r="Y17" s="3383">
        <v>0</v>
      </c>
      <c r="Z17" s="3227">
        <v>5847.2254474017645</v>
      </c>
      <c r="AA17" s="3407">
        <v>0</v>
      </c>
      <c r="AB17" s="3407">
        <v>5847.2254474017645</v>
      </c>
      <c r="AC17" s="3414"/>
      <c r="AD17" s="3377">
        <v>4531.6116607824342</v>
      </c>
      <c r="AE17" s="3377"/>
      <c r="AF17" s="3407">
        <v>1315.6137866193305</v>
      </c>
      <c r="AG17" s="3228"/>
      <c r="AH17" s="3408"/>
      <c r="AI17" s="3409">
        <v>4531.6116607824342</v>
      </c>
      <c r="AJ17" s="3051">
        <v>3129.7664914151428</v>
      </c>
      <c r="AK17" s="3386">
        <v>0</v>
      </c>
      <c r="AL17" s="3121">
        <v>0</v>
      </c>
      <c r="AM17" s="3387">
        <v>0</v>
      </c>
      <c r="AN17" s="3006">
        <v>1969.50325434</v>
      </c>
      <c r="AO17" s="3388">
        <v>743.96075712000004</v>
      </c>
      <c r="AP17" s="3389">
        <v>0</v>
      </c>
      <c r="AQ17" s="3390">
        <v>2713.4640114600002</v>
      </c>
      <c r="AR17" s="3391">
        <v>7661.378152197577</v>
      </c>
      <c r="AS17" s="3392">
        <v>10374.842163657577</v>
      </c>
      <c r="AT17" s="3393">
        <v>0</v>
      </c>
      <c r="AU17" s="3394">
        <v>1315.6137866193305</v>
      </c>
      <c r="AV17" s="3395">
        <v>0</v>
      </c>
      <c r="AW17" s="3213">
        <v>0.16847103848788283</v>
      </c>
      <c r="AX17" s="3396">
        <v>6.3638301216333487E-2</v>
      </c>
      <c r="AY17" s="3397" t="s">
        <v>153</v>
      </c>
      <c r="AZ17" s="3398">
        <v>0.23210933970421635</v>
      </c>
      <c r="BA17" s="3399">
        <v>0.65535323727181949</v>
      </c>
      <c r="BB17" s="3400">
        <v>0.88746257697603581</v>
      </c>
      <c r="BC17" s="3401" t="s">
        <v>153</v>
      </c>
      <c r="BD17" s="3402">
        <v>0.11253742302396409</v>
      </c>
      <c r="BE17" s="3158" t="s">
        <v>153</v>
      </c>
      <c r="BF17" s="61">
        <v>0</v>
      </c>
      <c r="BG17" s="52">
        <v>0</v>
      </c>
      <c r="BH17" s="643" t="s">
        <v>57</v>
      </c>
      <c r="BI17" s="615">
        <v>11690.455950276908</v>
      </c>
      <c r="BJ17" s="3306">
        <v>0.28409955900148881</v>
      </c>
      <c r="BK17" s="615">
        <v>1969.50325434</v>
      </c>
      <c r="BL17" s="615">
        <v>743.96075712000004</v>
      </c>
      <c r="BM17" s="615">
        <v>0</v>
      </c>
      <c r="BN17" s="615">
        <v>2713.4640114600002</v>
      </c>
      <c r="BO17" s="615">
        <v>7661.378152197577</v>
      </c>
      <c r="BP17" s="615">
        <v>10374.842163657577</v>
      </c>
      <c r="BQ17" s="615">
        <v>0</v>
      </c>
      <c r="BR17" s="615">
        <v>0</v>
      </c>
      <c r="BS17" s="615">
        <v>1315.6137866193305</v>
      </c>
      <c r="BT17" s="1"/>
      <c r="BU17" s="643" t="s">
        <v>57</v>
      </c>
      <c r="BV17" s="615">
        <v>11690.455950276908</v>
      </c>
      <c r="BW17" s="3309">
        <v>0.28409955900148881</v>
      </c>
      <c r="BX17" s="3309">
        <v>0.16847103848788283</v>
      </c>
      <c r="BY17" s="3309">
        <v>6.3638301216333487E-2</v>
      </c>
      <c r="BZ17" s="3309" t="s">
        <v>153</v>
      </c>
      <c r="CA17" s="3309">
        <v>0.23210933970421635</v>
      </c>
      <c r="CB17" s="3309">
        <v>0.65535323727181949</v>
      </c>
      <c r="CC17" s="3309">
        <v>0.88746257697603581</v>
      </c>
      <c r="CD17" s="3309" t="s">
        <v>153</v>
      </c>
      <c r="CE17" s="3309" t="s">
        <v>153</v>
      </c>
      <c r="CF17" s="3309">
        <v>0.11253742302396409</v>
      </c>
    </row>
    <row r="18" spans="1:84" ht="14.4" x14ac:dyDescent="0.3">
      <c r="A18" s="8" t="s">
        <v>35</v>
      </c>
      <c r="B18" s="3006">
        <v>373.36912999999998</v>
      </c>
      <c r="C18" s="3378">
        <v>1</v>
      </c>
      <c r="D18" s="3006">
        <v>373.36912999999998</v>
      </c>
      <c r="E18" s="3379">
        <v>1</v>
      </c>
      <c r="F18" s="3199">
        <v>0</v>
      </c>
      <c r="G18" s="3403">
        <v>0</v>
      </c>
      <c r="H18" s="3410">
        <v>0</v>
      </c>
      <c r="I18" s="3403">
        <v>0</v>
      </c>
      <c r="J18" s="3405"/>
      <c r="K18" s="3026">
        <v>0</v>
      </c>
      <c r="L18" s="3380">
        <v>373.36912999999998</v>
      </c>
      <c r="M18" s="3006">
        <v>0</v>
      </c>
      <c r="N18" s="3388">
        <v>309.89637789999995</v>
      </c>
      <c r="O18" s="3412">
        <v>0</v>
      </c>
      <c r="P18" s="3389">
        <v>26.135839100000002</v>
      </c>
      <c r="Q18" s="3389">
        <v>37.336913000000003</v>
      </c>
      <c r="R18" s="3406">
        <v>0</v>
      </c>
      <c r="S18" s="3381">
        <v>0</v>
      </c>
      <c r="T18" s="3382">
        <v>0</v>
      </c>
      <c r="U18" s="3381">
        <v>0</v>
      </c>
      <c r="V18" s="3382">
        <v>0</v>
      </c>
      <c r="W18" s="3381">
        <v>0</v>
      </c>
      <c r="X18" s="3382">
        <v>0</v>
      </c>
      <c r="Y18" s="3383">
        <v>0</v>
      </c>
      <c r="Z18" s="3227">
        <v>0</v>
      </c>
      <c r="AA18" s="3407">
        <v>0</v>
      </c>
      <c r="AB18" s="3407">
        <v>0</v>
      </c>
      <c r="AC18" s="3414"/>
      <c r="AD18" s="3377"/>
      <c r="AE18" s="3377">
        <v>0</v>
      </c>
      <c r="AF18" s="3407">
        <v>0</v>
      </c>
      <c r="AG18" s="3228"/>
      <c r="AH18" s="3408"/>
      <c r="AI18" s="3409">
        <v>0</v>
      </c>
      <c r="AJ18" s="3051">
        <v>26.135839100000002</v>
      </c>
      <c r="AK18" s="3386">
        <v>37.336913000000003</v>
      </c>
      <c r="AL18" s="3121">
        <v>0</v>
      </c>
      <c r="AM18" s="3387">
        <v>0</v>
      </c>
      <c r="AN18" s="3006">
        <v>0</v>
      </c>
      <c r="AO18" s="3388">
        <v>309.89637789999995</v>
      </c>
      <c r="AP18" s="3389">
        <v>0</v>
      </c>
      <c r="AQ18" s="3390">
        <v>309.89637789999995</v>
      </c>
      <c r="AR18" s="3391">
        <v>26.135839100000002</v>
      </c>
      <c r="AS18" s="3392">
        <v>336.03221699999995</v>
      </c>
      <c r="AT18" s="3393">
        <v>37.336913000000003</v>
      </c>
      <c r="AU18" s="3394">
        <v>0</v>
      </c>
      <c r="AV18" s="3395">
        <v>0</v>
      </c>
      <c r="AW18" s="3213" t="s">
        <v>153</v>
      </c>
      <c r="AX18" s="3396">
        <v>0.82999999999999985</v>
      </c>
      <c r="AY18" s="3397" t="s">
        <v>153</v>
      </c>
      <c r="AZ18" s="3398">
        <v>0.82999999999999985</v>
      </c>
      <c r="BA18" s="3399">
        <v>7.0000000000000007E-2</v>
      </c>
      <c r="BB18" s="3400">
        <v>0.89999999999999991</v>
      </c>
      <c r="BC18" s="3401">
        <v>0.1</v>
      </c>
      <c r="BD18" s="3402" t="s">
        <v>153</v>
      </c>
      <c r="BE18" s="3158" t="s">
        <v>153</v>
      </c>
      <c r="BF18" s="61">
        <v>0</v>
      </c>
      <c r="BG18" s="52">
        <v>0</v>
      </c>
      <c r="BH18" s="643" t="s">
        <v>35</v>
      </c>
      <c r="BI18" s="615">
        <v>373.36912999999998</v>
      </c>
      <c r="BJ18" s="3306">
        <v>1</v>
      </c>
      <c r="BK18" s="615">
        <v>0</v>
      </c>
      <c r="BL18" s="615">
        <v>309.89637789999995</v>
      </c>
      <c r="BM18" s="615">
        <v>0</v>
      </c>
      <c r="BN18" s="615">
        <v>309.89637789999995</v>
      </c>
      <c r="BO18" s="615">
        <v>26.135839100000002</v>
      </c>
      <c r="BP18" s="615">
        <v>336.03221699999995</v>
      </c>
      <c r="BQ18" s="615">
        <v>37.336913000000003</v>
      </c>
      <c r="BR18" s="615">
        <v>0</v>
      </c>
      <c r="BS18" s="615">
        <v>0</v>
      </c>
      <c r="BT18" s="1"/>
      <c r="BU18" s="643" t="s">
        <v>35</v>
      </c>
      <c r="BV18" s="615">
        <v>373.36912999999998</v>
      </c>
      <c r="BW18" s="3309">
        <v>1</v>
      </c>
      <c r="BX18" s="3309" t="s">
        <v>153</v>
      </c>
      <c r="BY18" s="3309">
        <v>0.82999999999999985</v>
      </c>
      <c r="BZ18" s="3309" t="s">
        <v>153</v>
      </c>
      <c r="CA18" s="3309">
        <v>0.82999999999999985</v>
      </c>
      <c r="CB18" s="3309">
        <v>7.0000000000000007E-2</v>
      </c>
      <c r="CC18" s="3309">
        <v>0.89999999999999991</v>
      </c>
      <c r="CD18" s="3309">
        <v>0.1</v>
      </c>
      <c r="CE18" s="3309" t="s">
        <v>153</v>
      </c>
      <c r="CF18" s="3309" t="s">
        <v>153</v>
      </c>
    </row>
    <row r="19" spans="1:84" ht="14.4" x14ac:dyDescent="0.3">
      <c r="A19" s="8" t="s">
        <v>67</v>
      </c>
      <c r="B19" s="3006">
        <v>148.87299999999999</v>
      </c>
      <c r="C19" s="3378">
        <v>1</v>
      </c>
      <c r="D19" s="3006">
        <v>148.87299999999999</v>
      </c>
      <c r="E19" s="3379">
        <v>1</v>
      </c>
      <c r="F19" s="3199">
        <v>0</v>
      </c>
      <c r="G19" s="3403">
        <v>0</v>
      </c>
      <c r="H19" s="3410">
        <v>0</v>
      </c>
      <c r="I19" s="3403">
        <v>0</v>
      </c>
      <c r="J19" s="3405"/>
      <c r="K19" s="3026">
        <v>0</v>
      </c>
      <c r="L19" s="3380">
        <v>148.87299999999999</v>
      </c>
      <c r="M19" s="3006">
        <v>19.0855186</v>
      </c>
      <c r="N19" s="3388">
        <v>66.099611999999993</v>
      </c>
      <c r="O19" s="3412">
        <v>0</v>
      </c>
      <c r="P19" s="3389">
        <v>63.687869399999997</v>
      </c>
      <c r="Q19" s="3389">
        <v>0</v>
      </c>
      <c r="R19" s="3406">
        <v>0</v>
      </c>
      <c r="S19" s="3381">
        <v>0</v>
      </c>
      <c r="T19" s="3382">
        <v>0</v>
      </c>
      <c r="U19" s="3381">
        <v>0</v>
      </c>
      <c r="V19" s="3382">
        <v>0</v>
      </c>
      <c r="W19" s="3381">
        <v>0</v>
      </c>
      <c r="X19" s="3382">
        <v>0</v>
      </c>
      <c r="Y19" s="3383">
        <v>0</v>
      </c>
      <c r="Z19" s="3227">
        <v>0</v>
      </c>
      <c r="AA19" s="3407">
        <v>0</v>
      </c>
      <c r="AB19" s="3407">
        <v>0</v>
      </c>
      <c r="AC19" s="3414"/>
      <c r="AD19" s="3377"/>
      <c r="AE19" s="3377">
        <v>0</v>
      </c>
      <c r="AF19" s="3407">
        <v>0</v>
      </c>
      <c r="AG19" s="3228"/>
      <c r="AH19" s="3408"/>
      <c r="AI19" s="3409">
        <v>0</v>
      </c>
      <c r="AJ19" s="3051">
        <v>63.687869399999997</v>
      </c>
      <c r="AK19" s="3386">
        <v>0</v>
      </c>
      <c r="AL19" s="3121">
        <v>0</v>
      </c>
      <c r="AM19" s="3387">
        <v>0</v>
      </c>
      <c r="AN19" s="3006">
        <v>19.0855186</v>
      </c>
      <c r="AO19" s="3388">
        <v>66.099611999999993</v>
      </c>
      <c r="AP19" s="3389">
        <v>0</v>
      </c>
      <c r="AQ19" s="3390">
        <v>85.185130599999994</v>
      </c>
      <c r="AR19" s="3391">
        <v>63.687869399999997</v>
      </c>
      <c r="AS19" s="3392">
        <v>148.87299999999999</v>
      </c>
      <c r="AT19" s="3393">
        <v>0</v>
      </c>
      <c r="AU19" s="3394">
        <v>0</v>
      </c>
      <c r="AV19" s="3395">
        <v>0</v>
      </c>
      <c r="AW19" s="3213">
        <v>0.12820000000000001</v>
      </c>
      <c r="AX19" s="3396">
        <v>0.44400000000000001</v>
      </c>
      <c r="AY19" s="3397" t="s">
        <v>153</v>
      </c>
      <c r="AZ19" s="3398">
        <v>0.57220000000000004</v>
      </c>
      <c r="BA19" s="3399">
        <v>0.42780000000000001</v>
      </c>
      <c r="BB19" s="3400">
        <v>1</v>
      </c>
      <c r="BC19" s="3401" t="s">
        <v>153</v>
      </c>
      <c r="BD19" s="3402" t="s">
        <v>153</v>
      </c>
      <c r="BE19" s="3158" t="s">
        <v>153</v>
      </c>
      <c r="BF19" s="61">
        <v>0</v>
      </c>
      <c r="BG19" s="52">
        <v>0</v>
      </c>
      <c r="BH19" s="643" t="s">
        <v>67</v>
      </c>
      <c r="BI19" s="615">
        <v>148.87299999999999</v>
      </c>
      <c r="BJ19" s="3306">
        <v>1</v>
      </c>
      <c r="BK19" s="615">
        <v>19.0855186</v>
      </c>
      <c r="BL19" s="615">
        <v>66.099611999999993</v>
      </c>
      <c r="BM19" s="615">
        <v>0</v>
      </c>
      <c r="BN19" s="615">
        <v>85.185130599999994</v>
      </c>
      <c r="BO19" s="615">
        <v>63.687869399999997</v>
      </c>
      <c r="BP19" s="615">
        <v>148.87299999999999</v>
      </c>
      <c r="BQ19" s="615">
        <v>0</v>
      </c>
      <c r="BR19" s="615">
        <v>0</v>
      </c>
      <c r="BS19" s="615">
        <v>0</v>
      </c>
      <c r="BT19" s="1"/>
      <c r="BU19" s="643" t="s">
        <v>67</v>
      </c>
      <c r="BV19" s="615">
        <v>148.87299999999999</v>
      </c>
      <c r="BW19" s="3309">
        <v>1</v>
      </c>
      <c r="BX19" s="3309">
        <v>0.12820000000000001</v>
      </c>
      <c r="BY19" s="3309">
        <v>0.44400000000000001</v>
      </c>
      <c r="BZ19" s="3309" t="s">
        <v>153</v>
      </c>
      <c r="CA19" s="3309">
        <v>0.57220000000000004</v>
      </c>
      <c r="CB19" s="3309">
        <v>0.42780000000000001</v>
      </c>
      <c r="CC19" s="3309">
        <v>1</v>
      </c>
      <c r="CD19" s="3309" t="s">
        <v>153</v>
      </c>
      <c r="CE19" s="3309" t="s">
        <v>153</v>
      </c>
      <c r="CF19" s="3309" t="s">
        <v>153</v>
      </c>
    </row>
    <row r="20" spans="1:84" ht="14.4" x14ac:dyDescent="0.3">
      <c r="A20" s="8" t="s">
        <v>76</v>
      </c>
      <c r="B20" s="3006">
        <v>6889.2999499999996</v>
      </c>
      <c r="C20" s="3378">
        <v>0.77877886400700791</v>
      </c>
      <c r="D20" s="3006">
        <v>6889.2999499999996</v>
      </c>
      <c r="E20" s="3379">
        <v>0.77877886400700791</v>
      </c>
      <c r="F20" s="3199">
        <v>1.5800000000000002E-2</v>
      </c>
      <c r="G20" s="3403">
        <v>1956.9852644610924</v>
      </c>
      <c r="H20" s="3410">
        <v>0</v>
      </c>
      <c r="I20" s="3403">
        <v>0</v>
      </c>
      <c r="J20" s="3405"/>
      <c r="K20" s="3026">
        <v>1956.9852644610924</v>
      </c>
      <c r="L20" s="3380">
        <v>8846.2852144610915</v>
      </c>
      <c r="M20" s="3006">
        <v>164.65426880499999</v>
      </c>
      <c r="N20" s="3388">
        <v>4492.5124973949996</v>
      </c>
      <c r="O20" s="3412">
        <v>0</v>
      </c>
      <c r="P20" s="3389">
        <v>2059.90068505</v>
      </c>
      <c r="Q20" s="3389">
        <v>172.23249874999999</v>
      </c>
      <c r="R20" s="3406">
        <v>0</v>
      </c>
      <c r="S20" s="3381">
        <v>1482.0041484364845</v>
      </c>
      <c r="T20" s="3382">
        <v>114.737202456879</v>
      </c>
      <c r="U20" s="3381">
        <v>796.07522318494421</v>
      </c>
      <c r="V20" s="3382">
        <v>-255.76383465224205</v>
      </c>
      <c r="W20" s="3381">
        <v>685.92892525154036</v>
      </c>
      <c r="X20" s="3382">
        <v>370.50103710912117</v>
      </c>
      <c r="Y20" s="3383">
        <v>0</v>
      </c>
      <c r="Z20" s="3227">
        <v>1367.2669459796055</v>
      </c>
      <c r="AA20" s="3407">
        <v>0</v>
      </c>
      <c r="AB20" s="3407">
        <v>1367.2669459796055</v>
      </c>
      <c r="AC20" s="3414"/>
      <c r="AD20" s="3377">
        <v>1051.8390578371864</v>
      </c>
      <c r="AE20" s="3377">
        <v>-1.1368683772161603E-13</v>
      </c>
      <c r="AF20" s="3407">
        <v>315.42788814241919</v>
      </c>
      <c r="AG20" s="3228"/>
      <c r="AH20" s="3408"/>
      <c r="AI20" s="3409">
        <v>1051.8390578371864</v>
      </c>
      <c r="AJ20" s="3051">
        <v>2649.6190035314867</v>
      </c>
      <c r="AK20" s="3386">
        <v>172.23249874999988</v>
      </c>
      <c r="AL20" s="3121">
        <v>0</v>
      </c>
      <c r="AM20" s="3387">
        <v>0</v>
      </c>
      <c r="AN20" s="3006">
        <v>164.65426880499999</v>
      </c>
      <c r="AO20" s="3388">
        <v>4492.5124973949996</v>
      </c>
      <c r="AP20" s="3389">
        <v>0</v>
      </c>
      <c r="AQ20" s="3390">
        <v>4657.1667662</v>
      </c>
      <c r="AR20" s="3391">
        <v>3701.458061368673</v>
      </c>
      <c r="AS20" s="3392">
        <v>8358.6248275686739</v>
      </c>
      <c r="AT20" s="3393">
        <v>172.23249874999988</v>
      </c>
      <c r="AU20" s="3394">
        <v>315.42788814241919</v>
      </c>
      <c r="AV20" s="3395">
        <v>0</v>
      </c>
      <c r="AW20" s="3213">
        <v>1.8612814849767491E-2</v>
      </c>
      <c r="AX20" s="3396">
        <v>0.50784169721896988</v>
      </c>
      <c r="AY20" s="3397" t="s">
        <v>153</v>
      </c>
      <c r="AZ20" s="3398">
        <v>0.52645451206873739</v>
      </c>
      <c r="BA20" s="3399">
        <v>0.41841948022632941</v>
      </c>
      <c r="BB20" s="3400">
        <v>0.94487399229506697</v>
      </c>
      <c r="BC20" s="3401">
        <v>1.9469471600175186E-2</v>
      </c>
      <c r="BD20" s="3402">
        <v>3.5656536104758045E-2</v>
      </c>
      <c r="BE20" s="3158" t="s">
        <v>153</v>
      </c>
      <c r="BF20" s="61">
        <v>0</v>
      </c>
      <c r="BG20" s="52">
        <v>0</v>
      </c>
      <c r="BH20" s="643" t="s">
        <v>76</v>
      </c>
      <c r="BI20" s="615">
        <v>8846.2852144610915</v>
      </c>
      <c r="BJ20" s="3306">
        <v>0.77877886400700791</v>
      </c>
      <c r="BK20" s="615">
        <v>164.65426880499999</v>
      </c>
      <c r="BL20" s="615">
        <v>4492.5124973949996</v>
      </c>
      <c r="BM20" s="615">
        <v>0</v>
      </c>
      <c r="BN20" s="615">
        <v>4657.1667662</v>
      </c>
      <c r="BO20" s="615">
        <v>3701.458061368673</v>
      </c>
      <c r="BP20" s="615">
        <v>8358.6248275686739</v>
      </c>
      <c r="BQ20" s="615">
        <v>172.23249874999988</v>
      </c>
      <c r="BR20" s="615">
        <v>0</v>
      </c>
      <c r="BS20" s="615">
        <v>315.42788814241919</v>
      </c>
      <c r="BT20" s="1"/>
      <c r="BU20" s="643" t="s">
        <v>76</v>
      </c>
      <c r="BV20" s="615">
        <v>8846.2852144610915</v>
      </c>
      <c r="BW20" s="3309">
        <v>0.77877886400700791</v>
      </c>
      <c r="BX20" s="3309">
        <v>1.8612814849767491E-2</v>
      </c>
      <c r="BY20" s="3309">
        <v>0.50784169721896988</v>
      </c>
      <c r="BZ20" s="3309" t="s">
        <v>153</v>
      </c>
      <c r="CA20" s="3309">
        <v>0.52645451206873739</v>
      </c>
      <c r="CB20" s="3309">
        <v>0.41841948022632941</v>
      </c>
      <c r="CC20" s="3309">
        <v>0.94487399229506697</v>
      </c>
      <c r="CD20" s="3309">
        <v>1.9469471600175186E-2</v>
      </c>
      <c r="CE20" s="3309" t="s">
        <v>153</v>
      </c>
      <c r="CF20" s="3309">
        <v>3.5656536104758045E-2</v>
      </c>
    </row>
    <row r="21" spans="1:84" ht="14.4" x14ac:dyDescent="0.3">
      <c r="A21" s="8" t="s">
        <v>62</v>
      </c>
      <c r="B21" s="3006">
        <v>512.20124999999996</v>
      </c>
      <c r="C21" s="3378">
        <v>1</v>
      </c>
      <c r="D21" s="3006">
        <v>512.20124999999996</v>
      </c>
      <c r="E21" s="3379">
        <v>1</v>
      </c>
      <c r="F21" s="3199">
        <v>0</v>
      </c>
      <c r="G21" s="3403">
        <v>0</v>
      </c>
      <c r="H21" s="3410">
        <v>0</v>
      </c>
      <c r="I21" s="3403">
        <v>0</v>
      </c>
      <c r="J21" s="3405"/>
      <c r="K21" s="3026">
        <v>0</v>
      </c>
      <c r="L21" s="3380">
        <v>512.20124999999996</v>
      </c>
      <c r="M21" s="3006">
        <v>0</v>
      </c>
      <c r="N21" s="3388">
        <v>13.317232499999998</v>
      </c>
      <c r="O21" s="3412">
        <v>0</v>
      </c>
      <c r="P21" s="3389">
        <v>429.22464749999995</v>
      </c>
      <c r="Q21" s="3389">
        <v>0</v>
      </c>
      <c r="R21" s="3406">
        <v>69.659369999999996</v>
      </c>
      <c r="S21" s="3381">
        <v>0</v>
      </c>
      <c r="T21" s="3382">
        <v>0</v>
      </c>
      <c r="U21" s="3381">
        <v>0</v>
      </c>
      <c r="V21" s="3382">
        <v>0</v>
      </c>
      <c r="W21" s="3381">
        <v>0</v>
      </c>
      <c r="X21" s="3382">
        <v>0</v>
      </c>
      <c r="Y21" s="3383">
        <v>0</v>
      </c>
      <c r="Z21" s="3227">
        <v>0</v>
      </c>
      <c r="AA21" s="3407">
        <v>0</v>
      </c>
      <c r="AB21" s="3407">
        <v>0</v>
      </c>
      <c r="AC21" s="3414"/>
      <c r="AD21" s="3377"/>
      <c r="AE21" s="3377">
        <v>0</v>
      </c>
      <c r="AF21" s="3407">
        <v>0</v>
      </c>
      <c r="AG21" s="3228"/>
      <c r="AH21" s="3408">
        <v>0</v>
      </c>
      <c r="AI21" s="3409">
        <v>0</v>
      </c>
      <c r="AJ21" s="3051">
        <v>429.22464749999995</v>
      </c>
      <c r="AK21" s="3386">
        <v>0</v>
      </c>
      <c r="AL21" s="3121">
        <v>0</v>
      </c>
      <c r="AM21" s="3387">
        <v>69.659369999999996</v>
      </c>
      <c r="AN21" s="3006">
        <v>0</v>
      </c>
      <c r="AO21" s="3388">
        <v>13.317232499999998</v>
      </c>
      <c r="AP21" s="3389">
        <v>0</v>
      </c>
      <c r="AQ21" s="3390">
        <v>13.317232499999998</v>
      </c>
      <c r="AR21" s="3391">
        <v>429.22464749999995</v>
      </c>
      <c r="AS21" s="3392">
        <v>442.54187999999994</v>
      </c>
      <c r="AT21" s="3393">
        <v>0</v>
      </c>
      <c r="AU21" s="3394">
        <v>0</v>
      </c>
      <c r="AV21" s="3395">
        <v>69.659369999999996</v>
      </c>
      <c r="AW21" s="3213" t="s">
        <v>153</v>
      </c>
      <c r="AX21" s="3396">
        <v>2.5999999999999999E-2</v>
      </c>
      <c r="AY21" s="3397" t="s">
        <v>153</v>
      </c>
      <c r="AZ21" s="3398">
        <v>2.5999999999999999E-2</v>
      </c>
      <c r="BA21" s="3399">
        <v>0.83799999999999997</v>
      </c>
      <c r="BB21" s="3400">
        <v>0.86399999999999999</v>
      </c>
      <c r="BC21" s="3401" t="s">
        <v>153</v>
      </c>
      <c r="BD21" s="3402" t="s">
        <v>153</v>
      </c>
      <c r="BE21" s="3158">
        <v>0.13600000000000001</v>
      </c>
      <c r="BF21" s="61">
        <v>0</v>
      </c>
      <c r="BG21" s="52">
        <v>0</v>
      </c>
      <c r="BH21" s="643" t="s">
        <v>62</v>
      </c>
      <c r="BI21" s="615">
        <v>512.20124999999996</v>
      </c>
      <c r="BJ21" s="3306">
        <v>1</v>
      </c>
      <c r="BK21" s="615">
        <v>0</v>
      </c>
      <c r="BL21" s="615">
        <v>13.317232499999998</v>
      </c>
      <c r="BM21" s="615">
        <v>0</v>
      </c>
      <c r="BN21" s="615">
        <v>13.317232499999998</v>
      </c>
      <c r="BO21" s="615">
        <v>429.22464749999995</v>
      </c>
      <c r="BP21" s="615">
        <v>442.54187999999994</v>
      </c>
      <c r="BQ21" s="615">
        <v>0</v>
      </c>
      <c r="BR21" s="615">
        <v>69.659369999999996</v>
      </c>
      <c r="BS21" s="615">
        <v>0</v>
      </c>
      <c r="BT21" s="1"/>
      <c r="BU21" s="643" t="s">
        <v>62</v>
      </c>
      <c r="BV21" s="615">
        <v>512.20124999999996</v>
      </c>
      <c r="BW21" s="3309">
        <v>1</v>
      </c>
      <c r="BX21" s="3309" t="s">
        <v>153</v>
      </c>
      <c r="BY21" s="3309">
        <v>2.5999999999999999E-2</v>
      </c>
      <c r="BZ21" s="3309" t="s">
        <v>153</v>
      </c>
      <c r="CA21" s="3309">
        <v>2.5999999999999999E-2</v>
      </c>
      <c r="CB21" s="3309">
        <v>0.83799999999999997</v>
      </c>
      <c r="CC21" s="3309">
        <v>0.86399999999999999</v>
      </c>
      <c r="CD21" s="3309" t="s">
        <v>153</v>
      </c>
      <c r="CE21" s="3309">
        <v>0.13600000000000001</v>
      </c>
      <c r="CF21" s="3309" t="s">
        <v>153</v>
      </c>
    </row>
    <row r="22" spans="1:84" ht="14.4" x14ac:dyDescent="0.3">
      <c r="A22" s="8" t="s">
        <v>16</v>
      </c>
      <c r="B22" s="3006">
        <v>2821.0121200000003</v>
      </c>
      <c r="C22" s="3378">
        <v>0.38018432844938443</v>
      </c>
      <c r="D22" s="3006">
        <v>3335.3143864015906</v>
      </c>
      <c r="E22" s="3379">
        <v>0.44949621136745033</v>
      </c>
      <c r="F22" s="3199">
        <v>3.2599999999999997E-2</v>
      </c>
      <c r="G22" s="3403">
        <v>4037.8303557868098</v>
      </c>
      <c r="H22" s="3410">
        <v>5.4000000000000006E-2</v>
      </c>
      <c r="I22" s="3403">
        <v>561.27431731128775</v>
      </c>
      <c r="J22" s="3405"/>
      <c r="K22" s="3026">
        <v>4599.1046730980979</v>
      </c>
      <c r="L22" s="3380">
        <v>7420.1167930980982</v>
      </c>
      <c r="M22" s="3006">
        <v>0</v>
      </c>
      <c r="N22" s="3388">
        <v>2679.9615140000001</v>
      </c>
      <c r="O22" s="3412">
        <v>0</v>
      </c>
      <c r="P22" s="3389">
        <v>0</v>
      </c>
      <c r="Q22" s="3389">
        <v>141.05060600000002</v>
      </c>
      <c r="R22" s="3406">
        <v>0</v>
      </c>
      <c r="S22" s="3381">
        <v>3057.8060277866698</v>
      </c>
      <c r="T22" s="3382">
        <v>-155.40355269476072</v>
      </c>
      <c r="U22" s="3381">
        <v>1642.5349541664034</v>
      </c>
      <c r="V22" s="3382">
        <v>-919.8550596414284</v>
      </c>
      <c r="W22" s="3381">
        <v>1415.2710736202664</v>
      </c>
      <c r="X22" s="3382">
        <v>764.45150694666745</v>
      </c>
      <c r="Y22" s="3383">
        <v>0</v>
      </c>
      <c r="Z22" s="3227">
        <v>3213.2095804814303</v>
      </c>
      <c r="AA22" s="3407">
        <v>0</v>
      </c>
      <c r="AB22" s="3407">
        <v>2698.9073140798405</v>
      </c>
      <c r="AC22" s="3414">
        <v>514.30226640159037</v>
      </c>
      <c r="AD22" s="3377">
        <v>2048.0877474062413</v>
      </c>
      <c r="AE22" s="3377"/>
      <c r="AF22" s="3407">
        <v>650.81956667359896</v>
      </c>
      <c r="AG22" s="3228"/>
      <c r="AH22" s="3408"/>
      <c r="AI22" s="3409">
        <v>2048.0877474062413</v>
      </c>
      <c r="AJ22" s="3051">
        <v>1385.8950926166674</v>
      </c>
      <c r="AK22" s="3386">
        <v>141.05060600000002</v>
      </c>
      <c r="AL22" s="3121">
        <v>0</v>
      </c>
      <c r="AM22" s="3387">
        <v>0</v>
      </c>
      <c r="AN22" s="3006">
        <v>0</v>
      </c>
      <c r="AO22" s="3388">
        <v>3194.2637804015903</v>
      </c>
      <c r="AP22" s="3389">
        <v>0</v>
      </c>
      <c r="AQ22" s="3390">
        <v>3194.2637804015903</v>
      </c>
      <c r="AR22" s="3391">
        <v>3433.9828400229089</v>
      </c>
      <c r="AS22" s="3392">
        <v>6628.2466204244993</v>
      </c>
      <c r="AT22" s="3393">
        <v>141.05060600000002</v>
      </c>
      <c r="AU22" s="3394">
        <v>650.81956667359896</v>
      </c>
      <c r="AV22" s="3395">
        <v>0</v>
      </c>
      <c r="AW22" s="3213" t="s">
        <v>153</v>
      </c>
      <c r="AX22" s="3396">
        <v>0.43048699494498111</v>
      </c>
      <c r="AY22" s="3397" t="s">
        <v>153</v>
      </c>
      <c r="AZ22" s="3398">
        <v>0.43048699494498111</v>
      </c>
      <c r="BA22" s="3399">
        <v>0.46279363732078521</v>
      </c>
      <c r="BB22" s="3400">
        <v>0.89328063226576626</v>
      </c>
      <c r="BC22" s="3401">
        <v>1.9009216422469222E-2</v>
      </c>
      <c r="BD22" s="3402">
        <v>8.7710151311764503E-2</v>
      </c>
      <c r="BE22" s="3158" t="s">
        <v>153</v>
      </c>
      <c r="BF22" s="61">
        <v>0</v>
      </c>
      <c r="BG22" s="52">
        <v>0</v>
      </c>
      <c r="BH22" s="643" t="s">
        <v>16</v>
      </c>
      <c r="BI22" s="615">
        <v>7420.1167930980982</v>
      </c>
      <c r="BJ22" s="3306">
        <v>0.38018432844938443</v>
      </c>
      <c r="BK22" s="615">
        <v>0</v>
      </c>
      <c r="BL22" s="615">
        <v>3194.2637804015903</v>
      </c>
      <c r="BM22" s="615">
        <v>0</v>
      </c>
      <c r="BN22" s="615">
        <v>3194.2637804015903</v>
      </c>
      <c r="BO22" s="615">
        <v>3433.9828400229089</v>
      </c>
      <c r="BP22" s="615">
        <v>6628.2466204244993</v>
      </c>
      <c r="BQ22" s="615">
        <v>141.05060600000002</v>
      </c>
      <c r="BR22" s="615">
        <v>0</v>
      </c>
      <c r="BS22" s="615">
        <v>650.81956667359896</v>
      </c>
      <c r="BT22" s="1"/>
      <c r="BU22" s="643" t="s">
        <v>16</v>
      </c>
      <c r="BV22" s="615">
        <v>7420.1167930980982</v>
      </c>
      <c r="BW22" s="3309">
        <v>0.38018432844938443</v>
      </c>
      <c r="BX22" s="3309" t="s">
        <v>153</v>
      </c>
      <c r="BY22" s="3309">
        <v>0.43048699494498111</v>
      </c>
      <c r="BZ22" s="3309" t="s">
        <v>153</v>
      </c>
      <c r="CA22" s="3309">
        <v>0.43048699494498111</v>
      </c>
      <c r="CB22" s="3309">
        <v>0.46279363732078521</v>
      </c>
      <c r="CC22" s="3309">
        <v>0.89328063226576626</v>
      </c>
      <c r="CD22" s="3309">
        <v>1.9009216422469222E-2</v>
      </c>
      <c r="CE22" s="3309" t="s">
        <v>153</v>
      </c>
      <c r="CF22" s="3309">
        <v>8.7710151311764503E-2</v>
      </c>
    </row>
    <row r="23" spans="1:84" ht="14.4" x14ac:dyDescent="0.3">
      <c r="A23" s="8" t="s">
        <v>95</v>
      </c>
      <c r="B23" s="3006">
        <v>0</v>
      </c>
      <c r="C23" s="3378" t="s">
        <v>153</v>
      </c>
      <c r="D23" s="3006">
        <v>0</v>
      </c>
      <c r="E23" s="3379" t="s">
        <v>153</v>
      </c>
      <c r="F23" s="3199">
        <v>0</v>
      </c>
      <c r="G23" s="3403">
        <v>0</v>
      </c>
      <c r="H23" s="3410">
        <v>0</v>
      </c>
      <c r="I23" s="3403">
        <v>0</v>
      </c>
      <c r="J23" s="3405"/>
      <c r="K23" s="3026">
        <v>0</v>
      </c>
      <c r="L23" s="3380">
        <v>0</v>
      </c>
      <c r="M23" s="3006">
        <v>0</v>
      </c>
      <c r="N23" s="3388">
        <v>0</v>
      </c>
      <c r="O23" s="3412">
        <v>0</v>
      </c>
      <c r="P23" s="3389">
        <v>0</v>
      </c>
      <c r="Q23" s="3389">
        <v>0</v>
      </c>
      <c r="R23" s="3406">
        <v>0</v>
      </c>
      <c r="S23" s="3381">
        <v>0</v>
      </c>
      <c r="T23" s="3382">
        <v>0</v>
      </c>
      <c r="U23" s="3381">
        <v>0</v>
      </c>
      <c r="V23" s="3382">
        <v>0</v>
      </c>
      <c r="W23" s="3381">
        <v>0</v>
      </c>
      <c r="X23" s="3382">
        <v>0</v>
      </c>
      <c r="Y23" s="3383">
        <v>0</v>
      </c>
      <c r="Z23" s="3227">
        <v>0</v>
      </c>
      <c r="AA23" s="3407">
        <v>0</v>
      </c>
      <c r="AB23" s="3407">
        <v>0</v>
      </c>
      <c r="AC23" s="3414"/>
      <c r="AD23" s="3377"/>
      <c r="AE23" s="3377">
        <v>0</v>
      </c>
      <c r="AF23" s="3407">
        <v>0</v>
      </c>
      <c r="AG23" s="3228"/>
      <c r="AH23" s="3408"/>
      <c r="AI23" s="3409">
        <v>0</v>
      </c>
      <c r="AJ23" s="3051">
        <v>0</v>
      </c>
      <c r="AK23" s="3386">
        <v>0</v>
      </c>
      <c r="AL23" s="3121">
        <v>0</v>
      </c>
      <c r="AM23" s="3387">
        <v>0</v>
      </c>
      <c r="AN23" s="3006">
        <v>0</v>
      </c>
      <c r="AO23" s="3388">
        <v>0</v>
      </c>
      <c r="AP23" s="3389">
        <v>0</v>
      </c>
      <c r="AQ23" s="3390">
        <v>0</v>
      </c>
      <c r="AR23" s="3391">
        <v>0</v>
      </c>
      <c r="AS23" s="3392">
        <v>0</v>
      </c>
      <c r="AT23" s="3393">
        <v>0</v>
      </c>
      <c r="AU23" s="3394">
        <v>0</v>
      </c>
      <c r="AV23" s="3395">
        <v>0</v>
      </c>
      <c r="AW23" s="3213" t="s">
        <v>153</v>
      </c>
      <c r="AX23" s="3396" t="s">
        <v>153</v>
      </c>
      <c r="AY23" s="3397" t="s">
        <v>153</v>
      </c>
      <c r="AZ23" s="3398" t="s">
        <v>153</v>
      </c>
      <c r="BA23" s="3399" t="s">
        <v>153</v>
      </c>
      <c r="BB23" s="3400" t="s">
        <v>153</v>
      </c>
      <c r="BC23" s="3401" t="s">
        <v>153</v>
      </c>
      <c r="BD23" s="3402" t="s">
        <v>153</v>
      </c>
      <c r="BE23" s="3158" t="s">
        <v>153</v>
      </c>
      <c r="BF23" s="61">
        <v>0</v>
      </c>
      <c r="BG23" s="52">
        <v>0</v>
      </c>
      <c r="BH23" s="643" t="s">
        <v>95</v>
      </c>
      <c r="BI23" s="615">
        <v>0</v>
      </c>
      <c r="BJ23" s="3306" t="s">
        <v>153</v>
      </c>
      <c r="BK23" s="615">
        <v>0</v>
      </c>
      <c r="BL23" s="615">
        <v>0</v>
      </c>
      <c r="BM23" s="615">
        <v>0</v>
      </c>
      <c r="BN23" s="615">
        <v>0</v>
      </c>
      <c r="BO23" s="615">
        <v>0</v>
      </c>
      <c r="BP23" s="615">
        <v>0</v>
      </c>
      <c r="BQ23" s="615">
        <v>0</v>
      </c>
      <c r="BR23" s="615">
        <v>0</v>
      </c>
      <c r="BS23" s="615">
        <v>0</v>
      </c>
      <c r="BT23" s="1"/>
      <c r="BU23" s="643" t="s">
        <v>95</v>
      </c>
      <c r="BV23" s="615">
        <v>0</v>
      </c>
      <c r="BW23" s="3309" t="s">
        <v>153</v>
      </c>
      <c r="BX23" s="3309" t="s">
        <v>153</v>
      </c>
      <c r="BY23" s="3309" t="s">
        <v>153</v>
      </c>
      <c r="BZ23" s="3309" t="s">
        <v>153</v>
      </c>
      <c r="CA23" s="3309" t="s">
        <v>153</v>
      </c>
      <c r="CB23" s="3309" t="s">
        <v>153</v>
      </c>
      <c r="CC23" s="3309" t="s">
        <v>153</v>
      </c>
      <c r="CD23" s="3309" t="s">
        <v>153</v>
      </c>
      <c r="CE23" s="3309" t="s">
        <v>153</v>
      </c>
      <c r="CF23" s="3309" t="s">
        <v>153</v>
      </c>
    </row>
    <row r="24" spans="1:84" ht="14.4" x14ac:dyDescent="0.3">
      <c r="A24" s="8" t="s">
        <v>74</v>
      </c>
      <c r="B24" s="3006">
        <v>0</v>
      </c>
      <c r="C24" s="3378" t="s">
        <v>153</v>
      </c>
      <c r="D24" s="3006">
        <v>0</v>
      </c>
      <c r="E24" s="3379" t="s">
        <v>153</v>
      </c>
      <c r="F24" s="3199">
        <v>0</v>
      </c>
      <c r="G24" s="3403">
        <v>0</v>
      </c>
      <c r="H24" s="3410">
        <v>0</v>
      </c>
      <c r="I24" s="3403">
        <v>0</v>
      </c>
      <c r="J24" s="3405"/>
      <c r="K24" s="3026">
        <v>0</v>
      </c>
      <c r="L24" s="3380">
        <v>0</v>
      </c>
      <c r="M24" s="3006">
        <v>0</v>
      </c>
      <c r="N24" s="3388">
        <v>0</v>
      </c>
      <c r="O24" s="3412">
        <v>0</v>
      </c>
      <c r="P24" s="3389">
        <v>0</v>
      </c>
      <c r="Q24" s="3389">
        <v>0</v>
      </c>
      <c r="R24" s="3406">
        <v>0</v>
      </c>
      <c r="S24" s="3381">
        <v>0</v>
      </c>
      <c r="T24" s="3382">
        <v>0</v>
      </c>
      <c r="U24" s="3381">
        <v>0</v>
      </c>
      <c r="V24" s="3382">
        <v>0</v>
      </c>
      <c r="W24" s="3381">
        <v>0</v>
      </c>
      <c r="X24" s="3382">
        <v>0</v>
      </c>
      <c r="Y24" s="3383">
        <v>0</v>
      </c>
      <c r="Z24" s="3227">
        <v>0</v>
      </c>
      <c r="AA24" s="3407">
        <v>0</v>
      </c>
      <c r="AB24" s="3407">
        <v>0</v>
      </c>
      <c r="AC24" s="3414"/>
      <c r="AD24" s="3377">
        <v>0</v>
      </c>
      <c r="AE24" s="3377"/>
      <c r="AF24" s="3407">
        <v>0</v>
      </c>
      <c r="AG24" s="3228"/>
      <c r="AH24" s="3408"/>
      <c r="AI24" s="3409">
        <v>0</v>
      </c>
      <c r="AJ24" s="3051">
        <v>0</v>
      </c>
      <c r="AK24" s="3386">
        <v>0</v>
      </c>
      <c r="AL24" s="3121">
        <v>0</v>
      </c>
      <c r="AM24" s="3387">
        <v>0</v>
      </c>
      <c r="AN24" s="3006">
        <v>0</v>
      </c>
      <c r="AO24" s="3388">
        <v>0</v>
      </c>
      <c r="AP24" s="3389">
        <v>0</v>
      </c>
      <c r="AQ24" s="3390">
        <v>0</v>
      </c>
      <c r="AR24" s="3391">
        <v>0</v>
      </c>
      <c r="AS24" s="3392">
        <v>0</v>
      </c>
      <c r="AT24" s="3393">
        <v>0</v>
      </c>
      <c r="AU24" s="3394">
        <v>0</v>
      </c>
      <c r="AV24" s="3395">
        <v>0</v>
      </c>
      <c r="AW24" s="3213" t="s">
        <v>153</v>
      </c>
      <c r="AX24" s="3396" t="s">
        <v>153</v>
      </c>
      <c r="AY24" s="3397" t="s">
        <v>153</v>
      </c>
      <c r="AZ24" s="3398" t="s">
        <v>153</v>
      </c>
      <c r="BA24" s="3399" t="s">
        <v>153</v>
      </c>
      <c r="BB24" s="3400" t="s">
        <v>153</v>
      </c>
      <c r="BC24" s="3401" t="s">
        <v>153</v>
      </c>
      <c r="BD24" s="3402" t="s">
        <v>153</v>
      </c>
      <c r="BE24" s="3158" t="s">
        <v>153</v>
      </c>
      <c r="BF24" s="61">
        <v>0</v>
      </c>
      <c r="BG24" s="52">
        <v>0</v>
      </c>
      <c r="BH24" s="643" t="s">
        <v>74</v>
      </c>
      <c r="BI24" s="615">
        <v>0</v>
      </c>
      <c r="BJ24" s="3306" t="s">
        <v>153</v>
      </c>
      <c r="BK24" s="615">
        <v>0</v>
      </c>
      <c r="BL24" s="615">
        <v>0</v>
      </c>
      <c r="BM24" s="615">
        <v>0</v>
      </c>
      <c r="BN24" s="615">
        <v>0</v>
      </c>
      <c r="BO24" s="615">
        <v>0</v>
      </c>
      <c r="BP24" s="615">
        <v>0</v>
      </c>
      <c r="BQ24" s="615">
        <v>0</v>
      </c>
      <c r="BR24" s="615">
        <v>0</v>
      </c>
      <c r="BS24" s="615">
        <v>0</v>
      </c>
      <c r="BT24" s="1"/>
      <c r="BU24" s="643" t="s">
        <v>74</v>
      </c>
      <c r="BV24" s="615">
        <v>0</v>
      </c>
      <c r="BW24" s="3309" t="s">
        <v>153</v>
      </c>
      <c r="BX24" s="3309" t="s">
        <v>153</v>
      </c>
      <c r="BY24" s="3309" t="s">
        <v>153</v>
      </c>
      <c r="BZ24" s="3309" t="s">
        <v>153</v>
      </c>
      <c r="CA24" s="3309" t="s">
        <v>153</v>
      </c>
      <c r="CB24" s="3309" t="s">
        <v>153</v>
      </c>
      <c r="CC24" s="3309" t="s">
        <v>153</v>
      </c>
      <c r="CD24" s="3309" t="s">
        <v>153</v>
      </c>
      <c r="CE24" s="3309" t="s">
        <v>153</v>
      </c>
      <c r="CF24" s="3309" t="s">
        <v>153</v>
      </c>
    </row>
    <row r="25" spans="1:84" ht="14.4" x14ac:dyDescent="0.3">
      <c r="A25" s="8" t="s">
        <v>73</v>
      </c>
      <c r="B25" s="3006">
        <v>74.099999999999994</v>
      </c>
      <c r="C25" s="3378">
        <v>0.1685559417753176</v>
      </c>
      <c r="D25" s="3006">
        <v>74.099999999999994</v>
      </c>
      <c r="E25" s="3379">
        <v>0.1685559417753176</v>
      </c>
      <c r="F25" s="3199">
        <v>2.8000000000000004E-3</v>
      </c>
      <c r="G25" s="3403">
        <v>346.80751522095306</v>
      </c>
      <c r="H25" s="3410">
        <v>1.8E-3</v>
      </c>
      <c r="I25" s="3403">
        <v>18.709143910376255</v>
      </c>
      <c r="J25" s="3405"/>
      <c r="K25" s="3026">
        <v>365.51665913132933</v>
      </c>
      <c r="L25" s="3380">
        <v>439.61665913132936</v>
      </c>
      <c r="M25" s="3006">
        <v>0</v>
      </c>
      <c r="N25" s="3388">
        <v>50.758499999999998</v>
      </c>
      <c r="O25" s="3412">
        <v>0</v>
      </c>
      <c r="P25" s="3389">
        <v>23.267399999999999</v>
      </c>
      <c r="Q25" s="3389">
        <v>7.4099999999999999E-2</v>
      </c>
      <c r="R25" s="3406">
        <v>0</v>
      </c>
      <c r="S25" s="3381">
        <v>262.63364655836438</v>
      </c>
      <c r="T25" s="3382">
        <v>7.2618482567645088</v>
      </c>
      <c r="U25" s="3381">
        <v>141.07662183024328</v>
      </c>
      <c r="V25" s="3382">
        <v>-58.396563382826599</v>
      </c>
      <c r="W25" s="3381">
        <v>121.55702472812108</v>
      </c>
      <c r="X25" s="3382">
        <v>65.658411639591094</v>
      </c>
      <c r="Y25" s="3383">
        <v>0</v>
      </c>
      <c r="Z25" s="3227">
        <v>255.37179830159985</v>
      </c>
      <c r="AA25" s="3407">
        <v>0</v>
      </c>
      <c r="AB25" s="3407">
        <v>255.37179830159988</v>
      </c>
      <c r="AC25" s="3414"/>
      <c r="AD25" s="3377"/>
      <c r="AE25" s="3377">
        <v>199.47318521306988</v>
      </c>
      <c r="AF25" s="3407">
        <v>55.898613088529984</v>
      </c>
      <c r="AG25" s="3228"/>
      <c r="AH25" s="3408"/>
      <c r="AI25" s="3409">
        <v>0</v>
      </c>
      <c r="AJ25" s="3051">
        <v>133.41226082972949</v>
      </c>
      <c r="AK25" s="3386">
        <v>199.54728521306987</v>
      </c>
      <c r="AL25" s="3121">
        <v>0</v>
      </c>
      <c r="AM25" s="3387">
        <v>0</v>
      </c>
      <c r="AN25" s="3006">
        <v>0</v>
      </c>
      <c r="AO25" s="3388">
        <v>50.758499999999998</v>
      </c>
      <c r="AP25" s="3389">
        <v>0</v>
      </c>
      <c r="AQ25" s="3390">
        <v>50.758499999999998</v>
      </c>
      <c r="AR25" s="3391">
        <v>133.41226082972949</v>
      </c>
      <c r="AS25" s="3392">
        <v>184.17076082972949</v>
      </c>
      <c r="AT25" s="3393">
        <v>199.54728521306987</v>
      </c>
      <c r="AU25" s="3394">
        <v>55.898613088529984</v>
      </c>
      <c r="AV25" s="3395">
        <v>0</v>
      </c>
      <c r="AW25" s="3213" t="s">
        <v>153</v>
      </c>
      <c r="AX25" s="3396">
        <v>0.11546082011609256</v>
      </c>
      <c r="AY25" s="3397" t="s">
        <v>153</v>
      </c>
      <c r="AZ25" s="3398">
        <v>0.11546082011609256</v>
      </c>
      <c r="BA25" s="3399">
        <v>0.30347407919742742</v>
      </c>
      <c r="BB25" s="3400">
        <v>0.41893489931351996</v>
      </c>
      <c r="BC25" s="3401">
        <v>0.45391201872870313</v>
      </c>
      <c r="BD25" s="3402">
        <v>0.12715308195777689</v>
      </c>
      <c r="BE25" s="3158" t="s">
        <v>153</v>
      </c>
      <c r="BF25" s="61">
        <v>0</v>
      </c>
      <c r="BG25" s="52">
        <v>0</v>
      </c>
      <c r="BH25" s="643" t="s">
        <v>73</v>
      </c>
      <c r="BI25" s="615">
        <v>439.61665913132936</v>
      </c>
      <c r="BJ25" s="3306">
        <v>0.1685559417753176</v>
      </c>
      <c r="BK25" s="615">
        <v>0</v>
      </c>
      <c r="BL25" s="615">
        <v>50.758499999999998</v>
      </c>
      <c r="BM25" s="615">
        <v>0</v>
      </c>
      <c r="BN25" s="615">
        <v>50.758499999999998</v>
      </c>
      <c r="BO25" s="615">
        <v>133.41226082972949</v>
      </c>
      <c r="BP25" s="615">
        <v>184.17076082972949</v>
      </c>
      <c r="BQ25" s="615">
        <v>199.54728521306987</v>
      </c>
      <c r="BR25" s="615">
        <v>0</v>
      </c>
      <c r="BS25" s="615">
        <v>55.898613088529984</v>
      </c>
      <c r="BT25" s="1"/>
      <c r="BU25" s="643" t="s">
        <v>73</v>
      </c>
      <c r="BV25" s="615">
        <v>439.61665913132936</v>
      </c>
      <c r="BW25" s="3309">
        <v>0.1685559417753176</v>
      </c>
      <c r="BX25" s="3309" t="s">
        <v>153</v>
      </c>
      <c r="BY25" s="3309">
        <v>0.11546082011609256</v>
      </c>
      <c r="BZ25" s="3309" t="s">
        <v>153</v>
      </c>
      <c r="CA25" s="3309">
        <v>0.11546082011609256</v>
      </c>
      <c r="CB25" s="3309">
        <v>0.30347407919742742</v>
      </c>
      <c r="CC25" s="3309">
        <v>0.41893489931351996</v>
      </c>
      <c r="CD25" s="3309">
        <v>0.45391201872870313</v>
      </c>
      <c r="CE25" s="3309" t="s">
        <v>153</v>
      </c>
      <c r="CF25" s="3309">
        <v>0.12715308195777689</v>
      </c>
    </row>
    <row r="26" spans="1:84" ht="14.4" x14ac:dyDescent="0.3">
      <c r="A26" s="8" t="s">
        <v>44</v>
      </c>
      <c r="B26" s="3006">
        <v>67.704947507686967</v>
      </c>
      <c r="C26" s="3378">
        <v>0.73212811066794736</v>
      </c>
      <c r="D26" s="3006">
        <v>67.704947507686967</v>
      </c>
      <c r="E26" s="3379">
        <v>0.73212811066794736</v>
      </c>
      <c r="F26" s="3199">
        <v>2.0000000000000001E-4</v>
      </c>
      <c r="G26" s="3403">
        <v>24.771965372925219</v>
      </c>
      <c r="H26" s="3410">
        <v>0</v>
      </c>
      <c r="I26" s="3403">
        <v>0</v>
      </c>
      <c r="J26" s="3405"/>
      <c r="K26" s="3026">
        <v>24.771965372925219</v>
      </c>
      <c r="L26" s="3380">
        <v>92.47691288061219</v>
      </c>
      <c r="M26" s="3006">
        <v>0</v>
      </c>
      <c r="N26" s="3388">
        <v>63.209215203909686</v>
      </c>
      <c r="O26" s="3412">
        <v>0</v>
      </c>
      <c r="P26" s="3389">
        <v>0</v>
      </c>
      <c r="Q26" s="3389">
        <v>4.4957323037772863</v>
      </c>
      <c r="R26" s="3406">
        <v>0</v>
      </c>
      <c r="S26" s="3381">
        <v>18.759546182740308</v>
      </c>
      <c r="T26" s="3382">
        <v>1.4523696513528992</v>
      </c>
      <c r="U26" s="3381">
        <v>10.07690155930309</v>
      </c>
      <c r="V26" s="3382">
        <v>-3.2375168943321775</v>
      </c>
      <c r="W26" s="3381">
        <v>8.6826446234372181</v>
      </c>
      <c r="X26" s="3382">
        <v>4.6898865456850771</v>
      </c>
      <c r="Y26" s="3383">
        <v>0</v>
      </c>
      <c r="Z26" s="3227">
        <v>17.307176531387409</v>
      </c>
      <c r="AA26" s="3407">
        <v>0</v>
      </c>
      <c r="AB26" s="3407">
        <v>17.307176531387412</v>
      </c>
      <c r="AC26" s="3414"/>
      <c r="AD26" s="3377"/>
      <c r="AE26" s="3377">
        <v>13.314418453635268</v>
      </c>
      <c r="AF26" s="3407">
        <v>3.9927580777521414</v>
      </c>
      <c r="AG26" s="3228"/>
      <c r="AH26" s="3408"/>
      <c r="AI26" s="3409">
        <v>0</v>
      </c>
      <c r="AJ26" s="3051">
        <v>7.4647888415378096</v>
      </c>
      <c r="AK26" s="3386">
        <v>17.810150757412554</v>
      </c>
      <c r="AL26" s="3121">
        <v>0</v>
      </c>
      <c r="AM26" s="3387">
        <v>0</v>
      </c>
      <c r="AN26" s="3006">
        <v>0</v>
      </c>
      <c r="AO26" s="3388">
        <v>63.209215203909686</v>
      </c>
      <c r="AP26" s="3389">
        <v>0</v>
      </c>
      <c r="AQ26" s="3390">
        <v>63.209215203909686</v>
      </c>
      <c r="AR26" s="3391">
        <v>7.4647888415378096</v>
      </c>
      <c r="AS26" s="3392">
        <v>70.674004045447489</v>
      </c>
      <c r="AT26" s="3393">
        <v>17.810150757412554</v>
      </c>
      <c r="AU26" s="3394">
        <v>3.9927580777521414</v>
      </c>
      <c r="AV26" s="3395">
        <v>0</v>
      </c>
      <c r="AW26" s="3213" t="s">
        <v>153</v>
      </c>
      <c r="AX26" s="3396">
        <v>0.68351346552315018</v>
      </c>
      <c r="AY26" s="3397" t="s">
        <v>153</v>
      </c>
      <c r="AZ26" s="3398">
        <v>0.68351346552315018</v>
      </c>
      <c r="BA26" s="3399">
        <v>8.0720566993568027E-2</v>
      </c>
      <c r="BB26" s="3400">
        <v>0.76423403251671818</v>
      </c>
      <c r="BC26" s="3401">
        <v>0.19259023904058606</v>
      </c>
      <c r="BD26" s="3402">
        <v>4.3175728442695717E-2</v>
      </c>
      <c r="BE26" s="3158" t="s">
        <v>153</v>
      </c>
      <c r="BF26" s="61">
        <v>0</v>
      </c>
      <c r="BG26" s="52">
        <v>0</v>
      </c>
      <c r="BH26" s="643" t="s">
        <v>44</v>
      </c>
      <c r="BI26" s="615">
        <v>92.47691288061219</v>
      </c>
      <c r="BJ26" s="3306">
        <v>0.73212811066794736</v>
      </c>
      <c r="BK26" s="615">
        <v>0</v>
      </c>
      <c r="BL26" s="615">
        <v>63.209215203909686</v>
      </c>
      <c r="BM26" s="615">
        <v>0</v>
      </c>
      <c r="BN26" s="615">
        <v>63.209215203909686</v>
      </c>
      <c r="BO26" s="615">
        <v>7.4647888415378096</v>
      </c>
      <c r="BP26" s="615">
        <v>70.674004045447489</v>
      </c>
      <c r="BQ26" s="615">
        <v>17.810150757412554</v>
      </c>
      <c r="BR26" s="615">
        <v>0</v>
      </c>
      <c r="BS26" s="615">
        <v>3.9927580777521414</v>
      </c>
      <c r="BT26" s="1"/>
      <c r="BU26" s="643" t="s">
        <v>44</v>
      </c>
      <c r="BV26" s="615">
        <v>92.47691288061219</v>
      </c>
      <c r="BW26" s="3309">
        <v>0.73212811066794736</v>
      </c>
      <c r="BX26" s="3309" t="s">
        <v>153</v>
      </c>
      <c r="BY26" s="3309">
        <v>0.68351346552315018</v>
      </c>
      <c r="BZ26" s="3309" t="s">
        <v>153</v>
      </c>
      <c r="CA26" s="3309">
        <v>0.68351346552315018</v>
      </c>
      <c r="CB26" s="3309">
        <v>8.0720566993568027E-2</v>
      </c>
      <c r="CC26" s="3309">
        <v>0.76423403251671818</v>
      </c>
      <c r="CD26" s="3309">
        <v>0.19259023904058606</v>
      </c>
      <c r="CE26" s="3309" t="s">
        <v>153</v>
      </c>
      <c r="CF26" s="3309">
        <v>4.3175728442695717E-2</v>
      </c>
    </row>
    <row r="27" spans="1:84" ht="14.4" x14ac:dyDescent="0.3">
      <c r="A27" s="8" t="s">
        <v>119</v>
      </c>
      <c r="B27" s="3006">
        <v>0</v>
      </c>
      <c r="C27" s="3378">
        <v>0</v>
      </c>
      <c r="D27" s="3006">
        <v>0</v>
      </c>
      <c r="E27" s="3379">
        <v>0</v>
      </c>
      <c r="F27" s="3199">
        <v>0.10869999999999999</v>
      </c>
      <c r="G27" s="3403">
        <v>13463.563180184854</v>
      </c>
      <c r="H27" s="3410">
        <v>9.1700000000000004E-2</v>
      </c>
      <c r="I27" s="3403">
        <v>953.12694254527935</v>
      </c>
      <c r="J27" s="3405"/>
      <c r="K27" s="3026">
        <v>14416.690122730133</v>
      </c>
      <c r="L27" s="3380">
        <v>14416.690122730133</v>
      </c>
      <c r="M27" s="3006">
        <v>0</v>
      </c>
      <c r="N27" s="3388">
        <v>0</v>
      </c>
      <c r="O27" s="3412">
        <v>0</v>
      </c>
      <c r="P27" s="3389">
        <v>0</v>
      </c>
      <c r="Q27" s="3389">
        <v>0</v>
      </c>
      <c r="R27" s="3406">
        <v>0</v>
      </c>
      <c r="S27" s="3381">
        <v>10195.813350319357</v>
      </c>
      <c r="T27" s="3382">
        <v>123.45142036499647</v>
      </c>
      <c r="U27" s="3381">
        <v>5476.7959974812293</v>
      </c>
      <c r="V27" s="3382">
        <v>-2425.5019172148423</v>
      </c>
      <c r="W27" s="3381">
        <v>4719.0173528381274</v>
      </c>
      <c r="X27" s="3382">
        <v>2548.9533375798387</v>
      </c>
      <c r="Y27" s="3383">
        <v>0</v>
      </c>
      <c r="Z27" s="3227">
        <v>10072.361929954361</v>
      </c>
      <c r="AA27" s="3407">
        <v>0</v>
      </c>
      <c r="AB27" s="3407">
        <v>10072.361929954361</v>
      </c>
      <c r="AC27" s="3414"/>
      <c r="AD27" s="3377">
        <v>5604.4331886668915</v>
      </c>
      <c r="AE27" s="3377">
        <v>2297.86472602918</v>
      </c>
      <c r="AF27" s="3407">
        <v>2170.0640152582887</v>
      </c>
      <c r="AG27" s="3228"/>
      <c r="AH27" s="3408"/>
      <c r="AI27" s="3409">
        <v>5604.4331886668915</v>
      </c>
      <c r="AJ27" s="3051">
        <v>4344.3281927757735</v>
      </c>
      <c r="AK27" s="3386">
        <v>2297.86472602918</v>
      </c>
      <c r="AL27" s="3121">
        <v>0</v>
      </c>
      <c r="AM27" s="3387">
        <v>0</v>
      </c>
      <c r="AN27" s="3006">
        <v>0</v>
      </c>
      <c r="AO27" s="3388">
        <v>0</v>
      </c>
      <c r="AP27" s="3389">
        <v>0</v>
      </c>
      <c r="AQ27" s="3390">
        <v>0</v>
      </c>
      <c r="AR27" s="3391">
        <v>9948.7613814426659</v>
      </c>
      <c r="AS27" s="3392">
        <v>9948.7613814426659</v>
      </c>
      <c r="AT27" s="3393">
        <v>2297.86472602918</v>
      </c>
      <c r="AU27" s="3394">
        <v>2170.0640152582887</v>
      </c>
      <c r="AV27" s="3395">
        <v>0</v>
      </c>
      <c r="AW27" s="3213" t="s">
        <v>153</v>
      </c>
      <c r="AX27" s="3396" t="s">
        <v>153</v>
      </c>
      <c r="AY27" s="3397" t="s">
        <v>153</v>
      </c>
      <c r="AZ27" s="3398" t="s">
        <v>153</v>
      </c>
      <c r="BA27" s="3399">
        <v>0.69008637188898936</v>
      </c>
      <c r="BB27" s="3400">
        <v>0.69008637188898936</v>
      </c>
      <c r="BC27" s="3401">
        <v>0.15938920143717608</v>
      </c>
      <c r="BD27" s="3402">
        <v>0.15052442667383467</v>
      </c>
      <c r="BE27" s="3158" t="s">
        <v>153</v>
      </c>
      <c r="BF27" s="61">
        <v>0</v>
      </c>
      <c r="BG27" s="52">
        <v>0</v>
      </c>
      <c r="BH27" s="643" t="s">
        <v>119</v>
      </c>
      <c r="BI27" s="615">
        <v>14416.690122730133</v>
      </c>
      <c r="BJ27" s="3306">
        <v>0</v>
      </c>
      <c r="BK27" s="615">
        <v>0</v>
      </c>
      <c r="BL27" s="615">
        <v>0</v>
      </c>
      <c r="BM27" s="615">
        <v>0</v>
      </c>
      <c r="BN27" s="615">
        <v>0</v>
      </c>
      <c r="BO27" s="615">
        <v>9948.7613814426659</v>
      </c>
      <c r="BP27" s="615">
        <v>9948.7613814426659</v>
      </c>
      <c r="BQ27" s="615">
        <v>2297.86472602918</v>
      </c>
      <c r="BR27" s="615">
        <v>0</v>
      </c>
      <c r="BS27" s="615">
        <v>2170.0640152582887</v>
      </c>
      <c r="BT27" s="1"/>
      <c r="BU27" s="643" t="s">
        <v>119</v>
      </c>
      <c r="BV27" s="615">
        <v>14416.690122730133</v>
      </c>
      <c r="BW27" s="3309">
        <v>0</v>
      </c>
      <c r="BX27" s="3309" t="s">
        <v>153</v>
      </c>
      <c r="BY27" s="3309" t="s">
        <v>153</v>
      </c>
      <c r="BZ27" s="3309" t="s">
        <v>153</v>
      </c>
      <c r="CA27" s="3309" t="s">
        <v>153</v>
      </c>
      <c r="CB27" s="3309">
        <v>0.69008637188898936</v>
      </c>
      <c r="CC27" s="3309">
        <v>0.69008637188898936</v>
      </c>
      <c r="CD27" s="3309">
        <v>0.15938920143717608</v>
      </c>
      <c r="CE27" s="3309" t="s">
        <v>153</v>
      </c>
      <c r="CF27" s="3309">
        <v>0.15052442667383467</v>
      </c>
    </row>
    <row r="28" spans="1:84" ht="18" customHeight="1" x14ac:dyDescent="0.3">
      <c r="A28" s="154" t="s">
        <v>82</v>
      </c>
      <c r="B28" s="3006">
        <v>17383.574410000001</v>
      </c>
      <c r="C28" s="3378">
        <v>0.80958987487446188</v>
      </c>
      <c r="D28" s="3006">
        <v>17383.574410000001</v>
      </c>
      <c r="E28" s="3379">
        <v>0.80958987487446188</v>
      </c>
      <c r="F28" s="3199">
        <v>3.2899999999999999E-2</v>
      </c>
      <c r="G28" s="3403">
        <v>4074.9883038461981</v>
      </c>
      <c r="H28" s="3410">
        <v>1.2999999999999999E-3</v>
      </c>
      <c r="I28" s="3403">
        <v>13.512159490827296</v>
      </c>
      <c r="J28" s="3405"/>
      <c r="K28" s="3026">
        <v>4088.5004633370254</v>
      </c>
      <c r="L28" s="3380">
        <v>21472.074873337027</v>
      </c>
      <c r="M28" s="3006">
        <v>0</v>
      </c>
      <c r="N28" s="3388">
        <v>13559.188039800001</v>
      </c>
      <c r="O28" s="3412">
        <v>0</v>
      </c>
      <c r="P28" s="3389">
        <v>0</v>
      </c>
      <c r="Q28" s="3389">
        <v>3824.3863702000003</v>
      </c>
      <c r="R28" s="3406">
        <v>0</v>
      </c>
      <c r="S28" s="3381">
        <v>3085.9453470607805</v>
      </c>
      <c r="T28" s="3382">
        <v>229.47440491375812</v>
      </c>
      <c r="U28" s="3381">
        <v>1657.6503065053582</v>
      </c>
      <c r="V28" s="3382">
        <v>-542.01193185143688</v>
      </c>
      <c r="W28" s="3381">
        <v>1428.2950405554222</v>
      </c>
      <c r="X28" s="3382">
        <v>771.48633676519501</v>
      </c>
      <c r="Y28" s="3383">
        <v>0</v>
      </c>
      <c r="Z28" s="3227">
        <v>2856.4709421470225</v>
      </c>
      <c r="AA28" s="3407">
        <v>0</v>
      </c>
      <c r="AB28" s="3407">
        <v>2856.4709421470225</v>
      </c>
      <c r="AC28" s="3414"/>
      <c r="AD28" s="3377"/>
      <c r="AE28" s="3377">
        <v>2199.6622383567951</v>
      </c>
      <c r="AF28" s="3407">
        <v>656.80870379022724</v>
      </c>
      <c r="AG28" s="3228"/>
      <c r="AH28" s="3408"/>
      <c r="AI28" s="3409">
        <v>0</v>
      </c>
      <c r="AJ28" s="3051">
        <v>1232.0295211900029</v>
      </c>
      <c r="AK28" s="3386">
        <v>6024.0486085567954</v>
      </c>
      <c r="AL28" s="3121">
        <v>0</v>
      </c>
      <c r="AM28" s="3387">
        <v>0</v>
      </c>
      <c r="AN28" s="3006">
        <v>0</v>
      </c>
      <c r="AO28" s="3388">
        <v>13559.188039800001</v>
      </c>
      <c r="AP28" s="3389">
        <v>0</v>
      </c>
      <c r="AQ28" s="3390">
        <v>13559.188039800001</v>
      </c>
      <c r="AR28" s="3391">
        <v>1232.0295211900029</v>
      </c>
      <c r="AS28" s="3392">
        <v>14791.217560990004</v>
      </c>
      <c r="AT28" s="3393">
        <v>6024.0486085567954</v>
      </c>
      <c r="AU28" s="3394">
        <v>656.80870379022724</v>
      </c>
      <c r="AV28" s="3395">
        <v>0</v>
      </c>
      <c r="AW28" s="3213" t="s">
        <v>153</v>
      </c>
      <c r="AX28" s="3396">
        <v>0.6314801024020803</v>
      </c>
      <c r="AY28" s="3397" t="s">
        <v>153</v>
      </c>
      <c r="AZ28" s="3398">
        <v>0.6314801024020803</v>
      </c>
      <c r="BA28" s="3399">
        <v>5.7378223970328872E-2</v>
      </c>
      <c r="BB28" s="3400">
        <v>0.68885832637240918</v>
      </c>
      <c r="BC28" s="3401">
        <v>0.28055270131519355</v>
      </c>
      <c r="BD28" s="3402">
        <v>3.058897231239726E-2</v>
      </c>
      <c r="BE28" s="3158" t="s">
        <v>153</v>
      </c>
      <c r="BF28" s="61">
        <v>0</v>
      </c>
      <c r="BG28" s="52">
        <v>0</v>
      </c>
      <c r="BH28" s="3305" t="s">
        <v>1473</v>
      </c>
      <c r="BI28" s="3307">
        <v>321987.00406794576</v>
      </c>
      <c r="BJ28" s="3308">
        <v>0.59574363686765597</v>
      </c>
      <c r="BK28" s="3307">
        <v>2162.2483326330662</v>
      </c>
      <c r="BL28" s="3307">
        <v>117793.1102513947</v>
      </c>
      <c r="BM28" s="3307">
        <v>56844.514876333327</v>
      </c>
      <c r="BN28" s="3307">
        <v>176799.87346036109</v>
      </c>
      <c r="BO28" s="3307">
        <v>83871.130435947678</v>
      </c>
      <c r="BP28" s="3307">
        <v>260671.00389630877</v>
      </c>
      <c r="BQ28" s="3307">
        <v>18400.730165706082</v>
      </c>
      <c r="BR28" s="3307">
        <v>23608.288320960386</v>
      </c>
      <c r="BS28" s="3307">
        <v>19306.981684970484</v>
      </c>
      <c r="BT28" s="1"/>
      <c r="BU28" s="3305" t="s">
        <v>1473</v>
      </c>
      <c r="BV28" s="3307">
        <v>321987.00406794576</v>
      </c>
      <c r="BW28" s="3310">
        <v>0.59574363686765597</v>
      </c>
      <c r="BX28" s="3310">
        <v>6.7153279645311027E-3</v>
      </c>
      <c r="BY28" s="3310">
        <v>0.36583187757024493</v>
      </c>
      <c r="BZ28" s="3310">
        <v>0.1765428857629856</v>
      </c>
      <c r="CA28" s="3310">
        <v>0.54909009129776165</v>
      </c>
      <c r="CB28" s="3310">
        <v>0.26047986215694957</v>
      </c>
      <c r="CC28" s="3310">
        <v>0.80956995345471128</v>
      </c>
      <c r="CD28" s="3310">
        <v>5.7147431210680652E-2</v>
      </c>
      <c r="CE28" s="3310">
        <v>7.3320624816207061E-2</v>
      </c>
      <c r="CF28" s="3310">
        <v>5.9961990518400926E-2</v>
      </c>
    </row>
    <row r="29" spans="1:84" ht="14.4" x14ac:dyDescent="0.3">
      <c r="A29" s="155" t="s">
        <v>20</v>
      </c>
      <c r="B29" s="3006">
        <v>8019.1773899999998</v>
      </c>
      <c r="C29" s="3378">
        <v>0.73760796056756162</v>
      </c>
      <c r="D29" s="3411">
        <v>8019.1773899999998</v>
      </c>
      <c r="E29" s="3379">
        <v>0.73760796056756162</v>
      </c>
      <c r="F29" s="3199">
        <v>2.1700000000000001E-2</v>
      </c>
      <c r="G29" s="3403">
        <v>2687.7582429623862</v>
      </c>
      <c r="H29" s="3410">
        <v>0</v>
      </c>
      <c r="I29" s="3403">
        <v>164.93373220762061</v>
      </c>
      <c r="J29" s="3415"/>
      <c r="K29" s="3026">
        <v>2852.691975170007</v>
      </c>
      <c r="L29" s="3380">
        <v>10871.869365170007</v>
      </c>
      <c r="M29" s="3006">
        <v>0</v>
      </c>
      <c r="N29" s="3388">
        <v>0</v>
      </c>
      <c r="O29" s="3389">
        <v>7858.7938421999997</v>
      </c>
      <c r="P29" s="3389">
        <v>160.3835478</v>
      </c>
      <c r="Q29" s="3389">
        <v>0</v>
      </c>
      <c r="R29" s="3406">
        <v>0</v>
      </c>
      <c r="S29" s="3381"/>
      <c r="T29" s="3382"/>
      <c r="U29" s="3381"/>
      <c r="V29" s="3382"/>
      <c r="W29" s="3381"/>
      <c r="X29" s="3382"/>
      <c r="Y29" s="3383">
        <v>0</v>
      </c>
      <c r="Z29" s="3227">
        <v>1993.0612230671547</v>
      </c>
      <c r="AA29" s="3407">
        <v>0</v>
      </c>
      <c r="AB29" s="3407">
        <v>1993.0612230671547</v>
      </c>
      <c r="AC29" s="3414"/>
      <c r="AD29" s="3377">
        <v>1559.8469716310474</v>
      </c>
      <c r="AE29" s="3377"/>
      <c r="AF29" s="3407">
        <v>433.21425143610736</v>
      </c>
      <c r="AG29" s="3228"/>
      <c r="AH29" s="3408"/>
      <c r="AI29" s="3409">
        <v>1559.8469716310474</v>
      </c>
      <c r="AJ29" s="3051">
        <v>1020.0142999028524</v>
      </c>
      <c r="AK29" s="3386">
        <v>0</v>
      </c>
      <c r="AL29" s="3121">
        <v>0</v>
      </c>
      <c r="AM29" s="3387">
        <v>0</v>
      </c>
      <c r="AN29" s="3006">
        <v>0</v>
      </c>
      <c r="AO29" s="3388">
        <v>0</v>
      </c>
      <c r="AP29" s="3389">
        <v>7858.7938421999997</v>
      </c>
      <c r="AQ29" s="3390">
        <v>7858.7938421999997</v>
      </c>
      <c r="AR29" s="3391">
        <v>2579.8612715338995</v>
      </c>
      <c r="AS29" s="3392">
        <v>10438.655113733899</v>
      </c>
      <c r="AT29" s="3393">
        <v>0</v>
      </c>
      <c r="AU29" s="3394">
        <v>433.21425143610736</v>
      </c>
      <c r="AV29" s="3395">
        <v>0</v>
      </c>
      <c r="AW29" s="3213" t="s">
        <v>153</v>
      </c>
      <c r="AX29" s="3396" t="s">
        <v>153</v>
      </c>
      <c r="AY29" s="3397">
        <v>0.72285580135621041</v>
      </c>
      <c r="AZ29" s="3398">
        <v>0.72285580135621041</v>
      </c>
      <c r="BA29" s="3399">
        <v>0.23729693439832436</v>
      </c>
      <c r="BB29" s="3400">
        <v>0.96015273575453475</v>
      </c>
      <c r="BC29" s="3401" t="s">
        <v>153</v>
      </c>
      <c r="BD29" s="3402">
        <v>3.9847264245465211E-2</v>
      </c>
      <c r="BE29" s="3158" t="s">
        <v>153</v>
      </c>
      <c r="BF29" s="61">
        <v>0</v>
      </c>
      <c r="BG29" s="52">
        <v>0</v>
      </c>
      <c r="BH29" s="643" t="s">
        <v>39</v>
      </c>
      <c r="BI29" s="615">
        <v>21472.074873337027</v>
      </c>
      <c r="BJ29" s="3306">
        <v>0.80958987487446188</v>
      </c>
      <c r="BK29" s="615">
        <v>0</v>
      </c>
      <c r="BL29" s="615">
        <v>13559.188039800001</v>
      </c>
      <c r="BM29" s="615">
        <v>0</v>
      </c>
      <c r="BN29" s="615">
        <v>13559.188039800001</v>
      </c>
      <c r="BO29" s="615">
        <v>1232.0295211900029</v>
      </c>
      <c r="BP29" s="615">
        <v>14791.217560990004</v>
      </c>
      <c r="BQ29" s="615">
        <v>6024.0486085567954</v>
      </c>
      <c r="BR29" s="615">
        <v>0</v>
      </c>
      <c r="BS29" s="615">
        <v>656.80870379022724</v>
      </c>
      <c r="BU29" s="3311" t="s">
        <v>39</v>
      </c>
      <c r="BV29" s="615">
        <v>21472.074873337027</v>
      </c>
      <c r="BW29" s="3309">
        <v>0.80958987487446188</v>
      </c>
      <c r="BX29" s="3309">
        <v>0</v>
      </c>
      <c r="BY29" s="3309">
        <v>4.2110979227406142E-2</v>
      </c>
      <c r="BZ29" s="3309">
        <v>0</v>
      </c>
      <c r="CA29" s="3309">
        <v>4.2110979227406142E-2</v>
      </c>
      <c r="CB29" s="3309">
        <v>3.8263330681819066E-3</v>
      </c>
      <c r="CC29" s="3309">
        <v>4.5937312295588048E-2</v>
      </c>
      <c r="CD29" s="3309">
        <v>1.8708980587569302E-2</v>
      </c>
      <c r="CE29" s="3309">
        <v>0</v>
      </c>
      <c r="CF29" s="3309">
        <v>2.0398609120622375E-3</v>
      </c>
    </row>
    <row r="30" spans="1:84" ht="14.4" x14ac:dyDescent="0.3">
      <c r="A30" s="155" t="s">
        <v>24</v>
      </c>
      <c r="B30" s="3006">
        <v>49985.429626666664</v>
      </c>
      <c r="C30" s="3378">
        <v>0.4690560239115199</v>
      </c>
      <c r="D30" s="3411">
        <v>49985.429626666664</v>
      </c>
      <c r="E30" s="3379">
        <v>0.4690560239115199</v>
      </c>
      <c r="F30" s="3199">
        <v>0.4304</v>
      </c>
      <c r="G30" s="3403">
        <v>53309.26948253507</v>
      </c>
      <c r="H30" s="3410">
        <v>0</v>
      </c>
      <c r="I30" s="3403">
        <v>3271.3123659981525</v>
      </c>
      <c r="J30" s="3415"/>
      <c r="K30" s="3026">
        <v>56580.58184853322</v>
      </c>
      <c r="L30" s="3380">
        <v>106566.01147519989</v>
      </c>
      <c r="M30" s="3006">
        <v>0</v>
      </c>
      <c r="N30" s="3388">
        <v>0</v>
      </c>
      <c r="O30" s="3389">
        <v>48985.721034133327</v>
      </c>
      <c r="P30" s="3389">
        <v>999.70859253333333</v>
      </c>
      <c r="Q30" s="3389">
        <v>0</v>
      </c>
      <c r="R30" s="3406">
        <v>0</v>
      </c>
      <c r="S30" s="3381"/>
      <c r="T30" s="3382"/>
      <c r="U30" s="3381"/>
      <c r="V30" s="3382"/>
      <c r="W30" s="3381"/>
      <c r="X30" s="3382"/>
      <c r="Y30" s="3383">
        <v>0</v>
      </c>
      <c r="Z30" s="3227">
        <v>39530.578359820429</v>
      </c>
      <c r="AA30" s="3407">
        <v>0</v>
      </c>
      <c r="AB30" s="3407">
        <v>39530.578359820429</v>
      </c>
      <c r="AC30" s="3414"/>
      <c r="AD30" s="3377">
        <v>7488.7302480724347</v>
      </c>
      <c r="AE30" s="3377"/>
      <c r="AF30" s="3407">
        <v>8592.4153833226082</v>
      </c>
      <c r="AG30" s="3228">
        <v>23449.432728425385</v>
      </c>
      <c r="AH30" s="3408"/>
      <c r="AI30" s="3409">
        <v>7488.7302480724347</v>
      </c>
      <c r="AJ30" s="3051">
        <v>18049.712081246129</v>
      </c>
      <c r="AK30" s="3386">
        <v>0</v>
      </c>
      <c r="AL30" s="3121">
        <v>0</v>
      </c>
      <c r="AM30" s="3387">
        <v>23449.432728425385</v>
      </c>
      <c r="AN30" s="3006">
        <v>0</v>
      </c>
      <c r="AO30" s="3388">
        <v>0</v>
      </c>
      <c r="AP30" s="3389">
        <v>48985.721034133327</v>
      </c>
      <c r="AQ30" s="3390">
        <v>48985.721034133327</v>
      </c>
      <c r="AR30" s="3391">
        <v>25538.442329318565</v>
      </c>
      <c r="AS30" s="3392">
        <v>74524.163363451895</v>
      </c>
      <c r="AT30" s="3393">
        <v>0</v>
      </c>
      <c r="AU30" s="3394">
        <v>8592.4153833226082</v>
      </c>
      <c r="AV30" s="3395">
        <v>23449.432728425385</v>
      </c>
      <c r="AW30" s="3213" t="s">
        <v>153</v>
      </c>
      <c r="AX30" s="3396" t="s">
        <v>153</v>
      </c>
      <c r="AY30" s="3397">
        <v>0.45967490343328948</v>
      </c>
      <c r="AZ30" s="3398">
        <v>0.45967490343328948</v>
      </c>
      <c r="BA30" s="3399">
        <v>0.23964903983726449</v>
      </c>
      <c r="BB30" s="3400">
        <v>0.69932394327055403</v>
      </c>
      <c r="BC30" s="3401" t="s">
        <v>153</v>
      </c>
      <c r="BD30" s="3402">
        <v>8.0629980088184505E-2</v>
      </c>
      <c r="BE30" s="3158">
        <v>0.22004607664126147</v>
      </c>
      <c r="BF30" s="61">
        <v>0</v>
      </c>
      <c r="BG30" s="52">
        <v>0</v>
      </c>
      <c r="BH30" s="643" t="s">
        <v>1474</v>
      </c>
      <c r="BI30" s="615">
        <v>343459.07894128276</v>
      </c>
      <c r="BJ30" s="3306">
        <v>0.60911268929747575</v>
      </c>
      <c r="BK30" s="615">
        <v>2162.2483326330662</v>
      </c>
      <c r="BL30" s="615">
        <v>131352.29829119472</v>
      </c>
      <c r="BM30" s="615">
        <v>56844.514876333327</v>
      </c>
      <c r="BN30" s="615">
        <v>190359.0615001611</v>
      </c>
      <c r="BO30" s="615">
        <v>85103.159957137686</v>
      </c>
      <c r="BP30" s="615">
        <v>275462.22145729879</v>
      </c>
      <c r="BQ30" s="615">
        <v>24424.778774262879</v>
      </c>
      <c r="BR30" s="615">
        <v>23608.288320960386</v>
      </c>
      <c r="BS30" s="615">
        <v>19963.79038876071</v>
      </c>
      <c r="BU30" s="3311" t="s">
        <v>1474</v>
      </c>
      <c r="BV30" s="615">
        <v>343459.07894128276</v>
      </c>
      <c r="BW30" s="3309">
        <v>0.60911268929747575</v>
      </c>
      <c r="BX30" s="3309">
        <v>6.2955049530157301E-3</v>
      </c>
      <c r="BY30" s="3309">
        <v>0.38243944139164976</v>
      </c>
      <c r="BZ30" s="3309">
        <v>0.16550593174464134</v>
      </c>
      <c r="CA30" s="3309">
        <v>0.55424087808930678</v>
      </c>
      <c r="CB30" s="3309">
        <v>0.24778253123914884</v>
      </c>
      <c r="CC30" s="3309">
        <v>0.80202340932845562</v>
      </c>
      <c r="CD30" s="3309">
        <v>7.1114086864591225E-2</v>
      </c>
      <c r="CE30" s="3309">
        <v>6.8736829999466759E-2</v>
      </c>
      <c r="CF30" s="3309">
        <v>5.8125673807486365E-2</v>
      </c>
    </row>
    <row r="31" spans="1:84" ht="14.4" x14ac:dyDescent="0.3">
      <c r="A31" s="155" t="s">
        <v>238</v>
      </c>
      <c r="B31" s="3006">
        <v>53302.591949999995</v>
      </c>
      <c r="C31" s="3416">
        <v>0.94801144756059608</v>
      </c>
      <c r="D31" s="3417"/>
      <c r="E31" s="3418">
        <v>0</v>
      </c>
      <c r="F31" s="3419">
        <v>2.3599999999999999E-2</v>
      </c>
      <c r="G31" s="3420">
        <v>2923.0919140051756</v>
      </c>
      <c r="H31" s="3421">
        <v>0</v>
      </c>
      <c r="I31" s="3420">
        <v>0</v>
      </c>
      <c r="J31" s="3422"/>
      <c r="K31" s="3423">
        <v>2923.0919140051756</v>
      </c>
      <c r="L31" s="3424">
        <v>56225.683864005172</v>
      </c>
      <c r="M31" s="3425">
        <v>0</v>
      </c>
      <c r="N31" s="3426">
        <v>50637.462352499992</v>
      </c>
      <c r="O31" s="3427">
        <v>0</v>
      </c>
      <c r="P31" s="3428">
        <v>2665.1295974999998</v>
      </c>
      <c r="Q31" s="3428">
        <v>0</v>
      </c>
      <c r="R31" s="3429">
        <v>0</v>
      </c>
      <c r="S31" s="3430"/>
      <c r="T31" s="3431"/>
      <c r="U31" s="3430"/>
      <c r="V31" s="3431"/>
      <c r="W31" s="3430"/>
      <c r="X31" s="3431"/>
      <c r="Y31" s="3432">
        <v>0</v>
      </c>
      <c r="Z31" s="3433">
        <v>2042.2468307037141</v>
      </c>
      <c r="AA31" s="3434">
        <v>0</v>
      </c>
      <c r="AB31" s="3434">
        <v>2042.2468307037141</v>
      </c>
      <c r="AC31" s="3435"/>
      <c r="AD31" s="3377"/>
      <c r="AE31" s="3377">
        <v>1571.1013775289614</v>
      </c>
      <c r="AF31" s="3434">
        <v>471.14545317475267</v>
      </c>
      <c r="AG31" s="3436"/>
      <c r="AH31" s="3437"/>
      <c r="AI31" s="3438">
        <v>0</v>
      </c>
      <c r="AJ31" s="3051">
        <v>3545.9746808014611</v>
      </c>
      <c r="AK31" s="3439">
        <v>1571.1013775289614</v>
      </c>
      <c r="AL31" s="3440">
        <v>0</v>
      </c>
      <c r="AM31" s="3441">
        <v>0</v>
      </c>
      <c r="AN31" s="3425">
        <v>0</v>
      </c>
      <c r="AO31" s="3426">
        <v>50637.462352499992</v>
      </c>
      <c r="AP31" s="3428">
        <v>0</v>
      </c>
      <c r="AQ31" s="3442">
        <v>50637.462352499992</v>
      </c>
      <c r="AR31" s="3443">
        <v>3545.9746808014611</v>
      </c>
      <c r="AS31" s="3444">
        <v>54183.437033301452</v>
      </c>
      <c r="AT31" s="3445">
        <v>1571.1013775289614</v>
      </c>
      <c r="AU31" s="3446">
        <v>471.14545317475267</v>
      </c>
      <c r="AV31" s="3447">
        <v>0</v>
      </c>
      <c r="AW31" s="3448" t="s">
        <v>153</v>
      </c>
      <c r="AX31" s="3449">
        <v>0.90061087518256622</v>
      </c>
      <c r="AY31" s="3450" t="s">
        <v>153</v>
      </c>
      <c r="AZ31" s="3451">
        <v>0.90061087518256622</v>
      </c>
      <c r="BA31" s="3452">
        <v>6.3066812835540095E-2</v>
      </c>
      <c r="BB31" s="3453">
        <v>0.96367768801810638</v>
      </c>
      <c r="BC31" s="3454">
        <v>2.7942770448626888E-2</v>
      </c>
      <c r="BD31" s="3455">
        <v>8.3795415332666642E-3</v>
      </c>
      <c r="BE31" s="3456" t="s">
        <v>153</v>
      </c>
      <c r="BF31" s="61">
        <v>0</v>
      </c>
      <c r="BG31" s="52">
        <v>0</v>
      </c>
      <c r="BH31" s="61"/>
      <c r="BV31" s="512"/>
      <c r="BW31" s="3241"/>
    </row>
    <row r="32" spans="1:84" s="460" customFormat="1" x14ac:dyDescent="0.25">
      <c r="A32" s="155" t="s">
        <v>239</v>
      </c>
      <c r="B32" s="3006"/>
      <c r="C32" s="3457"/>
      <c r="D32" s="3458"/>
      <c r="E32" s="3459"/>
      <c r="F32" s="3460"/>
      <c r="G32" s="3420"/>
      <c r="H32" s="3461"/>
      <c r="I32" s="3420"/>
      <c r="J32" s="3422"/>
      <c r="K32" s="3423"/>
      <c r="L32" s="3424"/>
      <c r="M32" s="3425"/>
      <c r="N32" s="3426"/>
      <c r="O32" s="3427"/>
      <c r="P32" s="3428"/>
      <c r="Q32" s="3428"/>
      <c r="R32" s="3429"/>
      <c r="S32" s="3430"/>
      <c r="T32" s="3431"/>
      <c r="U32" s="3430"/>
      <c r="V32" s="3431"/>
      <c r="W32" s="3430"/>
      <c r="X32" s="3431"/>
      <c r="Y32" s="3432"/>
      <c r="Z32" s="3433"/>
      <c r="AA32" s="3434"/>
      <c r="AB32" s="3434"/>
      <c r="AC32" s="3435"/>
      <c r="AD32" s="3377"/>
      <c r="AE32" s="3377"/>
      <c r="AF32" s="3434"/>
      <c r="AG32" s="3436"/>
      <c r="AH32" s="3437"/>
      <c r="AI32" s="3438"/>
      <c r="AJ32" s="3462"/>
      <c r="AK32" s="3439"/>
      <c r="AL32" s="3440"/>
      <c r="AM32" s="3441"/>
      <c r="AN32" s="3425"/>
      <c r="AO32" s="3426"/>
      <c r="AP32" s="3428"/>
      <c r="AQ32" s="3442"/>
      <c r="AR32" s="3443"/>
      <c r="AS32" s="3444"/>
      <c r="AT32" s="3445"/>
      <c r="AU32" s="3446"/>
      <c r="AV32" s="3447"/>
      <c r="AW32" s="3463"/>
      <c r="AX32" s="3464"/>
      <c r="AY32" s="3465"/>
      <c r="AZ32" s="3466"/>
      <c r="BA32" s="3467"/>
      <c r="BB32" s="3468"/>
      <c r="BC32" s="3469"/>
      <c r="BD32" s="3470"/>
      <c r="BE32" s="3471"/>
      <c r="BF32" s="461"/>
      <c r="BG32" s="460">
        <v>0</v>
      </c>
      <c r="BH32" s="61"/>
      <c r="BV32" s="512"/>
      <c r="BW32" s="3241"/>
    </row>
    <row r="33" spans="1:75" s="460" customFormat="1" ht="26.4" x14ac:dyDescent="0.25">
      <c r="A33" s="155" t="s">
        <v>240</v>
      </c>
      <c r="B33" s="3006"/>
      <c r="C33" s="3457"/>
      <c r="D33" s="3458"/>
      <c r="E33" s="3459"/>
      <c r="F33" s="3460"/>
      <c r="G33" s="3420"/>
      <c r="H33" s="3461"/>
      <c r="I33" s="3420"/>
      <c r="J33" s="3422"/>
      <c r="K33" s="3423"/>
      <c r="L33" s="3424"/>
      <c r="M33" s="3425"/>
      <c r="N33" s="3426"/>
      <c r="O33" s="3427"/>
      <c r="P33" s="3428"/>
      <c r="Q33" s="3428"/>
      <c r="R33" s="3429"/>
      <c r="S33" s="3430"/>
      <c r="T33" s="3431"/>
      <c r="U33" s="3430"/>
      <c r="V33" s="3431"/>
      <c r="W33" s="3430"/>
      <c r="X33" s="3431"/>
      <c r="Y33" s="3432"/>
      <c r="Z33" s="3433"/>
      <c r="AA33" s="3434"/>
      <c r="AB33" s="3434"/>
      <c r="AC33" s="3435"/>
      <c r="AD33" s="3377"/>
      <c r="AE33" s="3377"/>
      <c r="AF33" s="3434"/>
      <c r="AG33" s="3436"/>
      <c r="AH33" s="3437"/>
      <c r="AI33" s="3438"/>
      <c r="AJ33" s="3462"/>
      <c r="AK33" s="3439"/>
      <c r="AL33" s="3440"/>
      <c r="AM33" s="3441"/>
      <c r="AN33" s="3425"/>
      <c r="AO33" s="3426"/>
      <c r="AP33" s="3428"/>
      <c r="AQ33" s="3442"/>
      <c r="AR33" s="3443"/>
      <c r="AS33" s="3444"/>
      <c r="AT33" s="3445"/>
      <c r="AU33" s="3446"/>
      <c r="AV33" s="3447"/>
      <c r="AW33" s="3463"/>
      <c r="AX33" s="3464"/>
      <c r="AY33" s="3465"/>
      <c r="AZ33" s="3466"/>
      <c r="BA33" s="3467"/>
      <c r="BB33" s="3468"/>
      <c r="BC33" s="3469"/>
      <c r="BD33" s="3470"/>
      <c r="BE33" s="3471"/>
      <c r="BF33" s="461"/>
      <c r="BG33" s="460">
        <v>0</v>
      </c>
      <c r="BH33" s="61"/>
      <c r="BV33" s="512"/>
      <c r="BW33" s="3241"/>
    </row>
    <row r="34" spans="1:75" x14ac:dyDescent="0.25">
      <c r="A34" s="155" t="s">
        <v>241</v>
      </c>
      <c r="B34" s="3425">
        <v>4628.9282881265608</v>
      </c>
      <c r="C34" s="3457">
        <v>0.51022693550488729</v>
      </c>
      <c r="D34" s="3472">
        <v>6563.7450431534817</v>
      </c>
      <c r="E34" s="3459">
        <v>0.72349349792131179</v>
      </c>
      <c r="F34" s="3460">
        <v>0</v>
      </c>
      <c r="G34" s="3420">
        <v>4310.3219748889878</v>
      </c>
      <c r="H34" s="3461">
        <v>0</v>
      </c>
      <c r="I34" s="3420">
        <v>133.04280114045341</v>
      </c>
      <c r="J34" s="3422"/>
      <c r="K34" s="3423">
        <v>4443.3647760294416</v>
      </c>
      <c r="L34" s="3424">
        <v>9072.2930641560015</v>
      </c>
      <c r="M34" s="3425">
        <v>0</v>
      </c>
      <c r="N34" s="3426">
        <v>3479.6927679999999</v>
      </c>
      <c r="O34" s="3427">
        <v>0</v>
      </c>
      <c r="P34" s="3428">
        <v>0</v>
      </c>
      <c r="Q34" s="3428">
        <v>1149.2355201265605</v>
      </c>
      <c r="R34" s="3429">
        <v>0</v>
      </c>
      <c r="S34" s="3430"/>
      <c r="T34" s="3431"/>
      <c r="U34" s="3430"/>
      <c r="V34" s="3431"/>
      <c r="W34" s="3430"/>
      <c r="X34" s="3431"/>
      <c r="Y34" s="3432">
        <v>0</v>
      </c>
      <c r="Z34" s="3433">
        <v>3104.4003741479946</v>
      </c>
      <c r="AA34" s="3434">
        <v>0</v>
      </c>
      <c r="AB34" s="3434">
        <v>1169.583619121074</v>
      </c>
      <c r="AC34" s="3434">
        <v>1934.8167550269211</v>
      </c>
      <c r="AD34" s="3377">
        <v>252.98926680850832</v>
      </c>
      <c r="AE34" s="3377">
        <v>221.85444678369285</v>
      </c>
      <c r="AF34" s="3434">
        <v>694.73990552887255</v>
      </c>
      <c r="AG34" s="3436">
        <v>0</v>
      </c>
      <c r="AH34" s="3437">
        <v>0</v>
      </c>
      <c r="AI34" s="3438">
        <v>252.98926680850832</v>
      </c>
      <c r="AJ34" s="3462">
        <v>0</v>
      </c>
      <c r="AK34" s="3439">
        <v>1371.0899669102535</v>
      </c>
      <c r="AL34" s="3440">
        <v>0</v>
      </c>
      <c r="AM34" s="3441">
        <v>0</v>
      </c>
      <c r="AN34" s="3425">
        <v>0</v>
      </c>
      <c r="AO34" s="3426">
        <v>6753.4739249083668</v>
      </c>
      <c r="AP34" s="3428">
        <v>0</v>
      </c>
      <c r="AQ34" s="3442">
        <v>6753.4739249083668</v>
      </c>
      <c r="AR34" s="3443">
        <v>252.98926680850832</v>
      </c>
      <c r="AS34" s="3444">
        <v>7006.4631917168754</v>
      </c>
      <c r="AT34" s="3445">
        <v>1371.0899669102535</v>
      </c>
      <c r="AU34" s="3446">
        <v>694.73990552887255</v>
      </c>
      <c r="AV34" s="3447">
        <v>0</v>
      </c>
      <c r="AW34" s="3463" t="s">
        <v>153</v>
      </c>
      <c r="AX34" s="3464">
        <v>0.74440649978458839</v>
      </c>
      <c r="AY34" s="3465" t="s">
        <v>153</v>
      </c>
      <c r="AZ34" s="3466">
        <v>0.74440649978458839</v>
      </c>
      <c r="BA34" s="3467">
        <v>2.7885923108905211E-2</v>
      </c>
      <c r="BB34" s="3468">
        <v>0.77229242289349354</v>
      </c>
      <c r="BC34" s="3469">
        <v>0.15112937349073682</v>
      </c>
      <c r="BD34" s="3470">
        <v>7.6578203615769599E-2</v>
      </c>
      <c r="BE34" s="3471" t="s">
        <v>153</v>
      </c>
      <c r="BF34" s="61">
        <v>0</v>
      </c>
      <c r="BG34" s="52">
        <v>0</v>
      </c>
      <c r="BH34" s="61"/>
      <c r="BV34" s="512"/>
      <c r="BW34" s="3241"/>
    </row>
    <row r="35" spans="1:75" x14ac:dyDescent="0.25">
      <c r="A35" s="155" t="s">
        <v>149</v>
      </c>
      <c r="B35" s="3425">
        <v>16085.766308176517</v>
      </c>
      <c r="C35" s="3457">
        <v>0.55263609611273556</v>
      </c>
      <c r="D35" s="3458">
        <v>17672.846308176515</v>
      </c>
      <c r="E35" s="3459">
        <v>0.60716117615028242</v>
      </c>
      <c r="F35" s="3460">
        <v>0</v>
      </c>
      <c r="G35" s="3420">
        <v>29305.235036170528</v>
      </c>
      <c r="H35" s="3461">
        <v>0</v>
      </c>
      <c r="I35" s="3420">
        <v>0</v>
      </c>
      <c r="J35" s="3422"/>
      <c r="K35" s="3423">
        <v>13021.57289989267</v>
      </c>
      <c r="L35" s="3424">
        <v>29107.339208069185</v>
      </c>
      <c r="M35" s="3425">
        <v>0</v>
      </c>
      <c r="N35" s="3426">
        <v>12742.359514</v>
      </c>
      <c r="O35" s="3427">
        <v>0</v>
      </c>
      <c r="P35" s="3428">
        <v>3202.3561881765181</v>
      </c>
      <c r="Q35" s="3428">
        <v>141.05060600000002</v>
      </c>
      <c r="R35" s="3429">
        <v>0</v>
      </c>
      <c r="S35" s="3425">
        <v>3057.8060277866698</v>
      </c>
      <c r="T35" s="3425">
        <v>-155.40355269476072</v>
      </c>
      <c r="U35" s="3425">
        <v>1642.5349541664034</v>
      </c>
      <c r="V35" s="3425">
        <v>-919.8550596414284</v>
      </c>
      <c r="W35" s="3425">
        <v>1415.2710736202664</v>
      </c>
      <c r="X35" s="3425">
        <v>764.45150694666745</v>
      </c>
      <c r="Y35" s="3425">
        <v>0</v>
      </c>
      <c r="Z35" s="3433">
        <v>9097.6496011531472</v>
      </c>
      <c r="AA35" s="3434">
        <v>0</v>
      </c>
      <c r="AB35" s="3434">
        <v>7510.5696011531491</v>
      </c>
      <c r="AC35" s="3435">
        <v>1587.08</v>
      </c>
      <c r="AD35" s="3377">
        <v>5502.2122880438219</v>
      </c>
      <c r="AE35" s="3377">
        <v>0</v>
      </c>
      <c r="AF35" s="3434">
        <v>2008.3573131093267</v>
      </c>
      <c r="AG35" s="3436">
        <v>0</v>
      </c>
      <c r="AH35" s="3437">
        <v>0</v>
      </c>
      <c r="AI35" s="3438">
        <v>5502.2122880438219</v>
      </c>
      <c r="AJ35" s="3462">
        <v>7126.2794869160398</v>
      </c>
      <c r="AK35" s="3439">
        <v>141.05060600000002</v>
      </c>
      <c r="AL35" s="3440">
        <v>0</v>
      </c>
      <c r="AM35" s="3441">
        <v>0</v>
      </c>
      <c r="AN35" s="3425">
        <v>0</v>
      </c>
      <c r="AO35" s="3426">
        <v>14329.439514</v>
      </c>
      <c r="AP35" s="3428">
        <v>0</v>
      </c>
      <c r="AQ35" s="3442">
        <v>14329.439514</v>
      </c>
      <c r="AR35" s="3443">
        <v>12628.491774959861</v>
      </c>
      <c r="AS35" s="3444">
        <v>26957.931288959859</v>
      </c>
      <c r="AT35" s="3445">
        <v>141.05060600000002</v>
      </c>
      <c r="AU35" s="3446">
        <v>2008.3573131093267</v>
      </c>
      <c r="AV35" s="3447">
        <v>0</v>
      </c>
      <c r="AW35" s="3463" t="s">
        <v>153</v>
      </c>
      <c r="AX35" s="3464">
        <v>0.49229644151147861</v>
      </c>
      <c r="AY35" s="3465" t="s">
        <v>153</v>
      </c>
      <c r="AZ35" s="3466">
        <v>0.49229644151147861</v>
      </c>
      <c r="BA35" s="3467">
        <v>0.43385936738109576</v>
      </c>
      <c r="BB35" s="3468">
        <v>0.92615580889257432</v>
      </c>
      <c r="BC35" s="3469">
        <v>4.8458777008685743E-3</v>
      </c>
      <c r="BD35" s="3470">
        <v>6.8998313406557155E-2</v>
      </c>
      <c r="BE35" s="3471" t="s">
        <v>153</v>
      </c>
      <c r="BF35" s="61">
        <v>0</v>
      </c>
      <c r="BG35" s="52">
        <v>0</v>
      </c>
      <c r="BH35" s="61"/>
      <c r="BV35" s="512"/>
      <c r="BW35" s="3241"/>
    </row>
    <row r="36" spans="1:75" x14ac:dyDescent="0.25">
      <c r="A36" s="155" t="s">
        <v>242</v>
      </c>
      <c r="B36" s="3425">
        <v>82394.743862052143</v>
      </c>
      <c r="C36" s="3457">
        <v>0.74978162780608271</v>
      </c>
      <c r="D36" s="3425">
        <v>85142.281135880432</v>
      </c>
      <c r="E36" s="3459">
        <v>0.77478386548616907</v>
      </c>
      <c r="F36" s="3460">
        <v>0</v>
      </c>
      <c r="G36" s="3420">
        <v>25267.404680383719</v>
      </c>
      <c r="H36" s="3461">
        <v>0</v>
      </c>
      <c r="I36" s="3420">
        <v>2229.506315986504</v>
      </c>
      <c r="J36" s="3422"/>
      <c r="K36" s="3423">
        <v>27496.910996370221</v>
      </c>
      <c r="L36" s="3424">
        <v>109891.65485842236</v>
      </c>
      <c r="M36" s="3425">
        <v>0</v>
      </c>
      <c r="N36" s="3426">
        <v>71175.903871876508</v>
      </c>
      <c r="O36" s="3427">
        <v>0</v>
      </c>
      <c r="P36" s="3428">
        <v>3172.5887427256653</v>
      </c>
      <c r="Q36" s="3428">
        <v>7957.0550249149564</v>
      </c>
      <c r="R36" s="3429">
        <v>89.19622253500043</v>
      </c>
      <c r="S36" s="3430">
        <v>15861.196297506929</v>
      </c>
      <c r="T36" s="3431">
        <v>-329.68791085710927</v>
      </c>
      <c r="U36" s="3430">
        <v>8520.020268390761</v>
      </c>
      <c r="V36" s="3431">
        <v>-4294.9869852338397</v>
      </c>
      <c r="W36" s="3430">
        <v>7341.1760291161681</v>
      </c>
      <c r="X36" s="3431">
        <v>3965.2990743767323</v>
      </c>
      <c r="Y36" s="3432">
        <v>0</v>
      </c>
      <c r="Z36" s="3433">
        <v>19210.986513091138</v>
      </c>
      <c r="AA36" s="3434">
        <v>0</v>
      </c>
      <c r="AB36" s="3434">
        <v>16463.449239262845</v>
      </c>
      <c r="AC36" s="3435">
        <v>2747.5372738282945</v>
      </c>
      <c r="AD36" s="3377">
        <v>6176.798311313918</v>
      </c>
      <c r="AE36" s="3377">
        <v>6214.0376886417434</v>
      </c>
      <c r="AF36" s="3434">
        <v>4072.6132393071839</v>
      </c>
      <c r="AG36" s="3473">
        <v>0</v>
      </c>
      <c r="AH36" s="3437">
        <v>0</v>
      </c>
      <c r="AI36" s="3438">
        <v>6176.798311313918</v>
      </c>
      <c r="AJ36" s="3462">
        <v>11458.513226004747</v>
      </c>
      <c r="AK36" s="3439">
        <v>14171.0927135567</v>
      </c>
      <c r="AL36" s="3440">
        <v>0</v>
      </c>
      <c r="AM36" s="3441">
        <v>89.19622253500043</v>
      </c>
      <c r="AN36" s="3425">
        <v>0</v>
      </c>
      <c r="AO36" s="3426">
        <v>73923.441145704797</v>
      </c>
      <c r="AP36" s="3428">
        <v>0</v>
      </c>
      <c r="AQ36" s="3442">
        <v>73923.441145704797</v>
      </c>
      <c r="AR36" s="3443">
        <v>17635.311537318667</v>
      </c>
      <c r="AS36" s="3444">
        <v>91558.752683023456</v>
      </c>
      <c r="AT36" s="3445">
        <v>14171.0927135567</v>
      </c>
      <c r="AU36" s="3446">
        <v>4072.6132393071839</v>
      </c>
      <c r="AV36" s="3447">
        <v>89.19622253500043</v>
      </c>
      <c r="AW36" s="3463" t="s">
        <v>153</v>
      </c>
      <c r="AX36" s="3464">
        <v>0.67269385688060845</v>
      </c>
      <c r="AY36" s="3465" t="s">
        <v>153</v>
      </c>
      <c r="AZ36" s="3466">
        <v>0.67269385688060845</v>
      </c>
      <c r="BA36" s="3467">
        <v>0.16047907878026693</v>
      </c>
      <c r="BB36" s="3468">
        <v>0.83317293566087536</v>
      </c>
      <c r="BC36" s="3469">
        <v>0.12895513068589115</v>
      </c>
      <c r="BD36" s="3470">
        <v>3.7060259439664345E-2</v>
      </c>
      <c r="BE36" s="3471">
        <v>8.1167421356894982E-4</v>
      </c>
      <c r="BF36" s="61">
        <v>0</v>
      </c>
      <c r="BG36" s="52">
        <v>0</v>
      </c>
      <c r="BH36" s="61"/>
      <c r="BV36" s="512"/>
      <c r="BW36" s="3241"/>
    </row>
    <row r="37" spans="1:75" ht="14.4" x14ac:dyDescent="0.3">
      <c r="A37" s="155" t="s">
        <v>174</v>
      </c>
      <c r="B37" s="3425">
        <v>13264.754188176517</v>
      </c>
      <c r="C37" s="3416">
        <v>0.61163914559291899</v>
      </c>
      <c r="D37" s="3417">
        <v>14337.531921774927</v>
      </c>
      <c r="E37" s="3418">
        <v>0.6611050344500301</v>
      </c>
      <c r="F37" s="3419">
        <v>6.7999999999999991E-2</v>
      </c>
      <c r="G37" s="3420">
        <v>8422.4682267945718</v>
      </c>
      <c r="H37" s="3421">
        <v>0</v>
      </c>
      <c r="I37" s="3420">
        <v>0</v>
      </c>
      <c r="J37" s="3422"/>
      <c r="K37" s="3423">
        <v>8422.4682267945718</v>
      </c>
      <c r="L37" s="3424">
        <v>21687.222414971089</v>
      </c>
      <c r="M37" s="3425">
        <v>0</v>
      </c>
      <c r="N37" s="3426">
        <v>10062.397999999999</v>
      </c>
      <c r="O37" s="3427">
        <v>0</v>
      </c>
      <c r="P37" s="3428">
        <v>3202.3561881765181</v>
      </c>
      <c r="Q37" s="3428">
        <v>0</v>
      </c>
      <c r="R37" s="3429">
        <v>0</v>
      </c>
      <c r="S37" s="3430"/>
      <c r="T37" s="3431"/>
      <c r="U37" s="3430"/>
      <c r="V37" s="3431"/>
      <c r="W37" s="3430"/>
      <c r="X37" s="3431"/>
      <c r="Y37" s="3432">
        <v>0</v>
      </c>
      <c r="Z37" s="3433">
        <v>5884.4400206717173</v>
      </c>
      <c r="AA37" s="3434">
        <v>0</v>
      </c>
      <c r="AB37" s="3434">
        <v>4811.662287073309</v>
      </c>
      <c r="AC37" s="3435">
        <v>1072.7777335984094</v>
      </c>
      <c r="AD37" s="3377">
        <v>3454.1245406375801</v>
      </c>
      <c r="AE37" s="3377"/>
      <c r="AF37" s="3434">
        <v>1357.5377464357277</v>
      </c>
      <c r="AG37" s="3473"/>
      <c r="AH37" s="3437"/>
      <c r="AI37" s="3438">
        <v>3454.1245406375801</v>
      </c>
      <c r="AJ37" s="3462">
        <v>5740.3843942993726</v>
      </c>
      <c r="AK37" s="3439">
        <v>0</v>
      </c>
      <c r="AL37" s="3440">
        <v>0</v>
      </c>
      <c r="AM37" s="3441">
        <v>0</v>
      </c>
      <c r="AN37" s="3425">
        <v>0</v>
      </c>
      <c r="AO37" s="3426">
        <v>11135.175733598409</v>
      </c>
      <c r="AP37" s="3428">
        <v>0</v>
      </c>
      <c r="AQ37" s="3442">
        <v>11135.175733598409</v>
      </c>
      <c r="AR37" s="3443">
        <v>9194.5089349369518</v>
      </c>
      <c r="AS37" s="3444">
        <v>20329.684668535359</v>
      </c>
      <c r="AT37" s="3445">
        <v>0</v>
      </c>
      <c r="AU37" s="3446">
        <v>1357.5377464357277</v>
      </c>
      <c r="AV37" s="3447">
        <v>0</v>
      </c>
      <c r="AW37" s="3448" t="s">
        <v>153</v>
      </c>
      <c r="AX37" s="3449">
        <v>0.51344406953246313</v>
      </c>
      <c r="AY37" s="3450" t="s">
        <v>153</v>
      </c>
      <c r="AZ37" s="3451">
        <v>0.51344406953246313</v>
      </c>
      <c r="BA37" s="3452">
        <v>0.42395972886734506</v>
      </c>
      <c r="BB37" s="3453">
        <v>0.93740379839980814</v>
      </c>
      <c r="BC37" s="3454" t="s">
        <v>153</v>
      </c>
      <c r="BD37" s="3455">
        <v>6.2596201600191748E-2</v>
      </c>
      <c r="BE37" s="3456" t="s">
        <v>153</v>
      </c>
      <c r="BF37" s="61">
        <v>0</v>
      </c>
      <c r="BG37" s="52">
        <v>0</v>
      </c>
      <c r="BH37" s="61"/>
      <c r="BV37" s="512"/>
      <c r="BW37" s="3241"/>
    </row>
    <row r="38" spans="1:75" ht="14.4" x14ac:dyDescent="0.3">
      <c r="A38" s="155" t="s">
        <v>243</v>
      </c>
      <c r="B38" s="3425">
        <v>12787.943697916666</v>
      </c>
      <c r="C38" s="3416">
        <v>0.93735546909630418</v>
      </c>
      <c r="D38" s="3417">
        <v>12787.943697916666</v>
      </c>
      <c r="E38" s="3418">
        <v>0.93735546909630418</v>
      </c>
      <c r="F38" s="3419">
        <v>6.8999999999999999E-3</v>
      </c>
      <c r="G38" s="3420">
        <v>854.63280536591992</v>
      </c>
      <c r="H38" s="3421">
        <v>0</v>
      </c>
      <c r="I38" s="3420">
        <v>0</v>
      </c>
      <c r="J38" s="3422"/>
      <c r="K38" s="3423">
        <v>854.63280536591992</v>
      </c>
      <c r="L38" s="3424">
        <v>13642.576503282586</v>
      </c>
      <c r="M38" s="3425">
        <v>0</v>
      </c>
      <c r="N38" s="3426">
        <v>11125.511017187499</v>
      </c>
      <c r="O38" s="3427">
        <v>0</v>
      </c>
      <c r="P38" s="3427">
        <v>0</v>
      </c>
      <c r="Q38" s="3428">
        <v>1662.4326807291666</v>
      </c>
      <c r="R38" s="3429">
        <v>0</v>
      </c>
      <c r="S38" s="3430"/>
      <c r="T38" s="3431"/>
      <c r="U38" s="3430"/>
      <c r="V38" s="3431"/>
      <c r="W38" s="3430"/>
      <c r="X38" s="3431"/>
      <c r="Y38" s="3432">
        <v>0</v>
      </c>
      <c r="Z38" s="3433">
        <v>597.09759033286559</v>
      </c>
      <c r="AA38" s="3434">
        <v>0</v>
      </c>
      <c r="AB38" s="3434">
        <v>597.09759033286559</v>
      </c>
      <c r="AC38" s="3435"/>
      <c r="AD38" s="3377"/>
      <c r="AE38" s="3377">
        <v>459.34743665041674</v>
      </c>
      <c r="AF38" s="3434">
        <v>137.75015368244888</v>
      </c>
      <c r="AG38" s="3473"/>
      <c r="AH38" s="3437"/>
      <c r="AI38" s="3438">
        <v>0</v>
      </c>
      <c r="AJ38" s="3462">
        <v>257.53521503305439</v>
      </c>
      <c r="AK38" s="3439">
        <v>2121.7801173795833</v>
      </c>
      <c r="AL38" s="3440">
        <v>0</v>
      </c>
      <c r="AM38" s="3441">
        <v>0</v>
      </c>
      <c r="AN38" s="3425">
        <v>0</v>
      </c>
      <c r="AO38" s="3426">
        <v>11125.511017187499</v>
      </c>
      <c r="AP38" s="3428">
        <v>0</v>
      </c>
      <c r="AQ38" s="3442">
        <v>11125.511017187499</v>
      </c>
      <c r="AR38" s="3443">
        <v>257.53521503305439</v>
      </c>
      <c r="AS38" s="3444">
        <v>11383.046232220553</v>
      </c>
      <c r="AT38" s="3445">
        <v>2121.7801173795833</v>
      </c>
      <c r="AU38" s="3446">
        <v>137.75015368244888</v>
      </c>
      <c r="AV38" s="3447">
        <v>0</v>
      </c>
      <c r="AW38" s="3448" t="s">
        <v>153</v>
      </c>
      <c r="AX38" s="3449">
        <v>0.81549925811378465</v>
      </c>
      <c r="AY38" s="3450" t="s">
        <v>153</v>
      </c>
      <c r="AZ38" s="3451">
        <v>0.81549925811378465</v>
      </c>
      <c r="BA38" s="3452">
        <v>1.887731507102694E-2</v>
      </c>
      <c r="BB38" s="3453">
        <v>0.83437657318481162</v>
      </c>
      <c r="BC38" s="3454">
        <v>0.1555263492104336</v>
      </c>
      <c r="BD38" s="3455">
        <v>1.0097077604754817E-2</v>
      </c>
      <c r="BE38" s="3456" t="s">
        <v>153</v>
      </c>
      <c r="BF38" s="61">
        <v>0</v>
      </c>
      <c r="BG38" s="52">
        <v>0</v>
      </c>
      <c r="BH38" s="61"/>
      <c r="BV38" s="512"/>
      <c r="BW38" s="3241"/>
    </row>
    <row r="39" spans="1:75" ht="14.4" x14ac:dyDescent="0.3">
      <c r="A39" s="155" t="s">
        <v>244</v>
      </c>
      <c r="B39" s="3425">
        <v>2631.8458790495533</v>
      </c>
      <c r="C39" s="3416">
        <v>0.5101874238346823</v>
      </c>
      <c r="D39" s="3417">
        <v>3967.9858790495537</v>
      </c>
      <c r="E39" s="3418">
        <v>0.76920024442152102</v>
      </c>
      <c r="F39" s="3419">
        <v>2.0400000000000001E-2</v>
      </c>
      <c r="G39" s="3420">
        <v>2526.7404680383725</v>
      </c>
      <c r="H39" s="3421">
        <v>0</v>
      </c>
      <c r="I39" s="3420">
        <v>0</v>
      </c>
      <c r="J39" s="3422"/>
      <c r="K39" s="3423">
        <v>2526.7404680383725</v>
      </c>
      <c r="L39" s="3424">
        <v>5158.5863470879258</v>
      </c>
      <c r="M39" s="3425">
        <v>0</v>
      </c>
      <c r="N39" s="3426">
        <v>1772.46</v>
      </c>
      <c r="O39" s="3427">
        <v>0</v>
      </c>
      <c r="P39" s="3427">
        <v>0</v>
      </c>
      <c r="Q39" s="3428">
        <v>859.38587904955341</v>
      </c>
      <c r="R39" s="3429">
        <v>0</v>
      </c>
      <c r="S39" s="3430"/>
      <c r="T39" s="3431"/>
      <c r="U39" s="3430"/>
      <c r="V39" s="3431"/>
      <c r="W39" s="3430"/>
      <c r="X39" s="3431"/>
      <c r="Y39" s="3432">
        <v>0</v>
      </c>
      <c r="Z39" s="3433">
        <v>1765.3320062015159</v>
      </c>
      <c r="AA39" s="3434">
        <v>0</v>
      </c>
      <c r="AB39" s="3434">
        <v>429.19200620151605</v>
      </c>
      <c r="AC39" s="3435">
        <v>1336.14</v>
      </c>
      <c r="AD39" s="3377">
        <v>21.930682270797433</v>
      </c>
      <c r="AE39" s="3377"/>
      <c r="AF39" s="3434">
        <v>407.26132393071845</v>
      </c>
      <c r="AG39" s="3473"/>
      <c r="AH39" s="3437"/>
      <c r="AI39" s="3438">
        <v>21.930682270797433</v>
      </c>
      <c r="AJ39" s="3462">
        <v>0</v>
      </c>
      <c r="AK39" s="3439">
        <v>859.38587904955341</v>
      </c>
      <c r="AL39" s="3440">
        <v>0</v>
      </c>
      <c r="AM39" s="3441">
        <v>0</v>
      </c>
      <c r="AN39" s="3425">
        <v>0</v>
      </c>
      <c r="AO39" s="3426">
        <v>3870.0084618368569</v>
      </c>
      <c r="AP39" s="3428">
        <v>0</v>
      </c>
      <c r="AQ39" s="3442">
        <v>3870.0084618368569</v>
      </c>
      <c r="AR39" s="3443">
        <v>21.930682270797433</v>
      </c>
      <c r="AS39" s="3444">
        <v>3891.9391441076541</v>
      </c>
      <c r="AT39" s="3445">
        <v>859.38587904955341</v>
      </c>
      <c r="AU39" s="3446">
        <v>407.26132393071845</v>
      </c>
      <c r="AV39" s="3447">
        <v>0</v>
      </c>
      <c r="AW39" s="3448" t="s">
        <v>153</v>
      </c>
      <c r="AX39" s="3449">
        <v>0.75020716945477051</v>
      </c>
      <c r="AY39" s="3450" t="s">
        <v>153</v>
      </c>
      <c r="AZ39" s="3451">
        <v>0.75020716945477051</v>
      </c>
      <c r="BA39" s="3452">
        <v>4.2512969242392397E-3</v>
      </c>
      <c r="BB39" s="3453">
        <v>0.75445846637900971</v>
      </c>
      <c r="BC39" s="3454">
        <v>0.16659329150023541</v>
      </c>
      <c r="BD39" s="3455">
        <v>7.8948242120754963E-2</v>
      </c>
      <c r="BE39" s="3456" t="s">
        <v>153</v>
      </c>
      <c r="BF39" s="61">
        <v>0</v>
      </c>
      <c r="BG39" s="52">
        <v>0</v>
      </c>
      <c r="BH39" s="61"/>
      <c r="BV39" s="512"/>
      <c r="BW39" s="3241"/>
    </row>
    <row r="40" spans="1:75" s="460" customFormat="1" x14ac:dyDescent="0.25">
      <c r="A40" s="155" t="s">
        <v>245</v>
      </c>
      <c r="B40" s="3425">
        <v>621.88896907700723</v>
      </c>
      <c r="C40" s="3457">
        <v>0.49123900857293756</v>
      </c>
      <c r="D40" s="3458">
        <v>737.00526433381333</v>
      </c>
      <c r="E40" s="3459">
        <v>0.58217101985538977</v>
      </c>
      <c r="F40" s="3460">
        <v>5.1999999999999998E-3</v>
      </c>
      <c r="G40" s="3420">
        <v>644.07109969605563</v>
      </c>
      <c r="H40" s="3461">
        <v>0</v>
      </c>
      <c r="I40" s="3420">
        <v>0</v>
      </c>
      <c r="J40" s="3422"/>
      <c r="K40" s="3423">
        <v>644.07109969605563</v>
      </c>
      <c r="L40" s="3424">
        <v>1265.9600687730629</v>
      </c>
      <c r="M40" s="3425">
        <v>0</v>
      </c>
      <c r="N40" s="3426">
        <v>400.79899999999998</v>
      </c>
      <c r="O40" s="3427">
        <v>0</v>
      </c>
      <c r="P40" s="3427">
        <v>0</v>
      </c>
      <c r="Q40" s="3428">
        <v>221.08996907700723</v>
      </c>
      <c r="R40" s="3429">
        <v>0</v>
      </c>
      <c r="S40" s="3430"/>
      <c r="T40" s="3431"/>
      <c r="U40" s="3430"/>
      <c r="V40" s="3431"/>
      <c r="W40" s="3430"/>
      <c r="X40" s="3431"/>
      <c r="Y40" s="3432">
        <v>0</v>
      </c>
      <c r="Z40" s="3433">
        <v>449.98658981607258</v>
      </c>
      <c r="AA40" s="3434">
        <v>0</v>
      </c>
      <c r="AB40" s="3434">
        <v>334.8702945592666</v>
      </c>
      <c r="AC40" s="3435">
        <v>115.11629525680605</v>
      </c>
      <c r="AD40" s="3377">
        <v>231.05858453771089</v>
      </c>
      <c r="AE40" s="3377"/>
      <c r="AF40" s="3434">
        <v>103.81171002155567</v>
      </c>
      <c r="AG40" s="3473"/>
      <c r="AH40" s="3437"/>
      <c r="AI40" s="3438">
        <v>231.05858453771089</v>
      </c>
      <c r="AJ40" s="3462">
        <v>0</v>
      </c>
      <c r="AK40" s="3439">
        <v>221.08996907700723</v>
      </c>
      <c r="AL40" s="3440">
        <v>0</v>
      </c>
      <c r="AM40" s="3441">
        <v>0</v>
      </c>
      <c r="AN40" s="3425">
        <v>0</v>
      </c>
      <c r="AO40" s="3426">
        <v>709.99980513678906</v>
      </c>
      <c r="AP40" s="3428">
        <v>0</v>
      </c>
      <c r="AQ40" s="3442">
        <v>709.99980513678906</v>
      </c>
      <c r="AR40" s="3443">
        <v>231.05858453771089</v>
      </c>
      <c r="AS40" s="3444">
        <v>941.05838967449995</v>
      </c>
      <c r="AT40" s="3445">
        <v>221.08996907700723</v>
      </c>
      <c r="AU40" s="3446">
        <v>103.81171002155567</v>
      </c>
      <c r="AV40" s="3447">
        <v>0</v>
      </c>
      <c r="AW40" s="3463" t="s">
        <v>153</v>
      </c>
      <c r="AX40" s="3464">
        <v>0.56083902063743862</v>
      </c>
      <c r="AY40" s="3465" t="s">
        <v>153</v>
      </c>
      <c r="AZ40" s="3466">
        <v>0.56083902063743862</v>
      </c>
      <c r="BA40" s="3467">
        <v>0.18251648708133988</v>
      </c>
      <c r="BB40" s="3468">
        <v>0.74335550771877856</v>
      </c>
      <c r="BC40" s="3469">
        <v>0.1746421348749824</v>
      </c>
      <c r="BD40" s="3470">
        <v>8.2002357406239054E-2</v>
      </c>
      <c r="BE40" s="3471" t="s">
        <v>153</v>
      </c>
      <c r="BF40" s="461">
        <v>0</v>
      </c>
      <c r="BG40" s="460">
        <v>0</v>
      </c>
      <c r="BH40" s="61"/>
      <c r="BV40" s="512"/>
      <c r="BW40" s="3241"/>
    </row>
    <row r="41" spans="1:75" ht="14.4" x14ac:dyDescent="0.3">
      <c r="A41" s="155" t="s">
        <v>246</v>
      </c>
      <c r="B41" s="3425">
        <v>19484.350677432474</v>
      </c>
      <c r="C41" s="3416">
        <v>0.84890158548162387</v>
      </c>
      <c r="D41" s="3417">
        <v>19484.350677432474</v>
      </c>
      <c r="E41" s="3418">
        <v>0.84890158548162387</v>
      </c>
      <c r="F41" s="3419">
        <v>2.7999999999999997E-2</v>
      </c>
      <c r="G41" s="3420">
        <v>3468.0751522095302</v>
      </c>
      <c r="H41" s="3421">
        <v>0</v>
      </c>
      <c r="I41" s="3420">
        <v>0</v>
      </c>
      <c r="J41" s="3422"/>
      <c r="K41" s="3423">
        <v>3468.0751522095302</v>
      </c>
      <c r="L41" s="3424">
        <v>22952.425829642005</v>
      </c>
      <c r="M41" s="3425">
        <v>0</v>
      </c>
      <c r="N41" s="3426">
        <v>18510.133143560848</v>
      </c>
      <c r="O41" s="3427">
        <v>0</v>
      </c>
      <c r="P41" s="3427">
        <v>0</v>
      </c>
      <c r="Q41" s="3428">
        <v>974.2175338716238</v>
      </c>
      <c r="R41" s="3429">
        <v>0</v>
      </c>
      <c r="S41" s="3430"/>
      <c r="T41" s="3431"/>
      <c r="U41" s="3430"/>
      <c r="V41" s="3431"/>
      <c r="W41" s="3430"/>
      <c r="X41" s="3431"/>
      <c r="Y41" s="3432">
        <v>0</v>
      </c>
      <c r="Z41" s="3433">
        <v>2423.004714394237</v>
      </c>
      <c r="AA41" s="3434">
        <v>0</v>
      </c>
      <c r="AB41" s="3434">
        <v>2423.004714394237</v>
      </c>
      <c r="AC41" s="3435"/>
      <c r="AD41" s="3377"/>
      <c r="AE41" s="3377">
        <v>1864.0185835089374</v>
      </c>
      <c r="AF41" s="3434">
        <v>558.98613088529976</v>
      </c>
      <c r="AG41" s="3473"/>
      <c r="AH41" s="3437"/>
      <c r="AI41" s="3438">
        <v>0</v>
      </c>
      <c r="AJ41" s="3462">
        <v>1045.0704378152932</v>
      </c>
      <c r="AK41" s="3439">
        <v>2838.2361173805612</v>
      </c>
      <c r="AL41" s="3440">
        <v>0</v>
      </c>
      <c r="AM41" s="3441">
        <v>0</v>
      </c>
      <c r="AN41" s="3425">
        <v>0</v>
      </c>
      <c r="AO41" s="3426">
        <v>18510.133143560848</v>
      </c>
      <c r="AP41" s="3428">
        <v>0</v>
      </c>
      <c r="AQ41" s="3442">
        <v>18510.133143560848</v>
      </c>
      <c r="AR41" s="3443">
        <v>1045.0704378152932</v>
      </c>
      <c r="AS41" s="3444">
        <v>19555.203581376139</v>
      </c>
      <c r="AT41" s="3445">
        <v>2838.2361173805612</v>
      </c>
      <c r="AU41" s="3446">
        <v>558.98613088529976</v>
      </c>
      <c r="AV41" s="3447">
        <v>0</v>
      </c>
      <c r="AW41" s="3448" t="s">
        <v>153</v>
      </c>
      <c r="AX41" s="3449">
        <v>0.80645650620754261</v>
      </c>
      <c r="AY41" s="3450" t="s">
        <v>153</v>
      </c>
      <c r="AZ41" s="3451">
        <v>0.80645650620754261</v>
      </c>
      <c r="BA41" s="3452">
        <v>4.5532025484889389E-2</v>
      </c>
      <c r="BB41" s="3453">
        <v>0.85198853169243194</v>
      </c>
      <c r="BC41" s="3454">
        <v>0.12365734839735805</v>
      </c>
      <c r="BD41" s="3455">
        <v>2.4354119910209877E-2</v>
      </c>
      <c r="BE41" s="3456" t="s">
        <v>153</v>
      </c>
      <c r="BF41" s="61">
        <v>0</v>
      </c>
      <c r="BG41" s="52">
        <v>0</v>
      </c>
      <c r="BH41" s="61"/>
      <c r="BV41" s="512"/>
      <c r="BW41" s="3241"/>
    </row>
    <row r="42" spans="1:75" s="460" customFormat="1" x14ac:dyDescent="0.25">
      <c r="A42" s="155" t="s">
        <v>247</v>
      </c>
      <c r="B42" s="3425">
        <v>3253.7348481265608</v>
      </c>
      <c r="C42" s="3457">
        <v>0.50645362917663816</v>
      </c>
      <c r="D42" s="3425">
        <v>4704.9911433833668</v>
      </c>
      <c r="E42" s="3459">
        <v>0.73234604263542014</v>
      </c>
      <c r="F42" s="3460">
        <v>2.5600000000000001E-2</v>
      </c>
      <c r="G42" s="3420">
        <v>3170.8115677344281</v>
      </c>
      <c r="H42" s="3461">
        <v>0</v>
      </c>
      <c r="I42" s="3420">
        <v>0</v>
      </c>
      <c r="J42" s="3422"/>
      <c r="K42" s="3423">
        <v>3170.8115677344281</v>
      </c>
      <c r="L42" s="3424">
        <v>6424.5464158609884</v>
      </c>
      <c r="M42" s="3425">
        <v>0</v>
      </c>
      <c r="N42" s="3426">
        <v>2173.259</v>
      </c>
      <c r="O42" s="3427">
        <v>0</v>
      </c>
      <c r="P42" s="3427">
        <v>0</v>
      </c>
      <c r="Q42" s="3428">
        <v>1080.4758481265605</v>
      </c>
      <c r="R42" s="3429">
        <v>0</v>
      </c>
      <c r="S42" s="3430">
        <v>0</v>
      </c>
      <c r="T42" s="3431">
        <v>0</v>
      </c>
      <c r="U42" s="3430">
        <v>0</v>
      </c>
      <c r="V42" s="3431">
        <v>0</v>
      </c>
      <c r="W42" s="3430">
        <v>0</v>
      </c>
      <c r="X42" s="3431">
        <v>0</v>
      </c>
      <c r="Y42" s="3432">
        <v>0</v>
      </c>
      <c r="Z42" s="3433">
        <v>2215.3185960175883</v>
      </c>
      <c r="AA42" s="3434">
        <v>0</v>
      </c>
      <c r="AB42" s="3434">
        <v>764.06230076078259</v>
      </c>
      <c r="AC42" s="3435">
        <v>1451.2562952568062</v>
      </c>
      <c r="AD42" s="3377">
        <v>252.98926680850832</v>
      </c>
      <c r="AE42" s="3377">
        <v>0</v>
      </c>
      <c r="AF42" s="3434">
        <v>511.0730339522741</v>
      </c>
      <c r="AG42" s="3473">
        <v>0</v>
      </c>
      <c r="AH42" s="3437">
        <v>0</v>
      </c>
      <c r="AI42" s="3438">
        <v>252.98926680850832</v>
      </c>
      <c r="AJ42" s="3462">
        <v>0</v>
      </c>
      <c r="AK42" s="3439">
        <v>1080.4758481265605</v>
      </c>
      <c r="AL42" s="3440">
        <v>0</v>
      </c>
      <c r="AM42" s="3441">
        <v>0</v>
      </c>
      <c r="AN42" s="3425">
        <v>0</v>
      </c>
      <c r="AO42" s="3426">
        <v>4580.0082669736457</v>
      </c>
      <c r="AP42" s="3428">
        <v>0</v>
      </c>
      <c r="AQ42" s="3442">
        <v>4580.0082669736457</v>
      </c>
      <c r="AR42" s="3443">
        <v>252.98926680850832</v>
      </c>
      <c r="AS42" s="3444">
        <v>4832.9975337821543</v>
      </c>
      <c r="AT42" s="3445">
        <v>1080.4758481265605</v>
      </c>
      <c r="AU42" s="3446">
        <v>511.0730339522741</v>
      </c>
      <c r="AV42" s="3447">
        <v>0</v>
      </c>
      <c r="AW42" s="3463" t="s">
        <v>153</v>
      </c>
      <c r="AX42" s="3464">
        <v>0.71289208148087668</v>
      </c>
      <c r="AY42" s="3465" t="s">
        <v>153</v>
      </c>
      <c r="AZ42" s="3466">
        <v>0.71289208148087668</v>
      </c>
      <c r="BA42" s="3467">
        <v>3.9378541368138571E-2</v>
      </c>
      <c r="BB42" s="3468">
        <v>0.75227062284901525</v>
      </c>
      <c r="BC42" s="3469">
        <v>0.16817932009317738</v>
      </c>
      <c r="BD42" s="3470">
        <v>7.9550057057807474E-2</v>
      </c>
      <c r="BE42" s="3471" t="s">
        <v>153</v>
      </c>
      <c r="BF42" s="461">
        <v>0</v>
      </c>
      <c r="BG42" s="460">
        <v>0</v>
      </c>
      <c r="BH42" s="61"/>
      <c r="BV42" s="512"/>
      <c r="BW42" s="3241"/>
    </row>
    <row r="43" spans="1:75" s="460" customFormat="1" x14ac:dyDescent="0.25">
      <c r="A43" s="155" t="s">
        <v>178</v>
      </c>
      <c r="B43" s="3425">
        <v>0</v>
      </c>
      <c r="C43" s="3457"/>
      <c r="D43" s="3458">
        <v>0</v>
      </c>
      <c r="E43" s="3459"/>
      <c r="F43" s="3460">
        <v>0</v>
      </c>
      <c r="G43" s="3420">
        <v>0</v>
      </c>
      <c r="H43" s="3461">
        <v>0</v>
      </c>
      <c r="I43" s="3420">
        <v>0</v>
      </c>
      <c r="J43" s="3422"/>
      <c r="K43" s="3423">
        <v>0</v>
      </c>
      <c r="L43" s="3424">
        <v>0</v>
      </c>
      <c r="M43" s="3425">
        <v>0</v>
      </c>
      <c r="N43" s="3426">
        <v>0</v>
      </c>
      <c r="O43" s="3427">
        <v>0</v>
      </c>
      <c r="P43" s="3427">
        <v>0</v>
      </c>
      <c r="Q43" s="3428">
        <v>0</v>
      </c>
      <c r="R43" s="3429">
        <v>0</v>
      </c>
      <c r="S43" s="3430"/>
      <c r="T43" s="3431"/>
      <c r="U43" s="3430"/>
      <c r="V43" s="3431"/>
      <c r="W43" s="3430"/>
      <c r="X43" s="3431"/>
      <c r="Y43" s="3432">
        <v>0</v>
      </c>
      <c r="Z43" s="3433">
        <v>0</v>
      </c>
      <c r="AA43" s="3434">
        <v>0</v>
      </c>
      <c r="AB43" s="3434">
        <v>0</v>
      </c>
      <c r="AC43" s="3474"/>
      <c r="AD43" s="3434"/>
      <c r="AE43" s="3475">
        <v>0</v>
      </c>
      <c r="AF43" s="3434">
        <v>0</v>
      </c>
      <c r="AG43" s="3476"/>
      <c r="AH43" s="3477"/>
      <c r="AI43" s="3478">
        <v>0</v>
      </c>
      <c r="AJ43" s="3462">
        <v>0</v>
      </c>
      <c r="AK43" s="3439">
        <v>0</v>
      </c>
      <c r="AL43" s="3440">
        <v>0</v>
      </c>
      <c r="AM43" s="3441">
        <v>0</v>
      </c>
      <c r="AN43" s="3425">
        <v>0</v>
      </c>
      <c r="AO43" s="3426">
        <v>0</v>
      </c>
      <c r="AP43" s="3428">
        <v>0</v>
      </c>
      <c r="AQ43" s="3442">
        <v>0</v>
      </c>
      <c r="AR43" s="3443">
        <v>0</v>
      </c>
      <c r="AS43" s="3444">
        <v>0</v>
      </c>
      <c r="AT43" s="3445">
        <v>0</v>
      </c>
      <c r="AU43" s="3446">
        <v>0</v>
      </c>
      <c r="AV43" s="3447">
        <v>0</v>
      </c>
      <c r="AW43" s="3463" t="s">
        <v>153</v>
      </c>
      <c r="AX43" s="3464" t="s">
        <v>153</v>
      </c>
      <c r="AY43" s="3465" t="s">
        <v>153</v>
      </c>
      <c r="AZ43" s="3466" t="s">
        <v>153</v>
      </c>
      <c r="BA43" s="3467" t="s">
        <v>153</v>
      </c>
      <c r="BB43" s="3468" t="s">
        <v>153</v>
      </c>
      <c r="BC43" s="3469" t="s">
        <v>153</v>
      </c>
      <c r="BD43" s="3470" t="s">
        <v>153</v>
      </c>
      <c r="BE43" s="3471" t="s">
        <v>153</v>
      </c>
      <c r="BF43" s="461">
        <v>0</v>
      </c>
      <c r="BG43" s="460">
        <v>0</v>
      </c>
      <c r="BH43" s="61"/>
      <c r="BV43" s="512"/>
      <c r="BW43" s="3241"/>
    </row>
    <row r="44" spans="1:75" ht="15" thickBot="1" x14ac:dyDescent="0.35">
      <c r="A44" s="155" t="s">
        <v>65</v>
      </c>
      <c r="B44" s="3479">
        <v>0</v>
      </c>
      <c r="C44" s="3480">
        <v>0</v>
      </c>
      <c r="D44" s="3481">
        <v>0</v>
      </c>
      <c r="E44" s="3482">
        <v>0</v>
      </c>
      <c r="F44" s="3483">
        <v>2.5400000000000002E-3</v>
      </c>
      <c r="G44" s="3484">
        <v>314.60396023615027</v>
      </c>
      <c r="H44" s="3485">
        <v>0</v>
      </c>
      <c r="I44" s="3484">
        <v>0</v>
      </c>
      <c r="J44" s="3486"/>
      <c r="K44" s="3487">
        <v>314.60396023615027</v>
      </c>
      <c r="L44" s="3424">
        <v>314.60396023615027</v>
      </c>
      <c r="M44" s="3479">
        <v>0</v>
      </c>
      <c r="N44" s="3488">
        <v>0</v>
      </c>
      <c r="O44" s="3489">
        <v>0</v>
      </c>
      <c r="P44" s="3489">
        <v>0</v>
      </c>
      <c r="Q44" s="3490">
        <v>0</v>
      </c>
      <c r="R44" s="3491"/>
      <c r="S44" s="3430"/>
      <c r="T44" s="3431"/>
      <c r="U44" s="3430"/>
      <c r="V44" s="3431"/>
      <c r="W44" s="3430"/>
      <c r="X44" s="3431"/>
      <c r="Y44" s="3432">
        <v>0</v>
      </c>
      <c r="Z44" s="3492">
        <v>219.80114194862009</v>
      </c>
      <c r="AA44" s="3493">
        <v>0</v>
      </c>
      <c r="AB44" s="3494">
        <v>219.80114194862011</v>
      </c>
      <c r="AC44" s="3495"/>
      <c r="AD44" s="3493"/>
      <c r="AE44" s="3496">
        <v>169.09311436116789</v>
      </c>
      <c r="AF44" s="3493">
        <v>50.7080275874522</v>
      </c>
      <c r="AG44" s="3497"/>
      <c r="AH44" s="3498"/>
      <c r="AI44" s="3499">
        <v>0</v>
      </c>
      <c r="AJ44" s="3500">
        <v>94.802818287530172</v>
      </c>
      <c r="AK44" s="3501">
        <v>169.09311436116789</v>
      </c>
      <c r="AL44" s="3440">
        <v>0</v>
      </c>
      <c r="AM44" s="3441">
        <v>0</v>
      </c>
      <c r="AN44" s="3479">
        <v>0</v>
      </c>
      <c r="AO44" s="3488">
        <v>0</v>
      </c>
      <c r="AP44" s="3490">
        <v>0</v>
      </c>
      <c r="AQ44" s="3502">
        <v>0</v>
      </c>
      <c r="AR44" s="3503">
        <v>94.802818287530172</v>
      </c>
      <c r="AS44" s="3504">
        <v>94.802818287530172</v>
      </c>
      <c r="AT44" s="3445">
        <v>169.09311436116789</v>
      </c>
      <c r="AU44" s="3446">
        <v>50.7080275874522</v>
      </c>
      <c r="AV44" s="3447">
        <v>0</v>
      </c>
      <c r="AW44" s="3505" t="s">
        <v>153</v>
      </c>
      <c r="AX44" s="3506" t="s">
        <v>153</v>
      </c>
      <c r="AY44" s="3507" t="s">
        <v>153</v>
      </c>
      <c r="AZ44" s="3508" t="s">
        <v>153</v>
      </c>
      <c r="BA44" s="3509">
        <v>0.3013401936083977</v>
      </c>
      <c r="BB44" s="3510">
        <v>0.3013401936083977</v>
      </c>
      <c r="BC44" s="3511">
        <v>0.53747929375791081</v>
      </c>
      <c r="BD44" s="3512">
        <v>0.16118051263369151</v>
      </c>
      <c r="BE44" s="3513" t="s">
        <v>153</v>
      </c>
      <c r="BF44" s="61">
        <v>0</v>
      </c>
      <c r="BG44" s="52">
        <v>0</v>
      </c>
      <c r="BH44" s="61"/>
      <c r="BV44" s="512"/>
      <c r="BW44" s="3241"/>
    </row>
    <row r="45" spans="1:75" x14ac:dyDescent="0.25">
      <c r="AB45" s="61"/>
      <c r="AC45" s="61"/>
      <c r="AD45" s="61"/>
      <c r="AE45" s="61"/>
      <c r="AF45" s="61"/>
    </row>
    <row r="46" spans="1:75" x14ac:dyDescent="0.25">
      <c r="A46" s="1" t="s">
        <v>1470</v>
      </c>
      <c r="B46" s="512">
        <v>0</v>
      </c>
      <c r="C46" s="512">
        <v>-0.71274663343703804</v>
      </c>
      <c r="D46" s="512">
        <v>0</v>
      </c>
      <c r="E46" s="512">
        <v>-0.71274663343703804</v>
      </c>
      <c r="F46" s="3208">
        <v>0</v>
      </c>
      <c r="G46" s="512">
        <v>0</v>
      </c>
      <c r="H46" s="512">
        <v>0.3306</v>
      </c>
      <c r="I46" s="512">
        <v>0</v>
      </c>
      <c r="J46" s="512">
        <v>0</v>
      </c>
      <c r="K46" s="512">
        <v>0</v>
      </c>
      <c r="L46" s="512">
        <v>0</v>
      </c>
      <c r="M46" s="512">
        <v>0</v>
      </c>
      <c r="N46" s="512">
        <v>0</v>
      </c>
      <c r="O46" s="512">
        <v>0</v>
      </c>
      <c r="P46" s="512">
        <v>0</v>
      </c>
      <c r="Q46" s="512">
        <v>0</v>
      </c>
      <c r="R46" s="512">
        <v>0</v>
      </c>
      <c r="S46" s="512">
        <f t="shared" ref="S46:Y46" si="0">+S11-S29-S30</f>
        <v>42405.954146084463</v>
      </c>
      <c r="T46" s="512">
        <f t="shared" si="0"/>
        <v>882.31456319688004</v>
      </c>
      <c r="U46" s="512">
        <f t="shared" si="0"/>
        <v>22778.835974804635</v>
      </c>
      <c r="V46" s="512">
        <f t="shared" si="0"/>
        <v>13730.258755101153</v>
      </c>
      <c r="W46" s="512">
        <f t="shared" si="0"/>
        <v>19627.118171279832</v>
      </c>
      <c r="X46" s="512">
        <f t="shared" si="0"/>
        <v>-12847.944191904269</v>
      </c>
      <c r="Y46" s="512">
        <f t="shared" si="0"/>
        <v>0</v>
      </c>
      <c r="Z46" s="512">
        <v>0</v>
      </c>
      <c r="AA46" s="512">
        <v>0</v>
      </c>
      <c r="AB46" s="512">
        <v>0</v>
      </c>
      <c r="AC46" s="512">
        <v>0</v>
      </c>
      <c r="AD46" s="512">
        <v>0</v>
      </c>
      <c r="AE46" s="512">
        <v>0</v>
      </c>
      <c r="AF46" s="512">
        <v>0</v>
      </c>
      <c r="AG46" s="512">
        <v>0</v>
      </c>
      <c r="AH46" s="512">
        <v>0</v>
      </c>
      <c r="AI46" s="512">
        <v>0</v>
      </c>
      <c r="AJ46" s="512">
        <v>0</v>
      </c>
      <c r="AK46" s="512">
        <v>0</v>
      </c>
      <c r="AL46" s="512">
        <v>0</v>
      </c>
      <c r="AM46" s="512">
        <v>0</v>
      </c>
      <c r="AN46" s="512">
        <v>0</v>
      </c>
      <c r="AO46" s="512">
        <v>0</v>
      </c>
      <c r="AP46" s="512">
        <v>0</v>
      </c>
      <c r="AQ46" s="512">
        <v>0</v>
      </c>
      <c r="AR46" s="512">
        <v>0</v>
      </c>
      <c r="AS46" s="512">
        <v>0</v>
      </c>
      <c r="AT46" s="512">
        <v>0</v>
      </c>
      <c r="AU46" s="512">
        <v>0</v>
      </c>
    </row>
    <row r="47" spans="1:75" x14ac:dyDescent="0.25">
      <c r="A47" s="65" t="s">
        <v>184</v>
      </c>
      <c r="F47" s="485">
        <v>9.3599999999999989E-2</v>
      </c>
      <c r="AG47" s="2487"/>
      <c r="AH47" s="2487"/>
      <c r="AI47" s="2487"/>
      <c r="AJ47" s="2487"/>
    </row>
    <row r="48" spans="1:75" ht="18" customHeight="1" x14ac:dyDescent="0.25">
      <c r="A48" s="52" t="s">
        <v>248</v>
      </c>
      <c r="B48" s="61"/>
      <c r="AG48" s="3742" t="s">
        <v>1615</v>
      </c>
      <c r="AH48" s="3742"/>
      <c r="AI48" s="3743"/>
      <c r="AJ48" s="3311" t="s">
        <v>121</v>
      </c>
    </row>
    <row r="49" spans="1:39" ht="28.5" customHeight="1" x14ac:dyDescent="0.25">
      <c r="A49" s="52" t="s">
        <v>114</v>
      </c>
      <c r="B49" s="61"/>
      <c r="C49" s="61"/>
      <c r="F49" s="485"/>
      <c r="AC49" s="486"/>
      <c r="AG49" s="3194" t="s">
        <v>1617</v>
      </c>
      <c r="AH49" s="3518">
        <v>134253.795703724</v>
      </c>
      <c r="AI49" s="3518"/>
      <c r="AJ49" s="3519">
        <v>100</v>
      </c>
    </row>
    <row r="50" spans="1:39" ht="26.25" customHeight="1" x14ac:dyDescent="0.25">
      <c r="A50" s="52" t="s">
        <v>151</v>
      </c>
      <c r="AC50" s="486"/>
      <c r="AD50" s="490"/>
      <c r="AG50" s="3195" t="s">
        <v>1618</v>
      </c>
      <c r="AH50" s="3520">
        <v>93797.73091370154</v>
      </c>
      <c r="AI50" s="3521"/>
      <c r="AJ50" s="3522">
        <v>0.6986598063916023</v>
      </c>
    </row>
    <row r="51" spans="1:39" ht="26.4" x14ac:dyDescent="0.25">
      <c r="AC51" s="486"/>
      <c r="AG51" s="3196" t="s">
        <v>1619</v>
      </c>
      <c r="AH51" s="3197">
        <v>50384.507796515449</v>
      </c>
      <c r="AI51" s="3372"/>
      <c r="AJ51" s="3523"/>
    </row>
    <row r="52" spans="1:39" ht="39.6" x14ac:dyDescent="0.25">
      <c r="AC52" s="486"/>
      <c r="AG52" s="3524" t="s">
        <v>287</v>
      </c>
      <c r="AH52" s="3373">
        <v>43413.223117186091</v>
      </c>
      <c r="AI52" s="2487"/>
      <c r="AJ52" s="3523"/>
    </row>
    <row r="53" spans="1:39" x14ac:dyDescent="0.25">
      <c r="AC53" s="486"/>
      <c r="AG53" s="3525" t="s">
        <v>1622</v>
      </c>
      <c r="AH53" s="3374">
        <v>40456.064790022458</v>
      </c>
      <c r="AI53" s="3374"/>
      <c r="AJ53" s="3526">
        <v>0.3013401936083977</v>
      </c>
      <c r="AM53" s="504"/>
    </row>
    <row r="54" spans="1:39" ht="26.4" x14ac:dyDescent="0.25">
      <c r="AC54" s="486"/>
      <c r="AG54" s="3525" t="s">
        <v>288</v>
      </c>
      <c r="AH54" s="3374">
        <v>0</v>
      </c>
      <c r="AI54" s="3374"/>
      <c r="AJ54" s="3526">
        <v>0</v>
      </c>
    </row>
    <row r="55" spans="1:39" x14ac:dyDescent="0.25">
      <c r="AC55" s="40"/>
      <c r="AG55" s="2487"/>
      <c r="AH55" s="2487"/>
      <c r="AI55" s="2487"/>
      <c r="AJ55" s="2487"/>
    </row>
    <row r="56" spans="1:39" ht="26.4" x14ac:dyDescent="0.25">
      <c r="AG56" s="3527" t="s">
        <v>289</v>
      </c>
      <c r="AH56" s="3375">
        <v>43413.223117186091</v>
      </c>
      <c r="AI56" s="2487"/>
      <c r="AJ56" s="2487"/>
    </row>
    <row r="57" spans="1:39" x14ac:dyDescent="0.25">
      <c r="AG57" s="3528" t="s">
        <v>290</v>
      </c>
      <c r="AH57" s="3375">
        <v>23449.432728425385</v>
      </c>
      <c r="AI57" s="3375"/>
      <c r="AJ57" s="3529">
        <v>0.25</v>
      </c>
      <c r="AK57" s="52">
        <v>0.25</v>
      </c>
    </row>
    <row r="58" spans="1:39" x14ac:dyDescent="0.25">
      <c r="AA58" s="61"/>
      <c r="AG58" s="3528" t="s">
        <v>291</v>
      </c>
      <c r="AH58" s="3375">
        <v>19963.790388760706</v>
      </c>
      <c r="AI58" s="3375"/>
      <c r="AJ58" s="3529">
        <v>0.21283873494901878</v>
      </c>
    </row>
    <row r="59" spans="1:39" x14ac:dyDescent="0.25">
      <c r="AG59" s="2487"/>
      <c r="AH59" s="2487"/>
      <c r="AI59" s="2487"/>
      <c r="AJ59" s="2487"/>
    </row>
    <row r="60" spans="1:39" x14ac:dyDescent="0.25">
      <c r="AG60" s="3311" t="s">
        <v>263</v>
      </c>
      <c r="AH60" s="3193">
        <v>50384.507796515449</v>
      </c>
      <c r="AI60" s="3240">
        <v>0</v>
      </c>
      <c r="AJ60" s="2487"/>
    </row>
    <row r="61" spans="1:39" x14ac:dyDescent="0.25">
      <c r="AF61" s="498">
        <v>0.20024376225441234</v>
      </c>
      <c r="AG61" s="3530" t="s">
        <v>138</v>
      </c>
      <c r="AH61" s="3193">
        <v>9278.4316500450659</v>
      </c>
      <c r="AI61" s="3221"/>
      <c r="AJ61" s="2487"/>
    </row>
    <row r="62" spans="1:39" x14ac:dyDescent="0.25">
      <c r="AF62" s="498">
        <v>0.79975623774558768</v>
      </c>
      <c r="AG62" s="3530" t="s">
        <v>292</v>
      </c>
      <c r="AH62" s="3193">
        <v>37057.252146470382</v>
      </c>
      <c r="AI62" s="3221"/>
      <c r="AJ62" s="2487"/>
    </row>
    <row r="63" spans="1:39" x14ac:dyDescent="0.25">
      <c r="AF63" s="498"/>
      <c r="AG63" s="3311" t="s">
        <v>122</v>
      </c>
      <c r="AH63" s="3193">
        <v>4048.8240000000005</v>
      </c>
      <c r="AI63" s="3336"/>
      <c r="AJ63" s="2487"/>
    </row>
    <row r="68" spans="33:33" x14ac:dyDescent="0.25">
      <c r="AG68" s="61"/>
    </row>
    <row r="69" spans="33:33" x14ac:dyDescent="0.25">
      <c r="AG69" s="61"/>
    </row>
  </sheetData>
  <autoFilter ref="A4:AL54" xr:uid="{00000000-0009-0000-0000-000007000000}"/>
  <mergeCells count="6">
    <mergeCell ref="AW3:BE3"/>
    <mergeCell ref="AG48:AI48"/>
    <mergeCell ref="M3:R3"/>
    <mergeCell ref="AC3:AG3"/>
    <mergeCell ref="AH3:AJ3"/>
    <mergeCell ref="AN3:AV3"/>
  </mergeCells>
  <pageMargins left="0.7" right="0.7" top="0.75" bottom="0.75" header="0.51180555555555496" footer="0.51180555555555496"/>
  <pageSetup paperSize="9" orientation="portrait" horizontalDpi="300" verticalDpi="300"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5">
    <tabColor rgb="FFCC99FF"/>
  </sheetPr>
  <dimension ref="A1:V131"/>
  <sheetViews>
    <sheetView zoomScaleNormal="100" workbookViewId="0"/>
  </sheetViews>
  <sheetFormatPr baseColWidth="10" defaultColWidth="11.44140625" defaultRowHeight="17.399999999999999" customHeight="1" x14ac:dyDescent="0.35"/>
  <cols>
    <col min="1" max="1" width="19" style="669" customWidth="1"/>
    <col min="2" max="2" width="40.33203125" style="669" customWidth="1"/>
    <col min="3" max="14" width="11.44140625" style="669" customWidth="1"/>
    <col min="15" max="15" width="11.44140625" style="682" customWidth="1"/>
    <col min="16" max="16" width="11.44140625" style="669" customWidth="1"/>
    <col min="17" max="17" width="11.44140625" style="682" customWidth="1"/>
    <col min="18" max="19" width="11.44140625" style="3225" customWidth="1"/>
    <col min="20" max="20" width="11.44140625" style="669" customWidth="1"/>
    <col min="21" max="21" width="11.44140625" style="669"/>
    <col min="22" max="22" width="11.44140625" style="3730"/>
    <col min="23" max="16384" width="11.44140625" style="669"/>
  </cols>
  <sheetData>
    <row r="1" spans="1:22" s="3238" customFormat="1" ht="36" customHeight="1" thickTop="1" x14ac:dyDescent="0.55000000000000004">
      <c r="A1" s="3642" t="s">
        <v>1787</v>
      </c>
      <c r="B1" s="3543"/>
      <c r="C1" s="3543"/>
      <c r="D1" s="3543"/>
      <c r="E1" s="3543"/>
      <c r="F1" s="3543"/>
      <c r="G1" s="3543"/>
      <c r="H1" s="3543"/>
      <c r="I1" s="3543"/>
      <c r="J1" s="3543"/>
      <c r="K1" s="3543"/>
      <c r="L1" s="3543"/>
      <c r="M1" s="3543"/>
      <c r="N1" s="3543"/>
      <c r="O1" s="3543"/>
      <c r="P1" s="3543"/>
      <c r="Q1" s="3543"/>
      <c r="R1" s="3543"/>
      <c r="S1" s="3543"/>
      <c r="T1" s="3543"/>
      <c r="U1" s="3543"/>
      <c r="V1" s="3729"/>
    </row>
    <row r="2" spans="1:22" s="3238" customFormat="1" ht="24.9" customHeight="1" x14ac:dyDescent="0.35">
      <c r="A2" s="3544" t="s">
        <v>1662</v>
      </c>
      <c r="B2" s="3567"/>
      <c r="C2" s="3567"/>
      <c r="D2" s="3567"/>
      <c r="E2" s="3575"/>
      <c r="F2" s="3568"/>
      <c r="G2" s="3568"/>
      <c r="H2" s="3568"/>
      <c r="I2" s="3568"/>
      <c r="J2" s="3568"/>
      <c r="K2" s="3568"/>
      <c r="L2" s="3568"/>
      <c r="M2" s="3846"/>
      <c r="N2" s="3846"/>
      <c r="O2" s="3846"/>
      <c r="P2" s="3846"/>
      <c r="Q2" s="3568"/>
      <c r="R2" s="3568"/>
      <c r="S2" s="3569"/>
      <c r="T2" s="3569"/>
      <c r="U2" s="3569"/>
      <c r="V2" s="3730"/>
    </row>
    <row r="3" spans="1:22" ht="45" x14ac:dyDescent="0.25">
      <c r="A3" s="3581" t="s">
        <v>1681</v>
      </c>
      <c r="B3" s="3574"/>
      <c r="C3" s="3572"/>
      <c r="D3" s="3572"/>
      <c r="E3" s="3572"/>
      <c r="F3" s="3572"/>
      <c r="G3" s="3572"/>
      <c r="H3" s="3576"/>
      <c r="I3" s="3572"/>
      <c r="J3" s="3572"/>
      <c r="K3" s="3572"/>
      <c r="L3" s="3572"/>
      <c r="M3" s="3572"/>
      <c r="N3" s="3572"/>
      <c r="O3" s="3572"/>
      <c r="P3" s="3572"/>
      <c r="Q3" s="3572"/>
      <c r="R3" s="3572"/>
      <c r="S3" s="3572"/>
      <c r="T3" s="3572"/>
      <c r="U3" s="3572"/>
      <c r="V3" s="3573"/>
    </row>
    <row r="4" spans="1:22" ht="17.399999999999999" customHeight="1" x14ac:dyDescent="0.25">
      <c r="A4" s="3571" t="s">
        <v>1682</v>
      </c>
      <c r="B4" s="3571" t="s">
        <v>1689</v>
      </c>
      <c r="C4" s="3559">
        <v>2005</v>
      </c>
      <c r="D4" s="3559">
        <v>2006</v>
      </c>
      <c r="E4" s="3571">
        <v>2007</v>
      </c>
      <c r="F4" s="3559">
        <v>2008</v>
      </c>
      <c r="G4" s="3559">
        <v>2009</v>
      </c>
      <c r="H4" s="3559" t="s">
        <v>442</v>
      </c>
      <c r="I4" s="3559" t="s">
        <v>443</v>
      </c>
      <c r="J4" s="3559" t="s">
        <v>444</v>
      </c>
      <c r="K4" s="3559" t="s">
        <v>445</v>
      </c>
      <c r="L4" s="3559" t="s">
        <v>446</v>
      </c>
      <c r="M4" s="3559" t="s">
        <v>447</v>
      </c>
      <c r="N4" s="3559" t="s">
        <v>448</v>
      </c>
      <c r="O4" s="3559" t="s">
        <v>449</v>
      </c>
      <c r="P4" s="3559" t="s">
        <v>450</v>
      </c>
      <c r="Q4" s="3559" t="s">
        <v>451</v>
      </c>
      <c r="R4" s="3559" t="s">
        <v>1471</v>
      </c>
      <c r="S4" s="3559" t="s">
        <v>1620</v>
      </c>
      <c r="T4" s="3559" t="s">
        <v>1621</v>
      </c>
      <c r="U4" s="3559" t="s">
        <v>1770</v>
      </c>
      <c r="V4" s="3559" t="s">
        <v>1804</v>
      </c>
    </row>
    <row r="5" spans="1:22" ht="17.399999999999999" customHeight="1" x14ac:dyDescent="0.25">
      <c r="A5" s="3571" t="s">
        <v>1684</v>
      </c>
      <c r="B5" s="3571" t="s">
        <v>1685</v>
      </c>
      <c r="C5" s="3546">
        <v>1163323.054</v>
      </c>
      <c r="D5" s="3546">
        <v>1190191.1255000001</v>
      </c>
      <c r="E5" s="3546">
        <v>1224160.2450000001</v>
      </c>
      <c r="F5" s="3546">
        <v>1173274.764</v>
      </c>
      <c r="G5" s="3546">
        <v>1108692.4046700001</v>
      </c>
      <c r="H5" s="3546">
        <v>1068581.4300000002</v>
      </c>
      <c r="I5" s="3546">
        <v>1056297.0474</v>
      </c>
      <c r="J5" s="3546">
        <v>1122390.5232460001</v>
      </c>
      <c r="K5" s="3546">
        <v>1100521.0874627046</v>
      </c>
      <c r="L5" s="3546">
        <v>1126829.2190205525</v>
      </c>
      <c r="M5" s="3546">
        <v>1098038.9246026897</v>
      </c>
      <c r="N5" s="3546">
        <v>1135023.203150366</v>
      </c>
      <c r="O5" s="3546">
        <v>1148268.6051863714</v>
      </c>
      <c r="P5" s="3546">
        <v>1186733.0681280508</v>
      </c>
      <c r="Q5" s="3546">
        <v>1142223.3017658419</v>
      </c>
      <c r="R5" s="3546">
        <v>1095113.8056330816</v>
      </c>
      <c r="S5" s="3546">
        <v>1127374.6797876423</v>
      </c>
      <c r="T5" s="3546">
        <v>1106049.6669114931</v>
      </c>
      <c r="U5" s="3546">
        <v>957116.88627117244</v>
      </c>
      <c r="V5" s="3546">
        <v>980551.54890706332</v>
      </c>
    </row>
    <row r="6" spans="1:22" ht="17.399999999999999" customHeight="1" x14ac:dyDescent="0.25">
      <c r="A6" s="3571" t="s">
        <v>1686</v>
      </c>
      <c r="B6" s="3571" t="s">
        <v>1687</v>
      </c>
      <c r="C6" s="3547">
        <v>831644.33</v>
      </c>
      <c r="D6" s="3547">
        <v>842312.56200000003</v>
      </c>
      <c r="E6" s="3547">
        <v>850298.495</v>
      </c>
      <c r="F6" s="3547">
        <v>798227.78100000008</v>
      </c>
      <c r="G6" s="3547">
        <v>758481.53790490993</v>
      </c>
      <c r="H6" s="3547">
        <v>736744.18299999996</v>
      </c>
      <c r="I6" s="3547">
        <v>723224.12700000009</v>
      </c>
      <c r="J6" s="3547">
        <v>694096.28700000013</v>
      </c>
      <c r="K6" s="3547">
        <v>652541.06799999997</v>
      </c>
      <c r="L6" s="3547">
        <v>633702.64327181643</v>
      </c>
      <c r="M6" s="3547">
        <v>605591.54637291655</v>
      </c>
      <c r="N6" s="3547">
        <v>611199.05492113216</v>
      </c>
      <c r="O6" s="3547">
        <v>606333.64261574647</v>
      </c>
      <c r="P6" s="3547">
        <v>592429.92115000007</v>
      </c>
      <c r="Q6" s="3547">
        <v>576592.17759832949</v>
      </c>
      <c r="R6" s="3547">
        <v>553905.47756385454</v>
      </c>
      <c r="S6" s="3547">
        <v>559716.64092335268</v>
      </c>
      <c r="T6" s="3547">
        <v>543679.46740218706</v>
      </c>
      <c r="U6" s="3547">
        <v>535868.69129591074</v>
      </c>
      <c r="V6" s="3547">
        <v>544152.83979885536</v>
      </c>
    </row>
    <row r="7" spans="1:22" ht="17.399999999999999" customHeight="1" x14ac:dyDescent="0.25">
      <c r="A7" s="3571" t="s">
        <v>1686</v>
      </c>
      <c r="B7" s="3571" t="s">
        <v>1688</v>
      </c>
      <c r="C7" s="3547">
        <v>331678.72400000005</v>
      </c>
      <c r="D7" s="3547">
        <v>347878.56350000005</v>
      </c>
      <c r="E7" s="3547">
        <v>373861.75000000012</v>
      </c>
      <c r="F7" s="3547">
        <v>375046.98299999989</v>
      </c>
      <c r="G7" s="3547">
        <v>350210.86676509015</v>
      </c>
      <c r="H7" s="3547">
        <v>331837.24700000021</v>
      </c>
      <c r="I7" s="3547">
        <v>333072.92039999994</v>
      </c>
      <c r="J7" s="3547">
        <v>428294.23624599993</v>
      </c>
      <c r="K7" s="3547">
        <v>447980.01946270454</v>
      </c>
      <c r="L7" s="3547">
        <v>493126.57574873598</v>
      </c>
      <c r="M7" s="3547">
        <v>492447.37822977314</v>
      </c>
      <c r="N7" s="3547">
        <v>523824.14822923375</v>
      </c>
      <c r="O7" s="3547">
        <v>541934.96257062512</v>
      </c>
      <c r="P7" s="3547">
        <v>594303.1469780507</v>
      </c>
      <c r="Q7" s="3547">
        <v>565631.1241675124</v>
      </c>
      <c r="R7" s="3547">
        <v>541208.32806922705</v>
      </c>
      <c r="S7" s="3547">
        <v>567658.03886428964</v>
      </c>
      <c r="T7" s="3547">
        <v>562370.19950930611</v>
      </c>
      <c r="U7" s="3547">
        <v>421248.19497526175</v>
      </c>
      <c r="V7" s="3547">
        <v>436398.70910820796</v>
      </c>
    </row>
    <row r="8" spans="1:22" ht="17.399999999999999" customHeight="1" x14ac:dyDescent="0.25">
      <c r="A8" s="3239" t="s">
        <v>432</v>
      </c>
      <c r="B8" s="3239" t="s">
        <v>432</v>
      </c>
      <c r="C8" s="683" t="s">
        <v>432</v>
      </c>
      <c r="D8" s="683" t="s">
        <v>432</v>
      </c>
      <c r="E8" s="683" t="s">
        <v>432</v>
      </c>
      <c r="F8" s="683" t="s">
        <v>432</v>
      </c>
      <c r="G8" s="683" t="s">
        <v>432</v>
      </c>
      <c r="H8" s="683" t="s">
        <v>432</v>
      </c>
      <c r="I8" s="683" t="s">
        <v>432</v>
      </c>
      <c r="J8" s="683" t="s">
        <v>432</v>
      </c>
      <c r="K8" s="683" t="s">
        <v>432</v>
      </c>
      <c r="L8" s="683"/>
      <c r="M8" s="683" t="s">
        <v>432</v>
      </c>
      <c r="N8" s="683"/>
      <c r="O8" s="684"/>
      <c r="P8" s="683"/>
      <c r="Q8" s="3238"/>
      <c r="R8" s="3223"/>
      <c r="V8" s="675"/>
    </row>
    <row r="9" spans="1:22" ht="45" x14ac:dyDescent="0.25">
      <c r="A9" s="3581" t="s">
        <v>1690</v>
      </c>
      <c r="B9" s="3574"/>
      <c r="C9" s="3572"/>
      <c r="D9" s="3572"/>
      <c r="E9" s="3572"/>
      <c r="F9" s="3572"/>
      <c r="G9" s="3572"/>
      <c r="H9" s="3576"/>
      <c r="I9" s="3572"/>
      <c r="J9" s="3572"/>
      <c r="K9" s="3572"/>
      <c r="L9" s="3572"/>
      <c r="M9" s="3572"/>
      <c r="N9" s="3572"/>
      <c r="O9" s="3572"/>
      <c r="P9" s="3572"/>
      <c r="Q9" s="3572"/>
      <c r="R9" s="3572"/>
      <c r="S9" s="3572"/>
      <c r="T9" s="3572"/>
      <c r="U9" s="3572"/>
      <c r="V9" s="3573"/>
    </row>
    <row r="10" spans="1:22" ht="45" x14ac:dyDescent="0.25">
      <c r="A10" s="3581" t="s">
        <v>1691</v>
      </c>
      <c r="B10" s="3574"/>
      <c r="C10" s="3572"/>
      <c r="D10" s="3572"/>
      <c r="E10" s="3572"/>
      <c r="F10" s="3572"/>
      <c r="G10" s="3572"/>
      <c r="H10" s="3576"/>
      <c r="I10" s="3572"/>
      <c r="J10" s="3572"/>
      <c r="K10" s="3572"/>
      <c r="L10" s="3572"/>
      <c r="M10" s="3572"/>
      <c r="N10" s="3572"/>
      <c r="O10" s="3572"/>
      <c r="P10" s="3572"/>
      <c r="Q10" s="3572"/>
      <c r="R10" s="3572"/>
      <c r="S10" s="3572"/>
      <c r="T10" s="3572"/>
      <c r="U10" s="3572"/>
      <c r="V10" s="3573"/>
    </row>
    <row r="11" spans="1:22" ht="17.399999999999999" customHeight="1" x14ac:dyDescent="0.25">
      <c r="A11" s="3571" t="s">
        <v>1692</v>
      </c>
      <c r="B11" s="3571" t="s">
        <v>1694</v>
      </c>
      <c r="C11" s="3559">
        <v>2005</v>
      </c>
      <c r="D11" s="3559">
        <v>2006</v>
      </c>
      <c r="E11" s="3571">
        <v>2007</v>
      </c>
      <c r="F11" s="3559">
        <v>2008</v>
      </c>
      <c r="G11" s="3559">
        <v>2009</v>
      </c>
      <c r="H11" s="3559" t="s">
        <v>442</v>
      </c>
      <c r="I11" s="3559" t="s">
        <v>443</v>
      </c>
      <c r="J11" s="3559" t="s">
        <v>444</v>
      </c>
      <c r="K11" s="3559" t="s">
        <v>445</v>
      </c>
      <c r="L11" s="3559" t="s">
        <v>446</v>
      </c>
      <c r="M11" s="3559" t="s">
        <v>447</v>
      </c>
      <c r="N11" s="3559" t="s">
        <v>448</v>
      </c>
      <c r="O11" s="3559" t="s">
        <v>449</v>
      </c>
      <c r="P11" s="3559" t="s">
        <v>450</v>
      </c>
      <c r="Q11" s="3559" t="s">
        <v>451</v>
      </c>
      <c r="R11" s="3559" t="s">
        <v>1471</v>
      </c>
      <c r="S11" s="3559" t="s">
        <v>1620</v>
      </c>
      <c r="T11" s="3559" t="s">
        <v>1621</v>
      </c>
      <c r="U11" s="3559">
        <v>2023</v>
      </c>
      <c r="V11" s="3559">
        <v>2024</v>
      </c>
    </row>
    <row r="12" spans="1:22" ht="17.399999999999999" customHeight="1" x14ac:dyDescent="0.25">
      <c r="A12" s="3571" t="s">
        <v>1693</v>
      </c>
      <c r="B12" s="3571" t="s">
        <v>1695</v>
      </c>
      <c r="C12" s="3546">
        <v>688364.45600000001</v>
      </c>
      <c r="D12" s="3546">
        <v>693085.06</v>
      </c>
      <c r="E12" s="3546">
        <v>688108.495</v>
      </c>
      <c r="F12" s="3546">
        <v>656906.35900000005</v>
      </c>
      <c r="G12" s="3546">
        <v>641169.10290490987</v>
      </c>
      <c r="H12" s="3546">
        <v>634577.36300000001</v>
      </c>
      <c r="I12" s="3546">
        <v>562434.80940000003</v>
      </c>
      <c r="J12" s="3546">
        <v>540856.81530000013</v>
      </c>
      <c r="K12" s="3546">
        <v>514637.36880000005</v>
      </c>
      <c r="L12" s="3546">
        <v>492091.02292365284</v>
      </c>
      <c r="M12" s="3546">
        <v>485376.05913562491</v>
      </c>
      <c r="N12" s="3546">
        <v>494774.38041597552</v>
      </c>
      <c r="O12" s="3546">
        <v>492757.84026734903</v>
      </c>
      <c r="P12" s="3546">
        <v>479653.54884665221</v>
      </c>
      <c r="Q12" s="3546">
        <v>470277.36694900005</v>
      </c>
      <c r="R12" s="3546">
        <v>446212.77410146908</v>
      </c>
      <c r="S12" s="3546">
        <v>451360.99380233546</v>
      </c>
      <c r="T12" s="3546">
        <v>435669.70177516964</v>
      </c>
      <c r="U12" s="3546">
        <v>439142.61337731971</v>
      </c>
      <c r="V12" s="3546">
        <v>445742.09863996977</v>
      </c>
    </row>
    <row r="13" spans="1:22" ht="17.399999999999999" customHeight="1" x14ac:dyDescent="0.25">
      <c r="A13" s="3571" t="s">
        <v>13</v>
      </c>
      <c r="B13" s="3571" t="s">
        <v>1696</v>
      </c>
      <c r="C13" s="3547">
        <v>688364.45600000001</v>
      </c>
      <c r="D13" s="3547">
        <v>693085.06</v>
      </c>
      <c r="E13" s="3547">
        <v>688108.495</v>
      </c>
      <c r="F13" s="3547">
        <v>656906.35900000005</v>
      </c>
      <c r="G13" s="3547">
        <v>641169.10290490987</v>
      </c>
      <c r="H13" s="3547">
        <v>634577.36300000001</v>
      </c>
      <c r="I13" s="3547">
        <v>562434.80940000003</v>
      </c>
      <c r="J13" s="3547">
        <v>540856.81530000013</v>
      </c>
      <c r="K13" s="3547">
        <v>514637.36880000005</v>
      </c>
      <c r="L13" s="3547">
        <v>492091.02292365284</v>
      </c>
      <c r="M13" s="3547">
        <v>485376.05913562491</v>
      </c>
      <c r="N13" s="3547">
        <v>494774.38041597552</v>
      </c>
      <c r="O13" s="3547">
        <v>492757.84026734903</v>
      </c>
      <c r="P13" s="3547">
        <v>479653.54884665221</v>
      </c>
      <c r="Q13" s="3547">
        <v>470277.36694900005</v>
      </c>
      <c r="R13" s="3547">
        <v>446212.77410146908</v>
      </c>
      <c r="S13" s="3547">
        <v>451360.99380233546</v>
      </c>
      <c r="T13" s="3547">
        <v>435669.70177516964</v>
      </c>
      <c r="U13" s="3547">
        <v>439142.61337731971</v>
      </c>
      <c r="V13" s="3547">
        <v>445742.09863996977</v>
      </c>
    </row>
    <row r="14" spans="1:22" ht="17.399999999999999" customHeight="1" x14ac:dyDescent="0.25">
      <c r="A14" s="3571" t="s">
        <v>1693</v>
      </c>
      <c r="B14" s="3571" t="s">
        <v>1697</v>
      </c>
      <c r="C14" s="3548">
        <v>178720.72399999999</v>
      </c>
      <c r="D14" s="3548">
        <v>186250.14350000001</v>
      </c>
      <c r="E14" s="3548">
        <v>200038.55</v>
      </c>
      <c r="F14" s="3548">
        <v>211220.883</v>
      </c>
      <c r="G14" s="3548">
        <v>211104.86676509015</v>
      </c>
      <c r="H14" s="3548">
        <v>207250.08600000001</v>
      </c>
      <c r="I14" s="3548">
        <v>154247.21173320001</v>
      </c>
      <c r="J14" s="3548">
        <v>231568.21444170398</v>
      </c>
      <c r="K14" s="3548">
        <v>241954.81266770454</v>
      </c>
      <c r="L14" s="3548">
        <v>265041.99659042381</v>
      </c>
      <c r="M14" s="3548">
        <v>270849.97578467202</v>
      </c>
      <c r="N14" s="3548">
        <v>286134.70503886411</v>
      </c>
      <c r="O14" s="3548">
        <v>310426.10181997583</v>
      </c>
      <c r="P14" s="3548">
        <v>335741.20487948862</v>
      </c>
      <c r="Q14" s="3548">
        <v>338789.07983622252</v>
      </c>
      <c r="R14" s="3548">
        <v>320297.08460266958</v>
      </c>
      <c r="S14" s="3548">
        <v>342757.12228920264</v>
      </c>
      <c r="T14" s="3548">
        <v>336052.61992569792</v>
      </c>
      <c r="U14" s="3548">
        <v>343029.47869921313</v>
      </c>
      <c r="V14" s="3548">
        <v>358995.16245816363</v>
      </c>
    </row>
    <row r="15" spans="1:22" ht="17.399999999999999" customHeight="1" x14ac:dyDescent="0.25">
      <c r="A15" s="3587" t="s">
        <v>48</v>
      </c>
      <c r="B15" s="3589" t="s">
        <v>1698</v>
      </c>
      <c r="C15" s="3583">
        <v>376</v>
      </c>
      <c r="D15" s="3594">
        <v>272</v>
      </c>
      <c r="E15" s="3583">
        <v>782.4</v>
      </c>
      <c r="F15" s="3583">
        <v>1889.6599999999999</v>
      </c>
      <c r="G15" s="3583">
        <v>2343.0051584835301</v>
      </c>
      <c r="H15" s="3583">
        <v>4594.9799999999996</v>
      </c>
      <c r="I15" s="3583">
        <v>6892.2534332000005</v>
      </c>
      <c r="J15" s="3583">
        <v>11836.258400000001</v>
      </c>
      <c r="K15" s="3594">
        <v>19874.388999999999</v>
      </c>
      <c r="L15" s="3583">
        <v>31507.522919999999</v>
      </c>
      <c r="M15" s="3583">
        <v>38294.477174761341</v>
      </c>
      <c r="N15" s="3583">
        <v>42089.617369362502</v>
      </c>
      <c r="O15" s="3583">
        <v>49113.465992426427</v>
      </c>
      <c r="P15" s="3583">
        <v>57383.462548508629</v>
      </c>
      <c r="Q15" s="3583">
        <v>64096.115040000004</v>
      </c>
      <c r="R15" s="3583">
        <v>63710.951440000004</v>
      </c>
      <c r="S15" s="3583">
        <v>66274.026201071611</v>
      </c>
      <c r="T15" s="3583">
        <v>66243.679809273584</v>
      </c>
      <c r="U15" s="3583">
        <v>67558.193773333333</v>
      </c>
      <c r="V15" s="3583">
        <v>67662.728150197334</v>
      </c>
    </row>
    <row r="16" spans="1:22" ht="17.399999999999999" customHeight="1" x14ac:dyDescent="0.25">
      <c r="A16" s="3587" t="s">
        <v>18</v>
      </c>
      <c r="B16" s="3593" t="s">
        <v>1699</v>
      </c>
      <c r="C16" s="3584">
        <v>376</v>
      </c>
      <c r="D16" s="3595">
        <v>272</v>
      </c>
      <c r="E16" s="3598">
        <v>436</v>
      </c>
      <c r="F16" s="3598">
        <v>962</v>
      </c>
      <c r="G16" s="3598">
        <v>812.7</v>
      </c>
      <c r="H16" s="3598">
        <v>1074.98</v>
      </c>
      <c r="I16" s="3598">
        <v>1340</v>
      </c>
      <c r="J16" s="3598">
        <v>3597.85</v>
      </c>
      <c r="K16" s="3595">
        <v>5721.0300000000007</v>
      </c>
      <c r="L16" s="3598">
        <v>5135.7380000000003</v>
      </c>
      <c r="M16" s="3598">
        <v>4590.1170000000002</v>
      </c>
      <c r="N16" s="3598">
        <v>5078.1873903625001</v>
      </c>
      <c r="O16" s="3598">
        <v>7065.3400124264208</v>
      </c>
      <c r="P16" s="3598">
        <v>0</v>
      </c>
      <c r="Q16" s="3598">
        <v>10803.375889999999</v>
      </c>
      <c r="R16" s="3598">
        <v>5229.2870000000003</v>
      </c>
      <c r="S16" s="3598">
        <v>6083.3073052550226</v>
      </c>
      <c r="T16" s="3598">
        <v>6649.16170316847</v>
      </c>
      <c r="U16" s="3598">
        <v>5210.5169999999998</v>
      </c>
      <c r="V16" s="3598">
        <v>4571.9743333333336</v>
      </c>
    </row>
    <row r="17" spans="1:22" ht="32.25" customHeight="1" x14ac:dyDescent="0.25">
      <c r="A17" s="3587" t="s">
        <v>22</v>
      </c>
      <c r="B17" s="3639" t="s">
        <v>1641</v>
      </c>
      <c r="C17" s="3584">
        <v>0</v>
      </c>
      <c r="D17" s="3595">
        <v>0.2374</v>
      </c>
      <c r="E17" s="3598">
        <v>346.4</v>
      </c>
      <c r="F17" s="3598">
        <v>927.66</v>
      </c>
      <c r="G17" s="3598">
        <v>1530.3051584835302</v>
      </c>
      <c r="H17" s="3598">
        <v>3520</v>
      </c>
      <c r="I17" s="3598">
        <v>5552.2534332000005</v>
      </c>
      <c r="J17" s="3598">
        <v>8238.4084000000003</v>
      </c>
      <c r="K17" s="3595">
        <v>14153.359</v>
      </c>
      <c r="L17" s="3598">
        <v>26371.784919999998</v>
      </c>
      <c r="M17" s="3598">
        <v>33704.360174761343</v>
      </c>
      <c r="N17" s="3598">
        <v>37011.429979</v>
      </c>
      <c r="O17" s="3598">
        <v>42048.125980000004</v>
      </c>
      <c r="P17" s="3598">
        <v>50068.257381999996</v>
      </c>
      <c r="Q17" s="3598">
        <v>53292.739150000009</v>
      </c>
      <c r="R17" s="3598">
        <v>54228.066579999999</v>
      </c>
      <c r="S17" s="3598">
        <v>55744.690899149922</v>
      </c>
      <c r="T17" s="3598">
        <v>55242.132456105108</v>
      </c>
      <c r="U17" s="3598">
        <v>57861.581439999994</v>
      </c>
      <c r="V17" s="3598">
        <v>58933.153876864009</v>
      </c>
    </row>
    <row r="18" spans="1:22" ht="17.399999999999999" customHeight="1" x14ac:dyDescent="0.25">
      <c r="A18" s="3587" t="s">
        <v>48</v>
      </c>
      <c r="B18" s="3590" t="s">
        <v>48</v>
      </c>
      <c r="C18" s="3585" t="s">
        <v>48</v>
      </c>
      <c r="D18" s="3596" t="s">
        <v>48</v>
      </c>
      <c r="E18" s="3585" t="s">
        <v>48</v>
      </c>
      <c r="F18" s="3585" t="s">
        <v>48</v>
      </c>
      <c r="G18" s="3585" t="s">
        <v>48</v>
      </c>
      <c r="H18" s="3585" t="s">
        <v>48</v>
      </c>
      <c r="I18" s="3585" t="s">
        <v>48</v>
      </c>
      <c r="J18" s="3585" t="s">
        <v>48</v>
      </c>
      <c r="K18" s="3596" t="s">
        <v>48</v>
      </c>
      <c r="L18" s="3585"/>
      <c r="M18" s="3585"/>
      <c r="N18" s="3585"/>
      <c r="O18" s="3585"/>
      <c r="P18" s="3585"/>
      <c r="Q18" s="3599"/>
      <c r="R18" s="3585"/>
      <c r="S18" s="3585"/>
      <c r="T18" s="3585"/>
      <c r="U18" s="3585"/>
      <c r="V18" s="3585"/>
    </row>
    <row r="19" spans="1:22" ht="17.399999999999999" customHeight="1" x14ac:dyDescent="0.25">
      <c r="A19" s="3588" t="s">
        <v>26</v>
      </c>
      <c r="B19" s="3591" t="s">
        <v>1642</v>
      </c>
      <c r="C19" s="3586">
        <v>70392</v>
      </c>
      <c r="D19" s="3597">
        <v>74065.154999999999</v>
      </c>
      <c r="E19" s="3586">
        <v>79185.78</v>
      </c>
      <c r="F19" s="3586">
        <v>82793.377000000008</v>
      </c>
      <c r="G19" s="3586">
        <v>78720.95</v>
      </c>
      <c r="H19" s="3586">
        <v>75977.363000000012</v>
      </c>
      <c r="I19" s="3586">
        <v>44814.383999999998</v>
      </c>
      <c r="J19" s="3586">
        <v>43088.236619999996</v>
      </c>
      <c r="K19" s="3597">
        <v>39535.093999999997</v>
      </c>
      <c r="L19" s="3586">
        <v>40383.488878787095</v>
      </c>
      <c r="M19" s="3586">
        <v>40777.509815028847</v>
      </c>
      <c r="N19" s="3586">
        <v>43606.419997500408</v>
      </c>
      <c r="O19" s="3586">
        <v>43639.600736147404</v>
      </c>
      <c r="P19" s="3586">
        <v>44657.304818368168</v>
      </c>
      <c r="Q19" s="3586">
        <v>45883.738247999994</v>
      </c>
      <c r="R19" s="3586">
        <v>42134.394557999985</v>
      </c>
      <c r="S19" s="3586">
        <v>41666.064231722485</v>
      </c>
      <c r="T19" s="3586">
        <v>39566.780062608392</v>
      </c>
      <c r="U19" s="3586">
        <v>39158.693164602904</v>
      </c>
      <c r="V19" s="3586">
        <v>41099.102603945568</v>
      </c>
    </row>
    <row r="20" spans="1:22" ht="17.399999999999999" customHeight="1" x14ac:dyDescent="0.25">
      <c r="A20" s="3588" t="s">
        <v>30</v>
      </c>
      <c r="B20" s="3591" t="s">
        <v>1643</v>
      </c>
      <c r="C20" s="3586">
        <v>44700</v>
      </c>
      <c r="D20" s="3597">
        <v>45944.555999999997</v>
      </c>
      <c r="E20" s="3586">
        <v>50915.59</v>
      </c>
      <c r="F20" s="3586">
        <v>51479.178</v>
      </c>
      <c r="G20" s="3586">
        <v>53582.313999999998</v>
      </c>
      <c r="H20" s="3586">
        <v>52130.486000000004</v>
      </c>
      <c r="I20" s="3586">
        <v>27500.720000000001</v>
      </c>
      <c r="J20" s="3586">
        <v>27062.729719999999</v>
      </c>
      <c r="K20" s="3597">
        <v>27143.518320000003</v>
      </c>
      <c r="L20" s="3586">
        <v>28066.263680000004</v>
      </c>
      <c r="M20" s="3586">
        <v>29725.987303999995</v>
      </c>
      <c r="N20" s="3586">
        <v>29271.7906</v>
      </c>
      <c r="O20" s="3586">
        <v>29445.617933342895</v>
      </c>
      <c r="P20" s="3586">
        <v>29997.420254127894</v>
      </c>
      <c r="Q20" s="3586">
        <v>32335.9566452</v>
      </c>
      <c r="R20" s="3586">
        <v>29214.442920000001</v>
      </c>
      <c r="S20" s="3586">
        <v>31149.193765550724</v>
      </c>
      <c r="T20" s="3586">
        <v>31487.479090771671</v>
      </c>
      <c r="U20" s="3586">
        <v>29955.463600400006</v>
      </c>
      <c r="V20" s="3586">
        <v>30028.572750800002</v>
      </c>
    </row>
    <row r="21" spans="1:22" ht="17.399999999999999" customHeight="1" x14ac:dyDescent="0.25">
      <c r="A21" s="3588" t="s">
        <v>34</v>
      </c>
      <c r="B21" s="3591" t="s">
        <v>1644</v>
      </c>
      <c r="C21" s="3586">
        <v>23471</v>
      </c>
      <c r="D21" s="3597">
        <v>24732.044000000002</v>
      </c>
      <c r="E21" s="3586">
        <v>25764.959999999999</v>
      </c>
      <c r="F21" s="3586">
        <v>27927.075999999997</v>
      </c>
      <c r="G21" s="3586">
        <v>29728.59293660659</v>
      </c>
      <c r="H21" s="3586">
        <v>30631.004000000001</v>
      </c>
      <c r="I21" s="3586">
        <v>27763.345800000003</v>
      </c>
      <c r="J21" s="3586">
        <v>28923.956297999997</v>
      </c>
      <c r="K21" s="3597">
        <v>30373.840500000002</v>
      </c>
      <c r="L21" s="3586">
        <v>32103.522479379986</v>
      </c>
      <c r="M21" s="3586">
        <v>34813.748729360654</v>
      </c>
      <c r="N21" s="3586">
        <v>36025.874971701312</v>
      </c>
      <c r="O21" s="3586">
        <v>38590.583768286626</v>
      </c>
      <c r="P21" s="3586">
        <v>43175.510649485994</v>
      </c>
      <c r="Q21" s="3586">
        <v>44540.070435000001</v>
      </c>
      <c r="R21" s="3586">
        <v>46762.101763883053</v>
      </c>
      <c r="S21" s="3586">
        <v>47587.362142404396</v>
      </c>
      <c r="T21" s="3586">
        <v>46648.176270034877</v>
      </c>
      <c r="U21" s="3586">
        <v>46915.487025591276</v>
      </c>
      <c r="V21" s="3586">
        <v>48875.270810078095</v>
      </c>
    </row>
    <row r="22" spans="1:22" ht="17.399999999999999" customHeight="1" x14ac:dyDescent="0.25">
      <c r="A22" s="3588" t="s">
        <v>36</v>
      </c>
      <c r="B22" s="3591" t="s">
        <v>1645</v>
      </c>
      <c r="C22" s="3586">
        <v>1671</v>
      </c>
      <c r="D22" s="3597">
        <v>1049</v>
      </c>
      <c r="E22" s="3586">
        <v>1444</v>
      </c>
      <c r="F22" s="3586">
        <v>1603</v>
      </c>
      <c r="G22" s="3586">
        <v>1775.78</v>
      </c>
      <c r="H22" s="3586">
        <v>1882</v>
      </c>
      <c r="I22" s="3586">
        <v>1425</v>
      </c>
      <c r="J22" s="3586">
        <v>1703.925</v>
      </c>
      <c r="K22" s="3597">
        <v>1232</v>
      </c>
      <c r="L22" s="3586">
        <v>990.04724999999996</v>
      </c>
      <c r="M22" s="3586">
        <v>1046.1847500000001</v>
      </c>
      <c r="N22" s="3586">
        <v>1259.9485</v>
      </c>
      <c r="O22" s="3586">
        <v>967.70725000000004</v>
      </c>
      <c r="P22" s="3586">
        <v>1016.2335</v>
      </c>
      <c r="Q22" s="3586">
        <v>1816.6281824999996</v>
      </c>
      <c r="R22" s="3586">
        <v>1091.6595</v>
      </c>
      <c r="S22" s="3586">
        <v>1282.43325</v>
      </c>
      <c r="T22" s="3586">
        <v>1237.6795</v>
      </c>
      <c r="U22" s="3586">
        <v>1305.414</v>
      </c>
      <c r="V22" s="3586">
        <v>1350.4845</v>
      </c>
    </row>
    <row r="23" spans="1:22" ht="17.399999999999999" customHeight="1" x14ac:dyDescent="0.25">
      <c r="A23" s="3588" t="s">
        <v>37</v>
      </c>
      <c r="B23" s="3591" t="s">
        <v>1646</v>
      </c>
      <c r="C23" s="3586">
        <v>5565</v>
      </c>
      <c r="D23" s="3597">
        <v>6542.2139999999999</v>
      </c>
      <c r="E23" s="3586">
        <v>7213.11</v>
      </c>
      <c r="F23" s="3586">
        <v>6970.56</v>
      </c>
      <c r="G23" s="3586">
        <v>6612.08</v>
      </c>
      <c r="H23" s="3586">
        <v>945.62999999999988</v>
      </c>
      <c r="I23" s="3586">
        <v>610.20000000000005</v>
      </c>
      <c r="J23" s="3586">
        <v>1076.9391000000001</v>
      </c>
      <c r="K23" s="3597">
        <v>2825.3125</v>
      </c>
      <c r="L23" s="3586">
        <v>2909.6685000000002</v>
      </c>
      <c r="M23" s="3586">
        <v>1452.8942999999999</v>
      </c>
      <c r="N23" s="3586">
        <v>1553.2255</v>
      </c>
      <c r="O23" s="3586">
        <v>1740.3719968218732</v>
      </c>
      <c r="P23" s="3586">
        <v>1820.2020230000003</v>
      </c>
      <c r="Q23" s="3586">
        <v>1939.5727019999997</v>
      </c>
      <c r="R23" s="3586">
        <v>2341.0713960000003</v>
      </c>
      <c r="S23" s="3586">
        <v>2150.1480959999999</v>
      </c>
      <c r="T23" s="3586">
        <v>1589.1347959999998</v>
      </c>
      <c r="U23" s="3586">
        <v>1297.067796</v>
      </c>
      <c r="V23" s="3586">
        <v>1496.4799499999999</v>
      </c>
    </row>
    <row r="24" spans="1:22" ht="17.399999999999999" customHeight="1" x14ac:dyDescent="0.25">
      <c r="A24" s="3587" t="s">
        <v>48</v>
      </c>
      <c r="B24" s="3592" t="s">
        <v>48</v>
      </c>
      <c r="C24" s="3585" t="s">
        <v>48</v>
      </c>
      <c r="D24" s="3596" t="s">
        <v>48</v>
      </c>
      <c r="E24" s="3585" t="s">
        <v>48</v>
      </c>
      <c r="F24" s="3585" t="s">
        <v>48</v>
      </c>
      <c r="G24" s="3585" t="s">
        <v>48</v>
      </c>
      <c r="H24" s="3585" t="s">
        <v>48</v>
      </c>
      <c r="I24" s="3585" t="s">
        <v>48</v>
      </c>
      <c r="J24" s="3585" t="s">
        <v>48</v>
      </c>
      <c r="K24" s="3596" t="s">
        <v>48</v>
      </c>
      <c r="L24" s="3585"/>
      <c r="M24" s="3585"/>
      <c r="N24" s="3585"/>
      <c r="O24" s="3585"/>
      <c r="P24" s="3585"/>
      <c r="Q24" s="3599"/>
      <c r="R24" s="3585"/>
      <c r="S24" s="3585"/>
      <c r="T24" s="3585"/>
      <c r="U24" s="3585"/>
      <c r="V24" s="3585"/>
    </row>
    <row r="25" spans="1:22" ht="17.399999999999999" customHeight="1" x14ac:dyDescent="0.25">
      <c r="A25" s="3588" t="s">
        <v>48</v>
      </c>
      <c r="B25" s="3591" t="s">
        <v>1700</v>
      </c>
      <c r="C25" s="3586">
        <v>610</v>
      </c>
      <c r="D25" s="3597">
        <v>419.88800000000003</v>
      </c>
      <c r="E25" s="3586">
        <v>477.87</v>
      </c>
      <c r="F25" s="3586">
        <v>1420.585</v>
      </c>
      <c r="G25" s="3586">
        <v>1197.58267</v>
      </c>
      <c r="H25" s="3586">
        <v>560.04</v>
      </c>
      <c r="I25" s="3586">
        <v>689.9</v>
      </c>
      <c r="J25" s="3586">
        <v>569.35599999999999</v>
      </c>
      <c r="K25" s="3597">
        <v>747.01973598619588</v>
      </c>
      <c r="L25" s="3586">
        <v>746.85195330932527</v>
      </c>
      <c r="M25" s="3586">
        <v>760.42613999999992</v>
      </c>
      <c r="N25" s="3586">
        <v>870.89297642652605</v>
      </c>
      <c r="O25" s="3586">
        <v>821.61155229268707</v>
      </c>
      <c r="P25" s="3586">
        <v>837.61900978008953</v>
      </c>
      <c r="Q25" s="3586">
        <v>1296.8801102013026</v>
      </c>
      <c r="R25" s="3586">
        <v>1249.9902100000002</v>
      </c>
      <c r="S25" s="3586">
        <v>1212.6080965612903</v>
      </c>
      <c r="T25" s="3586">
        <v>1090.4850652823272</v>
      </c>
      <c r="U25" s="3586">
        <v>848.54582076923077</v>
      </c>
      <c r="V25" s="3586">
        <v>956.61659783720938</v>
      </c>
    </row>
    <row r="26" spans="1:22" ht="17.399999999999999" customHeight="1" x14ac:dyDescent="0.25">
      <c r="A26" s="3587" t="s">
        <v>40</v>
      </c>
      <c r="B26" s="3593" t="s">
        <v>1701</v>
      </c>
      <c r="C26" s="3584">
        <v>601</v>
      </c>
      <c r="D26" s="3595">
        <v>419.88800000000003</v>
      </c>
      <c r="E26" s="3598">
        <v>477.87</v>
      </c>
      <c r="F26" s="3598">
        <v>648.20100000000002</v>
      </c>
      <c r="G26" s="3598">
        <v>736.80500000000006</v>
      </c>
      <c r="H26" s="3598">
        <v>215.32499999999999</v>
      </c>
      <c r="I26" s="3598">
        <v>162</v>
      </c>
      <c r="J26" s="3598">
        <v>110.795</v>
      </c>
      <c r="K26" s="3595">
        <v>26.184260804128144</v>
      </c>
      <c r="L26" s="3598">
        <v>34.438400000000001</v>
      </c>
      <c r="M26" s="3598">
        <v>33.975800000000007</v>
      </c>
      <c r="N26" s="3598">
        <v>23.685750000000002</v>
      </c>
      <c r="O26" s="3598">
        <v>18.806450000000002</v>
      </c>
      <c r="P26" s="3598">
        <v>45.802149999999997</v>
      </c>
      <c r="Q26" s="3598">
        <v>67.294600000000003</v>
      </c>
      <c r="R26" s="3598">
        <v>46.811800000000005</v>
      </c>
      <c r="S26" s="3598">
        <v>50.487984805436</v>
      </c>
      <c r="T26" s="3598">
        <v>80.924937962917824</v>
      </c>
      <c r="U26" s="3598">
        <v>34.066360000000003</v>
      </c>
      <c r="V26" s="3598">
        <v>67.323400000000007</v>
      </c>
    </row>
    <row r="27" spans="1:22" ht="17.399999999999999" customHeight="1" x14ac:dyDescent="0.25">
      <c r="A27" s="3587" t="s">
        <v>43</v>
      </c>
      <c r="B27" s="3593" t="s">
        <v>1648</v>
      </c>
      <c r="C27" s="3584">
        <v>4</v>
      </c>
      <c r="D27" s="3595">
        <v>0</v>
      </c>
      <c r="E27" s="3598">
        <v>0</v>
      </c>
      <c r="F27" s="3598">
        <v>1.8839999999999999</v>
      </c>
      <c r="G27" s="3598">
        <v>2.0616699999999999</v>
      </c>
      <c r="H27" s="3598">
        <v>2.298</v>
      </c>
      <c r="I27" s="3598">
        <v>0</v>
      </c>
      <c r="J27" s="3598">
        <v>49.417999999999999</v>
      </c>
      <c r="K27" s="3595">
        <v>111.95447518206768</v>
      </c>
      <c r="L27" s="3598">
        <v>114.57676520932529</v>
      </c>
      <c r="M27" s="3598">
        <v>227.505</v>
      </c>
      <c r="N27" s="3598">
        <v>240.00902642652605</v>
      </c>
      <c r="O27" s="3598">
        <v>272.49502456946072</v>
      </c>
      <c r="P27" s="3598">
        <v>222.05478205686339</v>
      </c>
      <c r="Q27" s="3598">
        <v>273.94803020130263</v>
      </c>
      <c r="R27" s="3598">
        <v>194.94806999999997</v>
      </c>
      <c r="S27" s="3598">
        <v>167.83904900000002</v>
      </c>
      <c r="T27" s="3598">
        <v>161.73353000000003</v>
      </c>
      <c r="U27" s="3598">
        <v>8.1492007692307684</v>
      </c>
      <c r="V27" s="3598">
        <v>29.106947837209301</v>
      </c>
    </row>
    <row r="28" spans="1:22" ht="17.399999999999999" customHeight="1" x14ac:dyDescent="0.25">
      <c r="A28" s="3587" t="s">
        <v>45</v>
      </c>
      <c r="B28" s="3593" t="s">
        <v>1702</v>
      </c>
      <c r="C28" s="3584">
        <v>5</v>
      </c>
      <c r="D28" s="3595">
        <v>0</v>
      </c>
      <c r="E28" s="3598">
        <v>0</v>
      </c>
      <c r="F28" s="3598">
        <v>39.271999999999998</v>
      </c>
      <c r="G28" s="3598">
        <v>30.148999999999997</v>
      </c>
      <c r="H28" s="3598">
        <v>9.3960000000000008</v>
      </c>
      <c r="I28" s="3598">
        <v>0</v>
      </c>
      <c r="J28" s="3598">
        <v>175.077</v>
      </c>
      <c r="K28" s="3595">
        <v>404.017</v>
      </c>
      <c r="L28" s="3598">
        <v>373.98450000000003</v>
      </c>
      <c r="M28" s="3598">
        <v>324.61400000000003</v>
      </c>
      <c r="N28" s="3598">
        <v>460.90320000000008</v>
      </c>
      <c r="O28" s="3598">
        <v>407.16407772322628</v>
      </c>
      <c r="P28" s="3598">
        <v>454.38607772322626</v>
      </c>
      <c r="Q28" s="3598">
        <v>109.27</v>
      </c>
      <c r="R28" s="3598">
        <v>179.697</v>
      </c>
      <c r="S28" s="3598">
        <v>147.39112205738294</v>
      </c>
      <c r="T28" s="3598">
        <v>137.75800592623455</v>
      </c>
      <c r="U28" s="3598">
        <v>145.946</v>
      </c>
      <c r="V28" s="3598">
        <v>183.44</v>
      </c>
    </row>
    <row r="29" spans="1:22" ht="17.399999999999999" customHeight="1" x14ac:dyDescent="0.25">
      <c r="A29" s="3587" t="s">
        <v>49</v>
      </c>
      <c r="B29" s="3593" t="s">
        <v>1703</v>
      </c>
      <c r="C29" s="3584">
        <v>0</v>
      </c>
      <c r="D29" s="3595">
        <v>0</v>
      </c>
      <c r="E29" s="3598">
        <v>0</v>
      </c>
      <c r="F29" s="3598">
        <v>0</v>
      </c>
      <c r="G29" s="3598">
        <v>0</v>
      </c>
      <c r="H29" s="3598">
        <v>0</v>
      </c>
      <c r="I29" s="3598">
        <v>0</v>
      </c>
      <c r="J29" s="3598">
        <v>83.47</v>
      </c>
      <c r="K29" s="3595">
        <v>99.933999999999997</v>
      </c>
      <c r="L29" s="3598">
        <v>80.349500000000006</v>
      </c>
      <c r="M29" s="3598">
        <v>72.351000000000013</v>
      </c>
      <c r="N29" s="3598">
        <v>82.354000000000013</v>
      </c>
      <c r="O29" s="3598">
        <v>73.350000000000009</v>
      </c>
      <c r="P29" s="3598">
        <v>48.766999999999996</v>
      </c>
      <c r="Q29" s="3598">
        <v>81.312999999999988</v>
      </c>
      <c r="R29" s="3598">
        <v>70.716999999999999</v>
      </c>
      <c r="S29" s="3598">
        <v>68.079289991002057</v>
      </c>
      <c r="T29" s="3598">
        <v>55.381646065946533</v>
      </c>
      <c r="U29" s="3598">
        <v>75.49799999999999</v>
      </c>
      <c r="V29" s="3598">
        <v>72.004000000000005</v>
      </c>
    </row>
    <row r="30" spans="1:22" ht="17.399999999999999" customHeight="1" x14ac:dyDescent="0.25">
      <c r="A30" s="3587" t="s">
        <v>40</v>
      </c>
      <c r="B30" s="3593" t="s">
        <v>1704</v>
      </c>
      <c r="C30" s="3584">
        <v>0</v>
      </c>
      <c r="D30" s="3595">
        <v>0</v>
      </c>
      <c r="E30" s="3598">
        <v>0</v>
      </c>
      <c r="F30" s="3598">
        <v>0</v>
      </c>
      <c r="G30" s="3598">
        <v>0</v>
      </c>
      <c r="H30" s="3598">
        <v>0</v>
      </c>
      <c r="I30" s="3598">
        <v>0</v>
      </c>
      <c r="J30" s="3598">
        <v>8.9499999999999993</v>
      </c>
      <c r="K30" s="3595">
        <v>93.93</v>
      </c>
      <c r="L30" s="3598">
        <v>88.544999999999987</v>
      </c>
      <c r="M30" s="3598">
        <v>61.191000000000003</v>
      </c>
      <c r="N30" s="3598">
        <v>35.054000000000002</v>
      </c>
      <c r="O30" s="3598">
        <v>28.686</v>
      </c>
      <c r="P30" s="3598">
        <v>40.904000000000003</v>
      </c>
      <c r="Q30" s="3598">
        <v>297.24599999999998</v>
      </c>
      <c r="R30" s="3598">
        <v>285.51900000000001</v>
      </c>
      <c r="S30" s="3598">
        <v>254.23770124153947</v>
      </c>
      <c r="T30" s="3598">
        <v>232.7105305065889</v>
      </c>
      <c r="U30" s="3598">
        <v>134.078</v>
      </c>
      <c r="V30" s="3598">
        <v>142.77699999999999</v>
      </c>
    </row>
    <row r="31" spans="1:22" ht="17.399999999999999" customHeight="1" x14ac:dyDescent="0.25">
      <c r="A31" s="3587" t="s">
        <v>52</v>
      </c>
      <c r="B31" s="3593" t="s">
        <v>1705</v>
      </c>
      <c r="C31" s="3584">
        <v>0</v>
      </c>
      <c r="D31" s="3595">
        <v>0</v>
      </c>
      <c r="E31" s="3598">
        <v>0</v>
      </c>
      <c r="F31" s="3598">
        <v>0</v>
      </c>
      <c r="G31" s="3598">
        <v>0</v>
      </c>
      <c r="H31" s="3598">
        <v>0</v>
      </c>
      <c r="I31" s="3598">
        <v>0</v>
      </c>
      <c r="J31" s="3598">
        <v>0</v>
      </c>
      <c r="K31" s="3595">
        <v>0</v>
      </c>
      <c r="L31" s="3598">
        <v>0</v>
      </c>
      <c r="M31" s="3598">
        <v>0</v>
      </c>
      <c r="N31" s="3598">
        <v>0</v>
      </c>
      <c r="O31" s="3598">
        <v>0</v>
      </c>
      <c r="P31" s="3598">
        <v>2.8000000000000001E-2</v>
      </c>
      <c r="Q31" s="3598">
        <v>0</v>
      </c>
      <c r="R31" s="3598">
        <v>4.0000000000000001E-3</v>
      </c>
      <c r="S31" s="3598">
        <v>0</v>
      </c>
      <c r="T31" s="3598">
        <v>0</v>
      </c>
      <c r="U31" s="3598">
        <v>0</v>
      </c>
      <c r="V31" s="3598">
        <v>0</v>
      </c>
    </row>
    <row r="32" spans="1:22" ht="17.399999999999999" customHeight="1" x14ac:dyDescent="0.25">
      <c r="A32" s="3587" t="s">
        <v>52</v>
      </c>
      <c r="B32" s="3593" t="s">
        <v>1706</v>
      </c>
      <c r="C32" s="3584">
        <v>0</v>
      </c>
      <c r="D32" s="3595">
        <v>0</v>
      </c>
      <c r="E32" s="3598">
        <v>0</v>
      </c>
      <c r="F32" s="3598">
        <v>731.22799999999995</v>
      </c>
      <c r="G32" s="3598">
        <v>428.56700000000001</v>
      </c>
      <c r="H32" s="3598">
        <v>333.02100000000002</v>
      </c>
      <c r="I32" s="3598">
        <v>527.9</v>
      </c>
      <c r="J32" s="3598">
        <v>141.64600000000002</v>
      </c>
      <c r="K32" s="3595">
        <v>11</v>
      </c>
      <c r="L32" s="3598">
        <v>54.957788099999995</v>
      </c>
      <c r="M32" s="3598">
        <v>40.789339999999996</v>
      </c>
      <c r="N32" s="3598">
        <v>28.887</v>
      </c>
      <c r="O32" s="3598">
        <v>21.110000000000003</v>
      </c>
      <c r="P32" s="3598">
        <v>25.677</v>
      </c>
      <c r="Q32" s="3598">
        <v>467.80848000000003</v>
      </c>
      <c r="R32" s="3598">
        <v>468.93834000000004</v>
      </c>
      <c r="S32" s="3598">
        <v>518.91294946592973</v>
      </c>
      <c r="T32" s="3598">
        <v>417.07241482063944</v>
      </c>
      <c r="U32" s="3598">
        <v>450.80826000000002</v>
      </c>
      <c r="V32" s="3598">
        <v>458.72525000000002</v>
      </c>
    </row>
    <row r="33" spans="1:22" ht="17.399999999999999" customHeight="1" x14ac:dyDescent="0.25">
      <c r="A33" s="3587" t="s">
        <v>48</v>
      </c>
      <c r="B33" s="3592" t="s">
        <v>48</v>
      </c>
      <c r="C33" s="3585" t="s">
        <v>48</v>
      </c>
      <c r="D33" s="3596" t="s">
        <v>48</v>
      </c>
      <c r="E33" s="3585" t="s">
        <v>48</v>
      </c>
      <c r="F33" s="3585" t="s">
        <v>48</v>
      </c>
      <c r="G33" s="3585" t="s">
        <v>48</v>
      </c>
      <c r="H33" s="3585" t="s">
        <v>48</v>
      </c>
      <c r="I33" s="3585" t="s">
        <v>48</v>
      </c>
      <c r="J33" s="3585" t="s">
        <v>48</v>
      </c>
      <c r="K33" s="3596" t="s">
        <v>48</v>
      </c>
      <c r="L33" s="3585"/>
      <c r="M33" s="3585"/>
      <c r="N33" s="3585"/>
      <c r="O33" s="3585"/>
      <c r="P33" s="3585"/>
      <c r="Q33" s="3599"/>
      <c r="R33" s="3585"/>
      <c r="S33" s="3585"/>
      <c r="T33" s="3585"/>
      <c r="U33" s="3585"/>
      <c r="V33" s="3585"/>
    </row>
    <row r="34" spans="1:22" ht="17.399999999999999" customHeight="1" x14ac:dyDescent="0.25">
      <c r="A34" s="3588" t="s">
        <v>48</v>
      </c>
      <c r="B34" s="3591" t="s">
        <v>1707</v>
      </c>
      <c r="C34" s="3586">
        <v>16457</v>
      </c>
      <c r="D34" s="3597">
        <v>17565.6355</v>
      </c>
      <c r="E34" s="3586">
        <v>18586.650000000001</v>
      </c>
      <c r="F34" s="3586">
        <v>17847.467000000001</v>
      </c>
      <c r="G34" s="3586">
        <v>18492.101999999999</v>
      </c>
      <c r="H34" s="3586">
        <v>20952.732</v>
      </c>
      <c r="I34" s="3586">
        <v>20865.665000000001</v>
      </c>
      <c r="J34" s="3586">
        <v>22016.945617704001</v>
      </c>
      <c r="K34" s="3597">
        <v>21952.026059195872</v>
      </c>
      <c r="L34" s="3586">
        <v>22556.458196689986</v>
      </c>
      <c r="M34" s="3586">
        <v>23567.482324167511</v>
      </c>
      <c r="N34" s="3586">
        <v>27005.284467974365</v>
      </c>
      <c r="O34" s="3586">
        <v>27779.13464797437</v>
      </c>
      <c r="P34" s="3586">
        <v>29548.666153974365</v>
      </c>
      <c r="Q34" s="3586">
        <v>31538.460311732586</v>
      </c>
      <c r="R34" s="3586">
        <v>22722.69941384</v>
      </c>
      <c r="S34" s="3586">
        <v>24668.095225117362</v>
      </c>
      <c r="T34" s="3586">
        <v>23439.889179596488</v>
      </c>
      <c r="U34" s="3586">
        <v>22980.053499000001</v>
      </c>
      <c r="V34" s="3586">
        <v>25323.215750000007</v>
      </c>
    </row>
    <row r="35" spans="1:22" ht="17.399999999999999" customHeight="1" x14ac:dyDescent="0.25">
      <c r="A35" s="3587" t="s">
        <v>56</v>
      </c>
      <c r="B35" s="3593" t="s">
        <v>1650</v>
      </c>
      <c r="C35" s="3584">
        <v>3069</v>
      </c>
      <c r="D35" s="3595">
        <v>3716.819</v>
      </c>
      <c r="E35" s="3598">
        <v>3790.84</v>
      </c>
      <c r="F35" s="3598">
        <v>4480.21</v>
      </c>
      <c r="G35" s="3598">
        <v>4676.3450000000003</v>
      </c>
      <c r="H35" s="3598">
        <v>4905.857</v>
      </c>
      <c r="I35" s="3598">
        <v>6726.3287999999993</v>
      </c>
      <c r="J35" s="3598">
        <v>5197.8523800000003</v>
      </c>
      <c r="K35" s="3595">
        <v>5013.1620000000003</v>
      </c>
      <c r="L35" s="3598">
        <v>5963.6899851566468</v>
      </c>
      <c r="M35" s="3598">
        <v>6259.8708104851021</v>
      </c>
      <c r="N35" s="3598">
        <v>6758.1616598798746</v>
      </c>
      <c r="O35" s="3598">
        <v>7645.1376894834057</v>
      </c>
      <c r="P35" s="3598">
        <v>8736.7387779764904</v>
      </c>
      <c r="Q35" s="3598">
        <v>9341.4206830100011</v>
      </c>
      <c r="R35" s="3598">
        <v>8736.6180500000009</v>
      </c>
      <c r="S35" s="3598">
        <v>9072.2418648538369</v>
      </c>
      <c r="T35" s="3598">
        <v>8977.1405470799127</v>
      </c>
      <c r="U35" s="3598">
        <v>8877.204389999999</v>
      </c>
      <c r="V35" s="3598">
        <v>9396.3890499999998</v>
      </c>
    </row>
    <row r="36" spans="1:22" ht="17.399999999999999" customHeight="1" x14ac:dyDescent="0.25">
      <c r="A36" s="3587" t="s">
        <v>93</v>
      </c>
      <c r="B36" s="3593" t="s">
        <v>1651</v>
      </c>
      <c r="C36" s="3584">
        <v>12322</v>
      </c>
      <c r="D36" s="3595">
        <v>13716.58</v>
      </c>
      <c r="E36" s="3598">
        <v>14675.44</v>
      </c>
      <c r="F36" s="3598">
        <v>13323.82</v>
      </c>
      <c r="G36" s="3598">
        <v>13707.166999999999</v>
      </c>
      <c r="H36" s="3598">
        <v>14965.686</v>
      </c>
      <c r="I36" s="3598">
        <v>12757.284900000001</v>
      </c>
      <c r="J36" s="3598">
        <v>14139.378000000002</v>
      </c>
      <c r="K36" s="3595">
        <v>15004.716399999999</v>
      </c>
      <c r="L36" s="3598">
        <v>14737.1967</v>
      </c>
      <c r="M36" s="3598">
        <v>14777.208899999998</v>
      </c>
      <c r="N36" s="3598">
        <v>11382.902881427901</v>
      </c>
      <c r="O36" s="3598">
        <v>12704.493777554388</v>
      </c>
      <c r="P36" s="3598">
        <v>13724.082076456965</v>
      </c>
      <c r="Q36" s="3598">
        <v>20045.944620000002</v>
      </c>
      <c r="R36" s="3598">
        <v>11990.708999999999</v>
      </c>
      <c r="S36" s="3598">
        <v>13127.320544982578</v>
      </c>
      <c r="T36" s="3598">
        <v>11948.388185478138</v>
      </c>
      <c r="U36" s="3598">
        <v>12133.665000000001</v>
      </c>
      <c r="V36" s="3598">
        <v>14040.343799999999</v>
      </c>
    </row>
    <row r="37" spans="1:22" ht="17.399999999999999" customHeight="1" x14ac:dyDescent="0.25">
      <c r="A37" s="3587" t="s">
        <v>59</v>
      </c>
      <c r="B37" s="3593" t="s">
        <v>1708</v>
      </c>
      <c r="C37" s="3584">
        <v>0</v>
      </c>
      <c r="D37" s="3595">
        <v>0</v>
      </c>
      <c r="E37" s="3598">
        <v>0</v>
      </c>
      <c r="F37" s="3598">
        <v>0</v>
      </c>
      <c r="G37" s="3598">
        <v>0</v>
      </c>
      <c r="H37" s="3598">
        <v>0</v>
      </c>
      <c r="I37" s="3598">
        <v>0</v>
      </c>
      <c r="J37" s="3598">
        <v>81.800000000000011</v>
      </c>
      <c r="K37" s="3595">
        <v>321.76715919587184</v>
      </c>
      <c r="L37" s="3598">
        <v>220.13808111605869</v>
      </c>
      <c r="M37" s="3598">
        <v>263.22807604351851</v>
      </c>
      <c r="N37" s="3598">
        <v>393.92034999999998</v>
      </c>
      <c r="O37" s="3598">
        <v>327.16385000000002</v>
      </c>
      <c r="P37" s="3598">
        <v>299.54545000000002</v>
      </c>
      <c r="Q37" s="3598">
        <v>264.27645000000001</v>
      </c>
      <c r="R37" s="3598">
        <v>187.43821000000003</v>
      </c>
      <c r="S37" s="3598">
        <v>188.28813023670537</v>
      </c>
      <c r="T37" s="3598">
        <v>188.49140914754082</v>
      </c>
      <c r="U37" s="3598">
        <v>143.59879000000001</v>
      </c>
      <c r="V37" s="3598">
        <v>145.89891</v>
      </c>
    </row>
    <row r="38" spans="1:22" ht="17.399999999999999" customHeight="1" x14ac:dyDescent="0.25">
      <c r="A38" s="3587" t="s">
        <v>61</v>
      </c>
      <c r="B38" s="3593" t="s">
        <v>1709</v>
      </c>
      <c r="C38" s="3584">
        <v>1065</v>
      </c>
      <c r="D38" s="3595">
        <v>120.73650000000001</v>
      </c>
      <c r="E38" s="3598">
        <v>107.76</v>
      </c>
      <c r="F38" s="3598">
        <v>0</v>
      </c>
      <c r="G38" s="3598">
        <v>53.524999999999999</v>
      </c>
      <c r="H38" s="3598">
        <v>918.52800000000002</v>
      </c>
      <c r="I38" s="3598">
        <v>1153.4582</v>
      </c>
      <c r="J38" s="3598">
        <v>1143.187937704</v>
      </c>
      <c r="K38" s="3595">
        <v>1140.1599999999999</v>
      </c>
      <c r="L38" s="3598">
        <v>1086.9680304172791</v>
      </c>
      <c r="M38" s="3598">
        <v>1334.2541000000001</v>
      </c>
      <c r="N38" s="3598">
        <v>1268.7347300000001</v>
      </c>
      <c r="O38" s="3598">
        <v>1114.5062600000001</v>
      </c>
      <c r="P38" s="3598">
        <v>1157.95829</v>
      </c>
      <c r="Q38" s="3598">
        <v>1401.4550518025856</v>
      </c>
      <c r="R38" s="3598">
        <v>1187.556071</v>
      </c>
      <c r="S38" s="3598">
        <v>1305.1158740359651</v>
      </c>
      <c r="T38" s="3598">
        <v>1277.4386001700191</v>
      </c>
      <c r="U38" s="3598">
        <v>910.18494899999996</v>
      </c>
      <c r="V38" s="3598">
        <v>826.90579000000014</v>
      </c>
    </row>
    <row r="39" spans="1:22" ht="17.399999999999999" customHeight="1" x14ac:dyDescent="0.25">
      <c r="A39" s="3587" t="s">
        <v>52</v>
      </c>
      <c r="B39" s="3593" t="s">
        <v>1710</v>
      </c>
      <c r="C39" s="3584">
        <v>0</v>
      </c>
      <c r="D39" s="3595">
        <v>0</v>
      </c>
      <c r="E39" s="3598">
        <v>0</v>
      </c>
      <c r="F39" s="3598">
        <v>0</v>
      </c>
      <c r="G39" s="3598">
        <v>0</v>
      </c>
      <c r="H39" s="3598">
        <v>0</v>
      </c>
      <c r="I39" s="3598">
        <v>0</v>
      </c>
      <c r="J39" s="3598">
        <v>14.916</v>
      </c>
      <c r="K39" s="3595">
        <v>3</v>
      </c>
      <c r="L39" s="3598">
        <v>10.895</v>
      </c>
      <c r="M39" s="3598">
        <v>8.5950000000000006</v>
      </c>
      <c r="N39" s="3598">
        <v>8.5950000000000006</v>
      </c>
      <c r="O39" s="3598">
        <v>8.5950000000000006</v>
      </c>
      <c r="P39" s="3598">
        <v>8.5950000000000006</v>
      </c>
      <c r="Q39" s="3598">
        <v>3.9550000000000001</v>
      </c>
      <c r="R39" s="3598">
        <v>0.215</v>
      </c>
      <c r="S39" s="3598">
        <v>0.23318804639751831</v>
      </c>
      <c r="T39" s="3598">
        <v>0.23273738342052125</v>
      </c>
      <c r="U39" s="3598">
        <v>0</v>
      </c>
      <c r="V39" s="3598">
        <v>0</v>
      </c>
    </row>
    <row r="40" spans="1:22" ht="17.399999999999999" customHeight="1" x14ac:dyDescent="0.25">
      <c r="A40" s="3587" t="s">
        <v>52</v>
      </c>
      <c r="B40" s="3593" t="s">
        <v>1711</v>
      </c>
      <c r="C40" s="3584">
        <v>0</v>
      </c>
      <c r="D40" s="3595">
        <v>0</v>
      </c>
      <c r="E40" s="3598">
        <v>0</v>
      </c>
      <c r="F40" s="3598">
        <v>0</v>
      </c>
      <c r="G40" s="3598">
        <v>0</v>
      </c>
      <c r="H40" s="3598">
        <v>0</v>
      </c>
      <c r="I40" s="3598">
        <v>0</v>
      </c>
      <c r="J40" s="3598">
        <v>39.472000000000001</v>
      </c>
      <c r="K40" s="3595">
        <v>75</v>
      </c>
      <c r="L40" s="3598">
        <v>93.802000000000007</v>
      </c>
      <c r="M40" s="3598">
        <v>294.90252531624486</v>
      </c>
      <c r="N40" s="3598">
        <v>296.00752531624488</v>
      </c>
      <c r="O40" s="3598">
        <v>296.67252531624484</v>
      </c>
      <c r="P40" s="3598">
        <v>296.80752531624483</v>
      </c>
      <c r="Q40" s="3598">
        <v>6.5401700000000007</v>
      </c>
      <c r="R40" s="3598">
        <v>4.3499999999999996</v>
      </c>
      <c r="S40" s="3598">
        <v>3.1</v>
      </c>
      <c r="T40" s="3598">
        <v>3.08</v>
      </c>
      <c r="U40" s="3598">
        <v>2.5</v>
      </c>
      <c r="V40" s="3598">
        <v>2.0099999999999998</v>
      </c>
    </row>
    <row r="41" spans="1:22" ht="17.399999999999999" customHeight="1" x14ac:dyDescent="0.25">
      <c r="A41" s="3587" t="s">
        <v>52</v>
      </c>
      <c r="B41" s="3593" t="s">
        <v>1712</v>
      </c>
      <c r="C41" s="3584">
        <v>0</v>
      </c>
      <c r="D41" s="3595">
        <v>0</v>
      </c>
      <c r="E41" s="3598">
        <v>0</v>
      </c>
      <c r="F41" s="3598">
        <v>0</v>
      </c>
      <c r="G41" s="3598">
        <v>0</v>
      </c>
      <c r="H41" s="3598">
        <v>0</v>
      </c>
      <c r="I41" s="3598">
        <v>0</v>
      </c>
      <c r="J41" s="3598">
        <v>103.30080000000001</v>
      </c>
      <c r="K41" s="3595">
        <v>151</v>
      </c>
      <c r="L41" s="3598">
        <v>156.50540000000001</v>
      </c>
      <c r="M41" s="3598">
        <v>160.18040000000002</v>
      </c>
      <c r="N41" s="3598">
        <v>157.88339999999999</v>
      </c>
      <c r="O41" s="3598">
        <v>143.4974</v>
      </c>
      <c r="P41" s="3598">
        <v>147.8844</v>
      </c>
      <c r="Q41" s="3598">
        <v>173.77807999999999</v>
      </c>
      <c r="R41" s="3598">
        <v>202.19003000000001</v>
      </c>
      <c r="S41" s="3598">
        <v>219.51299999999998</v>
      </c>
      <c r="T41" s="3598">
        <v>239.35607999999999</v>
      </c>
      <c r="U41" s="3598">
        <v>203.24804</v>
      </c>
      <c r="V41" s="3598">
        <v>205.76415</v>
      </c>
    </row>
    <row r="42" spans="1:22" ht="17.399999999999999" customHeight="1" x14ac:dyDescent="0.25">
      <c r="A42" s="3587" t="s">
        <v>52</v>
      </c>
      <c r="B42" s="3593" t="s">
        <v>1713</v>
      </c>
      <c r="C42" s="3584">
        <v>0</v>
      </c>
      <c r="D42" s="3595">
        <v>0</v>
      </c>
      <c r="E42" s="3598">
        <v>0</v>
      </c>
      <c r="F42" s="3598">
        <v>0</v>
      </c>
      <c r="G42" s="3598">
        <v>0</v>
      </c>
      <c r="H42" s="3598">
        <v>0</v>
      </c>
      <c r="I42" s="3598">
        <v>0</v>
      </c>
      <c r="J42" s="3598">
        <v>5.13</v>
      </c>
      <c r="K42" s="3595">
        <v>17</v>
      </c>
      <c r="L42" s="3598">
        <v>32</v>
      </c>
      <c r="M42" s="3598">
        <v>128.60326265812245</v>
      </c>
      <c r="N42" s="3598">
        <v>128.60326265812245</v>
      </c>
      <c r="O42" s="3598">
        <v>128.60326265812245</v>
      </c>
      <c r="P42" s="3598">
        <v>128.60326265812245</v>
      </c>
      <c r="Q42" s="3598">
        <v>0</v>
      </c>
      <c r="R42" s="3598">
        <v>0</v>
      </c>
      <c r="S42" s="3598">
        <v>0</v>
      </c>
      <c r="T42" s="3598">
        <v>0</v>
      </c>
      <c r="U42" s="3598">
        <v>0</v>
      </c>
      <c r="V42" s="3598">
        <v>0</v>
      </c>
    </row>
    <row r="43" spans="1:22" ht="17.399999999999999" customHeight="1" x14ac:dyDescent="0.25">
      <c r="A43" s="3587" t="s">
        <v>52</v>
      </c>
      <c r="B43" s="3593" t="s">
        <v>1714</v>
      </c>
      <c r="C43" s="3584">
        <v>0</v>
      </c>
      <c r="D43" s="3595">
        <v>0</v>
      </c>
      <c r="E43" s="3598">
        <v>0</v>
      </c>
      <c r="F43" s="3598">
        <v>0</v>
      </c>
      <c r="G43" s="3598">
        <v>0</v>
      </c>
      <c r="H43" s="3598">
        <v>0</v>
      </c>
      <c r="I43" s="3598">
        <v>0</v>
      </c>
      <c r="J43" s="3598">
        <v>9.4969999999999999</v>
      </c>
      <c r="K43" s="3595">
        <v>13</v>
      </c>
      <c r="L43" s="3598">
        <v>17.036000000000001</v>
      </c>
      <c r="M43" s="3598">
        <v>16.444000000000003</v>
      </c>
      <c r="N43" s="3598">
        <v>12.817</v>
      </c>
      <c r="O43" s="3598">
        <v>9.9960000000000004</v>
      </c>
      <c r="P43" s="3598">
        <v>11.033000000000001</v>
      </c>
      <c r="Q43" s="3598">
        <v>20.791000000000004</v>
      </c>
      <c r="R43" s="3598">
        <v>12.873999999999999</v>
      </c>
      <c r="S43" s="3598">
        <v>14.25037987544108</v>
      </c>
      <c r="T43" s="3598">
        <v>14.093048792772574</v>
      </c>
      <c r="U43" s="3598">
        <v>5.58</v>
      </c>
      <c r="V43" s="3598">
        <v>10.833</v>
      </c>
    </row>
    <row r="44" spans="1:22" ht="17.399999999999999" customHeight="1" x14ac:dyDescent="0.25">
      <c r="A44" s="3587" t="s">
        <v>52</v>
      </c>
      <c r="B44" s="3593" t="s">
        <v>1715</v>
      </c>
      <c r="C44" s="3584">
        <v>0</v>
      </c>
      <c r="D44" s="3595">
        <v>0</v>
      </c>
      <c r="E44" s="3598">
        <v>0</v>
      </c>
      <c r="F44" s="3598">
        <v>0</v>
      </c>
      <c r="G44" s="3598">
        <v>0</v>
      </c>
      <c r="H44" s="3598">
        <v>0</v>
      </c>
      <c r="I44" s="3598">
        <v>0</v>
      </c>
      <c r="J44" s="3598">
        <v>2.4129999999999998</v>
      </c>
      <c r="K44" s="3595">
        <v>2</v>
      </c>
      <c r="L44" s="3598">
        <v>2.5219999999999998</v>
      </c>
      <c r="M44" s="3598">
        <v>3.2090000000000001</v>
      </c>
      <c r="N44" s="3598">
        <v>3.262</v>
      </c>
      <c r="O44" s="3598">
        <v>2.9659999999999997</v>
      </c>
      <c r="P44" s="3598">
        <v>4.5179999999999998</v>
      </c>
      <c r="Q44" s="3598">
        <v>4.0680000000000005</v>
      </c>
      <c r="R44" s="3598">
        <v>5.8010000000000002</v>
      </c>
      <c r="S44" s="3598">
        <v>6.5939138404082556</v>
      </c>
      <c r="T44" s="3598">
        <v>5.1096153533109003</v>
      </c>
      <c r="U44" s="3598">
        <v>3.5060000000000002</v>
      </c>
      <c r="V44" s="3598">
        <v>9.6140000000000008</v>
      </c>
    </row>
    <row r="45" spans="1:22" ht="17.399999999999999" customHeight="1" x14ac:dyDescent="0.25">
      <c r="A45" s="3587" t="s">
        <v>72</v>
      </c>
      <c r="B45" s="3593" t="s">
        <v>1653</v>
      </c>
      <c r="C45" s="3584">
        <v>1</v>
      </c>
      <c r="D45" s="3595">
        <v>11.5</v>
      </c>
      <c r="E45" s="3598">
        <v>12.61</v>
      </c>
      <c r="F45" s="3598">
        <v>43.436999999999998</v>
      </c>
      <c r="G45" s="3598">
        <v>53.26</v>
      </c>
      <c r="H45" s="3598">
        <v>162.54</v>
      </c>
      <c r="I45" s="3598">
        <v>178.92400000000001</v>
      </c>
      <c r="J45" s="3598">
        <v>187.44400000000002</v>
      </c>
      <c r="K45" s="3595">
        <v>195.99</v>
      </c>
      <c r="L45" s="3598">
        <v>205.28900000000002</v>
      </c>
      <c r="M45" s="3598">
        <v>221.10593399999999</v>
      </c>
      <c r="N45" s="3598">
        <v>214.71799999999999</v>
      </c>
      <c r="O45" s="3598">
        <v>211.95500000000001</v>
      </c>
      <c r="P45" s="3598">
        <v>255.34800000000001</v>
      </c>
      <c r="Q45" s="3598">
        <v>262.07325691999995</v>
      </c>
      <c r="R45" s="3598">
        <v>148.45605283999998</v>
      </c>
      <c r="S45" s="3598">
        <v>229.61099999999999</v>
      </c>
      <c r="T45" s="3598">
        <v>235.18799999999999</v>
      </c>
      <c r="U45" s="3598">
        <v>234.49243999999999</v>
      </c>
      <c r="V45" s="3598">
        <v>241.29000000000002</v>
      </c>
    </row>
    <row r="46" spans="1:22" ht="17.399999999999999" customHeight="1" x14ac:dyDescent="0.25">
      <c r="A46" s="3587" t="s">
        <v>52</v>
      </c>
      <c r="B46" s="3593" t="s">
        <v>1654</v>
      </c>
      <c r="C46" s="3584">
        <v>0</v>
      </c>
      <c r="D46" s="3595">
        <v>0</v>
      </c>
      <c r="E46" s="3598">
        <v>0</v>
      </c>
      <c r="F46" s="3598">
        <v>0</v>
      </c>
      <c r="G46" s="3598">
        <v>1.8049999999999999</v>
      </c>
      <c r="H46" s="3598">
        <v>0.121</v>
      </c>
      <c r="I46" s="3598">
        <v>25.4131</v>
      </c>
      <c r="J46" s="3598">
        <v>18.698499999999999</v>
      </c>
      <c r="K46" s="3595">
        <v>5.2305000000000001</v>
      </c>
      <c r="L46" s="3598">
        <v>21.02</v>
      </c>
      <c r="M46" s="3598">
        <v>15.461</v>
      </c>
      <c r="N46" s="3598">
        <v>14.766</v>
      </c>
      <c r="O46" s="3598">
        <v>15.181000000000001</v>
      </c>
      <c r="P46" s="3598">
        <v>16.190999999999999</v>
      </c>
      <c r="Q46" s="3598">
        <v>1.5489999999999999</v>
      </c>
      <c r="R46" s="3598">
        <v>2.4470000000000001</v>
      </c>
      <c r="S46" s="3598">
        <v>2.0602786142461498</v>
      </c>
      <c r="T46" s="3598">
        <v>2.0270169149336854</v>
      </c>
      <c r="U46" s="3598">
        <v>3.2459999999999996</v>
      </c>
      <c r="V46" s="3598">
        <v>0.78300000000000003</v>
      </c>
    </row>
    <row r="47" spans="1:22" ht="17.399999999999999" customHeight="1" x14ac:dyDescent="0.25">
      <c r="A47" s="3587" t="s">
        <v>52</v>
      </c>
      <c r="B47" s="3593" t="s">
        <v>1655</v>
      </c>
      <c r="C47" s="3584">
        <v>0</v>
      </c>
      <c r="D47" s="3595">
        <v>0</v>
      </c>
      <c r="E47" s="3598">
        <v>0</v>
      </c>
      <c r="F47" s="3598">
        <v>0</v>
      </c>
      <c r="G47" s="3598">
        <v>0</v>
      </c>
      <c r="H47" s="3598">
        <v>0</v>
      </c>
      <c r="I47" s="3598">
        <v>24.256</v>
      </c>
      <c r="J47" s="3598">
        <v>1073.856</v>
      </c>
      <c r="K47" s="3595">
        <v>10</v>
      </c>
      <c r="L47" s="3598">
        <v>9.3960000000000008</v>
      </c>
      <c r="M47" s="3598">
        <v>84.419315664530615</v>
      </c>
      <c r="N47" s="3598">
        <v>6364.9126586922239</v>
      </c>
      <c r="O47" s="3598">
        <v>5170.3668829622056</v>
      </c>
      <c r="P47" s="3598">
        <v>4761.3613715665424</v>
      </c>
      <c r="Q47" s="3598">
        <v>12.609000000000002</v>
      </c>
      <c r="R47" s="3598">
        <v>12.042999999999999</v>
      </c>
      <c r="S47" s="3598">
        <v>22.404050631782543</v>
      </c>
      <c r="T47" s="3598">
        <v>15.824939276441857</v>
      </c>
      <c r="U47" s="3598">
        <v>31.74689</v>
      </c>
      <c r="V47" s="3598">
        <v>32.514050000000005</v>
      </c>
    </row>
    <row r="48" spans="1:22" ht="17.399999999999999" customHeight="1" x14ac:dyDescent="0.25">
      <c r="A48" s="3587" t="s">
        <v>48</v>
      </c>
      <c r="B48" s="3593" t="s">
        <v>48</v>
      </c>
      <c r="C48" s="3584" t="s">
        <v>48</v>
      </c>
      <c r="D48" s="3595" t="s">
        <v>48</v>
      </c>
      <c r="E48" s="3598" t="s">
        <v>48</v>
      </c>
      <c r="F48" s="3598" t="s">
        <v>48</v>
      </c>
      <c r="G48" s="3598" t="s">
        <v>48</v>
      </c>
      <c r="H48" s="3598" t="s">
        <v>48</v>
      </c>
      <c r="I48" s="3598" t="s">
        <v>48</v>
      </c>
      <c r="J48" s="3598" t="s">
        <v>48</v>
      </c>
      <c r="K48" s="3595" t="s">
        <v>48</v>
      </c>
      <c r="L48" s="3598"/>
      <c r="M48" s="3598"/>
      <c r="N48" s="3598"/>
      <c r="O48" s="3598"/>
      <c r="P48" s="3598"/>
      <c r="Q48" s="3598"/>
      <c r="R48" s="3598"/>
      <c r="S48" s="3598"/>
      <c r="T48" s="3598"/>
      <c r="U48" s="3598"/>
      <c r="V48" s="3598"/>
    </row>
    <row r="49" spans="1:22" ht="17.399999999999999" customHeight="1" x14ac:dyDescent="0.25">
      <c r="A49" s="3588" t="s">
        <v>48</v>
      </c>
      <c r="B49" s="3591" t="s">
        <v>1657</v>
      </c>
      <c r="C49" s="3586">
        <v>15555.724</v>
      </c>
      <c r="D49" s="3597">
        <v>15659.651</v>
      </c>
      <c r="E49" s="3586">
        <v>15668.19</v>
      </c>
      <c r="F49" s="3586">
        <v>19289.98</v>
      </c>
      <c r="G49" s="3586">
        <v>18652.46</v>
      </c>
      <c r="H49" s="3586">
        <v>19575.851000000002</v>
      </c>
      <c r="I49" s="3586">
        <v>23685.7435</v>
      </c>
      <c r="J49" s="3586">
        <v>25258.113686000001</v>
      </c>
      <c r="K49" s="3597">
        <v>23208.165952522493</v>
      </c>
      <c r="L49" s="3586">
        <v>29703.8718416017</v>
      </c>
      <c r="M49" s="3586">
        <v>30357.263712099881</v>
      </c>
      <c r="N49" s="3586">
        <v>27438.446689306082</v>
      </c>
      <c r="O49" s="3586">
        <v>27917.181219654914</v>
      </c>
      <c r="P49" s="3586">
        <v>29027.02718766993</v>
      </c>
      <c r="Q49" s="3586">
        <v>34427.42628558859</v>
      </c>
      <c r="R49" s="3586">
        <v>32801.766777370343</v>
      </c>
      <c r="S49" s="3586">
        <v>36780.839378181554</v>
      </c>
      <c r="T49" s="3586">
        <v>33891.758744429397</v>
      </c>
      <c r="U49" s="3586">
        <v>32194.848359516371</v>
      </c>
      <c r="V49" s="3586">
        <v>33665.085649305402</v>
      </c>
    </row>
    <row r="50" spans="1:22" ht="17.399999999999999" customHeight="1" x14ac:dyDescent="0.25">
      <c r="A50" s="3587" t="s">
        <v>77</v>
      </c>
      <c r="B50" s="3593" t="s">
        <v>1716</v>
      </c>
      <c r="C50" s="3584">
        <v>1646</v>
      </c>
      <c r="D50" s="3595">
        <v>1760</v>
      </c>
      <c r="E50" s="3598">
        <v>1343</v>
      </c>
      <c r="F50" s="3598">
        <v>572.94799999999998</v>
      </c>
      <c r="G50" s="3598">
        <v>418.62200000000001</v>
      </c>
      <c r="H50" s="3598">
        <v>289.62299999999999</v>
      </c>
      <c r="I50" s="3598">
        <v>468.75</v>
      </c>
      <c r="J50" s="3598">
        <v>2060.33</v>
      </c>
      <c r="K50" s="3595">
        <v>3093.5869251681543</v>
      </c>
      <c r="L50" s="3598">
        <v>7092.2020000000002</v>
      </c>
      <c r="M50" s="3598">
        <v>9610.3247999999985</v>
      </c>
      <c r="N50" s="3598">
        <v>12271.235678765577</v>
      </c>
      <c r="O50" s="3598">
        <v>13460.729286560767</v>
      </c>
      <c r="P50" s="3598">
        <v>13672.04331822902</v>
      </c>
      <c r="Q50" s="3598">
        <v>12838.346031870999</v>
      </c>
      <c r="R50" s="3598">
        <v>14242.089327980928</v>
      </c>
      <c r="S50" s="3598">
        <v>13130.029520789929</v>
      </c>
      <c r="T50" s="3598">
        <v>10521.843068289407</v>
      </c>
      <c r="U50" s="3598">
        <v>0</v>
      </c>
      <c r="V50" s="3598">
        <v>0</v>
      </c>
    </row>
    <row r="51" spans="1:22" ht="17.399999999999999" customHeight="1" x14ac:dyDescent="0.25">
      <c r="A51" s="3587" t="s">
        <v>77</v>
      </c>
      <c r="B51" s="3593" t="s">
        <v>1717</v>
      </c>
      <c r="C51" s="3584">
        <v>148</v>
      </c>
      <c r="D51" s="3595">
        <v>835</v>
      </c>
      <c r="E51" s="3598">
        <v>1825</v>
      </c>
      <c r="F51" s="3598">
        <v>1621.5889999999999</v>
      </c>
      <c r="G51" s="3598">
        <v>1603.0650000000001</v>
      </c>
      <c r="H51" s="3598">
        <v>1604.462</v>
      </c>
      <c r="I51" s="3598">
        <v>984</v>
      </c>
      <c r="J51" s="3598">
        <v>4041.788</v>
      </c>
      <c r="K51" s="3595">
        <v>1370.9766192289208</v>
      </c>
      <c r="L51" s="3598">
        <v>1628.9490000000001</v>
      </c>
      <c r="M51" s="3598">
        <v>1780.3953000000001</v>
      </c>
      <c r="N51" s="3598">
        <v>2984.7877558970258</v>
      </c>
      <c r="O51" s="3598">
        <v>2053.4155086926112</v>
      </c>
      <c r="P51" s="3598">
        <v>1585.5714277268896</v>
      </c>
      <c r="Q51" s="3598">
        <v>1368.7551069601805</v>
      </c>
      <c r="R51" s="3598">
        <v>1358.8519015717961</v>
      </c>
      <c r="S51" s="3598">
        <v>1112.1750285015883</v>
      </c>
      <c r="T51" s="3598">
        <v>853.09998097384323</v>
      </c>
      <c r="U51" s="3598">
        <v>0</v>
      </c>
      <c r="V51" s="3598">
        <v>0</v>
      </c>
    </row>
    <row r="52" spans="1:22" ht="17.399999999999999" customHeight="1" x14ac:dyDescent="0.25">
      <c r="A52" s="3587" t="s">
        <v>77</v>
      </c>
      <c r="B52" s="3593" t="s">
        <v>1718</v>
      </c>
      <c r="C52" s="3584">
        <v>535</v>
      </c>
      <c r="D52" s="3595">
        <v>635</v>
      </c>
      <c r="E52" s="3598">
        <v>611</v>
      </c>
      <c r="F52" s="3598">
        <v>610.09</v>
      </c>
      <c r="G52" s="3598">
        <v>802.43700000000001</v>
      </c>
      <c r="H52" s="3598">
        <v>739.72299999999996</v>
      </c>
      <c r="I52" s="3598">
        <v>1026</v>
      </c>
      <c r="J52" s="3598">
        <v>0</v>
      </c>
      <c r="K52" s="3595">
        <v>871.74495116589833</v>
      </c>
      <c r="L52" s="3598">
        <v>1056.3689999999999</v>
      </c>
      <c r="M52" s="3598">
        <v>728.50130000000001</v>
      </c>
      <c r="N52" s="3598">
        <v>1465.0372742220895</v>
      </c>
      <c r="O52" s="3598">
        <v>2514.2060028151805</v>
      </c>
      <c r="P52" s="3598">
        <v>727.72098923132887</v>
      </c>
      <c r="Q52" s="3598">
        <v>905.87077120188314</v>
      </c>
      <c r="R52" s="3598">
        <v>976.53338440896573</v>
      </c>
      <c r="S52" s="3598">
        <v>985.21642819274484</v>
      </c>
      <c r="T52" s="3598">
        <v>378.10359268812789</v>
      </c>
      <c r="U52" s="3598">
        <v>0</v>
      </c>
      <c r="V52" s="3598">
        <v>0</v>
      </c>
    </row>
    <row r="53" spans="1:22" ht="17.399999999999999" customHeight="1" x14ac:dyDescent="0.25">
      <c r="A53" s="3587" t="s">
        <v>77</v>
      </c>
      <c r="B53" s="3593" t="s">
        <v>1719</v>
      </c>
      <c r="C53" s="3584">
        <v>1363</v>
      </c>
      <c r="D53" s="3595">
        <v>0</v>
      </c>
      <c r="E53" s="3598">
        <v>520</v>
      </c>
      <c r="F53" s="3598">
        <v>1290</v>
      </c>
      <c r="G53" s="3598">
        <v>2041</v>
      </c>
      <c r="H53" s="3598">
        <v>2238</v>
      </c>
      <c r="I53" s="3598">
        <v>2922.8119999999999</v>
      </c>
      <c r="J53" s="3598">
        <v>354.73051999999996</v>
      </c>
      <c r="K53" s="3595">
        <v>325.84145695951963</v>
      </c>
      <c r="L53" s="3598">
        <v>147.89500000000004</v>
      </c>
      <c r="M53" s="3598">
        <v>92.527200000000008</v>
      </c>
      <c r="N53" s="3598">
        <v>190.19754868651103</v>
      </c>
      <c r="O53" s="3598">
        <v>189.5055382005657</v>
      </c>
      <c r="P53" s="3598">
        <v>262.06309609101504</v>
      </c>
      <c r="Q53" s="3598">
        <v>0</v>
      </c>
      <c r="R53" s="3598">
        <v>0</v>
      </c>
      <c r="S53" s="3598">
        <v>0</v>
      </c>
      <c r="T53" s="3598">
        <v>0</v>
      </c>
      <c r="U53" s="3598">
        <v>12035.405527512143</v>
      </c>
      <c r="V53" s="3598">
        <v>12076.036368537654</v>
      </c>
    </row>
    <row r="54" spans="1:22" ht="17.399999999999999" customHeight="1" x14ac:dyDescent="0.25">
      <c r="A54" s="3587" t="s">
        <v>80</v>
      </c>
      <c r="B54" s="3593" t="s">
        <v>1720</v>
      </c>
      <c r="C54" s="3584">
        <v>11863.724</v>
      </c>
      <c r="D54" s="3595">
        <v>12429.651</v>
      </c>
      <c r="E54" s="3598">
        <v>11369.19</v>
      </c>
      <c r="F54" s="3598">
        <v>15195.352999999999</v>
      </c>
      <c r="G54" s="3598">
        <v>13787.336000000001</v>
      </c>
      <c r="H54" s="3598">
        <v>14704.043</v>
      </c>
      <c r="I54" s="3598">
        <v>18284.181499999999</v>
      </c>
      <c r="J54" s="3598">
        <v>18801.265166000001</v>
      </c>
      <c r="K54" s="3595">
        <v>17546.016</v>
      </c>
      <c r="L54" s="3598">
        <v>19778.456841601699</v>
      </c>
      <c r="M54" s="3598">
        <v>18145.515112099882</v>
      </c>
      <c r="N54" s="3598">
        <v>10527.188431734879</v>
      </c>
      <c r="O54" s="3598">
        <v>9699.324883385787</v>
      </c>
      <c r="P54" s="3598">
        <v>12779.628356391677</v>
      </c>
      <c r="Q54" s="3598">
        <v>19314.454375555528</v>
      </c>
      <c r="R54" s="3598">
        <v>16224.292163408652</v>
      </c>
      <c r="S54" s="3598">
        <v>21553.418400697294</v>
      </c>
      <c r="T54" s="3598">
        <v>22138.712102478017</v>
      </c>
      <c r="U54" s="3598">
        <v>20159.442832004228</v>
      </c>
      <c r="V54" s="3598">
        <v>21589.049280767751</v>
      </c>
    </row>
    <row r="55" spans="1:22" ht="17.399999999999999" customHeight="1" x14ac:dyDescent="0.25">
      <c r="A55" s="3587" t="s">
        <v>48</v>
      </c>
      <c r="B55" s="3593" t="s">
        <v>48</v>
      </c>
      <c r="C55" s="3584" t="s">
        <v>48</v>
      </c>
      <c r="D55" s="3595" t="s">
        <v>48</v>
      </c>
      <c r="E55" s="3598" t="s">
        <v>48</v>
      </c>
      <c r="F55" s="3598" t="s">
        <v>48</v>
      </c>
      <c r="G55" s="3598" t="s">
        <v>48</v>
      </c>
      <c r="H55" s="3598" t="s">
        <v>48</v>
      </c>
      <c r="I55" s="3598" t="s">
        <v>48</v>
      </c>
      <c r="J55" s="3598" t="s">
        <v>48</v>
      </c>
      <c r="K55" s="3595" t="s">
        <v>48</v>
      </c>
      <c r="L55" s="3598"/>
      <c r="M55" s="3598"/>
      <c r="N55" s="3598"/>
      <c r="O55" s="3598"/>
      <c r="P55" s="3598"/>
      <c r="Q55" s="3598"/>
      <c r="R55" s="3598"/>
      <c r="S55" s="3598"/>
      <c r="T55" s="3598"/>
      <c r="U55" s="3598"/>
      <c r="V55" s="3598"/>
    </row>
    <row r="56" spans="1:22" ht="30" x14ac:dyDescent="0.25">
      <c r="A56" s="3588" t="s">
        <v>48</v>
      </c>
      <c r="B56" s="3600" t="s">
        <v>1721</v>
      </c>
      <c r="C56" s="3586">
        <v>0</v>
      </c>
      <c r="D56" s="3597">
        <v>0</v>
      </c>
      <c r="E56" s="3586">
        <v>0</v>
      </c>
      <c r="F56" s="3586">
        <v>0</v>
      </c>
      <c r="G56" s="3586">
        <v>0</v>
      </c>
      <c r="H56" s="3586">
        <v>0</v>
      </c>
      <c r="I56" s="3586">
        <v>0</v>
      </c>
      <c r="J56" s="3586">
        <v>70031.754000000001</v>
      </c>
      <c r="K56" s="3597">
        <v>75063.446599999996</v>
      </c>
      <c r="L56" s="3586">
        <v>76074.300890655722</v>
      </c>
      <c r="M56" s="3586">
        <v>70054.001535253745</v>
      </c>
      <c r="N56" s="3586">
        <v>77013.203966592875</v>
      </c>
      <c r="O56" s="3586">
        <v>90410.8267230286</v>
      </c>
      <c r="P56" s="3586">
        <v>98277.758734573552</v>
      </c>
      <c r="Q56" s="3586">
        <v>80914.231876000005</v>
      </c>
      <c r="R56" s="3586">
        <v>78268.006623576206</v>
      </c>
      <c r="S56" s="3586">
        <v>89986.351902593233</v>
      </c>
      <c r="T56" s="3586">
        <v>90857.557407701199</v>
      </c>
      <c r="U56" s="3586">
        <v>100815.71166</v>
      </c>
      <c r="V56" s="3586">
        <v>108537.605696</v>
      </c>
    </row>
    <row r="57" spans="1:22" ht="17.399999999999999" customHeight="1" x14ac:dyDescent="0.25">
      <c r="A57" s="3587" t="s">
        <v>52</v>
      </c>
      <c r="B57" s="3593" t="s">
        <v>1722</v>
      </c>
      <c r="C57" s="3584">
        <v>0</v>
      </c>
      <c r="D57" s="3595">
        <v>0</v>
      </c>
      <c r="E57" s="3598">
        <v>0</v>
      </c>
      <c r="F57" s="3598">
        <v>0</v>
      </c>
      <c r="G57" s="3598">
        <v>0</v>
      </c>
      <c r="H57" s="3598">
        <v>0</v>
      </c>
      <c r="I57" s="3598">
        <v>0</v>
      </c>
      <c r="J57" s="3598">
        <v>47751.804000000004</v>
      </c>
      <c r="K57" s="3595">
        <v>34476.199999999997</v>
      </c>
      <c r="L57" s="3598">
        <v>35343.537300000004</v>
      </c>
      <c r="M57" s="3598">
        <v>43864.555886306043</v>
      </c>
      <c r="N57" s="3598">
        <v>46996.86224966796</v>
      </c>
      <c r="O57" s="3598">
        <v>54023.567495631818</v>
      </c>
      <c r="P57" s="3598">
        <v>62278.321682581052</v>
      </c>
      <c r="Q57" s="3598">
        <v>37394.475875999997</v>
      </c>
      <c r="R57" s="3598">
        <v>37131.563373576209</v>
      </c>
      <c r="S57" s="3598">
        <v>39247.079042891339</v>
      </c>
      <c r="T57" s="3598">
        <v>37274.145562046207</v>
      </c>
      <c r="U57" s="3598">
        <v>40584.870360000001</v>
      </c>
      <c r="V57" s="3598">
        <v>40462.811495999995</v>
      </c>
    </row>
    <row r="58" spans="1:22" ht="17.399999999999999" customHeight="1" x14ac:dyDescent="0.25">
      <c r="A58" s="3587" t="s">
        <v>52</v>
      </c>
      <c r="B58" s="3593" t="s">
        <v>1723</v>
      </c>
      <c r="C58" s="3584">
        <v>0</v>
      </c>
      <c r="D58" s="3595">
        <v>0</v>
      </c>
      <c r="E58" s="3598">
        <v>0</v>
      </c>
      <c r="F58" s="3598">
        <v>0</v>
      </c>
      <c r="G58" s="3598">
        <v>0</v>
      </c>
      <c r="H58" s="3598">
        <v>0</v>
      </c>
      <c r="I58" s="3598">
        <v>0</v>
      </c>
      <c r="J58" s="3598">
        <v>22279.949999999997</v>
      </c>
      <c r="K58" s="3595">
        <v>40587.246599999999</v>
      </c>
      <c r="L58" s="3598">
        <v>40730.763590655719</v>
      </c>
      <c r="M58" s="3598">
        <v>26189.445648947702</v>
      </c>
      <c r="N58" s="3598">
        <v>30016.341716924926</v>
      </c>
      <c r="O58" s="3598">
        <v>36387.259227396789</v>
      </c>
      <c r="P58" s="3598">
        <v>35999.437051992507</v>
      </c>
      <c r="Q58" s="3598">
        <v>43519.756000000001</v>
      </c>
      <c r="R58" s="3598">
        <v>41136.443249999997</v>
      </c>
      <c r="S58" s="3598">
        <v>50739.272859701894</v>
      </c>
      <c r="T58" s="3598">
        <v>53583.411845654991</v>
      </c>
      <c r="U58" s="3598">
        <v>60230.841299999993</v>
      </c>
      <c r="V58" s="3598">
        <v>68074.794199999989</v>
      </c>
    </row>
    <row r="59" spans="1:22" ht="38.4" x14ac:dyDescent="0.25">
      <c r="A59" s="3571" t="s">
        <v>1693</v>
      </c>
      <c r="B59" s="3571" t="s">
        <v>1724</v>
      </c>
      <c r="C59" s="3548">
        <v>867085.17999999993</v>
      </c>
      <c r="D59" s="3548">
        <v>879335.20350000006</v>
      </c>
      <c r="E59" s="3548">
        <v>888147.04500000004</v>
      </c>
      <c r="F59" s="3548">
        <v>868127.24200000009</v>
      </c>
      <c r="G59" s="3548">
        <v>852273.96967000002</v>
      </c>
      <c r="H59" s="3548">
        <v>841827.44900000002</v>
      </c>
      <c r="I59" s="3548">
        <v>716682.02113320003</v>
      </c>
      <c r="J59" s="3548">
        <v>772425.029741704</v>
      </c>
      <c r="K59" s="3548">
        <v>756592.18146770459</v>
      </c>
      <c r="L59" s="3548">
        <v>757133.01951407664</v>
      </c>
      <c r="M59" s="3548">
        <v>756226.03492029686</v>
      </c>
      <c r="N59" s="3548">
        <v>780909.08545483963</v>
      </c>
      <c r="O59" s="3548">
        <v>803183.9420873248</v>
      </c>
      <c r="P59" s="3548">
        <v>815394.75372614083</v>
      </c>
      <c r="Q59" s="3548">
        <v>809066.44678522262</v>
      </c>
      <c r="R59" s="3548">
        <v>766509.85870413866</v>
      </c>
      <c r="S59" s="3548">
        <v>794118.11609153822</v>
      </c>
      <c r="T59" s="3548">
        <v>771722.32170086761</v>
      </c>
      <c r="U59" s="3548">
        <v>782172.09207653278</v>
      </c>
      <c r="V59" s="3548">
        <v>804737.2610981334</v>
      </c>
    </row>
    <row r="60" spans="1:22" ht="17.399999999999999" customHeight="1" x14ac:dyDescent="0.25">
      <c r="A60" s="3239" t="s">
        <v>432</v>
      </c>
      <c r="B60" s="3239" t="s">
        <v>432</v>
      </c>
      <c r="C60" s="3601" t="s">
        <v>432</v>
      </c>
      <c r="D60" s="3601" t="s">
        <v>432</v>
      </c>
      <c r="E60" s="3601" t="s">
        <v>432</v>
      </c>
      <c r="F60" s="3601" t="s">
        <v>432</v>
      </c>
      <c r="G60" s="3601" t="s">
        <v>432</v>
      </c>
      <c r="H60" s="3601" t="s">
        <v>432</v>
      </c>
      <c r="I60" s="3601" t="s">
        <v>432</v>
      </c>
      <c r="J60" s="3601" t="s">
        <v>432</v>
      </c>
      <c r="K60" s="3601" t="s">
        <v>432</v>
      </c>
      <c r="L60" s="3601"/>
      <c r="M60" s="3601" t="s">
        <v>432</v>
      </c>
      <c r="N60" s="3601"/>
      <c r="O60" s="3602"/>
      <c r="P60" s="3601"/>
      <c r="Q60" s="3603"/>
      <c r="R60" s="3551"/>
      <c r="S60" s="3551"/>
      <c r="T60" s="3551"/>
      <c r="U60" s="3551"/>
      <c r="V60" s="675"/>
    </row>
    <row r="61" spans="1:22" ht="45" x14ac:dyDescent="0.25">
      <c r="A61" s="3581" t="s">
        <v>1725</v>
      </c>
      <c r="B61" s="3574"/>
      <c r="C61" s="3572"/>
      <c r="D61" s="3572"/>
      <c r="E61" s="3572"/>
      <c r="F61" s="3572"/>
      <c r="G61" s="3572"/>
      <c r="H61" s="3576"/>
      <c r="I61" s="3572"/>
      <c r="J61" s="3572"/>
      <c r="K61" s="3572"/>
      <c r="L61" s="3572"/>
      <c r="M61" s="3572"/>
      <c r="N61" s="3572"/>
      <c r="O61" s="3572"/>
      <c r="P61" s="3572"/>
      <c r="Q61" s="3572"/>
      <c r="R61" s="3572"/>
      <c r="S61" s="3572"/>
      <c r="T61" s="3572"/>
      <c r="U61" s="3572"/>
      <c r="V61" s="3573"/>
    </row>
    <row r="62" spans="1:22" ht="45" x14ac:dyDescent="0.25">
      <c r="A62" s="3581" t="s">
        <v>1726</v>
      </c>
      <c r="B62" s="3574"/>
      <c r="C62" s="3572"/>
      <c r="D62" s="3572"/>
      <c r="E62" s="3572"/>
      <c r="F62" s="3572"/>
      <c r="G62" s="3572"/>
      <c r="H62" s="3576"/>
      <c r="I62" s="3572"/>
      <c r="J62" s="3572"/>
      <c r="K62" s="3572"/>
      <c r="L62" s="3572"/>
      <c r="M62" s="3572"/>
      <c r="N62" s="3572"/>
      <c r="O62" s="3572"/>
      <c r="P62" s="3572"/>
      <c r="Q62" s="3572"/>
      <c r="R62" s="3572"/>
      <c r="S62" s="3572"/>
      <c r="T62" s="3572"/>
      <c r="U62" s="3572"/>
      <c r="V62" s="3573"/>
    </row>
    <row r="63" spans="1:22" ht="17.399999999999999" customHeight="1" x14ac:dyDescent="0.25">
      <c r="A63" s="3571" t="s">
        <v>1692</v>
      </c>
      <c r="B63" s="3571" t="s">
        <v>1694</v>
      </c>
      <c r="C63" s="3559">
        <v>2005</v>
      </c>
      <c r="D63" s="3559">
        <v>2006</v>
      </c>
      <c r="E63" s="3571">
        <v>2007</v>
      </c>
      <c r="F63" s="3559">
        <v>2008</v>
      </c>
      <c r="G63" s="3559">
        <v>2009</v>
      </c>
      <c r="H63" s="3559" t="s">
        <v>442</v>
      </c>
      <c r="I63" s="3559" t="s">
        <v>443</v>
      </c>
      <c r="J63" s="3559" t="s">
        <v>444</v>
      </c>
      <c r="K63" s="3559" t="s">
        <v>445</v>
      </c>
      <c r="L63" s="3559" t="s">
        <v>446</v>
      </c>
      <c r="M63" s="3559" t="s">
        <v>447</v>
      </c>
      <c r="N63" s="3559" t="s">
        <v>448</v>
      </c>
      <c r="O63" s="3559" t="s">
        <v>449</v>
      </c>
      <c r="P63" s="3559" t="s">
        <v>450</v>
      </c>
      <c r="Q63" s="3559" t="s">
        <v>451</v>
      </c>
      <c r="R63" s="3559" t="s">
        <v>1471</v>
      </c>
      <c r="S63" s="3559" t="s">
        <v>1620</v>
      </c>
      <c r="T63" s="3559" t="s">
        <v>1621</v>
      </c>
      <c r="U63" s="3559" t="s">
        <v>1770</v>
      </c>
      <c r="V63" s="3559" t="s">
        <v>1804</v>
      </c>
    </row>
    <row r="64" spans="1:22" ht="19.2" x14ac:dyDescent="0.25">
      <c r="A64" s="3571" t="s">
        <v>1727</v>
      </c>
      <c r="B64" s="3571" t="s">
        <v>1728</v>
      </c>
      <c r="C64" s="3548">
        <v>8157</v>
      </c>
      <c r="D64" s="3548">
        <v>8637</v>
      </c>
      <c r="E64" s="3548">
        <v>21474.6</v>
      </c>
      <c r="F64" s="3548">
        <v>22104.3</v>
      </c>
      <c r="G64" s="3548">
        <v>23655</v>
      </c>
      <c r="H64" s="3548">
        <v>13605.26</v>
      </c>
      <c r="I64" s="3548">
        <v>27426.513319999998</v>
      </c>
      <c r="J64" s="3548">
        <v>27904.960340000001</v>
      </c>
      <c r="K64" s="3548">
        <v>48667.088639999994</v>
      </c>
      <c r="L64" s="3548">
        <v>62147.360064970067</v>
      </c>
      <c r="M64" s="3548">
        <v>49891.327647458333</v>
      </c>
      <c r="N64" s="3548">
        <v>41022.604231466103</v>
      </c>
      <c r="O64" s="3548">
        <v>38593.397417918066</v>
      </c>
      <c r="P64" s="3548">
        <v>38619.837672147842</v>
      </c>
      <c r="Q64" s="3548">
        <v>37601.041579865909</v>
      </c>
      <c r="R64" s="3548">
        <v>33627.53743447709</v>
      </c>
      <c r="S64" s="3548">
        <v>36511.804773940414</v>
      </c>
      <c r="T64" s="3548">
        <v>36548.69413254744</v>
      </c>
      <c r="U64" s="3548">
        <v>32236.836281718217</v>
      </c>
      <c r="V64" s="3548">
        <v>29922.808879777109</v>
      </c>
    </row>
    <row r="65" spans="1:22" ht="33.75" customHeight="1" x14ac:dyDescent="0.25">
      <c r="A65" s="3587" t="s">
        <v>87</v>
      </c>
      <c r="B65" s="3639" t="s">
        <v>1729</v>
      </c>
      <c r="C65" s="3584">
        <v>8157</v>
      </c>
      <c r="D65" s="3595">
        <v>8637</v>
      </c>
      <c r="E65" s="3598">
        <v>21474.6</v>
      </c>
      <c r="F65" s="3598">
        <v>22104.3</v>
      </c>
      <c r="G65" s="3598">
        <v>20762</v>
      </c>
      <c r="H65" s="3598">
        <v>7068</v>
      </c>
      <c r="I65" s="3598">
        <v>6450.9619999999995</v>
      </c>
      <c r="J65" s="3598">
        <v>15885.92</v>
      </c>
      <c r="K65" s="3595">
        <v>15543.91</v>
      </c>
      <c r="L65" s="3598">
        <v>25977.807000000001</v>
      </c>
      <c r="M65" s="3598">
        <v>25125.767</v>
      </c>
      <c r="N65" s="3598">
        <v>12784.16</v>
      </c>
      <c r="O65" s="3598">
        <v>13653.835999999999</v>
      </c>
      <c r="P65" s="3598">
        <v>13255.190999999999</v>
      </c>
      <c r="Q65" s="3598">
        <v>14952.75071</v>
      </c>
      <c r="R65" s="3598">
        <v>8991.6853200000005</v>
      </c>
      <c r="S65" s="3598">
        <v>10240.589841411871</v>
      </c>
      <c r="T65" s="3598">
        <v>10736.673840226556</v>
      </c>
      <c r="U65" s="3598">
        <v>8194.1475200000004</v>
      </c>
      <c r="V65" s="3598">
        <v>6947.7971900000002</v>
      </c>
    </row>
    <row r="66" spans="1:22" ht="17.399999999999999" customHeight="1" x14ac:dyDescent="0.25">
      <c r="A66" s="3587" t="s">
        <v>13</v>
      </c>
      <c r="B66" s="3593" t="s">
        <v>1696</v>
      </c>
      <c r="C66" s="3584">
        <v>0</v>
      </c>
      <c r="D66" s="3595">
        <v>0</v>
      </c>
      <c r="E66" s="3598">
        <v>0</v>
      </c>
      <c r="F66" s="3598">
        <v>0</v>
      </c>
      <c r="G66" s="3598">
        <v>2893</v>
      </c>
      <c r="H66" s="3598">
        <v>6537.26</v>
      </c>
      <c r="I66" s="3598">
        <v>20975.551319999999</v>
      </c>
      <c r="J66" s="3598">
        <v>12019.04034</v>
      </c>
      <c r="K66" s="3595">
        <v>33123.178639999998</v>
      </c>
      <c r="L66" s="3598">
        <v>36169.553064970067</v>
      </c>
      <c r="M66" s="3598">
        <v>24765.560647458329</v>
      </c>
      <c r="N66" s="3598">
        <v>28238.444231466106</v>
      </c>
      <c r="O66" s="3598">
        <v>24939.561417918067</v>
      </c>
      <c r="P66" s="3598">
        <v>25364.646672147843</v>
      </c>
      <c r="Q66" s="3598">
        <v>22648.290869865905</v>
      </c>
      <c r="R66" s="3598">
        <v>24635.852114477093</v>
      </c>
      <c r="S66" s="3598">
        <v>26271.214932528543</v>
      </c>
      <c r="T66" s="3598">
        <v>25812.020292320885</v>
      </c>
      <c r="U66" s="3598">
        <v>24042.688761718215</v>
      </c>
      <c r="V66" s="3598">
        <v>22975.011689777108</v>
      </c>
    </row>
    <row r="67" spans="1:22" ht="19.2" x14ac:dyDescent="0.25">
      <c r="A67" s="3571" t="s">
        <v>1727</v>
      </c>
      <c r="B67" s="3571" t="s">
        <v>1730</v>
      </c>
      <c r="C67" s="3548">
        <v>22659</v>
      </c>
      <c r="D67" s="3548">
        <v>21495</v>
      </c>
      <c r="E67" s="3548">
        <v>19558</v>
      </c>
      <c r="F67" s="3548">
        <v>20446</v>
      </c>
      <c r="G67" s="3548">
        <v>22280</v>
      </c>
      <c r="H67" s="3548">
        <v>11958.315000000001</v>
      </c>
      <c r="I67" s="3548">
        <v>19032.509099999999</v>
      </c>
      <c r="J67" s="3548">
        <v>39285.966285999995</v>
      </c>
      <c r="K67" s="3548">
        <v>42331.639790000001</v>
      </c>
      <c r="L67" s="3548">
        <v>58565.342988691329</v>
      </c>
      <c r="M67" s="3548">
        <v>54368.221889069748</v>
      </c>
      <c r="N67" s="3548">
        <v>61067.233243636256</v>
      </c>
      <c r="O67" s="3548">
        <v>61954.624822091413</v>
      </c>
      <c r="P67" s="3548">
        <v>67076.857013344299</v>
      </c>
      <c r="Q67" s="3548">
        <v>62913.455335899991</v>
      </c>
      <c r="R67" s="3548">
        <v>76776.48687266864</v>
      </c>
      <c r="S67" s="3548">
        <v>81864.326189742816</v>
      </c>
      <c r="T67" s="3548">
        <v>85137.16117015804</v>
      </c>
      <c r="U67" s="3548">
        <v>101773.30804519751</v>
      </c>
      <c r="V67" s="3548">
        <v>109466.14184069399</v>
      </c>
    </row>
    <row r="68" spans="1:22" ht="17.399999999999999" customHeight="1" x14ac:dyDescent="0.25">
      <c r="A68" s="3587" t="s">
        <v>48</v>
      </c>
      <c r="B68" s="3589" t="s">
        <v>1698</v>
      </c>
      <c r="C68" s="3583">
        <v>22659</v>
      </c>
      <c r="D68" s="3594">
        <v>21495</v>
      </c>
      <c r="E68" s="3583">
        <v>19558</v>
      </c>
      <c r="F68" s="3583">
        <v>20446</v>
      </c>
      <c r="G68" s="3583">
        <v>22280</v>
      </c>
      <c r="H68" s="3583">
        <v>11958.315000000001</v>
      </c>
      <c r="I68" s="3583">
        <v>11519.944</v>
      </c>
      <c r="J68" s="3583">
        <v>7627.7289999999994</v>
      </c>
      <c r="K68" s="3594">
        <v>7888.2749999999996</v>
      </c>
      <c r="L68" s="3583">
        <v>9443.4340000000011</v>
      </c>
      <c r="M68" s="3583">
        <v>9038.1169999999984</v>
      </c>
      <c r="N68" s="3583">
        <v>11055.1326096375</v>
      </c>
      <c r="O68" s="3583">
        <v>10256.262499818324</v>
      </c>
      <c r="P68" s="3583">
        <v>10533.237893491365</v>
      </c>
      <c r="Q68" s="3583">
        <v>7964.7463200000002</v>
      </c>
      <c r="R68" s="3583">
        <v>11013.278609999999</v>
      </c>
      <c r="S68" s="3583">
        <v>10949.609527233384</v>
      </c>
      <c r="T68" s="3583">
        <v>14029.406482596598</v>
      </c>
      <c r="U68" s="3583">
        <v>15739.39964</v>
      </c>
      <c r="V68" s="3583">
        <v>18566.447240000001</v>
      </c>
    </row>
    <row r="69" spans="1:22" ht="17.399999999999999" customHeight="1" x14ac:dyDescent="0.25">
      <c r="A69" s="3587" t="s">
        <v>18</v>
      </c>
      <c r="B69" s="3593" t="s">
        <v>1699</v>
      </c>
      <c r="C69" s="3584">
        <v>22659</v>
      </c>
      <c r="D69" s="3595">
        <v>21495</v>
      </c>
      <c r="E69" s="3598">
        <v>19558</v>
      </c>
      <c r="F69" s="3598">
        <v>20446</v>
      </c>
      <c r="G69" s="3598">
        <v>22280</v>
      </c>
      <c r="H69" s="3598">
        <v>11958.315000000001</v>
      </c>
      <c r="I69" s="3598">
        <v>11519.944</v>
      </c>
      <c r="J69" s="3598">
        <v>7627.7289999999994</v>
      </c>
      <c r="K69" s="3595">
        <v>7281.335</v>
      </c>
      <c r="L69" s="3598">
        <v>8324.594000000001</v>
      </c>
      <c r="M69" s="3598">
        <v>7648.3059999999996</v>
      </c>
      <c r="N69" s="3598">
        <v>9626.8646096374996</v>
      </c>
      <c r="O69" s="3598">
        <v>8676.4794998183243</v>
      </c>
      <c r="P69" s="3598">
        <v>8765.3687734913656</v>
      </c>
      <c r="Q69" s="3598">
        <v>6256.0270799999998</v>
      </c>
      <c r="R69" s="3598">
        <v>9789.1214899999995</v>
      </c>
      <c r="S69" s="3598">
        <v>9575.8984572333829</v>
      </c>
      <c r="T69" s="3598">
        <v>12603.787362596599</v>
      </c>
      <c r="U69" s="3598">
        <v>14372.988519999999</v>
      </c>
      <c r="V69" s="3598">
        <v>17259.741119999999</v>
      </c>
    </row>
    <row r="70" spans="1:22" ht="17.399999999999999" customHeight="1" x14ac:dyDescent="0.25">
      <c r="A70" s="3587" t="s">
        <v>22</v>
      </c>
      <c r="B70" s="3593" t="s">
        <v>1731</v>
      </c>
      <c r="C70" s="3584"/>
      <c r="D70" s="3595"/>
      <c r="E70" s="3598"/>
      <c r="F70" s="3598"/>
      <c r="G70" s="3598"/>
      <c r="H70" s="3598"/>
      <c r="I70" s="3598">
        <v>0</v>
      </c>
      <c r="J70" s="3598">
        <v>0</v>
      </c>
      <c r="K70" s="3595">
        <v>606.93999999999994</v>
      </c>
      <c r="L70" s="3598">
        <v>1118.8400000000001</v>
      </c>
      <c r="M70" s="3598">
        <v>1389.8109999999999</v>
      </c>
      <c r="N70" s="3598">
        <v>1428.268</v>
      </c>
      <c r="O70" s="3598">
        <v>1579.7829999999999</v>
      </c>
      <c r="P70" s="3598">
        <v>1767.8691200000001</v>
      </c>
      <c r="Q70" s="3598">
        <v>1708.7192399999999</v>
      </c>
      <c r="R70" s="3598">
        <v>1224.1571200000001</v>
      </c>
      <c r="S70" s="3598">
        <v>1373.7110700000001</v>
      </c>
      <c r="T70" s="3598">
        <v>1425.6191200000001</v>
      </c>
      <c r="U70" s="3598">
        <v>1366.4111200000002</v>
      </c>
      <c r="V70" s="3598">
        <v>1306.7061200000001</v>
      </c>
    </row>
    <row r="71" spans="1:22" ht="17.399999999999999" customHeight="1" x14ac:dyDescent="0.25">
      <c r="A71" s="3587" t="s">
        <v>48</v>
      </c>
      <c r="B71" s="3592"/>
      <c r="C71" s="3585" t="s">
        <v>48</v>
      </c>
      <c r="D71" s="3596" t="s">
        <v>48</v>
      </c>
      <c r="E71" s="3585" t="s">
        <v>48</v>
      </c>
      <c r="F71" s="3585" t="s">
        <v>48</v>
      </c>
      <c r="G71" s="3585" t="s">
        <v>48</v>
      </c>
      <c r="H71" s="3585" t="s">
        <v>48</v>
      </c>
      <c r="I71" s="3585" t="s">
        <v>48</v>
      </c>
      <c r="J71" s="3585" t="s">
        <v>48</v>
      </c>
      <c r="K71" s="3596" t="s">
        <v>48</v>
      </c>
      <c r="L71" s="3585"/>
      <c r="M71" s="3585"/>
      <c r="N71" s="3585"/>
      <c r="O71" s="3585"/>
      <c r="P71" s="3585"/>
      <c r="Q71" s="3599"/>
      <c r="R71" s="3585"/>
      <c r="S71" s="3585"/>
      <c r="T71" s="3585"/>
      <c r="U71" s="3585"/>
      <c r="V71" s="3585"/>
    </row>
    <row r="72" spans="1:22" ht="17.399999999999999" customHeight="1" x14ac:dyDescent="0.25">
      <c r="A72" s="3588" t="s">
        <v>34</v>
      </c>
      <c r="B72" s="3591" t="s">
        <v>1644</v>
      </c>
      <c r="C72" s="3586">
        <v>0</v>
      </c>
      <c r="D72" s="3597">
        <v>0</v>
      </c>
      <c r="E72" s="3586">
        <v>0</v>
      </c>
      <c r="F72" s="3586">
        <v>0</v>
      </c>
      <c r="G72" s="3586">
        <v>0</v>
      </c>
      <c r="H72" s="3586">
        <v>0</v>
      </c>
      <c r="I72" s="3586">
        <v>1293.0931</v>
      </c>
      <c r="J72" s="3586">
        <v>1353.486461</v>
      </c>
      <c r="K72" s="3597">
        <v>1778.1192500000002</v>
      </c>
      <c r="L72" s="3586">
        <v>2993.8310266322214</v>
      </c>
      <c r="M72" s="3586">
        <v>2245.7441516311474</v>
      </c>
      <c r="N72" s="3586">
        <v>2334.1745699113249</v>
      </c>
      <c r="O72" s="3586">
        <v>2947.3153204603686</v>
      </c>
      <c r="P72" s="3586">
        <v>3237.4794805270003</v>
      </c>
      <c r="Q72" s="3586">
        <v>3882.0867875000004</v>
      </c>
      <c r="R72" s="3586">
        <v>5092.9371924379475</v>
      </c>
      <c r="S72" s="3586">
        <v>4470.2282720804587</v>
      </c>
      <c r="T72" s="3586">
        <v>4526.2357021105327</v>
      </c>
      <c r="U72" s="3586">
        <v>15919.306944013941</v>
      </c>
      <c r="V72" s="3586">
        <v>16128.273989448529</v>
      </c>
    </row>
    <row r="73" spans="1:22" ht="17.399999999999999" customHeight="1" x14ac:dyDescent="0.25">
      <c r="A73" s="3588" t="s">
        <v>36</v>
      </c>
      <c r="B73" s="3591" t="s">
        <v>1645</v>
      </c>
      <c r="C73" s="3586"/>
      <c r="D73" s="3597"/>
      <c r="E73" s="3586"/>
      <c r="F73" s="3586"/>
      <c r="G73" s="3586"/>
      <c r="H73" s="3586"/>
      <c r="I73" s="3586">
        <v>0</v>
      </c>
      <c r="J73" s="3586"/>
      <c r="K73" s="3597">
        <v>888.73299999999995</v>
      </c>
      <c r="L73" s="3586">
        <v>1233.0289715636782</v>
      </c>
      <c r="M73" s="3586">
        <v>1460.201</v>
      </c>
      <c r="N73" s="3586">
        <v>1932.2866642219387</v>
      </c>
      <c r="O73" s="3586">
        <v>2404.8234768248903</v>
      </c>
      <c r="P73" s="3586">
        <v>2833.1685899999998</v>
      </c>
      <c r="Q73" s="3586">
        <v>1653.3683600000002</v>
      </c>
      <c r="R73" s="3586">
        <v>2574.6548200000002</v>
      </c>
      <c r="S73" s="3586">
        <v>2821.0121200000003</v>
      </c>
      <c r="T73" s="3586">
        <v>2858.51629</v>
      </c>
      <c r="U73" s="3586">
        <v>2962.5814499999997</v>
      </c>
      <c r="V73" s="3586">
        <v>3180.2890099999995</v>
      </c>
    </row>
    <row r="74" spans="1:22" ht="17.399999999999999" customHeight="1" x14ac:dyDescent="0.25">
      <c r="A74" s="3588" t="s">
        <v>26</v>
      </c>
      <c r="B74" s="3591" t="s">
        <v>1732</v>
      </c>
      <c r="C74" s="3586">
        <v>0</v>
      </c>
      <c r="D74" s="3597">
        <v>0</v>
      </c>
      <c r="E74" s="3586">
        <v>0</v>
      </c>
      <c r="F74" s="3586">
        <v>0</v>
      </c>
      <c r="G74" s="3586">
        <v>0</v>
      </c>
      <c r="H74" s="3586">
        <v>0</v>
      </c>
      <c r="I74" s="3586">
        <v>3734.5320000000002</v>
      </c>
      <c r="J74" s="3586">
        <v>3590.686385</v>
      </c>
      <c r="K74" s="3597">
        <v>3317.6045000000004</v>
      </c>
      <c r="L74" s="3586">
        <v>11621.943391642975</v>
      </c>
      <c r="M74" s="3586">
        <v>13210.483651252402</v>
      </c>
      <c r="N74" s="3586">
        <v>14010.421166458365</v>
      </c>
      <c r="O74" s="3586">
        <v>11031.241712143659</v>
      </c>
      <c r="P74" s="3586">
        <v>13451.461488197347</v>
      </c>
      <c r="Q74" s="3586">
        <v>13448.953014000001</v>
      </c>
      <c r="R74" s="3586">
        <v>15290.0694465</v>
      </c>
      <c r="S74" s="3586">
        <v>15726.942156841113</v>
      </c>
      <c r="T74" s="3586">
        <v>15192.071306527831</v>
      </c>
      <c r="U74" s="3586">
        <v>15738.516380383577</v>
      </c>
      <c r="V74" s="3586">
        <v>16694.009175645464</v>
      </c>
    </row>
    <row r="75" spans="1:22" ht="17.399999999999999" customHeight="1" x14ac:dyDescent="0.25">
      <c r="A75" s="3588" t="s">
        <v>92</v>
      </c>
      <c r="B75" s="3591" t="s">
        <v>1643</v>
      </c>
      <c r="C75" s="3586">
        <v>0</v>
      </c>
      <c r="D75" s="3597">
        <v>0</v>
      </c>
      <c r="E75" s="3586">
        <v>0</v>
      </c>
      <c r="F75" s="3586">
        <v>0</v>
      </c>
      <c r="G75" s="3586">
        <v>0</v>
      </c>
      <c r="H75" s="3586">
        <v>0</v>
      </c>
      <c r="I75" s="3586">
        <v>2115.44</v>
      </c>
      <c r="J75" s="3586">
        <v>2081.7484399999998</v>
      </c>
      <c r="K75" s="3597">
        <v>2091.3306400000001</v>
      </c>
      <c r="L75" s="3586">
        <v>2501.4633600000002</v>
      </c>
      <c r="M75" s="3586">
        <v>2402.4754079999998</v>
      </c>
      <c r="N75" s="3586">
        <v>2389.3852000000015</v>
      </c>
      <c r="O75" s="3586">
        <v>2424.4525333340707</v>
      </c>
      <c r="P75" s="3586">
        <v>2354.9798657021465</v>
      </c>
      <c r="Q75" s="3586">
        <v>2630.7392804000001</v>
      </c>
      <c r="R75" s="3586">
        <v>2290.9048400000001</v>
      </c>
      <c r="S75" s="3586">
        <v>2401.791828119286</v>
      </c>
      <c r="T75" s="3586">
        <v>2422.1137762132053</v>
      </c>
      <c r="U75" s="3586">
        <v>2304.2664308000003</v>
      </c>
      <c r="V75" s="3586">
        <v>2309.8902116000004</v>
      </c>
    </row>
    <row r="76" spans="1:22" ht="17.399999999999999" customHeight="1" x14ac:dyDescent="0.25">
      <c r="A76" s="3588" t="s">
        <v>48</v>
      </c>
      <c r="B76" s="3591" t="s">
        <v>1733</v>
      </c>
      <c r="C76" s="3586"/>
      <c r="D76" s="3597"/>
      <c r="E76" s="3586"/>
      <c r="F76" s="3586"/>
      <c r="G76" s="3586"/>
      <c r="H76" s="3586"/>
      <c r="I76" s="3586">
        <v>0</v>
      </c>
      <c r="J76" s="3586">
        <v>0</v>
      </c>
      <c r="K76" s="3597">
        <v>8268.75</v>
      </c>
      <c r="L76" s="3586">
        <v>9326.1409999999996</v>
      </c>
      <c r="M76" s="3586">
        <v>9901.6130000000012</v>
      </c>
      <c r="N76" s="3586">
        <v>11248.112999999999</v>
      </c>
      <c r="O76" s="3586">
        <v>11281.671</v>
      </c>
      <c r="P76" s="3586">
        <v>12306.686009999999</v>
      </c>
      <c r="Q76" s="3586">
        <v>10479.295809999998</v>
      </c>
      <c r="R76" s="3586">
        <v>18759.008450000001</v>
      </c>
      <c r="S76" s="3586">
        <v>19388.553070989365</v>
      </c>
      <c r="T76" s="3586">
        <v>19002.926521170048</v>
      </c>
      <c r="U76" s="3586">
        <v>18786.589459999999</v>
      </c>
      <c r="V76" s="3586">
        <v>18916.45247</v>
      </c>
    </row>
    <row r="77" spans="1:22" ht="17.399999999999999" customHeight="1" x14ac:dyDescent="0.25">
      <c r="A77" s="3588" t="s">
        <v>94</v>
      </c>
      <c r="B77" s="3591" t="s">
        <v>1734</v>
      </c>
      <c r="C77" s="3586"/>
      <c r="D77" s="3597"/>
      <c r="E77" s="3586"/>
      <c r="F77" s="3586"/>
      <c r="G77" s="3586"/>
      <c r="H77" s="3586"/>
      <c r="I77" s="3586">
        <v>0</v>
      </c>
      <c r="J77" s="3586">
        <v>0</v>
      </c>
      <c r="K77" s="3597">
        <v>88</v>
      </c>
      <c r="L77" s="3586">
        <v>62.4</v>
      </c>
      <c r="M77" s="3586">
        <v>11.7</v>
      </c>
      <c r="N77" s="3586">
        <v>11.7</v>
      </c>
      <c r="O77" s="3586">
        <v>11.7</v>
      </c>
      <c r="P77" s="3586">
        <v>11.7</v>
      </c>
      <c r="Q77" s="3586">
        <v>48</v>
      </c>
      <c r="R77" s="3586">
        <v>0</v>
      </c>
      <c r="S77" s="3586">
        <v>0</v>
      </c>
      <c r="T77" s="3586">
        <v>0</v>
      </c>
      <c r="U77" s="3586">
        <v>0</v>
      </c>
      <c r="V77" s="3586">
        <v>0</v>
      </c>
    </row>
    <row r="78" spans="1:22" ht="17.399999999999999" customHeight="1" x14ac:dyDescent="0.25">
      <c r="A78" s="3587" t="s">
        <v>48</v>
      </c>
      <c r="B78" s="3592" t="s">
        <v>48</v>
      </c>
      <c r="C78" s="3585" t="s">
        <v>48</v>
      </c>
      <c r="D78" s="3596" t="s">
        <v>48</v>
      </c>
      <c r="E78" s="3585" t="s">
        <v>48</v>
      </c>
      <c r="F78" s="3585" t="s">
        <v>48</v>
      </c>
      <c r="G78" s="3585" t="s">
        <v>48</v>
      </c>
      <c r="H78" s="3585" t="s">
        <v>48</v>
      </c>
      <c r="I78" s="3585" t="s">
        <v>48</v>
      </c>
      <c r="J78" s="3585" t="s">
        <v>48</v>
      </c>
      <c r="K78" s="3596" t="s">
        <v>48</v>
      </c>
      <c r="L78" s="3585"/>
      <c r="M78" s="3585"/>
      <c r="N78" s="3585"/>
      <c r="O78" s="3585"/>
      <c r="P78" s="3585"/>
      <c r="Q78" s="3599"/>
      <c r="R78" s="3585"/>
      <c r="S78" s="3585"/>
      <c r="T78" s="3585"/>
      <c r="U78" s="3585"/>
      <c r="V78" s="3585"/>
    </row>
    <row r="79" spans="1:22" ht="45" x14ac:dyDescent="0.25">
      <c r="A79" s="3588" t="s">
        <v>48</v>
      </c>
      <c r="B79" s="3600" t="s">
        <v>1735</v>
      </c>
      <c r="C79" s="3586">
        <v>0</v>
      </c>
      <c r="D79" s="3597">
        <v>0</v>
      </c>
      <c r="E79" s="3586">
        <v>0</v>
      </c>
      <c r="F79" s="3586">
        <v>0</v>
      </c>
      <c r="G79" s="3586">
        <v>0</v>
      </c>
      <c r="H79" s="3586">
        <v>0</v>
      </c>
      <c r="I79" s="3586">
        <v>0</v>
      </c>
      <c r="J79" s="3586">
        <v>14854</v>
      </c>
      <c r="K79" s="3597">
        <v>18011</v>
      </c>
      <c r="L79" s="3586">
        <v>21383.10123885245</v>
      </c>
      <c r="M79" s="3586">
        <v>16097.887678186196</v>
      </c>
      <c r="N79" s="3586">
        <v>18086.020033407127</v>
      </c>
      <c r="O79" s="3586">
        <v>21597.158279510102</v>
      </c>
      <c r="P79" s="3586">
        <v>22348.143685426436</v>
      </c>
      <c r="Q79" s="3586">
        <v>22806.265764</v>
      </c>
      <c r="R79" s="3586">
        <v>21755.633513730689</v>
      </c>
      <c r="S79" s="3586">
        <v>26106.189214479215</v>
      </c>
      <c r="T79" s="3586">
        <v>27105.891091539812</v>
      </c>
      <c r="U79" s="3586">
        <v>30322.647739999997</v>
      </c>
      <c r="V79" s="3586">
        <v>33670.779743999999</v>
      </c>
    </row>
    <row r="80" spans="1:22" ht="17.399999999999999" customHeight="1" x14ac:dyDescent="0.25">
      <c r="A80" s="3587" t="s">
        <v>52</v>
      </c>
      <c r="B80" s="3593" t="s">
        <v>1722</v>
      </c>
      <c r="C80" s="3584">
        <v>0</v>
      </c>
      <c r="D80" s="3595">
        <v>0</v>
      </c>
      <c r="E80" s="3598">
        <v>0</v>
      </c>
      <c r="F80" s="3598">
        <v>0</v>
      </c>
      <c r="G80" s="3598">
        <v>0</v>
      </c>
      <c r="H80" s="3598">
        <v>0</v>
      </c>
      <c r="I80" s="3598">
        <v>0</v>
      </c>
      <c r="J80" s="3598">
        <v>5305.7560000000003</v>
      </c>
      <c r="K80" s="3595">
        <v>3830.8</v>
      </c>
      <c r="L80" s="3598">
        <v>3927.0597000000007</v>
      </c>
      <c r="M80" s="3598">
        <v>4873.839542922894</v>
      </c>
      <c r="N80" s="3598">
        <v>5221.8735832964394</v>
      </c>
      <c r="O80" s="3598">
        <v>6002.6186106257583</v>
      </c>
      <c r="P80" s="3598">
        <v>6919.8135202867843</v>
      </c>
      <c r="Q80" s="3598">
        <v>4154.9417640000001</v>
      </c>
      <c r="R80" s="3598">
        <v>4125.72926373069</v>
      </c>
      <c r="S80" s="3598">
        <v>4360.7865603212595</v>
      </c>
      <c r="T80" s="3598">
        <v>4141.5717291162446</v>
      </c>
      <c r="U80" s="3598">
        <v>4509.4300400000002</v>
      </c>
      <c r="V80" s="3598">
        <v>4495.8679440000005</v>
      </c>
    </row>
    <row r="81" spans="1:22" ht="17.399999999999999" customHeight="1" x14ac:dyDescent="0.25">
      <c r="A81" s="3587" t="s">
        <v>52</v>
      </c>
      <c r="B81" s="3593" t="s">
        <v>1723</v>
      </c>
      <c r="C81" s="3584">
        <v>0</v>
      </c>
      <c r="D81" s="3595">
        <v>0</v>
      </c>
      <c r="E81" s="3598">
        <v>0</v>
      </c>
      <c r="F81" s="3598">
        <v>0</v>
      </c>
      <c r="G81" s="3598">
        <v>0</v>
      </c>
      <c r="H81" s="3598">
        <v>0</v>
      </c>
      <c r="I81" s="3598">
        <v>0</v>
      </c>
      <c r="J81" s="3598">
        <v>9548.5499999999993</v>
      </c>
      <c r="K81" s="3595">
        <v>14180.027399999999</v>
      </c>
      <c r="L81" s="3598">
        <v>17456.041538852453</v>
      </c>
      <c r="M81" s="3598">
        <v>11224.048135263301</v>
      </c>
      <c r="N81" s="3598">
        <v>12864.146450110686</v>
      </c>
      <c r="O81" s="3598">
        <v>15594.539668884343</v>
      </c>
      <c r="P81" s="3598">
        <v>15428.33016513965</v>
      </c>
      <c r="Q81" s="3598">
        <v>18651.324000000001</v>
      </c>
      <c r="R81" s="3598">
        <v>17629.904249999996</v>
      </c>
      <c r="S81" s="3598">
        <v>21745.402654157955</v>
      </c>
      <c r="T81" s="3598">
        <v>22964.319362423568</v>
      </c>
      <c r="U81" s="3598">
        <v>25813.217699999997</v>
      </c>
      <c r="V81" s="3598">
        <v>29174.911799999998</v>
      </c>
    </row>
    <row r="82" spans="1:22" ht="38.4" x14ac:dyDescent="0.25">
      <c r="A82" s="3571" t="s">
        <v>1727</v>
      </c>
      <c r="B82" s="3571" t="s">
        <v>1736</v>
      </c>
      <c r="C82" s="3548">
        <v>30816</v>
      </c>
      <c r="D82" s="3548">
        <v>30132</v>
      </c>
      <c r="E82" s="3548">
        <v>41032.6</v>
      </c>
      <c r="F82" s="3548">
        <v>42550.3</v>
      </c>
      <c r="G82" s="3548">
        <v>45935</v>
      </c>
      <c r="H82" s="3548">
        <v>25563.575000000001</v>
      </c>
      <c r="I82" s="3548">
        <v>46459.022419999994</v>
      </c>
      <c r="J82" s="3548">
        <v>67190.926626</v>
      </c>
      <c r="K82" s="3548">
        <v>90998.728429999988</v>
      </c>
      <c r="L82" s="3548">
        <v>120712.70305366139</v>
      </c>
      <c r="M82" s="3548">
        <v>104259.54953652808</v>
      </c>
      <c r="N82" s="3548">
        <v>102089.83747510237</v>
      </c>
      <c r="O82" s="3548">
        <v>100548.02224000948</v>
      </c>
      <c r="P82" s="3548">
        <v>105696.69468549214</v>
      </c>
      <c r="Q82" s="3548">
        <v>100514.49691576589</v>
      </c>
      <c r="R82" s="3548">
        <v>110404.02430714574</v>
      </c>
      <c r="S82" s="3548">
        <v>118376.13096368322</v>
      </c>
      <c r="T82" s="3548">
        <v>121685.85530270549</v>
      </c>
      <c r="U82" s="3548">
        <v>134010.14432691573</v>
      </c>
      <c r="V82" s="3548">
        <v>139388.9507204711</v>
      </c>
    </row>
    <row r="83" spans="1:22" ht="38.4" x14ac:dyDescent="0.25">
      <c r="A83" s="3571" t="s">
        <v>1737</v>
      </c>
      <c r="B83" s="3571" t="s">
        <v>1738</v>
      </c>
      <c r="C83" s="3548">
        <v>897901.17999999993</v>
      </c>
      <c r="D83" s="3548">
        <v>909467.20350000006</v>
      </c>
      <c r="E83" s="3548">
        <v>929179.64500000002</v>
      </c>
      <c r="F83" s="3548">
        <v>910677.5419999999</v>
      </c>
      <c r="G83" s="3548">
        <v>898208.96967000002</v>
      </c>
      <c r="H83" s="3548">
        <v>867391.02400000009</v>
      </c>
      <c r="I83" s="3548">
        <v>763141.04355320008</v>
      </c>
      <c r="J83" s="3548">
        <v>839615.95636770409</v>
      </c>
      <c r="K83" s="3548">
        <v>847590.90989770461</v>
      </c>
      <c r="L83" s="3548">
        <v>877845.72256773803</v>
      </c>
      <c r="M83" s="3548">
        <v>860485.58445682493</v>
      </c>
      <c r="N83" s="3548">
        <v>882998.92292994191</v>
      </c>
      <c r="O83" s="3548">
        <v>903731.96432733431</v>
      </c>
      <c r="P83" s="3548">
        <v>921091.44841163291</v>
      </c>
      <c r="Q83" s="3548">
        <v>909580.94370098854</v>
      </c>
      <c r="R83" s="3548">
        <v>876913.88301128428</v>
      </c>
      <c r="S83" s="3548">
        <v>912494.24705522135</v>
      </c>
      <c r="T83" s="3548">
        <v>893408.17700357304</v>
      </c>
      <c r="U83" s="3548">
        <v>916182.23640344851</v>
      </c>
      <c r="V83" s="3548">
        <v>944126.2118186045</v>
      </c>
    </row>
    <row r="84" spans="1:22" ht="17.399999999999999" customHeight="1" x14ac:dyDescent="0.25">
      <c r="A84" s="3239" t="s">
        <v>432</v>
      </c>
      <c r="B84" s="3239" t="s">
        <v>432</v>
      </c>
      <c r="C84" s="3601" t="s">
        <v>432</v>
      </c>
      <c r="D84" s="3601" t="s">
        <v>432</v>
      </c>
      <c r="E84" s="3601" t="s">
        <v>432</v>
      </c>
      <c r="F84" s="3601" t="s">
        <v>432</v>
      </c>
      <c r="G84" s="3601" t="s">
        <v>432</v>
      </c>
      <c r="H84" s="3601" t="s">
        <v>432</v>
      </c>
      <c r="I84" s="3601" t="s">
        <v>432</v>
      </c>
      <c r="J84" s="3601" t="s">
        <v>432</v>
      </c>
      <c r="K84" s="3601" t="s">
        <v>432</v>
      </c>
      <c r="L84" s="3601"/>
      <c r="M84" s="3601"/>
      <c r="N84" s="3601"/>
      <c r="O84" s="3602"/>
      <c r="P84" s="3601"/>
      <c r="Q84" s="3603"/>
      <c r="R84" s="3551"/>
      <c r="S84" s="3551"/>
      <c r="T84" s="3551"/>
      <c r="U84" s="3551"/>
      <c r="V84" s="675"/>
    </row>
    <row r="85" spans="1:22" s="3238" customFormat="1" ht="45" x14ac:dyDescent="0.25">
      <c r="A85" s="3581" t="s">
        <v>1739</v>
      </c>
      <c r="B85" s="3577"/>
      <c r="C85" s="3578"/>
      <c r="D85" s="3578"/>
      <c r="E85" s="3578"/>
      <c r="F85" s="3578"/>
      <c r="G85" s="3578"/>
      <c r="H85" s="3579"/>
      <c r="I85" s="3578"/>
      <c r="J85" s="3578"/>
      <c r="K85" s="3578"/>
      <c r="L85" s="3578"/>
      <c r="M85" s="3578"/>
      <c r="N85" s="3578"/>
      <c r="O85" s="3578"/>
      <c r="P85" s="3578"/>
      <c r="Q85" s="3578"/>
      <c r="R85" s="3578"/>
      <c r="S85" s="3578"/>
      <c r="T85" s="3578"/>
      <c r="U85" s="3578"/>
      <c r="V85" s="3580"/>
    </row>
    <row r="86" spans="1:22" ht="17.399999999999999" customHeight="1" x14ac:dyDescent="0.25">
      <c r="A86" s="3571" t="s">
        <v>1692</v>
      </c>
      <c r="B86" s="3571" t="s">
        <v>1694</v>
      </c>
      <c r="C86" s="3559">
        <v>2005</v>
      </c>
      <c r="D86" s="3559">
        <v>2006</v>
      </c>
      <c r="E86" s="3571">
        <v>2007</v>
      </c>
      <c r="F86" s="3559">
        <v>2008</v>
      </c>
      <c r="G86" s="3559">
        <v>2009</v>
      </c>
      <c r="H86" s="3559" t="s">
        <v>442</v>
      </c>
      <c r="I86" s="3559" t="s">
        <v>443</v>
      </c>
      <c r="J86" s="3559" t="s">
        <v>444</v>
      </c>
      <c r="K86" s="3559" t="s">
        <v>445</v>
      </c>
      <c r="L86" s="3559" t="s">
        <v>446</v>
      </c>
      <c r="M86" s="3559" t="s">
        <v>447</v>
      </c>
      <c r="N86" s="3559" t="s">
        <v>448</v>
      </c>
      <c r="O86" s="3559" t="s">
        <v>449</v>
      </c>
      <c r="P86" s="3559" t="s">
        <v>450</v>
      </c>
      <c r="Q86" s="3559" t="s">
        <v>451</v>
      </c>
      <c r="R86" s="3559" t="s">
        <v>1471</v>
      </c>
      <c r="S86" s="3559" t="s">
        <v>1620</v>
      </c>
      <c r="T86" s="3559" t="s">
        <v>1621</v>
      </c>
      <c r="U86" s="3559" t="s">
        <v>1770</v>
      </c>
      <c r="V86" s="3559" t="s">
        <v>1804</v>
      </c>
    </row>
    <row r="87" spans="1:22" ht="19.2" x14ac:dyDescent="0.25">
      <c r="A87" s="3571" t="s">
        <v>1740</v>
      </c>
      <c r="B87" s="3571" t="s">
        <v>1741</v>
      </c>
      <c r="C87" s="3548">
        <v>135122.87400000001</v>
      </c>
      <c r="D87" s="3548">
        <v>140590.50200000001</v>
      </c>
      <c r="E87" s="3548">
        <v>140715.4</v>
      </c>
      <c r="F87" s="3548">
        <v>119217.122</v>
      </c>
      <c r="G87" s="3548">
        <v>93657.434999999998</v>
      </c>
      <c r="H87" s="3548">
        <v>88561.56</v>
      </c>
      <c r="I87" s="3548">
        <v>133362.80428000001</v>
      </c>
      <c r="J87" s="3548">
        <v>125334.51136</v>
      </c>
      <c r="K87" s="3548">
        <v>89236.610560000001</v>
      </c>
      <c r="L87" s="3548">
        <v>79464.260283193478</v>
      </c>
      <c r="M87" s="3548">
        <v>70324.159589833318</v>
      </c>
      <c r="N87" s="3548">
        <v>75402.070273690581</v>
      </c>
      <c r="O87" s="3548">
        <v>74982.40493047933</v>
      </c>
      <c r="P87" s="3548">
        <v>74156.534631200004</v>
      </c>
      <c r="Q87" s="3548">
        <v>68713.769069463626</v>
      </c>
      <c r="R87" s="3548">
        <v>74065.166027908359</v>
      </c>
      <c r="S87" s="3548">
        <v>71843.842347076788</v>
      </c>
      <c r="T87" s="3548">
        <v>71461.071494469987</v>
      </c>
      <c r="U87" s="3548">
        <v>64489.241636872866</v>
      </c>
      <c r="V87" s="3548">
        <v>68487.932279108412</v>
      </c>
    </row>
    <row r="88" spans="1:22" ht="17.399999999999999" customHeight="1" x14ac:dyDescent="0.25">
      <c r="A88" s="3588" t="s">
        <v>13</v>
      </c>
      <c r="B88" s="3604" t="s">
        <v>1696</v>
      </c>
      <c r="C88" s="3584">
        <v>135122.87400000001</v>
      </c>
      <c r="D88" s="3607">
        <v>140590.50200000001</v>
      </c>
      <c r="E88" s="3584">
        <v>140715.4</v>
      </c>
      <c r="F88" s="3584">
        <v>119217.122</v>
      </c>
      <c r="G88" s="3584">
        <v>93657.434999999998</v>
      </c>
      <c r="H88" s="3584">
        <v>88561.56</v>
      </c>
      <c r="I88" s="3584">
        <v>133362.80428000001</v>
      </c>
      <c r="J88" s="3584">
        <v>125334.51136</v>
      </c>
      <c r="K88" s="3607">
        <v>89236.610560000001</v>
      </c>
      <c r="L88" s="3584">
        <v>79464.260283193478</v>
      </c>
      <c r="M88" s="3584">
        <v>70324.159589833318</v>
      </c>
      <c r="N88" s="3584">
        <v>75402.070273690581</v>
      </c>
      <c r="O88" s="3584">
        <v>74982.40493047933</v>
      </c>
      <c r="P88" s="3584">
        <v>74156.534631200004</v>
      </c>
      <c r="Q88" s="3584">
        <v>68713.769069463626</v>
      </c>
      <c r="R88" s="3584">
        <v>74065.166027908359</v>
      </c>
      <c r="S88" s="3584">
        <v>71843.842347076788</v>
      </c>
      <c r="T88" s="3584">
        <v>71461.071494469987</v>
      </c>
      <c r="U88" s="3584">
        <v>64489.241636872866</v>
      </c>
      <c r="V88" s="3584">
        <v>68487.932279108412</v>
      </c>
    </row>
    <row r="89" spans="1:22" ht="19.2" x14ac:dyDescent="0.25">
      <c r="A89" s="3571" t="s">
        <v>1740</v>
      </c>
      <c r="B89" s="3571" t="s">
        <v>1742</v>
      </c>
      <c r="C89" s="3548">
        <v>130299</v>
      </c>
      <c r="D89" s="3548">
        <v>140133.41999999998</v>
      </c>
      <c r="E89" s="3548">
        <v>154265.20000000001</v>
      </c>
      <c r="F89" s="3548">
        <v>143380.1</v>
      </c>
      <c r="G89" s="3548">
        <v>116826</v>
      </c>
      <c r="H89" s="3548">
        <v>112628.84599999999</v>
      </c>
      <c r="I89" s="3548">
        <v>159793.19956679997</v>
      </c>
      <c r="J89" s="3548">
        <v>157440.05551829599</v>
      </c>
      <c r="K89" s="3548">
        <v>163693.56700500002</v>
      </c>
      <c r="L89" s="3548">
        <v>169519.23616962082</v>
      </c>
      <c r="M89" s="3548">
        <v>167229.18055603135</v>
      </c>
      <c r="N89" s="3548">
        <v>176622.20994673343</v>
      </c>
      <c r="O89" s="3548">
        <v>169554.23592855781</v>
      </c>
      <c r="P89" s="3548">
        <v>191485.08508521775</v>
      </c>
      <c r="Q89" s="3548">
        <v>163928.58899538984</v>
      </c>
      <c r="R89" s="3548">
        <v>144134.75659388877</v>
      </c>
      <c r="S89" s="3548">
        <v>143036.59038534414</v>
      </c>
      <c r="T89" s="3548">
        <v>141180.4184134501</v>
      </c>
      <c r="U89" s="3548">
        <v>107583.76763085122</v>
      </c>
      <c r="V89" s="3548">
        <v>110145.79024935036</v>
      </c>
    </row>
    <row r="90" spans="1:22" ht="17.399999999999999" customHeight="1" x14ac:dyDescent="0.25">
      <c r="A90" s="3587"/>
      <c r="B90" s="3589" t="s">
        <v>1698</v>
      </c>
      <c r="C90" s="3608">
        <v>0</v>
      </c>
      <c r="D90" s="3609">
        <v>0</v>
      </c>
      <c r="E90" s="3608">
        <v>0</v>
      </c>
      <c r="F90" s="3608">
        <v>92</v>
      </c>
      <c r="G90" s="3608">
        <v>678</v>
      </c>
      <c r="H90" s="3608">
        <v>1064</v>
      </c>
      <c r="I90" s="3608">
        <v>1518.6025668</v>
      </c>
      <c r="J90" s="3608">
        <v>1413.1489999999999</v>
      </c>
      <c r="K90" s="3609">
        <v>658.4</v>
      </c>
      <c r="L90" s="3608">
        <v>1453.9649999999997</v>
      </c>
      <c r="M90" s="3608">
        <v>1841.627294255052</v>
      </c>
      <c r="N90" s="3608">
        <v>2242.7139999999999</v>
      </c>
      <c r="O90" s="3608">
        <v>2667.5839999999998</v>
      </c>
      <c r="P90" s="3608">
        <v>4353.3510299999998</v>
      </c>
      <c r="Q90" s="3608">
        <v>6197.1667700000007</v>
      </c>
      <c r="R90" s="3608">
        <v>5318.5476900000003</v>
      </c>
      <c r="S90" s="3608">
        <v>6252.1493100000007</v>
      </c>
      <c r="T90" s="3608">
        <v>6244.1497099999997</v>
      </c>
      <c r="U90" s="3608">
        <v>1944.7230199999999</v>
      </c>
      <c r="V90" s="3608">
        <v>2064.2630300000001</v>
      </c>
    </row>
    <row r="91" spans="1:22" ht="17.399999999999999" customHeight="1" x14ac:dyDescent="0.25">
      <c r="A91" s="3587" t="s">
        <v>22</v>
      </c>
      <c r="B91" s="3593" t="s">
        <v>1641</v>
      </c>
      <c r="C91" s="3584">
        <v>0</v>
      </c>
      <c r="D91" s="3607">
        <v>0</v>
      </c>
      <c r="E91" s="3584">
        <v>0</v>
      </c>
      <c r="F91" s="3584">
        <v>92</v>
      </c>
      <c r="G91" s="3584">
        <v>678</v>
      </c>
      <c r="H91" s="3584">
        <v>1064</v>
      </c>
      <c r="I91" s="3584">
        <v>1518.6025668</v>
      </c>
      <c r="J91" s="3584">
        <v>1413.1489999999999</v>
      </c>
      <c r="K91" s="3607">
        <v>658.4</v>
      </c>
      <c r="L91" s="3584">
        <v>1453.9649999999997</v>
      </c>
      <c r="M91" s="3584">
        <v>1841.627294255052</v>
      </c>
      <c r="N91" s="3584">
        <v>2242.7139999999999</v>
      </c>
      <c r="O91" s="3584">
        <v>2667.5839999999998</v>
      </c>
      <c r="P91" s="3584">
        <v>4353.3510299999998</v>
      </c>
      <c r="Q91" s="3584">
        <v>6197.1667700000007</v>
      </c>
      <c r="R91" s="3584">
        <v>5318.5476900000003</v>
      </c>
      <c r="S91" s="3584">
        <v>6252.1493100000007</v>
      </c>
      <c r="T91" s="3584">
        <v>6244.1497099999997</v>
      </c>
      <c r="U91" s="3584">
        <v>1944.7230199999999</v>
      </c>
      <c r="V91" s="3584">
        <v>2064.2630300000001</v>
      </c>
    </row>
    <row r="92" spans="1:22" ht="17.399999999999999" customHeight="1" x14ac:dyDescent="0.25">
      <c r="A92" s="685" t="s">
        <v>48</v>
      </c>
      <c r="B92" s="3582"/>
      <c r="C92" s="3610" t="s">
        <v>48</v>
      </c>
      <c r="D92" s="3610" t="s">
        <v>48</v>
      </c>
      <c r="E92" s="3610" t="s">
        <v>48</v>
      </c>
      <c r="F92" s="3610" t="s">
        <v>48</v>
      </c>
      <c r="G92" s="3610" t="s">
        <v>48</v>
      </c>
      <c r="H92" s="3610" t="s">
        <v>48</v>
      </c>
      <c r="I92" s="3610" t="s">
        <v>48</v>
      </c>
      <c r="J92" s="3610" t="s">
        <v>48</v>
      </c>
      <c r="K92" s="3610" t="s">
        <v>48</v>
      </c>
      <c r="L92" s="3610"/>
      <c r="M92" s="3610"/>
      <c r="N92" s="3610"/>
      <c r="O92" s="3610"/>
      <c r="P92" s="3610"/>
      <c r="Q92" s="3611"/>
      <c r="R92" s="3610"/>
      <c r="S92" s="3610"/>
      <c r="T92" s="3610"/>
      <c r="U92" s="3610"/>
      <c r="V92" s="3610"/>
    </row>
    <row r="93" spans="1:22" ht="17.399999999999999" customHeight="1" x14ac:dyDescent="0.25">
      <c r="A93" s="3588" t="s">
        <v>26</v>
      </c>
      <c r="B93" s="3605" t="s">
        <v>1732</v>
      </c>
      <c r="C93" s="3612">
        <v>123841</v>
      </c>
      <c r="D93" s="3612">
        <v>133159.83000000002</v>
      </c>
      <c r="E93" s="3612">
        <v>140375.1</v>
      </c>
      <c r="F93" s="3612">
        <v>129009.1</v>
      </c>
      <c r="G93" s="3612">
        <v>101928</v>
      </c>
      <c r="H93" s="3612">
        <v>93780.137000000002</v>
      </c>
      <c r="I93" s="3612">
        <v>89732.84599999999</v>
      </c>
      <c r="J93" s="3612">
        <v>92667.474694999997</v>
      </c>
      <c r="K93" s="3612">
        <v>87761.667509999999</v>
      </c>
      <c r="L93" s="3612">
        <v>95107.739565025549</v>
      </c>
      <c r="M93" s="3612">
        <v>94353.241857145142</v>
      </c>
      <c r="N93" s="3612">
        <v>103653.11793674296</v>
      </c>
      <c r="O93" s="3612">
        <v>101455.06210437555</v>
      </c>
      <c r="P93" s="3612">
        <v>115516.76431000319</v>
      </c>
      <c r="Q93" s="3612">
        <v>91425.047496999992</v>
      </c>
      <c r="R93" s="3612">
        <v>78088.34085149999</v>
      </c>
      <c r="S93" s="3612">
        <v>79087.54454204897</v>
      </c>
      <c r="T93" s="3612">
        <v>73763.728670655488</v>
      </c>
      <c r="U93" s="3612">
        <v>50637.513684685029</v>
      </c>
      <c r="V93" s="3612">
        <v>52457.23785396824</v>
      </c>
    </row>
    <row r="94" spans="1:22" ht="17.399999999999999" customHeight="1" x14ac:dyDescent="0.25">
      <c r="A94" s="3588" t="s">
        <v>30</v>
      </c>
      <c r="B94" s="3605" t="s">
        <v>1643</v>
      </c>
      <c r="C94" s="3612">
        <v>1623</v>
      </c>
      <c r="D94" s="3612">
        <v>1723.56</v>
      </c>
      <c r="E94" s="3612">
        <v>1888.1</v>
      </c>
      <c r="F94" s="3612">
        <v>1863</v>
      </c>
      <c r="G94" s="3612">
        <v>1906</v>
      </c>
      <c r="H94" s="3612">
        <v>1944</v>
      </c>
      <c r="I94" s="3612">
        <v>24941.84</v>
      </c>
      <c r="J94" s="3612">
        <v>24893.619839999999</v>
      </c>
      <c r="K94" s="3612">
        <v>25167.440040000001</v>
      </c>
      <c r="L94" s="3612">
        <v>26025.578959999999</v>
      </c>
      <c r="M94" s="3612">
        <v>27587.558487999995</v>
      </c>
      <c r="N94" s="3612">
        <v>27522.198199999999</v>
      </c>
      <c r="O94" s="3612">
        <v>27760.061225474761</v>
      </c>
      <c r="P94" s="3612">
        <v>28875.870696495032</v>
      </c>
      <c r="Q94" s="3612">
        <v>30305.634084400001</v>
      </c>
      <c r="R94" s="3612">
        <v>26434.540240000002</v>
      </c>
      <c r="S94" s="3612">
        <v>28278.658092508034</v>
      </c>
      <c r="T94" s="3612">
        <v>29896.640333415104</v>
      </c>
      <c r="U94" s="3612">
        <v>28371.194738800001</v>
      </c>
      <c r="V94" s="3612">
        <v>28859.492327600005</v>
      </c>
    </row>
    <row r="95" spans="1:22" ht="17.399999999999999" customHeight="1" x14ac:dyDescent="0.25">
      <c r="A95" s="3588" t="s">
        <v>34</v>
      </c>
      <c r="B95" s="3605" t="s">
        <v>1644</v>
      </c>
      <c r="C95" s="3612">
        <v>0</v>
      </c>
      <c r="D95" s="3612">
        <v>0</v>
      </c>
      <c r="E95" s="3612">
        <v>0</v>
      </c>
      <c r="F95" s="3612">
        <v>0</v>
      </c>
      <c r="G95" s="3612">
        <v>0</v>
      </c>
      <c r="H95" s="3612">
        <v>0</v>
      </c>
      <c r="I95" s="3612">
        <v>1542.4081000000001</v>
      </c>
      <c r="J95" s="3612">
        <v>1606.8864610000001</v>
      </c>
      <c r="K95" s="3612">
        <v>1687.6022499999999</v>
      </c>
      <c r="L95" s="3612">
        <v>1783.5290266322213</v>
      </c>
      <c r="M95" s="3612">
        <v>1976.1971516311478</v>
      </c>
      <c r="N95" s="3612">
        <v>2005.3848668489031</v>
      </c>
      <c r="O95" s="3612">
        <v>2148.8172712529999</v>
      </c>
      <c r="P95" s="3612">
        <v>2403.9322999870001</v>
      </c>
      <c r="Q95" s="3612">
        <v>6035.4593574999999</v>
      </c>
      <c r="R95" s="3612">
        <v>4777.9835424379471</v>
      </c>
      <c r="S95" s="3612">
        <v>2671.074207120751</v>
      </c>
      <c r="T95" s="3612">
        <v>2613.0665804630517</v>
      </c>
      <c r="U95" s="3612">
        <v>2606.415945866182</v>
      </c>
      <c r="V95" s="3612">
        <v>2715.2928227821162</v>
      </c>
    </row>
    <row r="96" spans="1:22" ht="17.399999999999999" customHeight="1" x14ac:dyDescent="0.25">
      <c r="A96" s="3588" t="s">
        <v>36</v>
      </c>
      <c r="B96" s="3605" t="s">
        <v>1645</v>
      </c>
      <c r="C96" s="3612">
        <v>2985</v>
      </c>
      <c r="D96" s="3612">
        <v>3112</v>
      </c>
      <c r="E96" s="3612">
        <v>3824</v>
      </c>
      <c r="F96" s="3612">
        <v>3943</v>
      </c>
      <c r="G96" s="3612">
        <v>3213</v>
      </c>
      <c r="H96" s="3612">
        <v>4123</v>
      </c>
      <c r="I96" s="3612">
        <v>2371.6705000000002</v>
      </c>
      <c r="J96" s="3612">
        <v>3027.4749999999999</v>
      </c>
      <c r="K96" s="3612">
        <v>3013</v>
      </c>
      <c r="L96" s="3612">
        <v>2958.3872500000002</v>
      </c>
      <c r="M96" s="3612">
        <v>3121.8557500000002</v>
      </c>
      <c r="N96" s="3612">
        <v>3463.3795</v>
      </c>
      <c r="O96" s="3612">
        <v>3111.10275</v>
      </c>
      <c r="P96" s="3612">
        <v>3584.9809999999998</v>
      </c>
      <c r="Q96" s="3612">
        <v>1191.7327274999998</v>
      </c>
      <c r="R96" s="3612">
        <v>795.88150000000053</v>
      </c>
      <c r="S96" s="3612">
        <v>1680.47775</v>
      </c>
      <c r="T96" s="3612">
        <v>1439.2265</v>
      </c>
      <c r="U96" s="3612">
        <v>615.07000000000005</v>
      </c>
      <c r="V96" s="3612">
        <v>681.98779999999999</v>
      </c>
    </row>
    <row r="97" spans="1:22" ht="17.399999999999999" customHeight="1" x14ac:dyDescent="0.25">
      <c r="A97" s="3588" t="s">
        <v>37</v>
      </c>
      <c r="B97" s="3605" t="s">
        <v>1646</v>
      </c>
      <c r="C97" s="3612">
        <v>1029</v>
      </c>
      <c r="D97" s="3612">
        <v>1156</v>
      </c>
      <c r="E97" s="3612">
        <v>592</v>
      </c>
      <c r="F97" s="3612">
        <v>1043</v>
      </c>
      <c r="G97" s="3612">
        <v>631</v>
      </c>
      <c r="H97" s="3612">
        <v>859</v>
      </c>
      <c r="I97" s="3612">
        <v>716.88450000000012</v>
      </c>
      <c r="J97" s="3612">
        <v>777.85990000000004</v>
      </c>
      <c r="K97" s="3612">
        <v>435.61250000000001</v>
      </c>
      <c r="L97" s="3612">
        <v>464.06280000000004</v>
      </c>
      <c r="M97" s="3612">
        <v>292.46909999999997</v>
      </c>
      <c r="N97" s="3612">
        <v>258.6875</v>
      </c>
      <c r="O97" s="3612">
        <v>241.9259996468748</v>
      </c>
      <c r="P97" s="3612">
        <v>271.24044700000002</v>
      </c>
      <c r="Q97" s="3612">
        <v>231.96907799999997</v>
      </c>
      <c r="R97" s="3612">
        <v>268.93904400000008</v>
      </c>
      <c r="S97" s="3612">
        <v>238.90534400000001</v>
      </c>
      <c r="T97" s="3612">
        <v>179.68164400000001</v>
      </c>
      <c r="U97" s="3612">
        <v>266.14514400000002</v>
      </c>
      <c r="V97" s="3612">
        <v>192.60955000000001</v>
      </c>
    </row>
    <row r="98" spans="1:22" ht="17.399999999999999" customHeight="1" x14ac:dyDescent="0.25">
      <c r="A98" s="685" t="s">
        <v>48</v>
      </c>
      <c r="B98" s="3582" t="s">
        <v>48</v>
      </c>
      <c r="C98" s="3610" t="s">
        <v>48</v>
      </c>
      <c r="D98" s="3610" t="s">
        <v>48</v>
      </c>
      <c r="E98" s="3610" t="s">
        <v>48</v>
      </c>
      <c r="F98" s="3610" t="s">
        <v>48</v>
      </c>
      <c r="G98" s="3610" t="s">
        <v>48</v>
      </c>
      <c r="H98" s="3610" t="s">
        <v>48</v>
      </c>
      <c r="I98" s="3610" t="s">
        <v>48</v>
      </c>
      <c r="J98" s="3610" t="s">
        <v>48</v>
      </c>
      <c r="K98" s="3610" t="s">
        <v>48</v>
      </c>
      <c r="L98" s="3610"/>
      <c r="M98" s="3610"/>
      <c r="N98" s="3610"/>
      <c r="O98" s="3610"/>
      <c r="P98" s="3610"/>
      <c r="Q98" s="3611"/>
      <c r="R98" s="3610"/>
      <c r="S98" s="3610"/>
      <c r="T98" s="3610"/>
      <c r="U98" s="3610"/>
      <c r="V98" s="3610"/>
    </row>
    <row r="99" spans="1:22" ht="17.399999999999999" customHeight="1" x14ac:dyDescent="0.25">
      <c r="A99" s="3588" t="s">
        <v>48</v>
      </c>
      <c r="B99" s="3605" t="s">
        <v>1743</v>
      </c>
      <c r="C99" s="3612">
        <v>793</v>
      </c>
      <c r="D99" s="3612">
        <v>796</v>
      </c>
      <c r="E99" s="3612">
        <v>845</v>
      </c>
      <c r="F99" s="3612">
        <v>637</v>
      </c>
      <c r="G99" s="3612">
        <v>614</v>
      </c>
      <c r="H99" s="3612">
        <v>570</v>
      </c>
      <c r="I99" s="3612">
        <v>569</v>
      </c>
      <c r="J99" s="3612">
        <v>709.6</v>
      </c>
      <c r="K99" s="3612">
        <v>497.51419213985258</v>
      </c>
      <c r="L99" s="3612">
        <v>415.44936296309902</v>
      </c>
      <c r="M99" s="3612">
        <v>435.51900000000001</v>
      </c>
      <c r="N99" s="3612">
        <v>796.22831612992104</v>
      </c>
      <c r="O99" s="3612">
        <v>808.39754831255857</v>
      </c>
      <c r="P99" s="3612">
        <v>613.25364252956842</v>
      </c>
      <c r="Q99" s="3612">
        <v>107.81489290391326</v>
      </c>
      <c r="R99" s="3612">
        <v>64.856339999999989</v>
      </c>
      <c r="S99" s="3612">
        <v>51.807409999999997</v>
      </c>
      <c r="T99" s="3612">
        <v>36.687449999999998</v>
      </c>
      <c r="U99" s="3612">
        <v>41.603450000000002</v>
      </c>
      <c r="V99" s="3612">
        <v>34.918459999999996</v>
      </c>
    </row>
    <row r="100" spans="1:22" ht="17.399999999999999" customHeight="1" x14ac:dyDescent="0.25">
      <c r="A100" s="3587" t="s">
        <v>40</v>
      </c>
      <c r="B100" s="3606" t="s">
        <v>1704</v>
      </c>
      <c r="C100" s="3584">
        <v>744</v>
      </c>
      <c r="D100" s="3584">
        <v>735</v>
      </c>
      <c r="E100" s="3584">
        <v>732</v>
      </c>
      <c r="F100" s="3584">
        <v>504</v>
      </c>
      <c r="G100" s="3584">
        <v>520</v>
      </c>
      <c r="H100" s="3584">
        <v>493</v>
      </c>
      <c r="I100" s="3584">
        <v>481</v>
      </c>
      <c r="J100" s="3584">
        <v>598</v>
      </c>
      <c r="K100" s="3584">
        <v>303</v>
      </c>
      <c r="L100" s="3584">
        <v>267.02699999999999</v>
      </c>
      <c r="M100" s="3584">
        <v>195.929</v>
      </c>
      <c r="N100" s="3584">
        <v>237.79400072345192</v>
      </c>
      <c r="O100" s="3584">
        <v>226.93400731889386</v>
      </c>
      <c r="P100" s="3584">
        <v>242.74243000000001</v>
      </c>
      <c r="Q100" s="3584">
        <v>40.082000000000001</v>
      </c>
      <c r="R100" s="3584">
        <v>0</v>
      </c>
      <c r="S100" s="3584">
        <v>0</v>
      </c>
      <c r="T100" s="3584">
        <v>0</v>
      </c>
      <c r="U100" s="3584">
        <v>0</v>
      </c>
      <c r="V100" s="3584">
        <v>0</v>
      </c>
    </row>
    <row r="101" spans="1:22" ht="17.399999999999999" customHeight="1" x14ac:dyDescent="0.25">
      <c r="A101" s="3587" t="s">
        <v>43</v>
      </c>
      <c r="B101" s="3606" t="s">
        <v>1648</v>
      </c>
      <c r="C101" s="3584">
        <v>49</v>
      </c>
      <c r="D101" s="3584">
        <v>61</v>
      </c>
      <c r="E101" s="3584">
        <v>113</v>
      </c>
      <c r="F101" s="3584">
        <v>133</v>
      </c>
      <c r="G101" s="3584">
        <v>94</v>
      </c>
      <c r="H101" s="3584">
        <v>77</v>
      </c>
      <c r="I101" s="3584">
        <v>88</v>
      </c>
      <c r="J101" s="3584">
        <v>103</v>
      </c>
      <c r="K101" s="3584">
        <v>194.51419213985261</v>
      </c>
      <c r="L101" s="3584">
        <v>115.90136296309858</v>
      </c>
      <c r="M101" s="3584">
        <v>143.96899999999999</v>
      </c>
      <c r="N101" s="3584">
        <v>558.43431540646907</v>
      </c>
      <c r="O101" s="3584">
        <v>581.46354099366465</v>
      </c>
      <c r="P101" s="3584">
        <v>370.51121252956841</v>
      </c>
      <c r="Q101" s="3584">
        <v>21.615452903913262</v>
      </c>
      <c r="R101" s="3584">
        <v>12.951999999999998</v>
      </c>
      <c r="S101" s="3584">
        <v>1.8319999999999999</v>
      </c>
      <c r="T101" s="3584">
        <v>0.14300000000000002</v>
      </c>
      <c r="U101" s="3584">
        <v>0</v>
      </c>
      <c r="V101" s="3584">
        <v>0</v>
      </c>
    </row>
    <row r="102" spans="1:22" ht="17.399999999999999" customHeight="1" x14ac:dyDescent="0.25">
      <c r="A102" s="3587" t="s">
        <v>40</v>
      </c>
      <c r="B102" s="3606" t="s">
        <v>1701</v>
      </c>
      <c r="C102" s="3584">
        <v>0</v>
      </c>
      <c r="D102" s="3584">
        <v>0</v>
      </c>
      <c r="E102" s="3584">
        <v>0</v>
      </c>
      <c r="F102" s="3584">
        <v>0</v>
      </c>
      <c r="G102" s="3584">
        <v>0</v>
      </c>
      <c r="H102" s="3584">
        <v>0</v>
      </c>
      <c r="I102" s="3584">
        <v>0</v>
      </c>
      <c r="J102" s="3584">
        <v>8.6</v>
      </c>
      <c r="K102" s="3584">
        <v>0</v>
      </c>
      <c r="L102" s="3584">
        <v>32.521000000000001</v>
      </c>
      <c r="M102" s="3584">
        <v>95.620999999999995</v>
      </c>
      <c r="N102" s="3584">
        <v>0</v>
      </c>
      <c r="O102" s="3584">
        <v>0</v>
      </c>
      <c r="P102" s="3584">
        <v>0</v>
      </c>
      <c r="Q102" s="3584">
        <v>46.117440000000002</v>
      </c>
      <c r="R102" s="3584">
        <v>51.904340000000005</v>
      </c>
      <c r="S102" s="3584">
        <v>49.975409999999997</v>
      </c>
      <c r="T102" s="3584">
        <v>36.544449999999998</v>
      </c>
      <c r="U102" s="3584">
        <v>41.603450000000002</v>
      </c>
      <c r="V102" s="3584">
        <v>34.918459999999996</v>
      </c>
    </row>
    <row r="103" spans="1:22" ht="17.399999999999999" customHeight="1" x14ac:dyDescent="0.25">
      <c r="A103" s="3587" t="s">
        <v>52</v>
      </c>
      <c r="B103" s="3606" t="s">
        <v>1706</v>
      </c>
      <c r="C103" s="3584">
        <v>0</v>
      </c>
      <c r="D103" s="3584">
        <v>0</v>
      </c>
      <c r="E103" s="3584">
        <v>0</v>
      </c>
      <c r="F103" s="3584">
        <v>0</v>
      </c>
      <c r="G103" s="3584">
        <v>0</v>
      </c>
      <c r="H103" s="3584">
        <v>0</v>
      </c>
      <c r="I103" s="3584">
        <v>0</v>
      </c>
      <c r="J103" s="3584">
        <v>0</v>
      </c>
      <c r="K103" s="3584">
        <v>0</v>
      </c>
      <c r="L103" s="3584">
        <v>0</v>
      </c>
      <c r="M103" s="3584">
        <v>0</v>
      </c>
      <c r="N103" s="3584">
        <v>0</v>
      </c>
      <c r="O103" s="3584">
        <v>0</v>
      </c>
      <c r="P103" s="3584">
        <v>0</v>
      </c>
      <c r="Q103" s="3584">
        <v>0</v>
      </c>
      <c r="R103" s="3584">
        <v>0</v>
      </c>
      <c r="S103" s="3584">
        <v>0</v>
      </c>
      <c r="T103" s="3584">
        <v>0</v>
      </c>
      <c r="U103" s="3584">
        <v>0</v>
      </c>
      <c r="V103" s="3584">
        <v>0</v>
      </c>
    </row>
    <row r="104" spans="1:22" ht="17.399999999999999" customHeight="1" x14ac:dyDescent="0.25">
      <c r="A104" s="685" t="s">
        <v>48</v>
      </c>
      <c r="B104" s="3582" t="s">
        <v>48</v>
      </c>
      <c r="C104" s="3610" t="s">
        <v>48</v>
      </c>
      <c r="D104" s="3610" t="s">
        <v>48</v>
      </c>
      <c r="E104" s="3610" t="s">
        <v>48</v>
      </c>
      <c r="F104" s="3610" t="s">
        <v>48</v>
      </c>
      <c r="G104" s="3610" t="s">
        <v>48</v>
      </c>
      <c r="H104" s="3610" t="s">
        <v>48</v>
      </c>
      <c r="I104" s="3610" t="s">
        <v>48</v>
      </c>
      <c r="J104" s="3610" t="s">
        <v>48</v>
      </c>
      <c r="K104" s="3610" t="s">
        <v>48</v>
      </c>
      <c r="L104" s="3610"/>
      <c r="M104" s="3610"/>
      <c r="N104" s="3610"/>
      <c r="O104" s="3610"/>
      <c r="P104" s="3610"/>
      <c r="Q104" s="3611"/>
      <c r="R104" s="3610"/>
      <c r="S104" s="3610"/>
      <c r="T104" s="3610"/>
      <c r="U104" s="3610"/>
      <c r="V104" s="3610"/>
    </row>
    <row r="105" spans="1:22" ht="17.399999999999999" customHeight="1" x14ac:dyDescent="0.25">
      <c r="A105" s="3588" t="s">
        <v>48</v>
      </c>
      <c r="B105" s="3605" t="s">
        <v>1707</v>
      </c>
      <c r="C105" s="3612">
        <v>0</v>
      </c>
      <c r="D105" s="3612">
        <v>183.03</v>
      </c>
      <c r="E105" s="3612">
        <v>108</v>
      </c>
      <c r="F105" s="3612">
        <v>136</v>
      </c>
      <c r="G105" s="3612">
        <v>313</v>
      </c>
      <c r="H105" s="3612">
        <v>2831.7089999999998</v>
      </c>
      <c r="I105" s="3612">
        <v>36426.197899999999</v>
      </c>
      <c r="J105" s="3612">
        <v>30370.490622295998</v>
      </c>
      <c r="K105" s="3612">
        <v>39522.834600000002</v>
      </c>
      <c r="L105" s="3612">
        <v>39309.625189999999</v>
      </c>
      <c r="M105" s="3612">
        <v>35850.298199999997</v>
      </c>
      <c r="N105" s="3612">
        <v>34718.126100000001</v>
      </c>
      <c r="O105" s="3612">
        <v>29637.292000000001</v>
      </c>
      <c r="P105" s="3612">
        <v>34079.846854000003</v>
      </c>
      <c r="Q105" s="3612">
        <v>24459.181680000002</v>
      </c>
      <c r="R105" s="3612">
        <v>25337.571500000002</v>
      </c>
      <c r="S105" s="3612">
        <v>19478.215545105755</v>
      </c>
      <c r="T105" s="3612">
        <v>22077.985391084581</v>
      </c>
      <c r="U105" s="3612">
        <v>21238.821500000002</v>
      </c>
      <c r="V105" s="3612">
        <v>21256.383600000001</v>
      </c>
    </row>
    <row r="106" spans="1:22" ht="17.399999999999999" customHeight="1" x14ac:dyDescent="0.25">
      <c r="A106" s="3587" t="s">
        <v>56</v>
      </c>
      <c r="B106" s="3606" t="s">
        <v>1650</v>
      </c>
      <c r="C106" s="3584">
        <v>0</v>
      </c>
      <c r="D106" s="3584">
        <v>0</v>
      </c>
      <c r="E106" s="3584">
        <v>108</v>
      </c>
      <c r="F106" s="3584">
        <v>136</v>
      </c>
      <c r="G106" s="3584">
        <v>313</v>
      </c>
      <c r="H106" s="3584">
        <v>366</v>
      </c>
      <c r="I106" s="3584">
        <v>595</v>
      </c>
      <c r="J106" s="3584">
        <v>611</v>
      </c>
      <c r="K106" s="3584">
        <v>642</v>
      </c>
      <c r="L106" s="3584">
        <v>667.58</v>
      </c>
      <c r="M106" s="3584">
        <v>582.59500000000003</v>
      </c>
      <c r="N106" s="3584">
        <v>635.92534012012572</v>
      </c>
      <c r="O106" s="3584">
        <v>776.4876105165938</v>
      </c>
      <c r="P106" s="3584">
        <v>1001.3323320235097</v>
      </c>
      <c r="Q106" s="3584">
        <v>400</v>
      </c>
      <c r="R106" s="3584">
        <v>137.61999999999998</v>
      </c>
      <c r="S106" s="3584">
        <v>106.67076451297891</v>
      </c>
      <c r="T106" s="3584">
        <v>124.6101119327616</v>
      </c>
      <c r="U106" s="3584">
        <v>158.71700000000001</v>
      </c>
      <c r="V106" s="3584">
        <v>173.04539999999997</v>
      </c>
    </row>
    <row r="107" spans="1:22" ht="17.399999999999999" customHeight="1" x14ac:dyDescent="0.25">
      <c r="A107" s="3587" t="s">
        <v>93</v>
      </c>
      <c r="B107" s="3606" t="s">
        <v>1651</v>
      </c>
      <c r="C107" s="3584">
        <v>0</v>
      </c>
      <c r="D107" s="3584">
        <v>0</v>
      </c>
      <c r="E107" s="3584">
        <v>0</v>
      </c>
      <c r="F107" s="3584">
        <v>0</v>
      </c>
      <c r="G107" s="3584">
        <v>0</v>
      </c>
      <c r="H107" s="3584">
        <v>0</v>
      </c>
      <c r="I107" s="3584">
        <v>33236.1561</v>
      </c>
      <c r="J107" s="3584">
        <v>26766.372000000003</v>
      </c>
      <c r="K107" s="3584">
        <v>36035.834600000002</v>
      </c>
      <c r="L107" s="3584">
        <v>35999.89559</v>
      </c>
      <c r="M107" s="3584">
        <v>32764.976599999998</v>
      </c>
      <c r="N107" s="3584">
        <v>27197.523618572097</v>
      </c>
      <c r="O107" s="3584">
        <v>14090.308222445612</v>
      </c>
      <c r="P107" s="3584">
        <v>15980.838463543034</v>
      </c>
      <c r="Q107" s="3584">
        <v>17612.76168</v>
      </c>
      <c r="R107" s="3584">
        <v>25189.926500000001</v>
      </c>
      <c r="S107" s="3584">
        <v>19357.294780592776</v>
      </c>
      <c r="T107" s="3584">
        <v>21937.375279151824</v>
      </c>
      <c r="U107" s="3584">
        <v>19622.715500000002</v>
      </c>
      <c r="V107" s="3584">
        <v>19596.539200000003</v>
      </c>
    </row>
    <row r="108" spans="1:22" ht="17.399999999999999" customHeight="1" x14ac:dyDescent="0.25">
      <c r="A108" s="3587" t="s">
        <v>59</v>
      </c>
      <c r="B108" s="3606" t="s">
        <v>1708</v>
      </c>
      <c r="C108" s="3584">
        <v>0</v>
      </c>
      <c r="D108" s="3584">
        <v>0</v>
      </c>
      <c r="E108" s="3584">
        <v>0</v>
      </c>
      <c r="F108" s="3584">
        <v>0</v>
      </c>
      <c r="G108" s="3584">
        <v>0</v>
      </c>
      <c r="H108" s="3584">
        <v>0</v>
      </c>
      <c r="I108" s="3584">
        <v>0</v>
      </c>
      <c r="J108" s="3584">
        <v>34.4</v>
      </c>
      <c r="K108" s="3584">
        <v>0</v>
      </c>
      <c r="L108" s="3584">
        <v>0</v>
      </c>
      <c r="M108" s="3584">
        <v>0</v>
      </c>
      <c r="N108" s="3584">
        <v>0</v>
      </c>
      <c r="O108" s="3584">
        <v>0</v>
      </c>
      <c r="P108" s="3584">
        <v>0</v>
      </c>
      <c r="Q108" s="3584">
        <v>0</v>
      </c>
      <c r="R108" s="3584">
        <v>0</v>
      </c>
      <c r="S108" s="3584">
        <v>0</v>
      </c>
      <c r="T108" s="3584">
        <v>0</v>
      </c>
      <c r="U108" s="3584">
        <v>0</v>
      </c>
      <c r="V108" s="3584">
        <v>0</v>
      </c>
    </row>
    <row r="109" spans="1:22" ht="17.399999999999999" customHeight="1" x14ac:dyDescent="0.25">
      <c r="A109" s="3587" t="s">
        <v>52</v>
      </c>
      <c r="B109" s="3606" t="s">
        <v>1712</v>
      </c>
      <c r="C109" s="3584">
        <v>0</v>
      </c>
      <c r="D109" s="3584">
        <v>0</v>
      </c>
      <c r="E109" s="3584">
        <v>0</v>
      </c>
      <c r="F109" s="3584">
        <v>0</v>
      </c>
      <c r="G109" s="3584">
        <v>0</v>
      </c>
      <c r="H109" s="3584">
        <v>0</v>
      </c>
      <c r="I109" s="3584">
        <v>0</v>
      </c>
      <c r="J109" s="3584">
        <v>8.6352000000000011</v>
      </c>
      <c r="K109" s="3584">
        <v>9</v>
      </c>
      <c r="L109" s="3584">
        <v>8.2876000000000012</v>
      </c>
      <c r="M109" s="3584">
        <v>7.6916000000000002</v>
      </c>
      <c r="N109" s="3584">
        <v>7.6916000000000002</v>
      </c>
      <c r="O109" s="3584">
        <v>7.6916000000000002</v>
      </c>
      <c r="P109" s="3584">
        <v>7.6916000000000002</v>
      </c>
      <c r="Q109" s="3584">
        <v>6046.42</v>
      </c>
      <c r="R109" s="3584">
        <v>0</v>
      </c>
      <c r="S109" s="3584">
        <v>0</v>
      </c>
      <c r="T109" s="3584">
        <v>0</v>
      </c>
      <c r="U109" s="3584">
        <v>0</v>
      </c>
      <c r="V109" s="3584">
        <v>0</v>
      </c>
    </row>
    <row r="110" spans="1:22" ht="17.399999999999999" customHeight="1" x14ac:dyDescent="0.25">
      <c r="A110" s="3587" t="s">
        <v>61</v>
      </c>
      <c r="B110" s="3606" t="s">
        <v>1709</v>
      </c>
      <c r="C110" s="3584">
        <v>0</v>
      </c>
      <c r="D110" s="3584">
        <v>183.03</v>
      </c>
      <c r="E110" s="3584">
        <v>0</v>
      </c>
      <c r="F110" s="3584">
        <v>0</v>
      </c>
      <c r="G110" s="3584">
        <v>0</v>
      </c>
      <c r="H110" s="3584">
        <v>2465.7089999999998</v>
      </c>
      <c r="I110" s="3584">
        <v>2595.0418</v>
      </c>
      <c r="J110" s="3584">
        <v>2950.0834222960002</v>
      </c>
      <c r="K110" s="3584">
        <v>2790</v>
      </c>
      <c r="L110" s="3584">
        <v>2596</v>
      </c>
      <c r="M110" s="3584">
        <v>2402</v>
      </c>
      <c r="N110" s="3584">
        <v>2068.4079999999999</v>
      </c>
      <c r="O110" s="3584">
        <v>2046.883</v>
      </c>
      <c r="P110" s="3584">
        <v>2046.883</v>
      </c>
      <c r="Q110" s="3584">
        <v>0</v>
      </c>
      <c r="R110" s="3584">
        <v>10.025</v>
      </c>
      <c r="S110" s="3584">
        <v>14.25</v>
      </c>
      <c r="T110" s="3584">
        <v>16</v>
      </c>
      <c r="U110" s="3584">
        <v>1457.3890000000001</v>
      </c>
      <c r="V110" s="3584">
        <v>1486.7990000000002</v>
      </c>
    </row>
    <row r="111" spans="1:22" ht="17.399999999999999" customHeight="1" x14ac:dyDescent="0.25">
      <c r="A111" s="3587" t="s">
        <v>52</v>
      </c>
      <c r="B111" s="3606" t="s">
        <v>1655</v>
      </c>
      <c r="C111" s="3584">
        <v>0</v>
      </c>
      <c r="D111" s="3584">
        <v>0</v>
      </c>
      <c r="E111" s="3584">
        <v>0</v>
      </c>
      <c r="F111" s="3584">
        <v>0</v>
      </c>
      <c r="G111" s="3584">
        <v>0</v>
      </c>
      <c r="H111" s="3584">
        <v>0</v>
      </c>
      <c r="I111" s="3584">
        <v>0</v>
      </c>
      <c r="J111" s="3584">
        <v>0</v>
      </c>
      <c r="K111" s="3584">
        <v>46</v>
      </c>
      <c r="L111" s="3584">
        <v>37.862000000000002</v>
      </c>
      <c r="M111" s="3584">
        <v>93.034999999999997</v>
      </c>
      <c r="N111" s="3584">
        <v>4808.5775413077754</v>
      </c>
      <c r="O111" s="3584">
        <v>12715.921567037793</v>
      </c>
      <c r="P111" s="3584">
        <v>15043.101458433455</v>
      </c>
      <c r="Q111" s="3584">
        <v>400</v>
      </c>
      <c r="R111" s="3584">
        <v>0</v>
      </c>
      <c r="S111" s="3584">
        <v>0</v>
      </c>
      <c r="T111" s="3584">
        <v>0</v>
      </c>
      <c r="U111" s="3584">
        <v>0</v>
      </c>
      <c r="V111" s="3584">
        <v>0</v>
      </c>
    </row>
    <row r="112" spans="1:22" ht="17.399999999999999" customHeight="1" x14ac:dyDescent="0.25">
      <c r="A112" s="685" t="s">
        <v>48</v>
      </c>
      <c r="B112" s="3582" t="s">
        <v>48</v>
      </c>
      <c r="C112" s="3610" t="s">
        <v>48</v>
      </c>
      <c r="D112" s="3610" t="s">
        <v>48</v>
      </c>
      <c r="E112" s="3610" t="s">
        <v>48</v>
      </c>
      <c r="F112" s="3610" t="s">
        <v>48</v>
      </c>
      <c r="G112" s="3610" t="s">
        <v>48</v>
      </c>
      <c r="H112" s="3610" t="s">
        <v>48</v>
      </c>
      <c r="I112" s="3610" t="s">
        <v>48</v>
      </c>
      <c r="J112" s="3610" t="s">
        <v>48</v>
      </c>
      <c r="K112" s="3610" t="s">
        <v>48</v>
      </c>
      <c r="L112" s="3610"/>
      <c r="M112" s="3610"/>
      <c r="N112" s="3610"/>
      <c r="O112" s="3610"/>
      <c r="P112" s="3610"/>
      <c r="Q112" s="3611"/>
      <c r="R112" s="3610"/>
      <c r="S112" s="3610"/>
      <c r="T112" s="3610"/>
      <c r="U112" s="3610"/>
      <c r="V112" s="3610"/>
    </row>
    <row r="113" spans="1:22" ht="17.399999999999999" customHeight="1" x14ac:dyDescent="0.25">
      <c r="A113" s="3588" t="s">
        <v>48</v>
      </c>
      <c r="B113" s="3605" t="s">
        <v>1657</v>
      </c>
      <c r="C113" s="3612">
        <v>28</v>
      </c>
      <c r="D113" s="3612">
        <v>3</v>
      </c>
      <c r="E113" s="3612">
        <v>6633</v>
      </c>
      <c r="F113" s="3612">
        <v>6657</v>
      </c>
      <c r="G113" s="3612">
        <v>7543</v>
      </c>
      <c r="H113" s="3612">
        <v>7457</v>
      </c>
      <c r="I113" s="3612">
        <v>1973.75</v>
      </c>
      <c r="J113" s="3612">
        <v>1973.5</v>
      </c>
      <c r="K113" s="3612">
        <v>4949.4959128601477</v>
      </c>
      <c r="L113" s="3612">
        <v>2000.899015</v>
      </c>
      <c r="M113" s="3612">
        <v>1770.4137149999999</v>
      </c>
      <c r="N113" s="3612">
        <v>1962.3735270116285</v>
      </c>
      <c r="O113" s="3612">
        <v>1723.9930294950568</v>
      </c>
      <c r="P113" s="3612">
        <v>1785.8448052029707</v>
      </c>
      <c r="Q113" s="3612">
        <v>3974.5829080859362</v>
      </c>
      <c r="R113" s="3612">
        <v>3048.0958859508428</v>
      </c>
      <c r="S113" s="3612">
        <v>5297.7581845606583</v>
      </c>
      <c r="T113" s="3612">
        <v>4929.2521338318838</v>
      </c>
      <c r="U113" s="3612">
        <v>1862.2801475000001</v>
      </c>
      <c r="V113" s="3612">
        <v>1883.6048049999999</v>
      </c>
    </row>
    <row r="114" spans="1:22" ht="17.399999999999999" customHeight="1" x14ac:dyDescent="0.25">
      <c r="A114" s="3587" t="s">
        <v>77</v>
      </c>
      <c r="B114" s="3606" t="s">
        <v>1716</v>
      </c>
      <c r="C114" s="3584">
        <v>0</v>
      </c>
      <c r="D114" s="3584">
        <v>0</v>
      </c>
      <c r="E114" s="3584">
        <v>87</v>
      </c>
      <c r="F114" s="3584">
        <v>141</v>
      </c>
      <c r="G114" s="3584">
        <v>134</v>
      </c>
      <c r="H114" s="3584">
        <v>56</v>
      </c>
      <c r="I114" s="3584">
        <v>76.25</v>
      </c>
      <c r="J114" s="3584">
        <v>48.150000000000006</v>
      </c>
      <c r="K114" s="3584">
        <v>2230.8935916408864</v>
      </c>
      <c r="L114" s="3584">
        <v>0.38</v>
      </c>
      <c r="M114" s="3584">
        <v>0.46289999999999998</v>
      </c>
      <c r="N114" s="3584">
        <v>195.90050811355198</v>
      </c>
      <c r="O114" s="3584">
        <v>1406.9974455733227</v>
      </c>
      <c r="P114" s="3584">
        <v>1131.7285477526116</v>
      </c>
      <c r="Q114" s="3584">
        <v>2186.4748631183647</v>
      </c>
      <c r="R114" s="3584">
        <v>2216.7838841270736</v>
      </c>
      <c r="S114" s="3584">
        <v>2686.3562584241872</v>
      </c>
      <c r="T114" s="3584">
        <v>2657.3521365124748</v>
      </c>
      <c r="U114" s="3584">
        <v>0</v>
      </c>
      <c r="V114" s="3584">
        <v>0</v>
      </c>
    </row>
    <row r="115" spans="1:22" ht="17.399999999999999" customHeight="1" x14ac:dyDescent="0.25">
      <c r="A115" s="3587" t="s">
        <v>77</v>
      </c>
      <c r="B115" s="3606" t="s">
        <v>1717</v>
      </c>
      <c r="C115" s="3584">
        <v>0</v>
      </c>
      <c r="D115" s="3584">
        <v>0</v>
      </c>
      <c r="E115" s="3584">
        <v>0</v>
      </c>
      <c r="F115" s="3584">
        <v>0</v>
      </c>
      <c r="G115" s="3584">
        <v>0</v>
      </c>
      <c r="H115" s="3584">
        <v>0</v>
      </c>
      <c r="I115" s="3584">
        <v>0</v>
      </c>
      <c r="J115" s="3584">
        <v>192.60000000000002</v>
      </c>
      <c r="K115" s="3584">
        <v>108.1286311282721</v>
      </c>
      <c r="L115" s="3584">
        <v>0.32999999999999996</v>
      </c>
      <c r="M115" s="3584">
        <v>1.9206999999999999</v>
      </c>
      <c r="N115" s="3584">
        <v>42.082532031888704</v>
      </c>
      <c r="O115" s="3584">
        <v>2.4550583530517631</v>
      </c>
      <c r="P115" s="3584">
        <v>26.506397677882639</v>
      </c>
      <c r="Q115" s="3584">
        <v>59.484233189211999</v>
      </c>
      <c r="R115" s="3584">
        <v>107.35236560395592</v>
      </c>
      <c r="S115" s="3584">
        <v>77.141599999999997</v>
      </c>
      <c r="T115" s="3584">
        <v>26.451859160234005</v>
      </c>
      <c r="U115" s="3584">
        <v>0</v>
      </c>
      <c r="V115" s="3584">
        <v>0</v>
      </c>
    </row>
    <row r="116" spans="1:22" ht="17.399999999999999" customHeight="1" x14ac:dyDescent="0.25">
      <c r="A116" s="3587" t="s">
        <v>77</v>
      </c>
      <c r="B116" s="3606" t="s">
        <v>1718</v>
      </c>
      <c r="C116" s="3584">
        <v>28</v>
      </c>
      <c r="D116" s="3584">
        <v>3</v>
      </c>
      <c r="E116" s="3584">
        <v>0</v>
      </c>
      <c r="F116" s="3584">
        <v>0</v>
      </c>
      <c r="G116" s="3584">
        <v>0</v>
      </c>
      <c r="H116" s="3584">
        <v>0</v>
      </c>
      <c r="I116" s="3584">
        <v>0</v>
      </c>
      <c r="J116" s="3584">
        <v>0</v>
      </c>
      <c r="K116" s="3584">
        <v>453.42469792744225</v>
      </c>
      <c r="L116" s="3584">
        <v>113.35500000000002</v>
      </c>
      <c r="M116" s="3584">
        <v>329.08679999999998</v>
      </c>
      <c r="N116" s="3584">
        <v>712.35998502048642</v>
      </c>
      <c r="O116" s="3584">
        <v>185.57036717130777</v>
      </c>
      <c r="P116" s="3584">
        <v>180.56334681044535</v>
      </c>
      <c r="Q116" s="3584">
        <v>32.507820000000002</v>
      </c>
      <c r="R116" s="3584">
        <v>68.411636219813175</v>
      </c>
      <c r="S116" s="3584">
        <v>56.582840016325541</v>
      </c>
      <c r="T116" s="3584">
        <v>130.8194299628716</v>
      </c>
      <c r="U116" s="3584">
        <v>0</v>
      </c>
      <c r="V116" s="3584">
        <v>0</v>
      </c>
    </row>
    <row r="117" spans="1:22" ht="33" customHeight="1" x14ac:dyDescent="0.25">
      <c r="A117" s="3587" t="s">
        <v>77</v>
      </c>
      <c r="B117" s="3640" t="s">
        <v>1744</v>
      </c>
      <c r="C117" s="3584">
        <v>0</v>
      </c>
      <c r="D117" s="3584">
        <v>0</v>
      </c>
      <c r="E117" s="3584">
        <v>0</v>
      </c>
      <c r="F117" s="3584">
        <v>0</v>
      </c>
      <c r="G117" s="3584">
        <v>0</v>
      </c>
      <c r="H117" s="3584">
        <v>0</v>
      </c>
      <c r="I117" s="3584">
        <v>0</v>
      </c>
      <c r="J117" s="3584">
        <v>0</v>
      </c>
      <c r="K117" s="3584">
        <v>282.04899216354681</v>
      </c>
      <c r="L117" s="3584">
        <v>127.26244</v>
      </c>
      <c r="M117" s="3584">
        <v>144.35443999999995</v>
      </c>
      <c r="N117" s="3584">
        <v>245.41361738624789</v>
      </c>
      <c r="O117" s="3584">
        <v>128.97015839737443</v>
      </c>
      <c r="P117" s="3584">
        <v>57.527842058489497</v>
      </c>
      <c r="Q117" s="3584">
        <v>0</v>
      </c>
      <c r="R117" s="3584">
        <v>104.029</v>
      </c>
      <c r="S117" s="3584">
        <v>0</v>
      </c>
      <c r="T117" s="3584">
        <v>0</v>
      </c>
      <c r="U117" s="3584">
        <v>0</v>
      </c>
      <c r="V117" s="3584">
        <v>0</v>
      </c>
    </row>
    <row r="118" spans="1:22" ht="17.399999999999999" customHeight="1" x14ac:dyDescent="0.25">
      <c r="A118" s="3587" t="s">
        <v>107</v>
      </c>
      <c r="B118" s="3606" t="s">
        <v>1720</v>
      </c>
      <c r="C118" s="3584">
        <v>0</v>
      </c>
      <c r="D118" s="3584">
        <v>0</v>
      </c>
      <c r="E118" s="3584">
        <v>6546</v>
      </c>
      <c r="F118" s="3584">
        <v>6516</v>
      </c>
      <c r="G118" s="3584">
        <v>7409</v>
      </c>
      <c r="H118" s="3584">
        <v>7401</v>
      </c>
      <c r="I118" s="3584">
        <v>1897.5</v>
      </c>
      <c r="J118" s="3584">
        <v>1732.75</v>
      </c>
      <c r="K118" s="3584">
        <v>1875</v>
      </c>
      <c r="L118" s="3584">
        <v>1759.5715749999999</v>
      </c>
      <c r="M118" s="3584">
        <v>1294.5888749999999</v>
      </c>
      <c r="N118" s="3584">
        <v>766.61688445945356</v>
      </c>
      <c r="O118" s="3584">
        <v>0</v>
      </c>
      <c r="P118" s="3584">
        <v>389.51867090354165</v>
      </c>
      <c r="Q118" s="3584">
        <v>1696.1159917783596</v>
      </c>
      <c r="R118" s="3584">
        <v>551.51900000000001</v>
      </c>
      <c r="S118" s="3584">
        <v>2477.6774861201452</v>
      </c>
      <c r="T118" s="3584">
        <v>2114.6287081963037</v>
      </c>
      <c r="U118" s="3584">
        <v>1862.2801475000001</v>
      </c>
      <c r="V118" s="3584">
        <v>1883.6048049999999</v>
      </c>
    </row>
    <row r="119" spans="1:22" ht="38.4" x14ac:dyDescent="0.25">
      <c r="A119" s="3571" t="s">
        <v>1740</v>
      </c>
      <c r="B119" s="3571" t="s">
        <v>1745</v>
      </c>
      <c r="C119" s="3613">
        <v>265421.87400000001</v>
      </c>
      <c r="D119" s="3613">
        <v>280723.92200000002</v>
      </c>
      <c r="E119" s="3613">
        <v>294980.59999999998</v>
      </c>
      <c r="F119" s="3613">
        <v>262597.22200000001</v>
      </c>
      <c r="G119" s="3613">
        <v>210483.435</v>
      </c>
      <c r="H119" s="3613">
        <v>201190.40599999999</v>
      </c>
      <c r="I119" s="3613">
        <v>293156.00384679995</v>
      </c>
      <c r="J119" s="3613">
        <v>282774.56687829603</v>
      </c>
      <c r="K119" s="3613">
        <v>252930.17756500002</v>
      </c>
      <c r="L119" s="3613">
        <v>248983.49645281432</v>
      </c>
      <c r="M119" s="3613">
        <v>237553.34014586467</v>
      </c>
      <c r="N119" s="3613">
        <v>252024.280220424</v>
      </c>
      <c r="O119" s="3613">
        <v>244536.64085903711</v>
      </c>
      <c r="P119" s="3613">
        <v>265641.61971641774</v>
      </c>
      <c r="Q119" s="3613">
        <v>232642.35806485347</v>
      </c>
      <c r="R119" s="3613">
        <v>218199.92262179713</v>
      </c>
      <c r="S119" s="3613">
        <v>214880.43273242092</v>
      </c>
      <c r="T119" s="3613">
        <v>212641.48990792007</v>
      </c>
      <c r="U119" s="3613">
        <v>172073.00926772409</v>
      </c>
      <c r="V119" s="3613">
        <v>178633.72252845875</v>
      </c>
    </row>
    <row r="120" spans="1:22" s="676" customFormat="1" ht="17.399999999999999" customHeight="1" thickBot="1" x14ac:dyDescent="0.3">
      <c r="A120" s="688"/>
      <c r="B120" s="689"/>
      <c r="C120" s="690"/>
      <c r="D120" s="691"/>
      <c r="E120" s="691"/>
      <c r="F120" s="691"/>
      <c r="G120" s="691"/>
      <c r="H120" s="691"/>
      <c r="I120" s="691"/>
      <c r="J120" s="691"/>
      <c r="K120" s="691"/>
      <c r="L120" s="691"/>
      <c r="M120" s="691"/>
      <c r="N120" s="691"/>
      <c r="O120" s="692"/>
      <c r="P120" s="691"/>
      <c r="Q120" s="692"/>
      <c r="R120" s="691"/>
      <c r="S120" s="691"/>
      <c r="T120" s="691"/>
      <c r="U120" s="691"/>
    </row>
    <row r="121" spans="1:22" ht="17.399999999999999" customHeight="1" x14ac:dyDescent="0.3">
      <c r="A121" s="3541" t="s">
        <v>1663</v>
      </c>
      <c r="B121" s="3541"/>
      <c r="C121" s="3541"/>
      <c r="D121" s="3541"/>
      <c r="E121" s="3541"/>
      <c r="F121" s="3541"/>
      <c r="G121" s="3541"/>
      <c r="H121" s="3541"/>
      <c r="I121" s="3541"/>
      <c r="J121" s="3541"/>
      <c r="K121" s="3541"/>
      <c r="L121" s="3541"/>
      <c r="M121" s="3541"/>
      <c r="N121" s="3541"/>
      <c r="O121" s="3541"/>
      <c r="P121" s="3541"/>
      <c r="Q121" s="3541"/>
      <c r="R121" s="3541"/>
      <c r="S121" s="3541"/>
      <c r="T121" s="3541"/>
      <c r="U121" s="3541"/>
      <c r="V121" s="3541"/>
    </row>
    <row r="122" spans="1:22" ht="17.399999999999999" customHeight="1" x14ac:dyDescent="0.3">
      <c r="A122" s="3614" t="s">
        <v>1748</v>
      </c>
      <c r="B122" s="693"/>
      <c r="O122" s="669"/>
      <c r="V122" s="669"/>
    </row>
    <row r="123" spans="1:22" ht="17.399999999999999" customHeight="1" x14ac:dyDescent="0.35">
      <c r="A123" s="3614" t="s">
        <v>1749</v>
      </c>
      <c r="B123" s="693"/>
      <c r="O123" s="669"/>
    </row>
    <row r="124" spans="1:22" ht="17.399999999999999" customHeight="1" x14ac:dyDescent="0.35">
      <c r="A124" s="3614" t="s">
        <v>1750</v>
      </c>
      <c r="B124" s="693"/>
      <c r="O124" s="669"/>
      <c r="V124" s="3731"/>
    </row>
    <row r="125" spans="1:22" ht="17.399999999999999" customHeight="1" x14ac:dyDescent="0.35">
      <c r="A125" s="3614" t="s">
        <v>1751</v>
      </c>
      <c r="B125" s="693"/>
      <c r="O125" s="669"/>
    </row>
    <row r="126" spans="1:22" ht="17.399999999999999" customHeight="1" x14ac:dyDescent="0.35">
      <c r="A126" s="3614" t="s">
        <v>1752</v>
      </c>
      <c r="B126" s="693"/>
      <c r="O126" s="669"/>
    </row>
    <row r="127" spans="1:22" ht="17.399999999999999" customHeight="1" x14ac:dyDescent="0.35">
      <c r="A127" s="3614" t="s">
        <v>1746</v>
      </c>
      <c r="B127" s="3615"/>
      <c r="C127" s="3304"/>
      <c r="D127" s="3304"/>
      <c r="E127" s="3304"/>
      <c r="F127" s="3304"/>
      <c r="G127" s="3304"/>
      <c r="H127" s="3304"/>
      <c r="I127" s="3304"/>
      <c r="J127" s="3304"/>
      <c r="K127" s="3304"/>
      <c r="L127" s="3304"/>
      <c r="M127" s="3304"/>
      <c r="N127" s="3304"/>
      <c r="O127" s="3304"/>
      <c r="P127" s="3304"/>
      <c r="Q127" s="3616"/>
      <c r="R127" s="3304"/>
      <c r="S127" s="3304"/>
      <c r="T127" s="3304"/>
    </row>
    <row r="128" spans="1:22" ht="17.399999999999999" customHeight="1" x14ac:dyDescent="0.35">
      <c r="A128" s="3555" t="s">
        <v>1747</v>
      </c>
      <c r="B128" s="3617"/>
      <c r="C128" s="3617"/>
      <c r="D128" s="3617"/>
      <c r="E128" s="3617"/>
      <c r="F128" s="3617"/>
      <c r="G128" s="3617"/>
      <c r="H128" s="3617"/>
      <c r="I128" s="3617"/>
      <c r="J128" s="3617"/>
      <c r="K128" s="3617"/>
      <c r="L128" s="3617"/>
      <c r="M128" s="3617"/>
      <c r="N128" s="3617"/>
      <c r="O128" s="3617"/>
      <c r="P128" s="3617"/>
      <c r="Q128" s="3618"/>
      <c r="R128" s="3617"/>
      <c r="S128" s="3617"/>
      <c r="T128" s="3617"/>
    </row>
    <row r="129" spans="1:22" s="3637" customFormat="1" ht="17.399999999999999" customHeight="1" x14ac:dyDescent="0.35">
      <c r="A129" s="3540" t="s">
        <v>1754</v>
      </c>
      <c r="B129" s="3641"/>
      <c r="V129" s="3730"/>
    </row>
    <row r="130" spans="1:22" ht="17.399999999999999" customHeight="1" thickBot="1" x14ac:dyDescent="0.4">
      <c r="A130" s="3563"/>
      <c r="B130" s="3563"/>
      <c r="C130" s="3563"/>
      <c r="D130" s="3563"/>
      <c r="E130" s="3563"/>
      <c r="F130" s="3563"/>
      <c r="G130" s="3563"/>
      <c r="H130" s="3563"/>
      <c r="I130" s="3563"/>
      <c r="J130" s="3563"/>
      <c r="K130" s="3563"/>
      <c r="L130" s="3563"/>
      <c r="M130" s="3563"/>
      <c r="N130" s="3563"/>
      <c r="O130" s="3563"/>
      <c r="P130" s="3563"/>
      <c r="Q130" s="3563"/>
      <c r="R130" s="3563"/>
      <c r="S130" s="3563"/>
      <c r="T130" s="3563"/>
      <c r="V130" s="3732"/>
    </row>
    <row r="131" spans="1:22" ht="17.399999999999999" customHeight="1" thickTop="1" x14ac:dyDescent="0.45">
      <c r="A131" s="3564"/>
      <c r="B131" s="3564"/>
      <c r="C131" s="3564"/>
      <c r="D131" s="3564"/>
      <c r="E131" s="3564"/>
      <c r="F131" s="3564"/>
      <c r="G131" s="3564"/>
      <c r="H131" s="3564"/>
      <c r="I131" s="3564"/>
      <c r="J131" s="3564"/>
      <c r="K131" s="3564"/>
      <c r="L131" s="3564"/>
      <c r="M131" s="3564"/>
      <c r="N131" s="3564"/>
      <c r="O131" s="3564"/>
      <c r="P131" s="3564"/>
      <c r="Q131" s="3564"/>
      <c r="R131" s="3564"/>
      <c r="S131" s="3564"/>
      <c r="T131" s="3564"/>
      <c r="U131" s="3564"/>
      <c r="V131" s="3564"/>
    </row>
  </sheetData>
  <mergeCells count="1">
    <mergeCell ref="M2:P2"/>
  </mergeCells>
  <phoneticPr fontId="154" type="noConversion"/>
  <pageMargins left="0.75" right="0.75" top="1" bottom="1" header="0" footer="0"/>
  <pageSetup paperSize="9" scale="56" orientation="landscape" r:id="rId1"/>
  <headerFooter alignWithMargins="0"/>
  <rowBreaks count="3" manualBreakCount="3">
    <brk id="8" max="16383" man="1"/>
    <brk id="60" max="16383" man="1"/>
    <brk id="84"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6">
    <tabColor rgb="FFCC99FF"/>
  </sheetPr>
  <dimension ref="A1:V131"/>
  <sheetViews>
    <sheetView topLeftCell="A116" workbookViewId="0"/>
  </sheetViews>
  <sheetFormatPr baseColWidth="10" defaultColWidth="11.44140625" defaultRowHeight="13.2" x14ac:dyDescent="0.25"/>
  <cols>
    <col min="1" max="1" width="17.44140625" style="669" customWidth="1"/>
    <col min="2" max="2" width="41" style="669" customWidth="1"/>
    <col min="3" max="12" width="16" style="669" customWidth="1"/>
    <col min="13" max="13" width="17.109375" style="669" customWidth="1"/>
    <col min="14" max="14" width="11.44140625" style="669"/>
    <col min="15" max="15" width="11.44140625" style="682"/>
    <col min="16" max="17" width="11.44140625" style="669"/>
    <col min="18" max="19" width="11.44140625" style="3225"/>
    <col min="20" max="16384" width="11.44140625" style="669"/>
  </cols>
  <sheetData>
    <row r="1" spans="1:22" s="3238" customFormat="1" ht="36" customHeight="1" thickTop="1" x14ac:dyDescent="0.55000000000000004">
      <c r="A1" s="3642" t="s">
        <v>1797</v>
      </c>
      <c r="B1" s="3543"/>
      <c r="C1" s="3543"/>
      <c r="D1" s="3543"/>
      <c r="E1" s="3543"/>
      <c r="F1" s="3543"/>
      <c r="G1" s="3543"/>
      <c r="H1" s="3543"/>
      <c r="I1" s="3543"/>
      <c r="J1" s="3543"/>
      <c r="K1" s="3543"/>
      <c r="L1" s="3543"/>
      <c r="M1" s="3543"/>
      <c r="N1" s="3543"/>
      <c r="O1" s="3543"/>
      <c r="P1" s="3543"/>
      <c r="Q1" s="3543"/>
      <c r="R1" s="3543"/>
      <c r="S1" s="3543"/>
      <c r="T1" s="3543"/>
      <c r="U1" s="3543"/>
    </row>
    <row r="2" spans="1:22" s="3238" customFormat="1" ht="24.9" customHeight="1" x14ac:dyDescent="0.25">
      <c r="A2" s="3544" t="s">
        <v>1753</v>
      </c>
      <c r="B2" s="3567"/>
      <c r="C2" s="3567"/>
      <c r="D2" s="3567"/>
      <c r="E2" s="3575"/>
      <c r="F2" s="3568"/>
      <c r="G2" s="3568"/>
      <c r="H2" s="3568"/>
      <c r="I2" s="3568"/>
      <c r="J2" s="3568"/>
      <c r="K2" s="3568"/>
      <c r="L2" s="3568"/>
      <c r="M2" s="3846"/>
      <c r="N2" s="3846"/>
      <c r="O2" s="3846"/>
      <c r="P2" s="3846"/>
      <c r="Q2" s="3568"/>
      <c r="R2" s="3568"/>
      <c r="S2" s="3569"/>
      <c r="T2" s="3569"/>
      <c r="U2" s="3569"/>
    </row>
    <row r="3" spans="1:22" ht="45" x14ac:dyDescent="0.25">
      <c r="A3" s="3581" t="s">
        <v>1681</v>
      </c>
      <c r="B3" s="3574"/>
      <c r="C3" s="3572"/>
      <c r="D3" s="3572"/>
      <c r="E3" s="3572"/>
      <c r="F3" s="3572"/>
      <c r="G3" s="3572"/>
      <c r="H3" s="3576"/>
      <c r="I3" s="3572"/>
      <c r="J3" s="3572"/>
      <c r="K3" s="3572"/>
      <c r="L3" s="3572"/>
      <c r="M3" s="3572"/>
      <c r="N3" s="3572"/>
      <c r="O3" s="3572"/>
      <c r="P3" s="3572"/>
      <c r="Q3" s="3572"/>
      <c r="R3" s="3572"/>
      <c r="S3" s="3572"/>
      <c r="T3" s="3572"/>
      <c r="U3" s="3572"/>
      <c r="V3" s="3573"/>
    </row>
    <row r="4" spans="1:22" ht="17.399999999999999" customHeight="1" x14ac:dyDescent="0.25">
      <c r="A4" s="3571" t="s">
        <v>1682</v>
      </c>
      <c r="B4" s="3571" t="s">
        <v>1683</v>
      </c>
      <c r="C4" s="3559">
        <v>2005</v>
      </c>
      <c r="D4" s="3559">
        <v>2006</v>
      </c>
      <c r="E4" s="3571">
        <v>2007</v>
      </c>
      <c r="F4" s="3559">
        <v>2008</v>
      </c>
      <c r="G4" s="3559">
        <v>2009</v>
      </c>
      <c r="H4" s="3559" t="s">
        <v>442</v>
      </c>
      <c r="I4" s="3559" t="s">
        <v>443</v>
      </c>
      <c r="J4" s="3559" t="s">
        <v>444</v>
      </c>
      <c r="K4" s="3559" t="s">
        <v>445</v>
      </c>
      <c r="L4" s="3559" t="s">
        <v>446</v>
      </c>
      <c r="M4" s="3559" t="s">
        <v>447</v>
      </c>
      <c r="N4" s="3559" t="s">
        <v>448</v>
      </c>
      <c r="O4" s="3559" t="s">
        <v>449</v>
      </c>
      <c r="P4" s="3559" t="s">
        <v>450</v>
      </c>
      <c r="Q4" s="3559" t="s">
        <v>451</v>
      </c>
      <c r="R4" s="3559" t="s">
        <v>1471</v>
      </c>
      <c r="S4" s="3559" t="s">
        <v>1620</v>
      </c>
      <c r="T4" s="3559" t="s">
        <v>1621</v>
      </c>
      <c r="U4" s="3559" t="s">
        <v>1770</v>
      </c>
      <c r="V4" s="3559" t="s">
        <v>1804</v>
      </c>
    </row>
    <row r="5" spans="1:22" ht="17.399999999999999" customHeight="1" x14ac:dyDescent="0.25">
      <c r="A5" s="3571" t="s">
        <v>1684</v>
      </c>
      <c r="B5" s="3571" t="s">
        <v>1685</v>
      </c>
      <c r="C5" s="3619">
        <v>549.93495456851076</v>
      </c>
      <c r="D5" s="3619">
        <v>558.51401199251438</v>
      </c>
      <c r="E5" s="3619">
        <v>569.97228034495572</v>
      </c>
      <c r="F5" s="3619">
        <v>542.4434308054208</v>
      </c>
      <c r="G5" s="3619">
        <v>511.14475849201358</v>
      </c>
      <c r="H5" s="3619">
        <v>491.52033570787574</v>
      </c>
      <c r="I5" s="3619">
        <v>485.86983150669749</v>
      </c>
      <c r="J5" s="3619">
        <v>512.08526092935324</v>
      </c>
      <c r="K5" s="3619">
        <v>497.84471408640786</v>
      </c>
      <c r="L5" s="3619">
        <v>510.77977523215327</v>
      </c>
      <c r="M5" s="3619">
        <v>501.55780002196622</v>
      </c>
      <c r="N5" s="3619">
        <v>514.34504059180915</v>
      </c>
      <c r="O5" s="3619">
        <v>520.45532142445006</v>
      </c>
      <c r="P5" s="3619">
        <v>535.496498467626</v>
      </c>
      <c r="Q5" s="3619">
        <v>513.38940225925865</v>
      </c>
      <c r="R5" s="3619">
        <v>492.54149540436003</v>
      </c>
      <c r="S5" s="3619">
        <v>507.05123778675403</v>
      </c>
      <c r="T5" s="3619">
        <v>497.4600394313797</v>
      </c>
      <c r="U5" s="3619">
        <v>435.69776477068228</v>
      </c>
      <c r="V5" s="3619">
        <v>444.08896752005921</v>
      </c>
    </row>
    <row r="6" spans="1:22" ht="17.399999999999999" customHeight="1" x14ac:dyDescent="0.25">
      <c r="A6" s="3571" t="s">
        <v>1686</v>
      </c>
      <c r="B6" s="3571" t="s">
        <v>1687</v>
      </c>
      <c r="C6" s="3620">
        <v>156.79369835155148</v>
      </c>
      <c r="D6" s="3620">
        <v>163.24693406275753</v>
      </c>
      <c r="E6" s="3620">
        <v>174.0710295499392</v>
      </c>
      <c r="F6" s="3620">
        <v>173.39652945244993</v>
      </c>
      <c r="G6" s="3620">
        <v>161.45907391437595</v>
      </c>
      <c r="H6" s="3620">
        <v>152.63671112628015</v>
      </c>
      <c r="I6" s="3620">
        <v>153.20508952715988</v>
      </c>
      <c r="J6" s="3620">
        <v>195.40717885632108</v>
      </c>
      <c r="K6" s="3620">
        <v>202.65353135579204</v>
      </c>
      <c r="L6" s="3620">
        <v>287.25071042774948</v>
      </c>
      <c r="M6" s="3620">
        <v>276.61966885245386</v>
      </c>
      <c r="N6" s="3620">
        <v>276.969846819456</v>
      </c>
      <c r="O6" s="3620">
        <v>274.82208381619648</v>
      </c>
      <c r="P6" s="3620">
        <v>267.32561591436632</v>
      </c>
      <c r="Q6" s="3620">
        <v>259.16305181817955</v>
      </c>
      <c r="R6" s="3620">
        <v>249.12610071082975</v>
      </c>
      <c r="S6" s="3620">
        <v>251.73974604741792</v>
      </c>
      <c r="T6" s="3620">
        <v>244.52682133809262</v>
      </c>
      <c r="U6" s="3620">
        <v>243.93759462109199</v>
      </c>
      <c r="V6" s="3620">
        <v>246.44525121471776</v>
      </c>
    </row>
    <row r="7" spans="1:22" ht="17.399999999999999" customHeight="1" x14ac:dyDescent="0.25">
      <c r="A7" s="3571" t="s">
        <v>1686</v>
      </c>
      <c r="B7" s="3571" t="s">
        <v>1688</v>
      </c>
      <c r="C7" s="3620">
        <v>393.14125621695928</v>
      </c>
      <c r="D7" s="3620">
        <v>395.26707792975679</v>
      </c>
      <c r="E7" s="3620">
        <v>395.90125079501655</v>
      </c>
      <c r="F7" s="3620">
        <v>369.04690135297079</v>
      </c>
      <c r="G7" s="3620">
        <v>349.68568457763757</v>
      </c>
      <c r="H7" s="3620">
        <v>338.88362458159554</v>
      </c>
      <c r="I7" s="3620">
        <v>332.66474197953755</v>
      </c>
      <c r="J7" s="3620">
        <v>316.6780820730321</v>
      </c>
      <c r="K7" s="3620">
        <v>295.19118273061576</v>
      </c>
      <c r="L7" s="3620">
        <v>223.52906480440379</v>
      </c>
      <c r="M7" s="3620">
        <v>224.93813116951239</v>
      </c>
      <c r="N7" s="3620">
        <v>237.37519377235316</v>
      </c>
      <c r="O7" s="3620">
        <v>245.63323760825367</v>
      </c>
      <c r="P7" s="3620">
        <v>268.17088255325967</v>
      </c>
      <c r="Q7" s="3620">
        <v>254.22635044107895</v>
      </c>
      <c r="R7" s="3620">
        <v>243.41539469353029</v>
      </c>
      <c r="S7" s="3620">
        <v>255.31149173933619</v>
      </c>
      <c r="T7" s="3620">
        <v>252.93321809328714</v>
      </c>
      <c r="U7" s="3620">
        <v>191.76017014959029</v>
      </c>
      <c r="V7" s="3620">
        <v>197.6437163053414</v>
      </c>
    </row>
    <row r="8" spans="1:22" ht="17.399999999999999" customHeight="1" x14ac:dyDescent="0.25">
      <c r="A8" s="3239" t="s">
        <v>432</v>
      </c>
      <c r="B8" s="3239" t="s">
        <v>432</v>
      </c>
      <c r="C8" s="683" t="s">
        <v>432</v>
      </c>
      <c r="D8" s="683" t="s">
        <v>432</v>
      </c>
      <c r="E8" s="683" t="s">
        <v>432</v>
      </c>
      <c r="F8" s="683" t="s">
        <v>432</v>
      </c>
      <c r="G8" s="683" t="s">
        <v>432</v>
      </c>
      <c r="H8" s="683" t="s">
        <v>432</v>
      </c>
      <c r="I8" s="683" t="s">
        <v>432</v>
      </c>
      <c r="J8" s="683" t="s">
        <v>432</v>
      </c>
      <c r="K8" s="683" t="s">
        <v>432</v>
      </c>
      <c r="L8" s="683"/>
      <c r="M8" s="683"/>
      <c r="N8" s="683"/>
      <c r="O8" s="684"/>
      <c r="P8" s="683"/>
      <c r="Q8" s="3238"/>
      <c r="R8" s="3223"/>
      <c r="V8" s="675"/>
    </row>
    <row r="9" spans="1:22" ht="45" x14ac:dyDescent="0.25">
      <c r="A9" s="3581" t="s">
        <v>1690</v>
      </c>
      <c r="B9" s="3574"/>
      <c r="C9" s="3572"/>
      <c r="D9" s="3572"/>
      <c r="E9" s="3572"/>
      <c r="F9" s="3572"/>
      <c r="G9" s="3572"/>
      <c r="H9" s="3576"/>
      <c r="I9" s="3572"/>
      <c r="J9" s="3572"/>
      <c r="K9" s="3572"/>
      <c r="L9" s="3572"/>
      <c r="M9" s="3572"/>
      <c r="N9" s="3572"/>
      <c r="O9" s="3572"/>
      <c r="P9" s="3572"/>
      <c r="Q9" s="3572"/>
      <c r="R9" s="3572"/>
      <c r="S9" s="3572"/>
      <c r="T9" s="3572"/>
      <c r="U9" s="3572"/>
      <c r="V9" s="3573"/>
    </row>
    <row r="10" spans="1:22" ht="45" x14ac:dyDescent="0.25">
      <c r="A10" s="3581" t="s">
        <v>1691</v>
      </c>
      <c r="B10" s="3574"/>
      <c r="C10" s="3572"/>
      <c r="D10" s="3572"/>
      <c r="E10" s="3572"/>
      <c r="F10" s="3572"/>
      <c r="G10" s="3572"/>
      <c r="H10" s="3576"/>
      <c r="I10" s="3572"/>
      <c r="J10" s="3572"/>
      <c r="K10" s="3572"/>
      <c r="L10" s="3572"/>
      <c r="M10" s="3572"/>
      <c r="N10" s="3572"/>
      <c r="O10" s="3572"/>
      <c r="P10" s="3572"/>
      <c r="Q10" s="3572"/>
      <c r="R10" s="3572"/>
      <c r="S10" s="3572"/>
      <c r="T10" s="3572"/>
      <c r="U10" s="3572"/>
      <c r="V10" s="3573"/>
    </row>
    <row r="11" spans="1:22" ht="17.399999999999999" customHeight="1" x14ac:dyDescent="0.25">
      <c r="A11" s="3571" t="s">
        <v>1692</v>
      </c>
      <c r="B11" s="3571" t="s">
        <v>1694</v>
      </c>
      <c r="C11" s="3559" t="s">
        <v>1777</v>
      </c>
      <c r="D11" s="3559">
        <v>2006</v>
      </c>
      <c r="E11" s="3571">
        <v>2007</v>
      </c>
      <c r="F11" s="3559">
        <v>2008</v>
      </c>
      <c r="G11" s="3559">
        <v>2009</v>
      </c>
      <c r="H11" s="3559" t="s">
        <v>442</v>
      </c>
      <c r="I11" s="3559" t="s">
        <v>443</v>
      </c>
      <c r="J11" s="3559" t="s">
        <v>444</v>
      </c>
      <c r="K11" s="3559" t="s">
        <v>445</v>
      </c>
      <c r="L11" s="3559" t="s">
        <v>446</v>
      </c>
      <c r="M11" s="3559" t="s">
        <v>447</v>
      </c>
      <c r="N11" s="3559" t="s">
        <v>448</v>
      </c>
      <c r="O11" s="3559" t="s">
        <v>449</v>
      </c>
      <c r="P11" s="3559" t="s">
        <v>450</v>
      </c>
      <c r="Q11" s="3559">
        <v>2019</v>
      </c>
      <c r="R11" s="3559" t="s">
        <v>1471</v>
      </c>
      <c r="S11" s="3559" t="s">
        <v>1620</v>
      </c>
      <c r="T11" s="3559" t="s">
        <v>1621</v>
      </c>
      <c r="U11" s="3559" t="s">
        <v>1770</v>
      </c>
      <c r="V11" s="3559" t="s">
        <v>1804</v>
      </c>
    </row>
    <row r="12" spans="1:22" ht="17.399999999999999" customHeight="1" x14ac:dyDescent="0.25">
      <c r="A12" s="3571" t="s">
        <v>1693</v>
      </c>
      <c r="B12" s="3571" t="s">
        <v>1695</v>
      </c>
      <c r="C12" s="3621">
        <v>325.40890042134214</v>
      </c>
      <c r="D12" s="3621">
        <v>325.23996290936259</v>
      </c>
      <c r="E12" s="3621">
        <v>320.38515351385684</v>
      </c>
      <c r="F12" s="3621">
        <v>303.70936972940586</v>
      </c>
      <c r="G12" s="3621">
        <v>295.6006777681672</v>
      </c>
      <c r="H12" s="3621">
        <v>291.88948051846495</v>
      </c>
      <c r="I12" s="3621">
        <v>258.70573694143559</v>
      </c>
      <c r="J12" s="3621">
        <v>246.76331245859583</v>
      </c>
      <c r="K12" s="3621">
        <v>232.80743699252369</v>
      </c>
      <c r="L12" s="3621">
        <v>223.05965965381961</v>
      </c>
      <c r="M12" s="3621">
        <v>221.70812249800954</v>
      </c>
      <c r="N12" s="3621">
        <v>224.2110540758068</v>
      </c>
      <c r="O12" s="3621">
        <v>223.34359659614319</v>
      </c>
      <c r="P12" s="3621">
        <v>216.43687429230525</v>
      </c>
      <c r="Q12" s="3621">
        <v>211.37733454376618</v>
      </c>
      <c r="R12" s="3621">
        <v>200.6899245484467</v>
      </c>
      <c r="S12" s="3621">
        <v>203.00540246233257</v>
      </c>
      <c r="T12" s="3621">
        <v>195.94804239607089</v>
      </c>
      <c r="U12" s="3621">
        <v>199.90604889384963</v>
      </c>
      <c r="V12" s="3621">
        <v>201.87531046775203</v>
      </c>
    </row>
    <row r="13" spans="1:22" ht="17.399999999999999" customHeight="1" x14ac:dyDescent="0.25">
      <c r="A13" s="3571" t="s">
        <v>13</v>
      </c>
      <c r="B13" s="3571" t="s">
        <v>1696</v>
      </c>
      <c r="C13" s="3622">
        <v>325.40890042134214</v>
      </c>
      <c r="D13" s="3622">
        <v>325.23996290936259</v>
      </c>
      <c r="E13" s="3622">
        <v>320.38515351385684</v>
      </c>
      <c r="F13" s="3622">
        <v>303.70936972940586</v>
      </c>
      <c r="G13" s="3622">
        <v>295.6006777681672</v>
      </c>
      <c r="H13" s="3622">
        <v>291.88948051846495</v>
      </c>
      <c r="I13" s="3622">
        <v>258.70573694143559</v>
      </c>
      <c r="J13" s="3622">
        <v>246.76331245859583</v>
      </c>
      <c r="K13" s="3622">
        <v>232.80743699252369</v>
      </c>
      <c r="L13" s="3622">
        <v>223.05965965381961</v>
      </c>
      <c r="M13" s="3622">
        <v>221.70812249800954</v>
      </c>
      <c r="N13" s="3622">
        <v>224.2110540758068</v>
      </c>
      <c r="O13" s="3622">
        <v>223.34359659614319</v>
      </c>
      <c r="P13" s="3622">
        <v>216.43687429230525</v>
      </c>
      <c r="Q13" s="3622">
        <v>211.37733454376618</v>
      </c>
      <c r="R13" s="3622">
        <v>200.6899245484467</v>
      </c>
      <c r="S13" s="3622">
        <v>203.00540246233257</v>
      </c>
      <c r="T13" s="3622">
        <v>195.94804239607089</v>
      </c>
      <c r="U13" s="3622">
        <v>199.90604889384963</v>
      </c>
      <c r="V13" s="3622">
        <v>201.87531046775203</v>
      </c>
    </row>
    <row r="14" spans="1:22" ht="17.399999999999999" customHeight="1" x14ac:dyDescent="0.25">
      <c r="A14" s="3571" t="s">
        <v>1693</v>
      </c>
      <c r="B14" s="3571" t="s">
        <v>1697</v>
      </c>
      <c r="C14" s="3623">
        <v>84.48622495311723</v>
      </c>
      <c r="D14" s="3623">
        <v>87.400512952628731</v>
      </c>
      <c r="E14" s="3623">
        <v>93.138483271361608</v>
      </c>
      <c r="F14" s="3623">
        <v>97.654346575778206</v>
      </c>
      <c r="G14" s="3623">
        <v>97.326495324235964</v>
      </c>
      <c r="H14" s="3623">
        <v>95.329779262780292</v>
      </c>
      <c r="I14" s="3623">
        <v>70.949802387176277</v>
      </c>
      <c r="J14" s="3623">
        <v>105.6518805703904</v>
      </c>
      <c r="K14" s="3623">
        <v>109.45353606272069</v>
      </c>
      <c r="L14" s="3623">
        <v>120.1407357569316</v>
      </c>
      <c r="M14" s="3623">
        <v>123.71776168109638</v>
      </c>
      <c r="N14" s="3623">
        <v>129.66428005123595</v>
      </c>
      <c r="O14" s="3623">
        <v>140.70132708629779</v>
      </c>
      <c r="P14" s="3623">
        <v>151.49846619498473</v>
      </c>
      <c r="Q14" s="3623">
        <v>152.27680024856912</v>
      </c>
      <c r="R14" s="3623">
        <v>144.0577264320537</v>
      </c>
      <c r="S14" s="3623">
        <v>154.15941676967853</v>
      </c>
      <c r="T14" s="3623">
        <v>151.14398074551696</v>
      </c>
      <c r="U14" s="3623">
        <v>156.15352655825467</v>
      </c>
      <c r="V14" s="3623">
        <v>162.58787334377274</v>
      </c>
    </row>
    <row r="15" spans="1:22" ht="17.399999999999999" customHeight="1" x14ac:dyDescent="0.25">
      <c r="A15" s="3587" t="s">
        <v>48</v>
      </c>
      <c r="B15" s="3589" t="s">
        <v>1698</v>
      </c>
      <c r="C15" s="3624">
        <v>0.17774559027845074</v>
      </c>
      <c r="D15" s="3621">
        <v>0.12763984540562254</v>
      </c>
      <c r="E15" s="3621">
        <v>0.36428753013613291</v>
      </c>
      <c r="F15" s="3621">
        <v>0.87365183749556152</v>
      </c>
      <c r="G15" s="3621">
        <v>1.0802047536666164</v>
      </c>
      <c r="H15" s="3621">
        <v>2.1135741729771347</v>
      </c>
      <c r="I15" s="3621">
        <v>3.1702616442344715</v>
      </c>
      <c r="J15" s="3621">
        <v>5.4002357875065474</v>
      </c>
      <c r="K15" s="3621">
        <v>8.9906132849838336</v>
      </c>
      <c r="L15" s="3621">
        <v>14.282027128465851</v>
      </c>
      <c r="M15" s="3621">
        <v>17.4919971363624</v>
      </c>
      <c r="N15" s="3621">
        <v>19.073254092295858</v>
      </c>
      <c r="O15" s="3621">
        <v>22.260788646405882</v>
      </c>
      <c r="P15" s="3621">
        <v>25.893475196697597</v>
      </c>
      <c r="Q15" s="3621">
        <v>28.809521580133982</v>
      </c>
      <c r="R15" s="3621">
        <v>28.654818462224871</v>
      </c>
      <c r="S15" s="3621">
        <v>29.807594246036292</v>
      </c>
      <c r="T15" s="3621">
        <v>29.793945566675806</v>
      </c>
      <c r="U15" s="3621">
        <v>30.753771499802355</v>
      </c>
      <c r="V15" s="3621">
        <v>30.644254366130781</v>
      </c>
    </row>
    <row r="16" spans="1:22" s="3626" customFormat="1" ht="17.399999999999999" customHeight="1" x14ac:dyDescent="0.35">
      <c r="A16" s="3587" t="s">
        <v>18</v>
      </c>
      <c r="B16" s="3593" t="s">
        <v>1699</v>
      </c>
      <c r="C16" s="3625">
        <v>0.17774559027845074</v>
      </c>
      <c r="D16" s="3627">
        <v>0.12763984540562254</v>
      </c>
      <c r="E16" s="3625">
        <v>0.20300276474866302</v>
      </c>
      <c r="F16" s="3625">
        <v>0.44476417327494377</v>
      </c>
      <c r="G16" s="3625">
        <v>0.3746822323998012</v>
      </c>
      <c r="H16" s="3625">
        <v>0.49446351550321455</v>
      </c>
      <c r="I16" s="3625">
        <v>0.61636598892473116</v>
      </c>
      <c r="J16" s="3625">
        <v>1.6415017036194843</v>
      </c>
      <c r="K16" s="3627">
        <v>2.5880326847678727</v>
      </c>
      <c r="L16" s="3625">
        <v>2.3279757544549287</v>
      </c>
      <c r="M16" s="3625">
        <v>2.0966551665702107</v>
      </c>
      <c r="N16" s="3625">
        <v>2.3012221179083578</v>
      </c>
      <c r="O16" s="3625">
        <v>3.2023812116186776</v>
      </c>
      <c r="P16" s="3625">
        <v>0</v>
      </c>
      <c r="Q16" s="3625">
        <v>4.8558339401229036</v>
      </c>
      <c r="R16" s="3625">
        <v>2.3519389725797586</v>
      </c>
      <c r="S16" s="3625">
        <v>2.736045570535417</v>
      </c>
      <c r="T16" s="3625">
        <v>2.9905458515982639</v>
      </c>
      <c r="U16" s="3625">
        <v>2.3719261907959277</v>
      </c>
      <c r="V16" s="3625">
        <v>2.0706339850069924</v>
      </c>
    </row>
    <row r="17" spans="1:22" s="3626" customFormat="1" ht="17.399999999999999" customHeight="1" x14ac:dyDescent="0.35">
      <c r="A17" s="3587" t="s">
        <v>22</v>
      </c>
      <c r="B17" s="3593" t="s">
        <v>1641</v>
      </c>
      <c r="C17" s="3625">
        <v>0</v>
      </c>
      <c r="D17" s="3627">
        <v>1.1140330624740732E-4</v>
      </c>
      <c r="E17" s="3625">
        <v>0.16128476538746989</v>
      </c>
      <c r="F17" s="3625">
        <v>0.4288876642206178</v>
      </c>
      <c r="G17" s="3625">
        <v>0.70552252126681514</v>
      </c>
      <c r="H17" s="3625">
        <v>1.6191106574739205</v>
      </c>
      <c r="I17" s="3625">
        <v>2.5538956553097405</v>
      </c>
      <c r="J17" s="3625">
        <v>3.7587340838870631</v>
      </c>
      <c r="K17" s="3627">
        <v>6.4025806002159626</v>
      </c>
      <c r="L17" s="3625">
        <v>11.954051374010922</v>
      </c>
      <c r="M17" s="3625">
        <v>15.39534196979219</v>
      </c>
      <c r="N17" s="3625">
        <v>16.772031974387502</v>
      </c>
      <c r="O17" s="3625">
        <v>19.058407434787203</v>
      </c>
      <c r="P17" s="3625">
        <v>22.592592414003473</v>
      </c>
      <c r="Q17" s="3625">
        <v>23.953687640011079</v>
      </c>
      <c r="R17" s="3625">
        <v>24.389769235682024</v>
      </c>
      <c r="S17" s="3625">
        <v>25.071890496758524</v>
      </c>
      <c r="T17" s="3625">
        <v>24.84585838412135</v>
      </c>
      <c r="U17" s="3625">
        <v>26.339689604391953</v>
      </c>
      <c r="V17" s="3625">
        <v>26.690655363349848</v>
      </c>
    </row>
    <row r="18" spans="1:22" ht="17.399999999999999" customHeight="1" x14ac:dyDescent="0.25">
      <c r="A18" s="3587" t="s">
        <v>48</v>
      </c>
      <c r="B18" s="3590"/>
      <c r="C18" s="3585" t="s">
        <v>48</v>
      </c>
      <c r="D18" s="3596" t="s">
        <v>48</v>
      </c>
      <c r="E18" s="3585" t="s">
        <v>48</v>
      </c>
      <c r="F18" s="3585" t="s">
        <v>48</v>
      </c>
      <c r="G18" s="3585" t="s">
        <v>48</v>
      </c>
      <c r="H18" s="3585" t="s">
        <v>48</v>
      </c>
      <c r="I18" s="3585" t="s">
        <v>48</v>
      </c>
      <c r="J18" s="3585" t="s">
        <v>48</v>
      </c>
      <c r="K18" s="3596" t="s">
        <v>48</v>
      </c>
      <c r="L18" s="3585">
        <v>0</v>
      </c>
      <c r="M18" s="3585"/>
      <c r="N18" s="3585">
        <v>0</v>
      </c>
      <c r="O18" s="3585">
        <v>0</v>
      </c>
      <c r="P18" s="3585">
        <v>0</v>
      </c>
      <c r="Q18" s="3599">
        <v>0</v>
      </c>
      <c r="R18" s="3585"/>
      <c r="S18" s="3585"/>
      <c r="T18" s="3585"/>
      <c r="U18" s="3585"/>
      <c r="V18" s="3585"/>
    </row>
    <row r="19" spans="1:22" ht="17.399999999999999" customHeight="1" x14ac:dyDescent="0.25">
      <c r="A19" s="3588" t="s">
        <v>26</v>
      </c>
      <c r="B19" s="3591" t="s">
        <v>1642</v>
      </c>
      <c r="C19" s="3629">
        <v>33.276243592767834</v>
      </c>
      <c r="D19" s="3630">
        <v>34.756121081409816</v>
      </c>
      <c r="E19" s="3629">
        <v>36.869110708209597</v>
      </c>
      <c r="F19" s="3629">
        <v>38.278095503166057</v>
      </c>
      <c r="G19" s="3629">
        <v>36.293024834050854</v>
      </c>
      <c r="H19" s="3629">
        <v>34.947658568200218</v>
      </c>
      <c r="I19" s="3629">
        <v>20.613479188218395</v>
      </c>
      <c r="J19" s="3629">
        <v>19.658800066064302</v>
      </c>
      <c r="K19" s="3630">
        <v>17.884561952545294</v>
      </c>
      <c r="L19" s="3629">
        <v>18.305408685200959</v>
      </c>
      <c r="M19" s="3629">
        <v>18.626186790782832</v>
      </c>
      <c r="N19" s="3629">
        <v>19.760605599449146</v>
      </c>
      <c r="O19" s="3629">
        <v>19.779746938461219</v>
      </c>
      <c r="P19" s="3629">
        <v>20.150976663150711</v>
      </c>
      <c r="Q19" s="3629">
        <v>20.623536175445786</v>
      </c>
      <c r="R19" s="3629">
        <v>18.950484960380383</v>
      </c>
      <c r="S19" s="3629">
        <v>18.739847382750192</v>
      </c>
      <c r="T19" s="3629">
        <v>17.795667372768115</v>
      </c>
      <c r="U19" s="3629">
        <v>17.825780035736013</v>
      </c>
      <c r="V19" s="3629">
        <v>18.613664994696833</v>
      </c>
    </row>
    <row r="20" spans="1:22" ht="17.399999999999999" customHeight="1" x14ac:dyDescent="0.25">
      <c r="A20" s="3588" t="s">
        <v>30</v>
      </c>
      <c r="B20" s="3591" t="s">
        <v>1643</v>
      </c>
      <c r="C20" s="3629">
        <v>21.130925227251993</v>
      </c>
      <c r="D20" s="3630">
        <v>21.560132445110174</v>
      </c>
      <c r="E20" s="3629">
        <v>23.706434722039859</v>
      </c>
      <c r="F20" s="3629">
        <v>23.800513559296959</v>
      </c>
      <c r="G20" s="3629">
        <v>24.703261999098217</v>
      </c>
      <c r="H20" s="3629">
        <v>23.978700415311085</v>
      </c>
      <c r="I20" s="3629">
        <v>12.649633193240398</v>
      </c>
      <c r="J20" s="3629">
        <v>12.347239862688452</v>
      </c>
      <c r="K20" s="3630">
        <v>12.278962458116027</v>
      </c>
      <c r="L20" s="3629">
        <v>12.722140686534042</v>
      </c>
      <c r="M20" s="3629">
        <v>13.578116824109729</v>
      </c>
      <c r="N20" s="3629">
        <v>13.264751136860566</v>
      </c>
      <c r="O20" s="3629">
        <v>13.346292389098421</v>
      </c>
      <c r="P20" s="3629">
        <v>13.535911268138731</v>
      </c>
      <c r="Q20" s="3629">
        <v>14.534163891256117</v>
      </c>
      <c r="R20" s="3629">
        <v>13.139570818307508</v>
      </c>
      <c r="S20" s="3629">
        <v>14.009749853400129</v>
      </c>
      <c r="T20" s="3629">
        <v>14.161898022020241</v>
      </c>
      <c r="U20" s="3629">
        <v>13.636295337146553</v>
      </c>
      <c r="V20" s="3629">
        <v>13.599853963687616</v>
      </c>
    </row>
    <row r="21" spans="1:22" ht="17.399999999999999" customHeight="1" x14ac:dyDescent="0.25">
      <c r="A21" s="3588" t="s">
        <v>34</v>
      </c>
      <c r="B21" s="3591" t="s">
        <v>1644</v>
      </c>
      <c r="C21" s="3629">
        <v>11.095390291025314</v>
      </c>
      <c r="D21" s="3630">
        <v>11.605861296783289</v>
      </c>
      <c r="E21" s="3629">
        <v>11.996234205593376</v>
      </c>
      <c r="F21" s="3629">
        <v>12.911603814060834</v>
      </c>
      <c r="G21" s="3629">
        <v>13.705888479872916</v>
      </c>
      <c r="H21" s="3629">
        <v>14.089484382251786</v>
      </c>
      <c r="I21" s="3629">
        <v>12.770434395430062</v>
      </c>
      <c r="J21" s="3629">
        <v>13.196415508868492</v>
      </c>
      <c r="K21" s="3630">
        <v>13.740269143130893</v>
      </c>
      <c r="L21" s="3629">
        <v>14.552187429459092</v>
      </c>
      <c r="M21" s="3629">
        <v>15.902084008118122</v>
      </c>
      <c r="N21" s="3629">
        <v>16.325419668288809</v>
      </c>
      <c r="O21" s="3629">
        <v>17.491268670383015</v>
      </c>
      <c r="P21" s="3629">
        <v>19.482338019636877</v>
      </c>
      <c r="Q21" s="3629">
        <v>20.019592756550633</v>
      </c>
      <c r="R21" s="3629">
        <v>21.031855696238747</v>
      </c>
      <c r="S21" s="3629">
        <v>21.403027147866908</v>
      </c>
      <c r="T21" s="3629">
        <v>20.980616242570989</v>
      </c>
      <c r="U21" s="3629">
        <v>21.356819760869502</v>
      </c>
      <c r="V21" s="3629">
        <v>22.135469140305304</v>
      </c>
    </row>
    <row r="22" spans="1:22" ht="17.399999999999999" customHeight="1" x14ac:dyDescent="0.25">
      <c r="A22" s="3588" t="s">
        <v>36</v>
      </c>
      <c r="B22" s="3591" t="s">
        <v>1645</v>
      </c>
      <c r="C22" s="3629">
        <v>0.78992787594492342</v>
      </c>
      <c r="D22" s="3630">
        <v>0.49225808025918394</v>
      </c>
      <c r="E22" s="3629">
        <v>0.67233025756208575</v>
      </c>
      <c r="F22" s="3629">
        <v>0.74111951118475561</v>
      </c>
      <c r="G22" s="3629">
        <v>0.81869473932683523</v>
      </c>
      <c r="H22" s="3629">
        <v>0.8656722322062268</v>
      </c>
      <c r="I22" s="3629">
        <v>0.65546383150577747</v>
      </c>
      <c r="J22" s="3629">
        <v>0.7774075601650513</v>
      </c>
      <c r="K22" s="3630">
        <v>0.55732206746582669</v>
      </c>
      <c r="L22" s="3629">
        <v>0.44877795435919382</v>
      </c>
      <c r="M22" s="3629">
        <v>0.47787205887659606</v>
      </c>
      <c r="N22" s="3629">
        <v>0.57095595982299641</v>
      </c>
      <c r="O22" s="3629">
        <v>0.43861548209948253</v>
      </c>
      <c r="P22" s="3629">
        <v>0.45856098181700039</v>
      </c>
      <c r="Q22" s="3629">
        <v>0.81652669267321809</v>
      </c>
      <c r="R22" s="3629">
        <v>0.49098787709240915</v>
      </c>
      <c r="S22" s="3629">
        <v>0.57679082070024479</v>
      </c>
      <c r="T22" s="3629">
        <v>0.55666224699715838</v>
      </c>
      <c r="U22" s="3629">
        <v>0.59424921873043979</v>
      </c>
      <c r="V22" s="3629">
        <v>0.61163053378001064</v>
      </c>
    </row>
    <row r="23" spans="1:22" ht="17.399999999999999" customHeight="1" x14ac:dyDescent="0.25">
      <c r="A23" s="3588" t="s">
        <v>37</v>
      </c>
      <c r="B23" s="3591" t="s">
        <v>1646</v>
      </c>
      <c r="C23" s="3629">
        <v>2.6307292816478149</v>
      </c>
      <c r="D23" s="3630">
        <v>3.0700264101856596</v>
      </c>
      <c r="E23" s="3629">
        <v>3.3584432854041943</v>
      </c>
      <c r="F23" s="3629">
        <v>3.2227186649307615</v>
      </c>
      <c r="G23" s="3629">
        <v>3.0483928820057553</v>
      </c>
      <c r="H23" s="3629">
        <v>0.43496579858723389</v>
      </c>
      <c r="I23" s="3629">
        <v>0.28067651227005291</v>
      </c>
      <c r="J23" s="3629">
        <v>0.49134826836706208</v>
      </c>
      <c r="K23" s="3630">
        <v>1.2780917238125353</v>
      </c>
      <c r="L23" s="3629">
        <v>1.3189219780100232</v>
      </c>
      <c r="M23" s="3629">
        <v>0.66364720998950777</v>
      </c>
      <c r="N23" s="3629">
        <v>0.70385682920695058</v>
      </c>
      <c r="O23" s="3629">
        <v>0.78882751205849178</v>
      </c>
      <c r="P23" s="3629">
        <v>0.8213403974304827</v>
      </c>
      <c r="Q23" s="3629">
        <v>0.87178702764802962</v>
      </c>
      <c r="R23" s="3629">
        <v>1.0529269198351709</v>
      </c>
      <c r="S23" s="3629">
        <v>0.96705671419460515</v>
      </c>
      <c r="T23" s="3629">
        <v>0.71473377907829194</v>
      </c>
      <c r="U23" s="3629">
        <v>0.59044986832791246</v>
      </c>
      <c r="V23" s="3629">
        <v>0.67775145187492614</v>
      </c>
    </row>
    <row r="24" spans="1:22" ht="17.399999999999999" customHeight="1" x14ac:dyDescent="0.25">
      <c r="A24" s="3587" t="s">
        <v>48</v>
      </c>
      <c r="B24" s="3590" t="s">
        <v>48</v>
      </c>
      <c r="C24" s="3585" t="s">
        <v>48</v>
      </c>
      <c r="D24" s="3596" t="s">
        <v>48</v>
      </c>
      <c r="E24" s="3585" t="s">
        <v>48</v>
      </c>
      <c r="F24" s="3585" t="s">
        <v>48</v>
      </c>
      <c r="G24" s="3585" t="s">
        <v>48</v>
      </c>
      <c r="H24" s="3585" t="s">
        <v>48</v>
      </c>
      <c r="I24" s="3585" t="s">
        <v>48</v>
      </c>
      <c r="J24" s="3585" t="s">
        <v>48</v>
      </c>
      <c r="K24" s="3596" t="s">
        <v>48</v>
      </c>
      <c r="L24" s="3585">
        <v>0</v>
      </c>
      <c r="M24" s="3585"/>
      <c r="N24" s="3585"/>
      <c r="O24" s="3585"/>
      <c r="P24" s="3585"/>
      <c r="Q24" s="3599">
        <v>0</v>
      </c>
      <c r="R24" s="3585"/>
      <c r="S24" s="3585"/>
      <c r="T24" s="3585"/>
      <c r="U24" s="3585"/>
      <c r="V24" s="3585"/>
    </row>
    <row r="25" spans="1:22" ht="17.399999999999999" customHeight="1" x14ac:dyDescent="0.25">
      <c r="A25" s="3588" t="s">
        <v>48</v>
      </c>
      <c r="B25" s="3591" t="s">
        <v>1700</v>
      </c>
      <c r="C25" s="3629">
        <v>0.28836385656876323</v>
      </c>
      <c r="D25" s="3630">
        <v>0.19703838017527958</v>
      </c>
      <c r="E25" s="3629">
        <v>0.22249754860193488</v>
      </c>
      <c r="F25" s="3629">
        <v>0.65678306974198131</v>
      </c>
      <c r="G25" s="3629">
        <v>0.55212618220612086</v>
      </c>
      <c r="H25" s="3629">
        <v>0.25760418540104951</v>
      </c>
      <c r="I25" s="3629">
        <v>0.31733648937251641</v>
      </c>
      <c r="J25" s="3629">
        <v>0.25976592797531167</v>
      </c>
      <c r="K25" s="3630">
        <v>0.33793066858571646</v>
      </c>
      <c r="L25" s="3629">
        <v>0.33854009676338892</v>
      </c>
      <c r="M25" s="3629">
        <v>0.34734439127064565</v>
      </c>
      <c r="N25" s="3629">
        <v>0.39465226972270168</v>
      </c>
      <c r="O25" s="3629">
        <v>0.37239727935009392</v>
      </c>
      <c r="P25" s="3629">
        <v>0.37796372144132379</v>
      </c>
      <c r="Q25" s="3629">
        <v>0.58291357437770475</v>
      </c>
      <c r="R25" s="3629">
        <v>0.56219914688984507</v>
      </c>
      <c r="S25" s="3629">
        <v>0.54538606138241374</v>
      </c>
      <c r="T25" s="3629">
        <v>0.49045965999833019</v>
      </c>
      <c r="U25" s="3629">
        <v>0.38627415597587828</v>
      </c>
      <c r="V25" s="3629">
        <v>0.43324889723502208</v>
      </c>
    </row>
    <row r="26" spans="1:22" s="3626" customFormat="1" ht="17.399999999999999" customHeight="1" x14ac:dyDescent="0.35">
      <c r="A26" s="3587" t="s">
        <v>40</v>
      </c>
      <c r="B26" s="3593" t="s">
        <v>1701</v>
      </c>
      <c r="C26" s="3625">
        <v>0.28410930786528965</v>
      </c>
      <c r="D26" s="3627">
        <v>0.19703838017527958</v>
      </c>
      <c r="E26" s="3625">
        <v>0.22249754860193488</v>
      </c>
      <c r="F26" s="3625">
        <v>0.29968459654988755</v>
      </c>
      <c r="G26" s="3625">
        <v>0.33969206625241238</v>
      </c>
      <c r="H26" s="3625">
        <v>9.9044034750162491E-2</v>
      </c>
      <c r="I26" s="3625">
        <v>7.4515888213288389E-2</v>
      </c>
      <c r="J26" s="3625">
        <v>5.0549684187089723E-2</v>
      </c>
      <c r="K26" s="3627">
        <v>1.1845021401315832E-2</v>
      </c>
      <c r="L26" s="3625">
        <v>1.56105627316309E-2</v>
      </c>
      <c r="M26" s="3625">
        <v>1.5519329160532551E-2</v>
      </c>
      <c r="N26" s="3625">
        <v>1.0733391186526702E-2</v>
      </c>
      <c r="O26" s="3625">
        <v>8.5240656544939737E-3</v>
      </c>
      <c r="P26" s="3625">
        <v>2.0667571845771195E-2</v>
      </c>
      <c r="Q26" s="3625">
        <v>3.0247156629018748E-2</v>
      </c>
      <c r="R26" s="3625">
        <v>2.1054208116060402E-2</v>
      </c>
      <c r="S26" s="3625">
        <v>2.270761943471827E-2</v>
      </c>
      <c r="T26" s="3625">
        <v>3.6397029929431231E-2</v>
      </c>
      <c r="U26" s="3625">
        <v>1.5507653368961805E-2</v>
      </c>
      <c r="V26" s="3625">
        <v>3.0490573625898836E-2</v>
      </c>
    </row>
    <row r="27" spans="1:22" s="3626" customFormat="1" ht="17.399999999999999" customHeight="1" x14ac:dyDescent="0.35">
      <c r="A27" s="3587" t="s">
        <v>43</v>
      </c>
      <c r="B27" s="3593" t="s">
        <v>1648</v>
      </c>
      <c r="C27" s="3625">
        <v>1.8909105348771356E-3</v>
      </c>
      <c r="D27" s="3627">
        <v>0</v>
      </c>
      <c r="E27" s="3625">
        <v>0</v>
      </c>
      <c r="F27" s="3625">
        <v>8.7103503373180255E-4</v>
      </c>
      <c r="G27" s="3625">
        <v>9.5049971462002965E-4</v>
      </c>
      <c r="H27" s="3625">
        <v>1.0570216735440539E-3</v>
      </c>
      <c r="I27" s="3625">
        <v>0</v>
      </c>
      <c r="J27" s="3625">
        <v>2.2546724068392976E-2</v>
      </c>
      <c r="K27" s="3627">
        <v>5.0645048352696058E-2</v>
      </c>
      <c r="L27" s="3625">
        <v>5.1936436677880421E-2</v>
      </c>
      <c r="M27" s="3625">
        <v>0.10391881811957207</v>
      </c>
      <c r="N27" s="3625">
        <v>0.10876205182159437</v>
      </c>
      <c r="O27" s="3625">
        <v>0.12350898122468788</v>
      </c>
      <c r="P27" s="3625">
        <v>0.10019907715810915</v>
      </c>
      <c r="Q27" s="3625">
        <v>0.12313245011798803</v>
      </c>
      <c r="R27" s="3625">
        <v>8.7680397626331619E-2</v>
      </c>
      <c r="S27" s="3625">
        <v>7.5487767350276208E-2</v>
      </c>
      <c r="T27" s="3625">
        <v>7.2741731784829872E-2</v>
      </c>
      <c r="U27" s="3625">
        <v>3.7096707943938731E-3</v>
      </c>
      <c r="V27" s="3625">
        <v>1.3182452699293662E-2</v>
      </c>
    </row>
    <row r="28" spans="1:22" s="3626" customFormat="1" ht="17.399999999999999" customHeight="1" x14ac:dyDescent="0.35">
      <c r="A28" s="3587" t="s">
        <v>45</v>
      </c>
      <c r="B28" s="3593" t="s">
        <v>1702</v>
      </c>
      <c r="C28" s="3625">
        <v>2.3636381685964197E-3</v>
      </c>
      <c r="D28" s="3627">
        <v>0</v>
      </c>
      <c r="E28" s="3625">
        <v>0</v>
      </c>
      <c r="F28" s="3625">
        <v>1.8156734524795833E-2</v>
      </c>
      <c r="G28" s="3625">
        <v>1.3899710378518034E-2</v>
      </c>
      <c r="H28" s="3625">
        <v>4.3219215163707268E-3</v>
      </c>
      <c r="I28" s="3625">
        <v>0</v>
      </c>
      <c r="J28" s="3625">
        <v>7.9878036539763594E-2</v>
      </c>
      <c r="K28" s="3627">
        <v>0.18276590075595853</v>
      </c>
      <c r="L28" s="3625">
        <v>0.16952322111095799</v>
      </c>
      <c r="M28" s="3625">
        <v>0.14827587624477165</v>
      </c>
      <c r="N28" s="3625">
        <v>0.20886205185488974</v>
      </c>
      <c r="O28" s="3625">
        <v>0.18454803169467218</v>
      </c>
      <c r="P28" s="3625">
        <v>0.20503528561569609</v>
      </c>
      <c r="Q28" s="3625">
        <v>4.9113997331923787E-2</v>
      </c>
      <c r="R28" s="3625">
        <v>8.0821033069262582E-2</v>
      </c>
      <c r="S28" s="3625">
        <v>6.6291049655339065E-2</v>
      </c>
      <c r="T28" s="3625">
        <v>6.1958431985619525E-2</v>
      </c>
      <c r="U28" s="3625">
        <v>6.6437388044584142E-2</v>
      </c>
      <c r="V28" s="3625">
        <v>8.3079446759000308E-2</v>
      </c>
    </row>
    <row r="29" spans="1:22" s="3626" customFormat="1" ht="17.399999999999999" customHeight="1" x14ac:dyDescent="0.35">
      <c r="A29" s="3587" t="s">
        <v>49</v>
      </c>
      <c r="B29" s="3593" t="s">
        <v>1703</v>
      </c>
      <c r="C29" s="3625">
        <v>0</v>
      </c>
      <c r="D29" s="3627">
        <v>0</v>
      </c>
      <c r="E29" s="3625">
        <v>0</v>
      </c>
      <c r="F29" s="3625">
        <v>0</v>
      </c>
      <c r="G29" s="3625">
        <v>0</v>
      </c>
      <c r="H29" s="3625">
        <v>0</v>
      </c>
      <c r="I29" s="3625">
        <v>0</v>
      </c>
      <c r="J29" s="3625">
        <v>3.8082784774551008E-2</v>
      </c>
      <c r="K29" s="3627">
        <v>4.5207324261469096E-2</v>
      </c>
      <c r="L29" s="3625">
        <v>3.6421579115324086E-2</v>
      </c>
      <c r="M29" s="3625">
        <v>3.3048198544072267E-2</v>
      </c>
      <c r="N29" s="3625">
        <v>3.7319388145835367E-2</v>
      </c>
      <c r="O29" s="3625">
        <v>3.3246052059646189E-2</v>
      </c>
      <c r="P29" s="3625">
        <v>2.2005418440023534E-2</v>
      </c>
      <c r="Q29" s="3625">
        <v>3.6548059531900046E-2</v>
      </c>
      <c r="R29" s="3625">
        <v>3.1805878760129781E-2</v>
      </c>
      <c r="S29" s="3625">
        <v>3.0619534815242846E-2</v>
      </c>
      <c r="T29" s="3625">
        <v>2.4908606421509875E-2</v>
      </c>
      <c r="U29" s="3625">
        <v>3.4368121925849378E-2</v>
      </c>
      <c r="V29" s="3625">
        <v>3.2610403861944276E-2</v>
      </c>
    </row>
    <row r="30" spans="1:22" s="3626" customFormat="1" ht="17.399999999999999" customHeight="1" x14ac:dyDescent="0.35">
      <c r="A30" s="3587" t="s">
        <v>40</v>
      </c>
      <c r="B30" s="3593" t="s">
        <v>1704</v>
      </c>
      <c r="C30" s="3625">
        <v>0</v>
      </c>
      <c r="D30" s="3627">
        <v>0</v>
      </c>
      <c r="E30" s="3625">
        <v>0</v>
      </c>
      <c r="F30" s="3625">
        <v>0</v>
      </c>
      <c r="G30" s="3625">
        <v>0</v>
      </c>
      <c r="H30" s="3625">
        <v>0</v>
      </c>
      <c r="I30" s="3625">
        <v>0</v>
      </c>
      <c r="J30" s="3625">
        <v>4.0833943181050863E-3</v>
      </c>
      <c r="K30" s="3627">
        <v>4.2491283926189206E-2</v>
      </c>
      <c r="L30" s="3625">
        <v>4.0136512644961951E-2</v>
      </c>
      <c r="M30" s="3625">
        <v>2.7950578666643522E-2</v>
      </c>
      <c r="N30" s="3625">
        <v>1.5885006582122458E-2</v>
      </c>
      <c r="O30" s="3625">
        <v>1.3001993856619092E-2</v>
      </c>
      <c r="P30" s="3625">
        <v>1.8457350992899354E-2</v>
      </c>
      <c r="Q30" s="3625">
        <v>0.13360427611352629</v>
      </c>
      <c r="R30" s="3625">
        <v>0.12841583632950346</v>
      </c>
      <c r="S30" s="3625">
        <v>0.11434667055930683</v>
      </c>
      <c r="T30" s="3625">
        <v>0.10466454911121865</v>
      </c>
      <c r="U30" s="3625">
        <v>6.1034849288378941E-2</v>
      </c>
      <c r="V30" s="3625">
        <v>6.4663291375434945E-2</v>
      </c>
    </row>
    <row r="31" spans="1:22" s="3626" customFormat="1" ht="17.399999999999999" customHeight="1" x14ac:dyDescent="0.35">
      <c r="A31" s="3587" t="s">
        <v>52</v>
      </c>
      <c r="B31" s="3593" t="s">
        <v>1705</v>
      </c>
      <c r="C31" s="3625">
        <v>0</v>
      </c>
      <c r="D31" s="3627">
        <v>0</v>
      </c>
      <c r="E31" s="3625">
        <v>0</v>
      </c>
      <c r="F31" s="3625">
        <v>0</v>
      </c>
      <c r="G31" s="3625">
        <v>0</v>
      </c>
      <c r="H31" s="3625">
        <v>0</v>
      </c>
      <c r="I31" s="3625">
        <v>0</v>
      </c>
      <c r="J31" s="3625">
        <v>0</v>
      </c>
      <c r="K31" s="3627">
        <v>0</v>
      </c>
      <c r="L31" s="3625">
        <v>0</v>
      </c>
      <c r="M31" s="3625">
        <v>0</v>
      </c>
      <c r="N31" s="3625">
        <v>0</v>
      </c>
      <c r="O31" s="3625">
        <v>0</v>
      </c>
      <c r="P31" s="3625">
        <v>1.2634603652483422E-5</v>
      </c>
      <c r="Q31" s="3625">
        <v>0</v>
      </c>
      <c r="R31" s="3625">
        <v>1.7990513602177572E-6</v>
      </c>
      <c r="S31" s="3625">
        <v>0</v>
      </c>
      <c r="T31" s="3625">
        <v>0</v>
      </c>
      <c r="U31" s="3625">
        <v>0</v>
      </c>
      <c r="V31" s="3625">
        <v>0</v>
      </c>
    </row>
    <row r="32" spans="1:22" s="3626" customFormat="1" ht="17.399999999999999" customHeight="1" x14ac:dyDescent="0.35">
      <c r="A32" s="3587" t="s">
        <v>52</v>
      </c>
      <c r="B32" s="3593" t="s">
        <v>1706</v>
      </c>
      <c r="C32" s="3625">
        <v>0</v>
      </c>
      <c r="D32" s="3627">
        <v>0</v>
      </c>
      <c r="E32" s="3625">
        <v>0</v>
      </c>
      <c r="F32" s="3625">
        <v>0.33807070363356606</v>
      </c>
      <c r="G32" s="3625">
        <v>0.19758390586057045</v>
      </c>
      <c r="H32" s="3625">
        <v>0.15318120746097233</v>
      </c>
      <c r="I32" s="3625">
        <v>0.24282060115922804</v>
      </c>
      <c r="J32" s="3625">
        <v>6.4625304087409283E-2</v>
      </c>
      <c r="K32" s="3627">
        <v>4.9760898880877383E-3</v>
      </c>
      <c r="L32" s="3625">
        <v>2.4911784482633575E-2</v>
      </c>
      <c r="M32" s="3625">
        <v>1.8631590535053671E-2</v>
      </c>
      <c r="N32" s="3625">
        <v>1.3090380131733081E-2</v>
      </c>
      <c r="O32" s="3625">
        <v>9.5681548599745193E-3</v>
      </c>
      <c r="P32" s="3625">
        <v>1.1586382785172029E-2</v>
      </c>
      <c r="Q32" s="3625">
        <v>0.21026763465334788</v>
      </c>
      <c r="R32" s="3625">
        <v>0.21091103960881427</v>
      </c>
      <c r="S32" s="3625">
        <v>0.23338776189282229</v>
      </c>
      <c r="T32" s="3625">
        <v>0.18758367379809401</v>
      </c>
      <c r="U32" s="3625">
        <v>0.20521647255371014</v>
      </c>
      <c r="V32" s="3625">
        <v>0.2077553422611432</v>
      </c>
    </row>
    <row r="33" spans="1:22" ht="17.399999999999999" customHeight="1" x14ac:dyDescent="0.25">
      <c r="A33" s="3587" t="s">
        <v>48</v>
      </c>
      <c r="B33" s="3590" t="s">
        <v>48</v>
      </c>
      <c r="C33" s="3585" t="s">
        <v>48</v>
      </c>
      <c r="D33" s="3596" t="s">
        <v>48</v>
      </c>
      <c r="E33" s="3585" t="s">
        <v>48</v>
      </c>
      <c r="F33" s="3585" t="s">
        <v>48</v>
      </c>
      <c r="G33" s="3585" t="s">
        <v>48</v>
      </c>
      <c r="H33" s="3585" t="s">
        <v>48</v>
      </c>
      <c r="I33" s="3585" t="s">
        <v>48</v>
      </c>
      <c r="J33" s="3585" t="s">
        <v>48</v>
      </c>
      <c r="K33" s="3596" t="s">
        <v>48</v>
      </c>
      <c r="L33" s="3585">
        <v>0</v>
      </c>
      <c r="M33" s="3585"/>
      <c r="N33" s="3585"/>
      <c r="O33" s="3585"/>
      <c r="P33" s="3585"/>
      <c r="Q33" s="3599">
        <v>0</v>
      </c>
      <c r="R33" s="3585"/>
      <c r="S33" s="3585"/>
      <c r="T33" s="3585"/>
      <c r="U33" s="3585"/>
      <c r="V33" s="3585"/>
    </row>
    <row r="34" spans="1:22" ht="17.399999999999999" customHeight="1" x14ac:dyDescent="0.25">
      <c r="A34" s="3588"/>
      <c r="B34" s="3591" t="s">
        <v>1707</v>
      </c>
      <c r="C34" s="3629">
        <v>7.7796786681182564</v>
      </c>
      <c r="D34" s="3630">
        <v>8.2429227929099831</v>
      </c>
      <c r="E34" s="3629">
        <v>8.6539938931553628</v>
      </c>
      <c r="F34" s="3629">
        <v>8.2514697560362169</v>
      </c>
      <c r="G34" s="3629">
        <v>8.5254854917249023</v>
      </c>
      <c r="H34" s="3629">
        <v>9.6377249103394487</v>
      </c>
      <c r="I34" s="3629">
        <v>9.5976763002217531</v>
      </c>
      <c r="J34" s="3629">
        <v>10.045125210878345</v>
      </c>
      <c r="K34" s="3630">
        <v>9.9304777178366468</v>
      </c>
      <c r="L34" s="3629">
        <v>10.224604095510797</v>
      </c>
      <c r="M34" s="3629">
        <v>10.76505970937515</v>
      </c>
      <c r="N34" s="3629">
        <v>12.237665359897933</v>
      </c>
      <c r="O34" s="3629">
        <v>12.590955101274394</v>
      </c>
      <c r="P34" s="3629">
        <v>13.333417332679206</v>
      </c>
      <c r="Q34" s="3629">
        <v>14.175710218755546</v>
      </c>
      <c r="R34" s="3629">
        <v>10.219825822072021</v>
      </c>
      <c r="S34" s="3629">
        <v>11.094792567182138</v>
      </c>
      <c r="T34" s="3629">
        <v>10.542391127976638</v>
      </c>
      <c r="U34" s="3629">
        <v>10.460956323560541</v>
      </c>
      <c r="V34" s="3629">
        <v>11.468811353406039</v>
      </c>
    </row>
    <row r="35" spans="1:22" s="3626" customFormat="1" ht="17.399999999999999" customHeight="1" x14ac:dyDescent="0.35">
      <c r="A35" s="3587" t="s">
        <v>56</v>
      </c>
      <c r="B35" s="3593" t="s">
        <v>1650</v>
      </c>
      <c r="C35" s="3625">
        <v>1.4508011078844825</v>
      </c>
      <c r="D35" s="3627">
        <v>1.7441698623554431</v>
      </c>
      <c r="E35" s="3625">
        <v>1.7650252310087655</v>
      </c>
      <c r="F35" s="3625">
        <v>2.071348125517813</v>
      </c>
      <c r="G35" s="3625">
        <v>2.1559534687727928</v>
      </c>
      <c r="H35" s="3625">
        <v>2.2565697024838172</v>
      </c>
      <c r="I35" s="3625">
        <v>3.0939405243618654</v>
      </c>
      <c r="J35" s="3625">
        <v>2.3714950698146366</v>
      </c>
      <c r="K35" s="3627">
        <v>2.2678131577768821</v>
      </c>
      <c r="L35" s="3625">
        <v>2.7032776384874668</v>
      </c>
      <c r="M35" s="3625">
        <v>2.8593585908301775</v>
      </c>
      <c r="N35" s="3625">
        <v>3.0625161878883844</v>
      </c>
      <c r="O35" s="3625">
        <v>3.4651758095123171</v>
      </c>
      <c r="P35" s="3625">
        <v>3.9423297026791184</v>
      </c>
      <c r="Q35" s="3625">
        <v>4.1987234419486672</v>
      </c>
      <c r="R35" s="3625">
        <v>3.9294061466388777</v>
      </c>
      <c r="S35" s="3625">
        <v>4.0803572667974439</v>
      </c>
      <c r="T35" s="3625">
        <v>4.0375842280225251</v>
      </c>
      <c r="U35" s="3625">
        <v>4.0410718540385879</v>
      </c>
      <c r="V35" s="3625">
        <v>4.2555974913123009</v>
      </c>
    </row>
    <row r="36" spans="1:22" s="3626" customFormat="1" ht="17.399999999999999" customHeight="1" x14ac:dyDescent="0.35">
      <c r="A36" s="3587" t="s">
        <v>93</v>
      </c>
      <c r="B36" s="3593" t="s">
        <v>1651</v>
      </c>
      <c r="C36" s="3625">
        <v>5.824949902689017</v>
      </c>
      <c r="D36" s="3627">
        <v>6.4366990834332869</v>
      </c>
      <c r="E36" s="3625">
        <v>6.8329240685851369</v>
      </c>
      <c r="F36" s="3625">
        <v>6.1600392797964254</v>
      </c>
      <c r="G36" s="3625">
        <v>6.3194683541736012</v>
      </c>
      <c r="H36" s="3625">
        <v>6.883835709945525</v>
      </c>
      <c r="I36" s="3625">
        <v>5.8680272562560001</v>
      </c>
      <c r="J36" s="3625">
        <v>6.4510229929318506</v>
      </c>
      <c r="K36" s="3627">
        <v>6.7877106865149317</v>
      </c>
      <c r="L36" s="3625">
        <v>6.6802155028611638</v>
      </c>
      <c r="M36" s="3625">
        <v>6.7498739983473834</v>
      </c>
      <c r="N36" s="3625">
        <v>5.1582554685668649</v>
      </c>
      <c r="O36" s="3625">
        <v>5.7583403070214603</v>
      </c>
      <c r="P36" s="3625">
        <v>6.1927977689351943</v>
      </c>
      <c r="Q36" s="3625">
        <v>9.0101260234517433</v>
      </c>
      <c r="R36" s="3625">
        <v>5.3929753341063247</v>
      </c>
      <c r="S36" s="3625">
        <v>5.9041809706163546</v>
      </c>
      <c r="T36" s="3625">
        <v>5.373941004373556</v>
      </c>
      <c r="U36" s="3625">
        <v>5.5234745043234419</v>
      </c>
      <c r="V36" s="3625">
        <v>6.3588311993576099</v>
      </c>
    </row>
    <row r="37" spans="1:22" s="3626" customFormat="1" ht="17.399999999999999" customHeight="1" x14ac:dyDescent="0.35">
      <c r="A37" s="3587" t="s">
        <v>59</v>
      </c>
      <c r="B37" s="3593" t="s">
        <v>1708</v>
      </c>
      <c r="C37" s="3625">
        <v>0</v>
      </c>
      <c r="D37" s="3627">
        <v>0</v>
      </c>
      <c r="E37" s="3625">
        <v>0</v>
      </c>
      <c r="F37" s="3625">
        <v>0</v>
      </c>
      <c r="G37" s="3625">
        <v>0</v>
      </c>
      <c r="H37" s="3625">
        <v>0</v>
      </c>
      <c r="I37" s="3625">
        <v>0</v>
      </c>
      <c r="J37" s="3625">
        <v>3.7320855331954873E-2</v>
      </c>
      <c r="K37" s="3627">
        <v>0.14555839156302686</v>
      </c>
      <c r="L37" s="3625">
        <v>9.9786265473514615E-2</v>
      </c>
      <c r="M37" s="3625">
        <v>0.12023626099791779</v>
      </c>
      <c r="N37" s="3625">
        <v>0.17850822595372801</v>
      </c>
      <c r="O37" s="3625">
        <v>0.14828774899978564</v>
      </c>
      <c r="P37" s="3625">
        <v>0.13516564416624252</v>
      </c>
      <c r="Q37" s="3625">
        <v>0.11878532863723154</v>
      </c>
      <c r="R37" s="3625">
        <v>8.4302741664320419E-2</v>
      </c>
      <c r="S37" s="3625">
        <v>8.4685004203800748E-2</v>
      </c>
      <c r="T37" s="3625">
        <v>8.4776431504061278E-2</v>
      </c>
      <c r="U37" s="3625">
        <v>6.5368893522006422E-2</v>
      </c>
      <c r="V37" s="3625">
        <v>6.6077195407442099E-2</v>
      </c>
    </row>
    <row r="38" spans="1:22" s="3626" customFormat="1" ht="17.399999999999999" customHeight="1" x14ac:dyDescent="0.35">
      <c r="A38" s="3587" t="s">
        <v>61</v>
      </c>
      <c r="B38" s="3593" t="s">
        <v>1709</v>
      </c>
      <c r="C38" s="3625">
        <v>0.50345492991103735</v>
      </c>
      <c r="D38" s="3627">
        <v>5.6657309539764514E-2</v>
      </c>
      <c r="E38" s="3625">
        <v>5.0173343874577815E-2</v>
      </c>
      <c r="F38" s="3625">
        <v>0</v>
      </c>
      <c r="G38" s="3625">
        <v>2.4676838303432209E-2</v>
      </c>
      <c r="H38" s="3625">
        <v>0.42249956647392195</v>
      </c>
      <c r="I38" s="3625">
        <v>0.53056149561667187</v>
      </c>
      <c r="J38" s="3625">
        <v>0.52157398093260166</v>
      </c>
      <c r="K38" s="3627">
        <v>0.51577624061837402</v>
      </c>
      <c r="L38" s="3625">
        <v>0.49271111974151582</v>
      </c>
      <c r="M38" s="3625">
        <v>0.60945521699827843</v>
      </c>
      <c r="N38" s="3625">
        <v>0.57493751175379015</v>
      </c>
      <c r="O38" s="3625">
        <v>0.50515246272340242</v>
      </c>
      <c r="P38" s="3625">
        <v>0.522512287152052</v>
      </c>
      <c r="Q38" s="3625">
        <v>0.62991726617592469</v>
      </c>
      <c r="R38" s="3625">
        <v>0.53411859121685135</v>
      </c>
      <c r="S38" s="3625">
        <v>0.58699262210654757</v>
      </c>
      <c r="T38" s="3625">
        <v>0.57454441280763513</v>
      </c>
      <c r="U38" s="3625">
        <v>0.41433345654593495</v>
      </c>
      <c r="V38" s="3625">
        <v>0.3745032465929683</v>
      </c>
    </row>
    <row r="39" spans="1:22" s="3626" customFormat="1" ht="17.399999999999999" customHeight="1" x14ac:dyDescent="0.35">
      <c r="A39" s="3587" t="s">
        <v>52</v>
      </c>
      <c r="B39" s="3593" t="s">
        <v>1710</v>
      </c>
      <c r="C39" s="3625">
        <v>0</v>
      </c>
      <c r="D39" s="3627">
        <v>0</v>
      </c>
      <c r="E39" s="3625">
        <v>0</v>
      </c>
      <c r="F39" s="3625">
        <v>0</v>
      </c>
      <c r="G39" s="3625">
        <v>0</v>
      </c>
      <c r="H39" s="3625">
        <v>0</v>
      </c>
      <c r="I39" s="3625">
        <v>0</v>
      </c>
      <c r="J39" s="3625">
        <v>6.8053530333916715E-3</v>
      </c>
      <c r="K39" s="3627">
        <v>1.3571154240239287E-3</v>
      </c>
      <c r="L39" s="3625">
        <v>4.9385883479232092E-3</v>
      </c>
      <c r="M39" s="3625">
        <v>3.9259895023745503E-3</v>
      </c>
      <c r="N39" s="3625">
        <v>3.8948944934484656E-3</v>
      </c>
      <c r="O39" s="3625">
        <v>3.8957030327560864E-3</v>
      </c>
      <c r="P39" s="3625">
        <v>3.8783720854676787E-3</v>
      </c>
      <c r="Q39" s="3625">
        <v>1.7776687054796244E-3</v>
      </c>
      <c r="R39" s="3625">
        <v>9.6699010611704444E-5</v>
      </c>
      <c r="S39" s="3625">
        <v>1.0487931801449418E-4</v>
      </c>
      <c r="T39" s="3625">
        <v>1.046766265540526E-4</v>
      </c>
      <c r="U39" s="3625">
        <v>0</v>
      </c>
      <c r="V39" s="3625">
        <v>0</v>
      </c>
    </row>
    <row r="40" spans="1:22" s="3626" customFormat="1" ht="17.399999999999999" customHeight="1" x14ac:dyDescent="0.35">
      <c r="A40" s="3587" t="s">
        <v>52</v>
      </c>
      <c r="B40" s="3593" t="s">
        <v>1711</v>
      </c>
      <c r="C40" s="3625">
        <v>0</v>
      </c>
      <c r="D40" s="3627">
        <v>0</v>
      </c>
      <c r="E40" s="3625">
        <v>0</v>
      </c>
      <c r="F40" s="3625">
        <v>0</v>
      </c>
      <c r="G40" s="3625">
        <v>0</v>
      </c>
      <c r="H40" s="3625">
        <v>0</v>
      </c>
      <c r="I40" s="3625">
        <v>0</v>
      </c>
      <c r="J40" s="3625">
        <v>1.8008909555781449E-2</v>
      </c>
      <c r="K40" s="3627">
        <v>3.3927885600598215E-2</v>
      </c>
      <c r="L40" s="3625">
        <v>4.2519455182367404E-2</v>
      </c>
      <c r="M40" s="3625">
        <v>0.1347043884369194</v>
      </c>
      <c r="N40" s="3625">
        <v>0.13413822924648627</v>
      </c>
      <c r="O40" s="3625">
        <v>0.13446748768003514</v>
      </c>
      <c r="P40" s="3625">
        <v>0.13393019440875686</v>
      </c>
      <c r="Q40" s="3625">
        <v>2.9396347756047224E-3</v>
      </c>
      <c r="R40" s="3625">
        <v>1.9564683542368107E-3</v>
      </c>
      <c r="S40" s="3625">
        <v>1.3942648041687618E-3</v>
      </c>
      <c r="T40" s="3625">
        <v>1.3852695473676731E-3</v>
      </c>
      <c r="U40" s="3625">
        <v>1.1380474292646621E-3</v>
      </c>
      <c r="V40" s="3625">
        <v>9.103232009681128E-4</v>
      </c>
    </row>
    <row r="41" spans="1:22" s="3626" customFormat="1" ht="17.399999999999999" customHeight="1" x14ac:dyDescent="0.35">
      <c r="A41" s="3587" t="s">
        <v>52</v>
      </c>
      <c r="B41" s="3593" t="s">
        <v>1712</v>
      </c>
      <c r="C41" s="3625">
        <v>0</v>
      </c>
      <c r="D41" s="3627">
        <v>0</v>
      </c>
      <c r="E41" s="3625">
        <v>0</v>
      </c>
      <c r="F41" s="3625">
        <v>0</v>
      </c>
      <c r="G41" s="3625">
        <v>0</v>
      </c>
      <c r="H41" s="3625">
        <v>0</v>
      </c>
      <c r="I41" s="3625">
        <v>0</v>
      </c>
      <c r="J41" s="3625">
        <v>4.7130491595051387E-2</v>
      </c>
      <c r="K41" s="3627">
        <v>6.8308143009204403E-2</v>
      </c>
      <c r="L41" s="3625">
        <v>7.0942243673892721E-2</v>
      </c>
      <c r="M41" s="3625">
        <v>7.3166558334631343E-2</v>
      </c>
      <c r="N41" s="3625">
        <v>7.1546153026983306E-2</v>
      </c>
      <c r="O41" s="3625">
        <v>6.5040518484306364E-2</v>
      </c>
      <c r="P41" s="3625">
        <v>6.6730742156618547E-2</v>
      </c>
      <c r="Q41" s="3625">
        <v>7.8108686350021383E-2</v>
      </c>
      <c r="R41" s="3625">
        <v>9.0937562123492285E-2</v>
      </c>
      <c r="S41" s="3625">
        <v>9.8728790308870121E-2</v>
      </c>
      <c r="T41" s="3625">
        <v>0.10765347032509757</v>
      </c>
      <c r="U41" s="3625">
        <v>9.2522363770032479E-2</v>
      </c>
      <c r="V41" s="3625">
        <v>9.318998988680742E-2</v>
      </c>
    </row>
    <row r="42" spans="1:22" s="3626" customFormat="1" ht="17.399999999999999" customHeight="1" x14ac:dyDescent="0.35">
      <c r="A42" s="3587" t="s">
        <v>52</v>
      </c>
      <c r="B42" s="3593" t="s">
        <v>1713</v>
      </c>
      <c r="C42" s="3625">
        <v>0</v>
      </c>
      <c r="D42" s="3627">
        <v>0</v>
      </c>
      <c r="E42" s="3625">
        <v>0</v>
      </c>
      <c r="F42" s="3625">
        <v>0</v>
      </c>
      <c r="G42" s="3625">
        <v>0</v>
      </c>
      <c r="H42" s="3625">
        <v>0</v>
      </c>
      <c r="I42" s="3625">
        <v>0</v>
      </c>
      <c r="J42" s="3625">
        <v>2.3405377488133062E-3</v>
      </c>
      <c r="K42" s="3627">
        <v>7.6903207361355957E-3</v>
      </c>
      <c r="L42" s="3625">
        <v>1.4505261783712042E-2</v>
      </c>
      <c r="M42" s="3625">
        <v>5.8742880647691176E-2</v>
      </c>
      <c r="N42" s="3625">
        <v>5.827761949582639E-2</v>
      </c>
      <c r="O42" s="3625">
        <v>5.8289717319322303E-2</v>
      </c>
      <c r="P42" s="3625">
        <v>5.803040186077138E-2</v>
      </c>
      <c r="Q42" s="3625">
        <v>0</v>
      </c>
      <c r="R42" s="3625">
        <v>0</v>
      </c>
      <c r="S42" s="3625">
        <v>0</v>
      </c>
      <c r="T42" s="3625">
        <v>0</v>
      </c>
      <c r="U42" s="3625">
        <v>0</v>
      </c>
      <c r="V42" s="3625">
        <v>0</v>
      </c>
    </row>
    <row r="43" spans="1:22" s="3626" customFormat="1" ht="17.399999999999999" customHeight="1" x14ac:dyDescent="0.35">
      <c r="A43" s="3587" t="s">
        <v>52</v>
      </c>
      <c r="B43" s="3593" t="s">
        <v>1714</v>
      </c>
      <c r="C43" s="3625">
        <v>0</v>
      </c>
      <c r="D43" s="3627">
        <v>0</v>
      </c>
      <c r="E43" s="3625">
        <v>0</v>
      </c>
      <c r="F43" s="3625">
        <v>0</v>
      </c>
      <c r="G43" s="3625">
        <v>0</v>
      </c>
      <c r="H43" s="3625">
        <v>0</v>
      </c>
      <c r="I43" s="3625">
        <v>0</v>
      </c>
      <c r="J43" s="3625">
        <v>4.3329604289434635E-3</v>
      </c>
      <c r="K43" s="3627">
        <v>5.8808335041036905E-3</v>
      </c>
      <c r="L43" s="3625">
        <v>7.7222387421036981E-3</v>
      </c>
      <c r="M43" s="3625">
        <v>7.511224127637826E-3</v>
      </c>
      <c r="N43" s="3625">
        <v>5.8081282981418247E-3</v>
      </c>
      <c r="O43" s="3625">
        <v>4.5307094258789805E-3</v>
      </c>
      <c r="P43" s="3625">
        <v>4.9784850749232008E-3</v>
      </c>
      <c r="Q43" s="3625">
        <v>9.3450088636224723E-3</v>
      </c>
      <c r="R43" s="3625">
        <v>5.7902468028608505E-3</v>
      </c>
      <c r="S43" s="3625">
        <v>6.4092913246330072E-3</v>
      </c>
      <c r="T43" s="3625">
        <v>6.3385296500631794E-3</v>
      </c>
      <c r="U43" s="3625">
        <v>2.5401218621187256E-3</v>
      </c>
      <c r="V43" s="3625">
        <v>4.9062344458147096E-3</v>
      </c>
    </row>
    <row r="44" spans="1:22" s="3626" customFormat="1" ht="17.399999999999999" customHeight="1" x14ac:dyDescent="0.35">
      <c r="A44" s="3587" t="s">
        <v>52</v>
      </c>
      <c r="B44" s="3593" t="s">
        <v>1715</v>
      </c>
      <c r="C44" s="3625">
        <v>0</v>
      </c>
      <c r="D44" s="3627">
        <v>0</v>
      </c>
      <c r="E44" s="3625">
        <v>0</v>
      </c>
      <c r="F44" s="3625">
        <v>0</v>
      </c>
      <c r="G44" s="3625">
        <v>0</v>
      </c>
      <c r="H44" s="3625">
        <v>0</v>
      </c>
      <c r="I44" s="3625">
        <v>0</v>
      </c>
      <c r="J44" s="3625">
        <v>1.1009196077751478E-3</v>
      </c>
      <c r="K44" s="3627">
        <v>9.0474361601595239E-4</v>
      </c>
      <c r="L44" s="3625">
        <v>1.1431959443288053E-3</v>
      </c>
      <c r="M44" s="3625">
        <v>1.4657941027481013E-3</v>
      </c>
      <c r="N44" s="3625">
        <v>1.4782019590027801E-3</v>
      </c>
      <c r="O44" s="3625">
        <v>1.3443461541773763E-3</v>
      </c>
      <c r="P44" s="3625">
        <v>2.0386835464971465E-3</v>
      </c>
      <c r="Q44" s="3625">
        <v>1.8284592399218996E-3</v>
      </c>
      <c r="R44" s="3625">
        <v>2.6090742351558022E-3</v>
      </c>
      <c r="S44" s="3625">
        <v>2.9656974159362921E-3</v>
      </c>
      <c r="T44" s="3625">
        <v>2.2981151128908775E-3</v>
      </c>
      <c r="U44" s="3625">
        <v>1.595997714800762E-3</v>
      </c>
      <c r="V44" s="3625">
        <v>4.3541528627400183E-3</v>
      </c>
    </row>
    <row r="45" spans="1:22" s="3626" customFormat="1" ht="17.399999999999999" customHeight="1" x14ac:dyDescent="0.35">
      <c r="A45" s="3587" t="s">
        <v>72</v>
      </c>
      <c r="B45" s="3593" t="s">
        <v>1653</v>
      </c>
      <c r="C45" s="3625">
        <v>4.7272763371928391E-4</v>
      </c>
      <c r="D45" s="3627">
        <v>5.3965375814877172E-3</v>
      </c>
      <c r="E45" s="3625">
        <v>5.8712496868822033E-3</v>
      </c>
      <c r="F45" s="3625">
        <v>2.008235072197893E-2</v>
      </c>
      <c r="G45" s="3625">
        <v>2.4554664325843991E-2</v>
      </c>
      <c r="H45" s="3625">
        <v>7.4764274507332681E-2</v>
      </c>
      <c r="I45" s="3625">
        <v>8.2300498658484031E-2</v>
      </c>
      <c r="J45" s="3625">
        <v>8.5520420621551935E-2</v>
      </c>
      <c r="K45" s="3627">
        <v>8.8660350651483255E-2</v>
      </c>
      <c r="L45" s="3625">
        <v>9.3055333947389435E-2</v>
      </c>
      <c r="M45" s="3625">
        <v>0.10099587851038046</v>
      </c>
      <c r="N45" s="3625">
        <v>9.7301216503114324E-2</v>
      </c>
      <c r="O45" s="3625">
        <v>9.60690792679251E-2</v>
      </c>
      <c r="P45" s="3625">
        <v>0.11522217048051203</v>
      </c>
      <c r="Q45" s="3625">
        <v>0.11779505116809237</v>
      </c>
      <c r="R45" s="3625">
        <v>6.6770015948590306E-2</v>
      </c>
      <c r="S45" s="3625">
        <v>0.10327049546773986</v>
      </c>
      <c r="T45" s="3625">
        <v>0.10577882282672346</v>
      </c>
      <c r="U45" s="3625">
        <v>0.1067454074095992</v>
      </c>
      <c r="V45" s="3625">
        <v>0.10927954485651542</v>
      </c>
    </row>
    <row r="46" spans="1:22" s="3626" customFormat="1" ht="17.399999999999999" customHeight="1" x14ac:dyDescent="0.35">
      <c r="A46" s="3587" t="s">
        <v>52</v>
      </c>
      <c r="B46" s="3593" t="s">
        <v>1654</v>
      </c>
      <c r="C46" s="3625">
        <v>0</v>
      </c>
      <c r="D46" s="3627">
        <v>0</v>
      </c>
      <c r="E46" s="3625">
        <v>0</v>
      </c>
      <c r="F46" s="3625">
        <v>0</v>
      </c>
      <c r="G46" s="3625">
        <v>8.3216614923297782E-4</v>
      </c>
      <c r="H46" s="3625">
        <v>5.5656928850666023E-5</v>
      </c>
      <c r="I46" s="3625">
        <v>1.1689380979957526E-2</v>
      </c>
      <c r="J46" s="3625">
        <v>8.5311004086131795E-3</v>
      </c>
      <c r="K46" s="3627">
        <v>2.3661307417857198E-3</v>
      </c>
      <c r="L46" s="3625">
        <v>9.5281438341758475E-3</v>
      </c>
      <c r="M46" s="3625">
        <v>7.0622133445273896E-3</v>
      </c>
      <c r="N46" s="3625">
        <v>6.6913335765282191E-3</v>
      </c>
      <c r="O46" s="3625">
        <v>6.8808223083502212E-3</v>
      </c>
      <c r="P46" s="3625">
        <v>7.3059595620485378E-3</v>
      </c>
      <c r="Q46" s="3625">
        <v>6.9623484823968097E-4</v>
      </c>
      <c r="R46" s="3625">
        <v>1.100569669613213E-3</v>
      </c>
      <c r="S46" s="3625">
        <v>9.2663676084677284E-4</v>
      </c>
      <c r="T46" s="3625">
        <v>9.1167688449896218E-4</v>
      </c>
      <c r="U46" s="3625">
        <v>1.4776407821572369E-3</v>
      </c>
      <c r="V46" s="3625">
        <v>3.5461844097414545E-4</v>
      </c>
    </row>
    <row r="47" spans="1:22" s="3626" customFormat="1" ht="17.399999999999999" customHeight="1" x14ac:dyDescent="0.35">
      <c r="A47" s="3587" t="s">
        <v>52</v>
      </c>
      <c r="B47" s="3593" t="s">
        <v>1655</v>
      </c>
      <c r="C47" s="3625">
        <v>0</v>
      </c>
      <c r="D47" s="3627">
        <v>0</v>
      </c>
      <c r="E47" s="3625">
        <v>0</v>
      </c>
      <c r="F47" s="3625">
        <v>0</v>
      </c>
      <c r="G47" s="3625">
        <v>0</v>
      </c>
      <c r="H47" s="3625">
        <v>0</v>
      </c>
      <c r="I47" s="3625">
        <v>1.1157144348774834E-2</v>
      </c>
      <c r="J47" s="3625">
        <v>0.48994161886738047</v>
      </c>
      <c r="K47" s="3627">
        <v>4.5237180800797626E-3</v>
      </c>
      <c r="L47" s="3625">
        <v>4.2591074912424485E-3</v>
      </c>
      <c r="M47" s="3625">
        <v>3.856071519448407E-2</v>
      </c>
      <c r="N47" s="3625">
        <v>2.8843121891356343</v>
      </c>
      <c r="O47" s="3625">
        <v>2.343480389344677</v>
      </c>
      <c r="P47" s="3625">
        <v>2.1484969205710041</v>
      </c>
      <c r="Q47" s="3625">
        <v>5.6674145909968617E-3</v>
      </c>
      <c r="R47" s="3625">
        <v>5.4164938827756127E-3</v>
      </c>
      <c r="S47" s="3625">
        <v>1.0076509440873972E-2</v>
      </c>
      <c r="T47" s="3625">
        <v>7.1174696326615329E-3</v>
      </c>
      <c r="U47" s="3625">
        <v>1.4451786620659202E-2</v>
      </c>
      <c r="V47" s="3625">
        <v>1.4725519439023518E-2</v>
      </c>
    </row>
    <row r="48" spans="1:22" ht="17.399999999999999" customHeight="1" x14ac:dyDescent="0.25">
      <c r="A48" s="3587" t="s">
        <v>48</v>
      </c>
      <c r="B48" s="3590" t="s">
        <v>48</v>
      </c>
      <c r="C48" s="3585" t="s">
        <v>48</v>
      </c>
      <c r="D48" s="3596" t="s">
        <v>48</v>
      </c>
      <c r="E48" s="3585" t="s">
        <v>48</v>
      </c>
      <c r="F48" s="3585" t="s">
        <v>48</v>
      </c>
      <c r="G48" s="3585" t="s">
        <v>48</v>
      </c>
      <c r="H48" s="3585" t="s">
        <v>48</v>
      </c>
      <c r="I48" s="3585" t="s">
        <v>48</v>
      </c>
      <c r="J48" s="3585" t="s">
        <v>48</v>
      </c>
      <c r="K48" s="3596" t="s">
        <v>48</v>
      </c>
      <c r="L48" s="3585">
        <v>0</v>
      </c>
      <c r="M48" s="3585"/>
      <c r="N48" s="3585"/>
      <c r="O48" s="3585"/>
      <c r="P48" s="3585"/>
      <c r="Q48" s="3599">
        <v>0</v>
      </c>
      <c r="R48" s="3585"/>
      <c r="S48" s="3585"/>
      <c r="T48" s="3585"/>
      <c r="U48" s="3585"/>
      <c r="V48" s="3585"/>
    </row>
    <row r="49" spans="1:22" ht="17.399999999999999" customHeight="1" x14ac:dyDescent="0.25">
      <c r="A49" s="3588" t="s">
        <v>48</v>
      </c>
      <c r="B49" s="3591" t="s">
        <v>1657</v>
      </c>
      <c r="C49" s="3629">
        <v>7.3536205973102744</v>
      </c>
      <c r="D49" s="3630">
        <v>7.3485126203897142</v>
      </c>
      <c r="E49" s="3629">
        <v>7.29515112065907</v>
      </c>
      <c r="F49" s="3629">
        <v>8.9183908598650738</v>
      </c>
      <c r="G49" s="3629">
        <v>8.5994159622837394</v>
      </c>
      <c r="H49" s="3629">
        <v>9.0043945975061117</v>
      </c>
      <c r="I49" s="3629">
        <v>10.894840832682853</v>
      </c>
      <c r="J49" s="3629">
        <v>11.52389250407427</v>
      </c>
      <c r="K49" s="3630">
        <v>10.498719992491756</v>
      </c>
      <c r="L49" s="3629">
        <v>13.464451157883293</v>
      </c>
      <c r="M49" s="3629">
        <v>13.866468720712041</v>
      </c>
      <c r="N49" s="3629">
        <v>12.433956360553523</v>
      </c>
      <c r="O49" s="3629">
        <v>12.653525019594056</v>
      </c>
      <c r="P49" s="3629">
        <v>13.098035133073932</v>
      </c>
      <c r="Q49" s="3629">
        <v>15.474224606345757</v>
      </c>
      <c r="R49" s="3629">
        <v>14.753015784593439</v>
      </c>
      <c r="S49" s="3629">
        <v>16.542654778317093</v>
      </c>
      <c r="T49" s="3629">
        <v>15.243253667334443</v>
      </c>
      <c r="U49" s="3629">
        <v>14.65570576444529</v>
      </c>
      <c r="V49" s="3629">
        <v>15.246820163751927</v>
      </c>
    </row>
    <row r="50" spans="1:22" s="3626" customFormat="1" ht="17.399999999999999" customHeight="1" x14ac:dyDescent="0.35">
      <c r="A50" s="3587" t="s">
        <v>77</v>
      </c>
      <c r="B50" s="3593" t="s">
        <v>1716</v>
      </c>
      <c r="C50" s="3625">
        <v>0.77810968510194134</v>
      </c>
      <c r="D50" s="3627">
        <v>0.82590488203638113</v>
      </c>
      <c r="E50" s="3625">
        <v>0.62530438774645514</v>
      </c>
      <c r="F50" s="3625">
        <v>0.26489266481240381</v>
      </c>
      <c r="G50" s="3625">
        <v>0.1929989239469295</v>
      </c>
      <c r="H50" s="3625">
        <v>0.1332192289629458</v>
      </c>
      <c r="I50" s="3625">
        <v>0.21561310246900575</v>
      </c>
      <c r="J50" s="3625">
        <v>0.94001562183479914</v>
      </c>
      <c r="K50" s="3627">
        <v>1.3994515105681538</v>
      </c>
      <c r="L50" s="3625">
        <v>3.2148202072801908</v>
      </c>
      <c r="M50" s="3625">
        <v>4.38976547751132</v>
      </c>
      <c r="N50" s="3625">
        <v>5.5608107356640355</v>
      </c>
      <c r="O50" s="3625">
        <v>6.101105748081844</v>
      </c>
      <c r="P50" s="3625">
        <v>6.1693160159074258</v>
      </c>
      <c r="Q50" s="3625">
        <v>5.7704996133945867</v>
      </c>
      <c r="R50" s="3625">
        <v>6.4055625444617226</v>
      </c>
      <c r="S50" s="3625">
        <v>5.9053993672691067</v>
      </c>
      <c r="T50" s="3625">
        <v>4.732334021000959</v>
      </c>
      <c r="U50" s="3625">
        <v>0</v>
      </c>
      <c r="V50" s="3625">
        <v>0</v>
      </c>
    </row>
    <row r="51" spans="1:22" s="3626" customFormat="1" ht="17.399999999999999" customHeight="1" x14ac:dyDescent="0.35">
      <c r="A51" s="3587" t="s">
        <v>77</v>
      </c>
      <c r="B51" s="3593" t="s">
        <v>1717</v>
      </c>
      <c r="C51" s="3625">
        <v>6.9963689790454031E-2</v>
      </c>
      <c r="D51" s="3627">
        <v>0.39183555482976035</v>
      </c>
      <c r="E51" s="3625">
        <v>0.84972487538144503</v>
      </c>
      <c r="F51" s="3625">
        <v>0.74971381598414011</v>
      </c>
      <c r="G51" s="3625">
        <v>0.739067273141365</v>
      </c>
      <c r="H51" s="3625">
        <v>0.73801179650906867</v>
      </c>
      <c r="I51" s="3625">
        <v>0.45261502470293691</v>
      </c>
      <c r="J51" s="3625">
        <v>1.8440462742106503</v>
      </c>
      <c r="K51" s="3627">
        <v>0.6201911719772496</v>
      </c>
      <c r="L51" s="3625">
        <v>0.73838536491612328</v>
      </c>
      <c r="M51" s="3625">
        <v>0.81324179847318068</v>
      </c>
      <c r="N51" s="3625">
        <v>1.3525809650442966</v>
      </c>
      <c r="O51" s="3625">
        <v>0.93071518612241855</v>
      </c>
      <c r="P51" s="3625">
        <v>0.71546666257255409</v>
      </c>
      <c r="Q51" s="3625">
        <v>0.61521949914248519</v>
      </c>
      <c r="R51" s="3625">
        <v>0.61116109046430644</v>
      </c>
      <c r="S51" s="3625">
        <v>0.50021499945650127</v>
      </c>
      <c r="T51" s="3625">
        <v>0.38369267029318388</v>
      </c>
      <c r="U51" s="3625">
        <v>0</v>
      </c>
      <c r="V51" s="3625">
        <v>0</v>
      </c>
    </row>
    <row r="52" spans="1:22" s="3626" customFormat="1" ht="17.399999999999999" customHeight="1" x14ac:dyDescent="0.35">
      <c r="A52" s="3587" t="s">
        <v>77</v>
      </c>
      <c r="B52" s="3593" t="s">
        <v>1718</v>
      </c>
      <c r="C52" s="3625">
        <v>0.25290928403981688</v>
      </c>
      <c r="D52" s="3627">
        <v>0.29798272732562614</v>
      </c>
      <c r="E52" s="3625">
        <v>0.28448323225099337</v>
      </c>
      <c r="F52" s="3625">
        <v>0.28206463042963664</v>
      </c>
      <c r="G52" s="3625">
        <v>0.36995064171305436</v>
      </c>
      <c r="H52" s="3625">
        <v>0.34025380479505141</v>
      </c>
      <c r="I52" s="3625">
        <v>0.47193395868415983</v>
      </c>
      <c r="J52" s="3625">
        <v>0</v>
      </c>
      <c r="K52" s="3627">
        <v>0.39435283968074236</v>
      </c>
      <c r="L52" s="3625">
        <v>0.47884090266244078</v>
      </c>
      <c r="M52" s="3625">
        <v>0.33276189136314288</v>
      </c>
      <c r="N52" s="3625">
        <v>0.66389361396909441</v>
      </c>
      <c r="O52" s="3625">
        <v>1.1395695113601694</v>
      </c>
      <c r="P52" s="3625">
        <v>0.32837379530467842</v>
      </c>
      <c r="Q52" s="3625">
        <v>0.40716513809716326</v>
      </c>
      <c r="R52" s="3625">
        <v>0.43920842837974994</v>
      </c>
      <c r="S52" s="3625">
        <v>0.44311373881225946</v>
      </c>
      <c r="T52" s="3625">
        <v>0.17005694568219931</v>
      </c>
      <c r="U52" s="3625">
        <v>0</v>
      </c>
      <c r="V52" s="3625">
        <v>0</v>
      </c>
    </row>
    <row r="53" spans="1:22" s="3626" customFormat="1" ht="30" x14ac:dyDescent="0.35">
      <c r="A53" s="3587" t="s">
        <v>77</v>
      </c>
      <c r="B53" s="3639" t="s">
        <v>1719</v>
      </c>
      <c r="C53" s="3625">
        <v>0.64432776475938391</v>
      </c>
      <c r="D53" s="3627">
        <v>0</v>
      </c>
      <c r="E53" s="3625">
        <v>0.24211338914978159</v>
      </c>
      <c r="F53" s="3625">
        <v>0.59640933838324062</v>
      </c>
      <c r="G53" s="3625">
        <v>0.94097014436814852</v>
      </c>
      <c r="H53" s="3625">
        <v>1.0294231964280209</v>
      </c>
      <c r="I53" s="3625">
        <v>1.344419334941098</v>
      </c>
      <c r="J53" s="3625">
        <v>0.16184408824876675</v>
      </c>
      <c r="K53" s="3627">
        <v>0.14740148900873107</v>
      </c>
      <c r="L53" s="3625">
        <v>6.7039240359440394E-2</v>
      </c>
      <c r="M53" s="3625">
        <v>4.2264201964410761E-2</v>
      </c>
      <c r="N53" s="3625">
        <v>8.618957359470486E-2</v>
      </c>
      <c r="O53" s="3625">
        <v>8.5893810342294152E-2</v>
      </c>
      <c r="P53" s="3625">
        <v>0.11825226253759473</v>
      </c>
      <c r="Q53" s="3625">
        <v>0</v>
      </c>
      <c r="R53" s="3625">
        <v>0</v>
      </c>
      <c r="S53" s="3625">
        <v>0</v>
      </c>
      <c r="T53" s="3625">
        <v>0</v>
      </c>
      <c r="U53" s="3625">
        <v>5.478744928297159</v>
      </c>
      <c r="V53" s="3625">
        <v>5.4692020308530065</v>
      </c>
    </row>
    <row r="54" spans="1:22" s="3626" customFormat="1" ht="17.399999999999999" customHeight="1" x14ac:dyDescent="0.35">
      <c r="A54" s="3587" t="s">
        <v>80</v>
      </c>
      <c r="B54" s="3593" t="s">
        <v>1720</v>
      </c>
      <c r="C54" s="3625">
        <v>5.6083101736186789</v>
      </c>
      <c r="D54" s="3627">
        <v>5.832789456197947</v>
      </c>
      <c r="E54" s="3625">
        <v>5.2935252361303951</v>
      </c>
      <c r="F54" s="3625">
        <v>7.025310410255651</v>
      </c>
      <c r="G54" s="3625">
        <v>6.3564289791142432</v>
      </c>
      <c r="H54" s="3625">
        <v>6.7634865708110228</v>
      </c>
      <c r="I54" s="3625">
        <v>8.4102594118856526</v>
      </c>
      <c r="J54" s="3625">
        <v>8.5779865197800547</v>
      </c>
      <c r="K54" s="3627">
        <v>7.9373229812568793</v>
      </c>
      <c r="L54" s="3625">
        <v>8.9653654426650977</v>
      </c>
      <c r="M54" s="3625">
        <v>8.288435351399988</v>
      </c>
      <c r="N54" s="3625">
        <v>4.7704814722813929</v>
      </c>
      <c r="O54" s="3625">
        <v>4.3962407636873282</v>
      </c>
      <c r="P54" s="3625">
        <v>5.7666263967516782</v>
      </c>
      <c r="Q54" s="3625">
        <v>8.6813403557115194</v>
      </c>
      <c r="R54" s="3625">
        <v>7.2970837212876587</v>
      </c>
      <c r="S54" s="3625">
        <v>9.6939266727792255</v>
      </c>
      <c r="T54" s="3625">
        <v>9.9571700303580997</v>
      </c>
      <c r="U54" s="3625">
        <v>9.1769608361481314</v>
      </c>
      <c r="V54" s="3625">
        <v>9.7776181328989225</v>
      </c>
    </row>
    <row r="55" spans="1:22" ht="17.399999999999999" customHeight="1" x14ac:dyDescent="0.25">
      <c r="A55" s="3587" t="s">
        <v>48</v>
      </c>
      <c r="B55" s="3590" t="s">
        <v>48</v>
      </c>
      <c r="C55" s="3585" t="s">
        <v>48</v>
      </c>
      <c r="D55" s="3596" t="s">
        <v>48</v>
      </c>
      <c r="E55" s="3585" t="s">
        <v>48</v>
      </c>
      <c r="F55" s="3585" t="s">
        <v>48</v>
      </c>
      <c r="G55" s="3585" t="s">
        <v>48</v>
      </c>
      <c r="H55" s="3585" t="s">
        <v>48</v>
      </c>
      <c r="I55" s="3585" t="s">
        <v>48</v>
      </c>
      <c r="J55" s="3585" t="s">
        <v>48</v>
      </c>
      <c r="K55" s="3596" t="s">
        <v>48</v>
      </c>
      <c r="L55" s="3585">
        <v>0</v>
      </c>
      <c r="M55" s="3585"/>
      <c r="N55" s="3585"/>
      <c r="O55" s="3585"/>
      <c r="P55" s="3585"/>
      <c r="Q55" s="3599">
        <v>0</v>
      </c>
      <c r="R55" s="3585">
        <v>0</v>
      </c>
      <c r="S55" s="3585">
        <v>0</v>
      </c>
      <c r="T55" s="3585">
        <v>0</v>
      </c>
      <c r="U55" s="3585" t="e">
        <v>#REF!</v>
      </c>
      <c r="V55" s="3585">
        <v>0</v>
      </c>
    </row>
    <row r="56" spans="1:22" ht="30" x14ac:dyDescent="0.25">
      <c r="A56" s="3588" t="s">
        <v>48</v>
      </c>
      <c r="B56" s="3600" t="s">
        <v>1721</v>
      </c>
      <c r="C56" s="3629">
        <v>0</v>
      </c>
      <c r="D56" s="3629">
        <v>0</v>
      </c>
      <c r="E56" s="3629">
        <v>0</v>
      </c>
      <c r="F56" s="3629">
        <v>0</v>
      </c>
      <c r="G56" s="3629">
        <v>0</v>
      </c>
      <c r="H56" s="3629">
        <v>0</v>
      </c>
      <c r="I56" s="3629">
        <v>0</v>
      </c>
      <c r="J56" s="3629">
        <v>31.951649873802584</v>
      </c>
      <c r="K56" s="3629">
        <v>33.956587053752173</v>
      </c>
      <c r="L56" s="3629">
        <v>34.483676544744981</v>
      </c>
      <c r="M56" s="3629">
        <v>31.998984831499339</v>
      </c>
      <c r="N56" s="3629">
        <v>34.89916277513742</v>
      </c>
      <c r="O56" s="3629">
        <v>40.978910047572718</v>
      </c>
      <c r="P56" s="3629">
        <v>44.34644748091884</v>
      </c>
      <c r="Q56" s="3629">
        <v>36.36882372538232</v>
      </c>
      <c r="R56" s="3629">
        <v>35.202040944419302</v>
      </c>
      <c r="S56" s="3629">
        <v>40.472517197848532</v>
      </c>
      <c r="T56" s="3629">
        <v>40.864353060096946</v>
      </c>
      <c r="U56" s="3629">
        <v>45.893224593660165</v>
      </c>
      <c r="V56" s="3629">
        <v>49.156368478904277</v>
      </c>
    </row>
    <row r="57" spans="1:22" s="3626" customFormat="1" ht="17.399999999999999" customHeight="1" x14ac:dyDescent="0.35">
      <c r="A57" s="3587" t="s">
        <v>52</v>
      </c>
      <c r="B57" s="3593" t="s">
        <v>1722</v>
      </c>
      <c r="C57" s="3625">
        <v>0</v>
      </c>
      <c r="D57" s="3627">
        <v>0</v>
      </c>
      <c r="E57" s="3625">
        <v>0</v>
      </c>
      <c r="F57" s="3625">
        <v>0</v>
      </c>
      <c r="G57" s="3625">
        <v>0</v>
      </c>
      <c r="H57" s="3625">
        <v>0</v>
      </c>
      <c r="I57" s="3625">
        <v>0</v>
      </c>
      <c r="J57" s="3625">
        <v>21.786530182443322</v>
      </c>
      <c r="K57" s="3627">
        <v>15.59606092724459</v>
      </c>
      <c r="L57" s="3625">
        <v>16.02085190309035</v>
      </c>
      <c r="M57" s="3625">
        <v>20.036275268872519</v>
      </c>
      <c r="N57" s="3625">
        <v>21.297012214728074</v>
      </c>
      <c r="O57" s="3625">
        <v>24.48630316847423</v>
      </c>
      <c r="P57" s="3625">
        <v>28.102211092902717</v>
      </c>
      <c r="Q57" s="3625">
        <v>16.80783553036105</v>
      </c>
      <c r="R57" s="3625">
        <v>16.700397398561034</v>
      </c>
      <c r="S57" s="3625">
        <v>17.651877734171872</v>
      </c>
      <c r="T57" s="3625">
        <v>16.764525568588478</v>
      </c>
      <c r="U57" s="3625">
        <v>18.475002952095032</v>
      </c>
      <c r="V57" s="3625">
        <v>18.325490587665705</v>
      </c>
    </row>
    <row r="58" spans="1:22" s="3626" customFormat="1" ht="17.399999999999999" customHeight="1" x14ac:dyDescent="0.35">
      <c r="A58" s="3587" t="s">
        <v>52</v>
      </c>
      <c r="B58" s="3593" t="s">
        <v>1723</v>
      </c>
      <c r="C58" s="3625">
        <v>0</v>
      </c>
      <c r="D58" s="3627">
        <v>0</v>
      </c>
      <c r="E58" s="3625">
        <v>0</v>
      </c>
      <c r="F58" s="3625">
        <v>0</v>
      </c>
      <c r="G58" s="3625">
        <v>0</v>
      </c>
      <c r="H58" s="3625">
        <v>0</v>
      </c>
      <c r="I58" s="3625">
        <v>0</v>
      </c>
      <c r="J58" s="3625">
        <v>10.165119691359262</v>
      </c>
      <c r="K58" s="3627">
        <v>18.360526126507587</v>
      </c>
      <c r="L58" s="3625">
        <v>18.462824641654635</v>
      </c>
      <c r="M58" s="3625">
        <v>11.962709562626818</v>
      </c>
      <c r="N58" s="3625">
        <v>13.602150560409349</v>
      </c>
      <c r="O58" s="3625">
        <v>16.492606879098492</v>
      </c>
      <c r="P58" s="3625">
        <v>16.244236388016127</v>
      </c>
      <c r="Q58" s="3625">
        <v>19.56098819502127</v>
      </c>
      <c r="R58" s="3625">
        <v>18.501643545858268</v>
      </c>
      <c r="S58" s="3625">
        <v>22.820639463676656</v>
      </c>
      <c r="T58" s="3625">
        <v>24.099827491508474</v>
      </c>
      <c r="U58" s="3625">
        <v>27.418221641565129</v>
      </c>
      <c r="V58" s="3625">
        <v>30.830877891238565</v>
      </c>
    </row>
    <row r="59" spans="1:22" ht="38.4" x14ac:dyDescent="0.25">
      <c r="A59" s="3571" t="s">
        <v>1693</v>
      </c>
      <c r="B59" s="3571" t="s">
        <v>1724</v>
      </c>
      <c r="C59" s="3628">
        <v>409.89512537445933</v>
      </c>
      <c r="D59" s="3628">
        <v>412.64047586199132</v>
      </c>
      <c r="E59" s="3628">
        <v>413.5236367852184</v>
      </c>
      <c r="F59" s="3628">
        <v>401.36371630518408</v>
      </c>
      <c r="G59" s="3628">
        <v>392.92717309240317</v>
      </c>
      <c r="H59" s="3628">
        <v>387.21925978124528</v>
      </c>
      <c r="I59" s="3628">
        <v>329.65553932861189</v>
      </c>
      <c r="J59" s="3628">
        <v>352.41519302898615</v>
      </c>
      <c r="K59" s="3628">
        <v>342.26097305524434</v>
      </c>
      <c r="L59" s="3628">
        <v>343.20039541075118</v>
      </c>
      <c r="M59" s="3628">
        <v>345.42588417910594</v>
      </c>
      <c r="N59" s="3628">
        <v>353.87533412704272</v>
      </c>
      <c r="O59" s="3628">
        <v>364.04492368244098</v>
      </c>
      <c r="P59" s="3628">
        <v>367.93534048728998</v>
      </c>
      <c r="Q59" s="3628">
        <v>363.6541347923353</v>
      </c>
      <c r="R59" s="3628">
        <v>344.7476509805004</v>
      </c>
      <c r="S59" s="3628">
        <v>357.16481923201115</v>
      </c>
      <c r="T59" s="3628">
        <v>347.0920231415879</v>
      </c>
      <c r="U59" s="3628">
        <v>356.05957545210424</v>
      </c>
      <c r="V59" s="3628">
        <v>364.4631838115248</v>
      </c>
    </row>
    <row r="60" spans="1:22" ht="17.399999999999999" customHeight="1" x14ac:dyDescent="0.25">
      <c r="A60" s="3239" t="s">
        <v>432</v>
      </c>
      <c r="B60" s="3239" t="s">
        <v>432</v>
      </c>
      <c r="C60" s="3601" t="s">
        <v>432</v>
      </c>
      <c r="D60" s="3601" t="s">
        <v>432</v>
      </c>
      <c r="E60" s="3601" t="s">
        <v>432</v>
      </c>
      <c r="F60" s="3601" t="s">
        <v>432</v>
      </c>
      <c r="G60" s="3601" t="s">
        <v>432</v>
      </c>
      <c r="H60" s="3601" t="s">
        <v>432</v>
      </c>
      <c r="I60" s="3601" t="s">
        <v>432</v>
      </c>
      <c r="J60" s="3601" t="s">
        <v>432</v>
      </c>
      <c r="K60" s="3601" t="s">
        <v>432</v>
      </c>
      <c r="L60" s="3601"/>
      <c r="M60" s="3601"/>
      <c r="N60" s="3601"/>
      <c r="O60" s="3602"/>
      <c r="P60" s="3601"/>
      <c r="Q60" s="3603"/>
      <c r="R60" s="3551"/>
      <c r="S60" s="3551"/>
      <c r="T60" s="3551"/>
      <c r="U60" s="3551"/>
      <c r="V60" s="675"/>
    </row>
    <row r="61" spans="1:22" ht="45" x14ac:dyDescent="0.25">
      <c r="A61" s="3581" t="s">
        <v>1725</v>
      </c>
      <c r="B61" s="3574"/>
      <c r="C61" s="3572"/>
      <c r="D61" s="3572"/>
      <c r="E61" s="3572"/>
      <c r="F61" s="3572"/>
      <c r="G61" s="3572"/>
      <c r="H61" s="3576"/>
      <c r="I61" s="3572"/>
      <c r="J61" s="3572"/>
      <c r="K61" s="3572"/>
      <c r="L61" s="3572"/>
      <c r="M61" s="3572"/>
      <c r="N61" s="3572"/>
      <c r="O61" s="3572"/>
      <c r="P61" s="3572"/>
      <c r="Q61" s="3572"/>
      <c r="R61" s="3572"/>
      <c r="S61" s="3572"/>
      <c r="T61" s="3572"/>
      <c r="U61" s="3572"/>
      <c r="V61" s="3573"/>
    </row>
    <row r="62" spans="1:22" ht="45" x14ac:dyDescent="0.25">
      <c r="A62" s="3581" t="s">
        <v>1726</v>
      </c>
      <c r="B62" s="3574"/>
      <c r="C62" s="3572"/>
      <c r="D62" s="3572"/>
      <c r="E62" s="3572"/>
      <c r="F62" s="3572"/>
      <c r="G62" s="3572"/>
      <c r="H62" s="3576"/>
      <c r="I62" s="3572"/>
      <c r="J62" s="3572"/>
      <c r="K62" s="3572"/>
      <c r="L62" s="3572"/>
      <c r="M62" s="3572"/>
      <c r="N62" s="3572"/>
      <c r="O62" s="3572"/>
      <c r="P62" s="3572"/>
      <c r="Q62" s="3572"/>
      <c r="R62" s="3572"/>
      <c r="S62" s="3572"/>
      <c r="T62" s="3572"/>
      <c r="U62" s="3572"/>
      <c r="V62" s="3573"/>
    </row>
    <row r="63" spans="1:22" ht="17.399999999999999" customHeight="1" x14ac:dyDescent="0.25">
      <c r="A63" s="3571" t="s">
        <v>1692</v>
      </c>
      <c r="B63" s="3571" t="s">
        <v>1694</v>
      </c>
      <c r="C63" s="3559">
        <v>2005</v>
      </c>
      <c r="D63" s="3559">
        <v>2006</v>
      </c>
      <c r="E63" s="3571">
        <v>2007</v>
      </c>
      <c r="F63" s="3559">
        <v>2008</v>
      </c>
      <c r="G63" s="3559">
        <v>2009</v>
      </c>
      <c r="H63" s="3559" t="s">
        <v>442</v>
      </c>
      <c r="I63" s="3559" t="s">
        <v>443</v>
      </c>
      <c r="J63" s="3559" t="s">
        <v>444</v>
      </c>
      <c r="K63" s="3559" t="s">
        <v>445</v>
      </c>
      <c r="L63" s="3559" t="s">
        <v>446</v>
      </c>
      <c r="M63" s="3559" t="s">
        <v>447</v>
      </c>
      <c r="N63" s="3559" t="s">
        <v>448</v>
      </c>
      <c r="O63" s="3559" t="s">
        <v>449</v>
      </c>
      <c r="P63" s="3559" t="s">
        <v>450</v>
      </c>
      <c r="Q63" s="3559">
        <v>2019</v>
      </c>
      <c r="R63" s="3559" t="s">
        <v>1471</v>
      </c>
      <c r="S63" s="3559" t="s">
        <v>1620</v>
      </c>
      <c r="T63" s="3559" t="s">
        <v>1621</v>
      </c>
      <c r="U63" s="3559">
        <v>2023</v>
      </c>
      <c r="V63" s="3559" t="s">
        <v>1804</v>
      </c>
    </row>
    <row r="64" spans="1:22" ht="17.399999999999999" customHeight="1" x14ac:dyDescent="0.25">
      <c r="A64" s="3571" t="s">
        <v>1727</v>
      </c>
      <c r="B64" s="3571" t="s">
        <v>1728</v>
      </c>
      <c r="C64" s="3623">
        <v>3.856039308248199</v>
      </c>
      <c r="D64" s="3623">
        <v>4.0530343557660364</v>
      </c>
      <c r="E64" s="3623">
        <v>9.9986311281459592</v>
      </c>
      <c r="F64" s="3623">
        <v>10.219543363119897</v>
      </c>
      <c r="G64" s="3623">
        <v>10.905756376790078</v>
      </c>
      <c r="H64" s="3623">
        <v>6.2580742794612592</v>
      </c>
      <c r="I64" s="3623">
        <v>12.615500003909784</v>
      </c>
      <c r="J64" s="3623">
        <v>12.731503519475282</v>
      </c>
      <c r="K64" s="3623">
        <v>22.015618878561238</v>
      </c>
      <c r="L64" s="3623">
        <v>28.170741465906321</v>
      </c>
      <c r="M64" s="3623">
        <v>22.78915981424672</v>
      </c>
      <c r="N64" s="3623">
        <v>18.58972836859256</v>
      </c>
      <c r="O64" s="3623">
        <v>17.492543963390844</v>
      </c>
      <c r="P64" s="3623">
        <v>17.426655075386996</v>
      </c>
      <c r="Q64" s="3623">
        <v>16.900681393164543</v>
      </c>
      <c r="R64" s="3623">
        <v>15.124416740567389</v>
      </c>
      <c r="S64" s="3623">
        <v>16.421653010640675</v>
      </c>
      <c r="T64" s="3623">
        <v>16.438244473335558</v>
      </c>
      <c r="U64" s="3623">
        <v>14.674819463214082</v>
      </c>
      <c r="V64" s="3623">
        <v>13.551953811639686</v>
      </c>
    </row>
    <row r="65" spans="1:22" s="3626" customFormat="1" ht="30" x14ac:dyDescent="0.35">
      <c r="A65" s="3587" t="s">
        <v>87</v>
      </c>
      <c r="B65" s="3639" t="s">
        <v>1729</v>
      </c>
      <c r="C65" s="3625">
        <v>3.856039308248199</v>
      </c>
      <c r="D65" s="3627">
        <v>4.0530343557660364</v>
      </c>
      <c r="E65" s="3625">
        <v>9.9986311281459592</v>
      </c>
      <c r="F65" s="3625">
        <v>10.219543363119897</v>
      </c>
      <c r="G65" s="3625">
        <v>9.5719853686288587</v>
      </c>
      <c r="H65" s="3625">
        <v>3.2511006042686565</v>
      </c>
      <c r="I65" s="3625">
        <v>2.967278785556613</v>
      </c>
      <c r="J65" s="3625">
        <v>7.2478743537287089</v>
      </c>
      <c r="K65" s="3627">
        <v>7.0316266702132619</v>
      </c>
      <c r="L65" s="3625">
        <v>11.775465346929598</v>
      </c>
      <c r="M65" s="3625">
        <v>11.476846711007433</v>
      </c>
      <c r="N65" s="3625">
        <v>5.7932465837538265</v>
      </c>
      <c r="O65" s="3625">
        <v>6.1886317991802482</v>
      </c>
      <c r="P65" s="3625">
        <v>5.981217307963048</v>
      </c>
      <c r="Q65" s="3625">
        <v>6.7208690260443076</v>
      </c>
      <c r="R65" s="3625">
        <v>4.0441259263990101</v>
      </c>
      <c r="S65" s="3625">
        <v>4.6058367709060439</v>
      </c>
      <c r="T65" s="3625">
        <v>4.8289569191184993</v>
      </c>
      <c r="U65" s="3625">
        <v>3.7301314080605628</v>
      </c>
      <c r="V65" s="3625">
        <v>3.146637302327393</v>
      </c>
    </row>
    <row r="66" spans="1:22" s="3626" customFormat="1" ht="17.399999999999999" customHeight="1" x14ac:dyDescent="0.35">
      <c r="A66" s="3587" t="s">
        <v>13</v>
      </c>
      <c r="B66" s="3593" t="s">
        <v>1696</v>
      </c>
      <c r="C66" s="3625">
        <v>0</v>
      </c>
      <c r="D66" s="3627">
        <v>0</v>
      </c>
      <c r="E66" s="3625">
        <v>0</v>
      </c>
      <c r="F66" s="3625">
        <v>0</v>
      </c>
      <c r="G66" s="3625">
        <v>1.3337710081612217</v>
      </c>
      <c r="H66" s="3625">
        <v>3.0069736751926026</v>
      </c>
      <c r="I66" s="3625">
        <v>9.6482212183531715</v>
      </c>
      <c r="J66" s="3625">
        <v>5.4836291657465726</v>
      </c>
      <c r="K66" s="3627">
        <v>14.983992208347978</v>
      </c>
      <c r="L66" s="3625">
        <v>16.395276118976721</v>
      </c>
      <c r="M66" s="3625">
        <v>11.312313103239287</v>
      </c>
      <c r="N66" s="3625">
        <v>12.796481784838736</v>
      </c>
      <c r="O66" s="3625">
        <v>11.303912164210599</v>
      </c>
      <c r="P66" s="3625">
        <v>11.44543776742395</v>
      </c>
      <c r="Q66" s="3625">
        <v>10.179812367120233</v>
      </c>
      <c r="R66" s="3625">
        <v>11.080290814168382</v>
      </c>
      <c r="S66" s="3625">
        <v>11.815816239734632</v>
      </c>
      <c r="T66" s="3625">
        <v>11.60928755421706</v>
      </c>
      <c r="U66" s="3625">
        <v>10.944688055153517</v>
      </c>
      <c r="V66" s="3625">
        <v>10.405316509312293</v>
      </c>
    </row>
    <row r="67" spans="1:22" ht="17.399999999999999" customHeight="1" x14ac:dyDescent="0.25">
      <c r="A67" s="3571" t="s">
        <v>117</v>
      </c>
      <c r="B67" s="3571" t="s">
        <v>1730</v>
      </c>
      <c r="C67" s="3621">
        <v>10.711535452445254</v>
      </c>
      <c r="D67" s="3621">
        <v>10.086832636006825</v>
      </c>
      <c r="E67" s="3621">
        <v>9.1062570480604386</v>
      </c>
      <c r="F67" s="3621">
        <v>9.4528568469641385</v>
      </c>
      <c r="G67" s="3621">
        <v>10.271834794964404</v>
      </c>
      <c r="H67" s="3621">
        <v>5.5005213812301843</v>
      </c>
      <c r="I67" s="3621">
        <v>8.7544711142839127</v>
      </c>
      <c r="J67" s="3621">
        <v>17.924032571343059</v>
      </c>
      <c r="K67" s="3621">
        <v>19.149640427744686</v>
      </c>
      <c r="L67" s="3621">
        <v>26.547050984495385</v>
      </c>
      <c r="M67" s="3621">
        <v>24.834097544998031</v>
      </c>
      <c r="N67" s="3621">
        <v>27.673115822079343</v>
      </c>
      <c r="O67" s="3621">
        <v>28.081072694902506</v>
      </c>
      <c r="P67" s="3621">
        <v>30.267482236353864</v>
      </c>
      <c r="Q67" s="3621">
        <v>28.277947080712899</v>
      </c>
      <c r="R67" s="3621">
        <v>34.531210785253826</v>
      </c>
      <c r="S67" s="3621">
        <v>36.819531846241745</v>
      </c>
      <c r="T67" s="3621">
        <v>38.291531402062809</v>
      </c>
      <c r="U67" s="3621">
        <v>46.329140635439032</v>
      </c>
      <c r="V67" s="3621">
        <v>49.576899819925387</v>
      </c>
    </row>
    <row r="68" spans="1:22" ht="17.399999999999999" customHeight="1" x14ac:dyDescent="0.25">
      <c r="A68" s="3587" t="s">
        <v>48</v>
      </c>
      <c r="B68" s="3589" t="s">
        <v>1698</v>
      </c>
      <c r="C68" s="3624">
        <v>10.711535452445254</v>
      </c>
      <c r="D68" s="3621">
        <v>10.086832636006825</v>
      </c>
      <c r="E68" s="3621">
        <v>9.1062570480604386</v>
      </c>
      <c r="F68" s="3621">
        <v>9.4528568469641385</v>
      </c>
      <c r="G68" s="3621">
        <v>10.271834794964404</v>
      </c>
      <c r="H68" s="3621">
        <v>5.5005213812301843</v>
      </c>
      <c r="I68" s="3621">
        <v>5.2988818476996435</v>
      </c>
      <c r="J68" s="3621">
        <v>3.4801145540385905</v>
      </c>
      <c r="K68" s="3621">
        <v>3.5684332238141185</v>
      </c>
      <c r="L68" s="3621">
        <v>4.2806088221002181</v>
      </c>
      <c r="M68" s="3621">
        <v>4.1283947019468243</v>
      </c>
      <c r="N68" s="3621">
        <v>5.0097236911715717</v>
      </c>
      <c r="O68" s="3621">
        <v>4.6486739878167258</v>
      </c>
      <c r="P68" s="3621">
        <v>4.7529744986279567</v>
      </c>
      <c r="Q68" s="3621">
        <v>3.579944445043743</v>
      </c>
      <c r="R68" s="3621">
        <v>4.953363465944407</v>
      </c>
      <c r="S68" s="3621">
        <v>4.9247274784556332</v>
      </c>
      <c r="T68" s="3621">
        <v>6.3099057038908075</v>
      </c>
      <c r="U68" s="3621">
        <v>7.164873319388458</v>
      </c>
      <c r="V68" s="3621">
        <v>8.4086903891156144</v>
      </c>
    </row>
    <row r="69" spans="1:22" s="3626" customFormat="1" ht="17.399999999999999" customHeight="1" x14ac:dyDescent="0.35">
      <c r="A69" s="3587" t="s">
        <v>18</v>
      </c>
      <c r="B69" s="3593" t="s">
        <v>1699</v>
      </c>
      <c r="C69" s="3625">
        <v>10.711535452445254</v>
      </c>
      <c r="D69" s="3627">
        <v>10.086832636006825</v>
      </c>
      <c r="E69" s="3625">
        <v>9.1062570480604386</v>
      </c>
      <c r="F69" s="3625">
        <v>9.4528568469641385</v>
      </c>
      <c r="G69" s="3625">
        <v>10.271834794964404</v>
      </c>
      <c r="H69" s="3625">
        <v>5.5005213812301843</v>
      </c>
      <c r="I69" s="3625">
        <v>5.2988818476996435</v>
      </c>
      <c r="J69" s="3625">
        <v>3.4801145540385905</v>
      </c>
      <c r="K69" s="3627">
        <v>3.2938706786617575</v>
      </c>
      <c r="L69" s="3625">
        <v>3.7734504754099554</v>
      </c>
      <c r="M69" s="3625">
        <v>3.4935624278008475</v>
      </c>
      <c r="N69" s="3625">
        <v>4.36249237431658</v>
      </c>
      <c r="O69" s="3625">
        <v>3.9326337988468016</v>
      </c>
      <c r="P69" s="3625">
        <v>3.9552485828899338</v>
      </c>
      <c r="Q69" s="3625">
        <v>2.8119199900756193</v>
      </c>
      <c r="R69" s="3625">
        <v>4.4027830829803447</v>
      </c>
      <c r="S69" s="3625">
        <v>4.30688328619821</v>
      </c>
      <c r="T69" s="3625">
        <v>5.6687151996436977</v>
      </c>
      <c r="U69" s="3625">
        <v>6.5428570544145996</v>
      </c>
      <c r="V69" s="3625">
        <v>7.8168869573330149</v>
      </c>
    </row>
    <row r="70" spans="1:22" s="3626" customFormat="1" ht="17.399999999999999" customHeight="1" x14ac:dyDescent="0.35">
      <c r="A70" s="3587" t="s">
        <v>22</v>
      </c>
      <c r="B70" s="3593" t="s">
        <v>1731</v>
      </c>
      <c r="C70" s="3625"/>
      <c r="D70" s="3627"/>
      <c r="E70" s="3625"/>
      <c r="F70" s="3625"/>
      <c r="G70" s="3625"/>
      <c r="H70" s="3625"/>
      <c r="I70" s="3625">
        <v>0</v>
      </c>
      <c r="J70" s="3625">
        <v>0</v>
      </c>
      <c r="K70" s="3627">
        <v>0.27456254515236106</v>
      </c>
      <c r="L70" s="3625">
        <v>0.50715834669026205</v>
      </c>
      <c r="M70" s="3625">
        <v>0.63483227414597743</v>
      </c>
      <c r="N70" s="3625">
        <v>0.64723131685499169</v>
      </c>
      <c r="O70" s="3625">
        <v>0.71604018896992538</v>
      </c>
      <c r="P70" s="3625">
        <v>0.79772591573802332</v>
      </c>
      <c r="Q70" s="3625">
        <v>0.76802445496812333</v>
      </c>
      <c r="R70" s="3625">
        <v>0.55058038296406309</v>
      </c>
      <c r="S70" s="3625">
        <v>0.61784419225742271</v>
      </c>
      <c r="T70" s="3625">
        <v>0.64119050424711055</v>
      </c>
      <c r="U70" s="3625">
        <v>0.62201626497385909</v>
      </c>
      <c r="V70" s="3625">
        <v>0.59180343178259853</v>
      </c>
    </row>
    <row r="71" spans="1:22" ht="17.399999999999999" customHeight="1" x14ac:dyDescent="0.25">
      <c r="A71" s="3587" t="s">
        <v>48</v>
      </c>
      <c r="B71" s="3590"/>
      <c r="C71" s="3585" t="s">
        <v>48</v>
      </c>
      <c r="D71" s="3596" t="s">
        <v>48</v>
      </c>
      <c r="E71" s="3585" t="s">
        <v>48</v>
      </c>
      <c r="F71" s="3585" t="s">
        <v>48</v>
      </c>
      <c r="G71" s="3585" t="s">
        <v>48</v>
      </c>
      <c r="H71" s="3585" t="s">
        <v>48</v>
      </c>
      <c r="I71" s="3585" t="s">
        <v>48</v>
      </c>
      <c r="J71" s="3585" t="s">
        <v>48</v>
      </c>
      <c r="K71" s="3596" t="s">
        <v>48</v>
      </c>
      <c r="L71" s="3585">
        <v>0</v>
      </c>
      <c r="M71" s="3585"/>
      <c r="N71" s="3585"/>
      <c r="O71" s="3585"/>
      <c r="P71" s="3585"/>
      <c r="Q71" s="3599">
        <v>0</v>
      </c>
      <c r="R71" s="3585">
        <v>0</v>
      </c>
      <c r="S71" s="3585">
        <v>0</v>
      </c>
      <c r="T71" s="3585">
        <v>0</v>
      </c>
      <c r="U71" s="3585">
        <v>0</v>
      </c>
      <c r="V71" s="3585">
        <v>0</v>
      </c>
    </row>
    <row r="72" spans="1:22" ht="17.399999999999999" customHeight="1" x14ac:dyDescent="0.25">
      <c r="A72" s="3588" t="s">
        <v>34</v>
      </c>
      <c r="B72" s="3591" t="s">
        <v>1644</v>
      </c>
      <c r="C72" s="3629">
        <v>0</v>
      </c>
      <c r="D72" s="3630">
        <v>0</v>
      </c>
      <c r="E72" s="3629">
        <v>0</v>
      </c>
      <c r="F72" s="3629">
        <v>0</v>
      </c>
      <c r="G72" s="3629">
        <v>0</v>
      </c>
      <c r="H72" s="3629">
        <v>0</v>
      </c>
      <c r="I72" s="3629">
        <v>0.59479000548749728</v>
      </c>
      <c r="J72" s="3629">
        <v>0.61752166753961568</v>
      </c>
      <c r="K72" s="3630">
        <v>0.80437101997628679</v>
      </c>
      <c r="L72" s="3629">
        <v>1.3570719617968672</v>
      </c>
      <c r="M72" s="3629">
        <v>1.0258019737432138</v>
      </c>
      <c r="N72" s="3629">
        <v>1.0577502826172263</v>
      </c>
      <c r="O72" s="3629">
        <v>1.3358772812572348</v>
      </c>
      <c r="P72" s="3629">
        <v>1.4608667881966633</v>
      </c>
      <c r="Q72" s="3629">
        <v>1.7448961299860126</v>
      </c>
      <c r="R72" s="3629">
        <v>2.2906138958897739</v>
      </c>
      <c r="S72" s="3629">
        <v>2.0105425633425558</v>
      </c>
      <c r="T72" s="3629">
        <v>2.0357326241370322</v>
      </c>
      <c r="U72" s="3629">
        <v>7.2467705373240587</v>
      </c>
      <c r="V72" s="3629">
        <v>7.304448758291314</v>
      </c>
    </row>
    <row r="73" spans="1:22" ht="17.399999999999999" customHeight="1" x14ac:dyDescent="0.25">
      <c r="A73" s="3588" t="s">
        <v>36</v>
      </c>
      <c r="B73" s="3591" t="s">
        <v>1645</v>
      </c>
      <c r="C73" s="3629" t="s">
        <v>48</v>
      </c>
      <c r="D73" s="3630" t="s">
        <v>48</v>
      </c>
      <c r="E73" s="3629" t="s">
        <v>48</v>
      </c>
      <c r="F73" s="3629" t="s">
        <v>48</v>
      </c>
      <c r="G73" s="3629" t="s">
        <v>48</v>
      </c>
      <c r="H73" s="3629" t="s">
        <v>48</v>
      </c>
      <c r="I73" s="3629">
        <v>0</v>
      </c>
      <c r="J73" s="3629">
        <v>0</v>
      </c>
      <c r="K73" s="3630">
        <v>0.40203775404635272</v>
      </c>
      <c r="L73" s="3629">
        <v>0.55891900060726196</v>
      </c>
      <c r="M73" s="3629">
        <v>0.66698473500370214</v>
      </c>
      <c r="N73" s="3629">
        <v>0.87563149368725235</v>
      </c>
      <c r="O73" s="3629">
        <v>1.0899916360569821</v>
      </c>
      <c r="P73" s="3629">
        <v>1.2784272219755466</v>
      </c>
      <c r="Q73" s="3629">
        <v>0.7431456870296258</v>
      </c>
      <c r="R73" s="3629">
        <v>1.1579840640030514</v>
      </c>
      <c r="S73" s="3629">
        <v>1.2687864229191947</v>
      </c>
      <c r="T73" s="3629">
        <v>1.2856544049322791</v>
      </c>
      <c r="U73" s="3629">
        <v>1.3486232812638699</v>
      </c>
      <c r="V73" s="3629">
        <v>1.4403437172074181</v>
      </c>
    </row>
    <row r="74" spans="1:22" ht="17.399999999999999" customHeight="1" x14ac:dyDescent="0.25">
      <c r="A74" s="3588" t="s">
        <v>26</v>
      </c>
      <c r="B74" s="3591" t="s">
        <v>1732</v>
      </c>
      <c r="C74" s="3629">
        <v>0</v>
      </c>
      <c r="D74" s="3630">
        <v>0</v>
      </c>
      <c r="E74" s="3629">
        <v>0</v>
      </c>
      <c r="F74" s="3629">
        <v>0</v>
      </c>
      <c r="G74" s="3629">
        <v>0</v>
      </c>
      <c r="H74" s="3629">
        <v>0</v>
      </c>
      <c r="I74" s="3629">
        <v>1.7177899323515329</v>
      </c>
      <c r="J74" s="3629">
        <v>1.6382333388386916</v>
      </c>
      <c r="K74" s="3630">
        <v>1.5007907459203982</v>
      </c>
      <c r="L74" s="3629">
        <v>5.2681041041019858</v>
      </c>
      <c r="M74" s="3629">
        <v>6.0342315457949445</v>
      </c>
      <c r="N74" s="3629">
        <v>6.3489368530695192</v>
      </c>
      <c r="O74" s="3629">
        <v>4.9999350544576497</v>
      </c>
      <c r="P74" s="3629">
        <v>6.0697815875006533</v>
      </c>
      <c r="Q74" s="3629">
        <v>6.044951427169071</v>
      </c>
      <c r="R74" s="3629">
        <v>6.8769050588874485</v>
      </c>
      <c r="S74" s="3629">
        <v>7.0733941698327474</v>
      </c>
      <c r="T74" s="3629">
        <v>6.8328291371335137</v>
      </c>
      <c r="U74" s="3629">
        <v>7.1644712428541215</v>
      </c>
      <c r="V74" s="3629">
        <v>7.560668591922699</v>
      </c>
    </row>
    <row r="75" spans="1:22" ht="17.399999999999999" customHeight="1" x14ac:dyDescent="0.25">
      <c r="A75" s="3588" t="s">
        <v>92</v>
      </c>
      <c r="B75" s="3591" t="s">
        <v>1643</v>
      </c>
      <c r="C75" s="3629">
        <v>0</v>
      </c>
      <c r="D75" s="3630">
        <v>0</v>
      </c>
      <c r="E75" s="3629">
        <v>0</v>
      </c>
      <c r="F75" s="3629">
        <v>0</v>
      </c>
      <c r="G75" s="3629">
        <v>0</v>
      </c>
      <c r="H75" s="3629">
        <v>0</v>
      </c>
      <c r="I75" s="3629">
        <v>0.97304870717233827</v>
      </c>
      <c r="J75" s="3629">
        <v>0.94978768174526551</v>
      </c>
      <c r="K75" s="3630">
        <v>0.94605902275927811</v>
      </c>
      <c r="L75" s="3629">
        <v>1.1338869024738725</v>
      </c>
      <c r="M75" s="3629">
        <v>1.0973930461339165</v>
      </c>
      <c r="N75" s="3629">
        <v>1.0827694308559939</v>
      </c>
      <c r="O75" s="3629">
        <v>1.0988885499572678</v>
      </c>
      <c r="P75" s="3629">
        <v>1.0626513290259021</v>
      </c>
      <c r="Q75" s="3629">
        <v>1.1824482657504594</v>
      </c>
      <c r="R75" s="3629">
        <v>1.030363867132861</v>
      </c>
      <c r="S75" s="3629">
        <v>1.0802367138344737</v>
      </c>
      <c r="T75" s="3629">
        <v>1.0893767709246338</v>
      </c>
      <c r="U75" s="3629">
        <v>1.0489457951651193</v>
      </c>
      <c r="V75" s="3629">
        <v>1.0461426125913553</v>
      </c>
    </row>
    <row r="76" spans="1:22" ht="17.399999999999999" customHeight="1" x14ac:dyDescent="0.25">
      <c r="A76" s="3588"/>
      <c r="B76" s="3591" t="s">
        <v>1733</v>
      </c>
      <c r="C76" s="3629" t="s">
        <v>48</v>
      </c>
      <c r="D76" s="3630" t="s">
        <v>48</v>
      </c>
      <c r="E76" s="3629" t="s">
        <v>48</v>
      </c>
      <c r="F76" s="3629" t="s">
        <v>48</v>
      </c>
      <c r="G76" s="3629" t="s">
        <v>48</v>
      </c>
      <c r="H76" s="3629" t="s">
        <v>48</v>
      </c>
      <c r="I76" s="3629">
        <v>0</v>
      </c>
      <c r="J76" s="3629">
        <v>0</v>
      </c>
      <c r="K76" s="3630">
        <v>3.7405493874659532</v>
      </c>
      <c r="L76" s="3629">
        <v>4.2274411449003129</v>
      </c>
      <c r="M76" s="3629">
        <v>4.5228189289791016</v>
      </c>
      <c r="N76" s="3629">
        <v>5.097174332214788</v>
      </c>
      <c r="O76" s="3629">
        <v>5.1134426910129598</v>
      </c>
      <c r="P76" s="3629">
        <v>5.553217857568308</v>
      </c>
      <c r="Q76" s="3629">
        <v>4.7101684492795828</v>
      </c>
      <c r="R76" s="3629">
        <v>8.4371049170772263</v>
      </c>
      <c r="S76" s="3629">
        <v>8.7202506937543962</v>
      </c>
      <c r="T76" s="3629">
        <v>8.5468102015072667</v>
      </c>
      <c r="U76" s="3629">
        <v>8.5520119358414384</v>
      </c>
      <c r="V76" s="3629">
        <v>8.5672067479858534</v>
      </c>
    </row>
    <row r="77" spans="1:22" ht="17.399999999999999" customHeight="1" x14ac:dyDescent="0.25">
      <c r="A77" s="3588" t="s">
        <v>94</v>
      </c>
      <c r="B77" s="3591" t="s">
        <v>1734</v>
      </c>
      <c r="C77" s="3629" t="s">
        <v>48</v>
      </c>
      <c r="D77" s="3630" t="s">
        <v>48</v>
      </c>
      <c r="E77" s="3629" t="s">
        <v>48</v>
      </c>
      <c r="F77" s="3629" t="s">
        <v>48</v>
      </c>
      <c r="G77" s="3629" t="s">
        <v>48</v>
      </c>
      <c r="H77" s="3629" t="s">
        <v>48</v>
      </c>
      <c r="I77" s="3629">
        <v>0</v>
      </c>
      <c r="J77" s="3629">
        <v>0</v>
      </c>
      <c r="K77" s="3630">
        <v>3.9808719104701906E-2</v>
      </c>
      <c r="L77" s="3629">
        <v>2.828526047823848E-2</v>
      </c>
      <c r="M77" s="3629">
        <v>5.3442789037559321E-3</v>
      </c>
      <c r="N77" s="3629">
        <v>5.3019506193539324E-3</v>
      </c>
      <c r="O77" s="3629">
        <v>5.3030512487779189E-3</v>
      </c>
      <c r="P77" s="3629">
        <v>5.2794593833591441E-3</v>
      </c>
      <c r="Q77" s="3629">
        <v>2.1574740294063709E-2</v>
      </c>
      <c r="R77" s="3629">
        <v>0</v>
      </c>
      <c r="S77" s="3629">
        <v>0</v>
      </c>
      <c r="T77" s="3629">
        <v>0</v>
      </c>
      <c r="U77" s="3629">
        <v>0</v>
      </c>
      <c r="V77" s="3629">
        <v>0</v>
      </c>
    </row>
    <row r="78" spans="1:22" ht="17.399999999999999" customHeight="1" x14ac:dyDescent="0.25">
      <c r="A78" s="3587" t="s">
        <v>48</v>
      </c>
      <c r="B78" s="3590"/>
      <c r="C78" s="3585" t="s">
        <v>48</v>
      </c>
      <c r="D78" s="3596" t="s">
        <v>48</v>
      </c>
      <c r="E78" s="3585" t="s">
        <v>48</v>
      </c>
      <c r="F78" s="3585" t="s">
        <v>48</v>
      </c>
      <c r="G78" s="3585" t="s">
        <v>48</v>
      </c>
      <c r="H78" s="3585" t="s">
        <v>48</v>
      </c>
      <c r="I78" s="3585" t="s">
        <v>48</v>
      </c>
      <c r="J78" s="3585" t="s">
        <v>48</v>
      </c>
      <c r="K78" s="3596" t="s">
        <v>48</v>
      </c>
      <c r="L78" s="3585">
        <v>0</v>
      </c>
      <c r="M78" s="3585"/>
      <c r="N78" s="3585"/>
      <c r="O78" s="3585"/>
      <c r="P78" s="3585"/>
      <c r="Q78" s="3599">
        <v>0</v>
      </c>
      <c r="R78" s="3585"/>
      <c r="S78" s="3585"/>
      <c r="T78" s="3585"/>
      <c r="U78" s="3585"/>
      <c r="V78" s="3585"/>
    </row>
    <row r="79" spans="1:22" ht="45" x14ac:dyDescent="0.25">
      <c r="A79" s="3588" t="s">
        <v>48</v>
      </c>
      <c r="B79" s="3600" t="s">
        <v>1735</v>
      </c>
      <c r="C79" s="3629">
        <v>0</v>
      </c>
      <c r="D79" s="3629">
        <v>0</v>
      </c>
      <c r="E79" s="3629">
        <v>0</v>
      </c>
      <c r="F79" s="3629">
        <v>0</v>
      </c>
      <c r="G79" s="3629">
        <v>0</v>
      </c>
      <c r="H79" s="3629">
        <v>0</v>
      </c>
      <c r="I79" s="3629">
        <v>0</v>
      </c>
      <c r="J79" s="3629"/>
      <c r="K79" s="3629"/>
      <c r="L79" s="3629">
        <v>9.6927337880366267</v>
      </c>
      <c r="M79" s="3629">
        <v>7.3531283344925686</v>
      </c>
      <c r="N79" s="3629">
        <v>8.1958277878436352</v>
      </c>
      <c r="O79" s="3629">
        <v>9.7889604430949078</v>
      </c>
      <c r="P79" s="3629">
        <v>10.08428349407547</v>
      </c>
      <c r="Q79" s="3629">
        <v>10.250817936160344</v>
      </c>
      <c r="R79" s="3629">
        <v>9.7848755163190546</v>
      </c>
      <c r="S79" s="3629">
        <v>11.741593804102743</v>
      </c>
      <c r="T79" s="3629">
        <v>12.191222559537271</v>
      </c>
      <c r="U79" s="3629">
        <v>13.803444523601964</v>
      </c>
      <c r="V79" s="3629">
        <v>15.249399002811133</v>
      </c>
    </row>
    <row r="80" spans="1:22" s="3626" customFormat="1" ht="17.399999999999999" customHeight="1" x14ac:dyDescent="0.35">
      <c r="A80" s="3587" t="s">
        <v>52</v>
      </c>
      <c r="B80" s="3593" t="s">
        <v>1722</v>
      </c>
      <c r="C80" s="3625">
        <v>0</v>
      </c>
      <c r="D80" s="3627">
        <v>0</v>
      </c>
      <c r="E80" s="3625">
        <v>0</v>
      </c>
      <c r="F80" s="3625">
        <v>0</v>
      </c>
      <c r="G80" s="3625">
        <v>0</v>
      </c>
      <c r="H80" s="3625">
        <v>0</v>
      </c>
      <c r="I80" s="3625">
        <v>0</v>
      </c>
      <c r="J80" s="3625">
        <v>2.4207255758270358</v>
      </c>
      <c r="K80" s="3627">
        <v>1.7329459221169552</v>
      </c>
      <c r="L80" s="3625">
        <v>1.7800946558989277</v>
      </c>
      <c r="M80" s="3625">
        <v>2.2262528076525019</v>
      </c>
      <c r="N80" s="3625">
        <v>2.3663346905253415</v>
      </c>
      <c r="O80" s="3625">
        <v>2.7207003520526922</v>
      </c>
      <c r="P80" s="3625">
        <v>3.1224678992114132</v>
      </c>
      <c r="Q80" s="3625">
        <v>1.8675372811512281</v>
      </c>
      <c r="R80" s="3625">
        <v>1.8555997109512259</v>
      </c>
      <c r="S80" s="3625">
        <v>1.9613197482413189</v>
      </c>
      <c r="T80" s="3625">
        <v>1.8627250631764971</v>
      </c>
      <c r="U80" s="3625">
        <v>2.0527781057883367</v>
      </c>
      <c r="V80" s="3625">
        <v>2.0361656208517456</v>
      </c>
    </row>
    <row r="81" spans="1:22" s="3626" customFormat="1" ht="17.399999999999999" customHeight="1" x14ac:dyDescent="0.35">
      <c r="A81" s="3587" t="s">
        <v>52</v>
      </c>
      <c r="B81" s="3593" t="s">
        <v>1723</v>
      </c>
      <c r="C81" s="3625">
        <v>0</v>
      </c>
      <c r="D81" s="3627">
        <v>0</v>
      </c>
      <c r="E81" s="3625">
        <v>0</v>
      </c>
      <c r="F81" s="3625">
        <v>0</v>
      </c>
      <c r="G81" s="3625">
        <v>0</v>
      </c>
      <c r="H81" s="3625">
        <v>0</v>
      </c>
      <c r="I81" s="3625">
        <v>0</v>
      </c>
      <c r="J81" s="3625">
        <v>4.3564798677253984</v>
      </c>
      <c r="K81" s="3627">
        <v>6.4146446325406412</v>
      </c>
      <c r="L81" s="3625">
        <v>7.9126391321377012</v>
      </c>
      <c r="M81" s="3625">
        <v>5.1268755268400659</v>
      </c>
      <c r="N81" s="3625">
        <v>5.8294930973182941</v>
      </c>
      <c r="O81" s="3625">
        <v>7.0682600910422142</v>
      </c>
      <c r="P81" s="3625">
        <v>6.9618155948640563</v>
      </c>
      <c r="Q81" s="3625">
        <v>8.3832806550091146</v>
      </c>
      <c r="R81" s="3625">
        <v>7.9292758053678281</v>
      </c>
      <c r="S81" s="3625">
        <v>9.7802740558614243</v>
      </c>
      <c r="T81" s="3625">
        <v>10.328497496360775</v>
      </c>
      <c r="U81" s="3625">
        <v>11.750666417813628</v>
      </c>
      <c r="V81" s="3625">
        <v>13.213233381959386</v>
      </c>
    </row>
    <row r="82" spans="1:22" ht="38.4" x14ac:dyDescent="0.25">
      <c r="A82" s="3571" t="s">
        <v>1727</v>
      </c>
      <c r="B82" s="3571" t="s">
        <v>1736</v>
      </c>
      <c r="C82" s="3628">
        <v>14.567574760693454</v>
      </c>
      <c r="D82" s="3628">
        <v>14.139866991772861</v>
      </c>
      <c r="E82" s="3628">
        <v>19.104888176206401</v>
      </c>
      <c r="F82" s="3628">
        <v>19.672400210084035</v>
      </c>
      <c r="G82" s="3628">
        <v>21.177591171754482</v>
      </c>
      <c r="H82" s="3628">
        <v>11.758595660691443</v>
      </c>
      <c r="I82" s="3628">
        <v>21.369971118193696</v>
      </c>
      <c r="J82" s="3628">
        <v>30.655536090818341</v>
      </c>
      <c r="K82" s="3628">
        <v>41.165259306305927</v>
      </c>
      <c r="L82" s="3628">
        <v>54.717792450401703</v>
      </c>
      <c r="M82" s="3628">
        <v>47.623257359244747</v>
      </c>
      <c r="N82" s="3628">
        <v>46.262844190671906</v>
      </c>
      <c r="O82" s="3628">
        <v>45.573616658293346</v>
      </c>
      <c r="P82" s="3628">
        <v>47.69413731174086</v>
      </c>
      <c r="Q82" s="3628">
        <v>45.178628473877438</v>
      </c>
      <c r="R82" s="3628">
        <v>49.655627525821217</v>
      </c>
      <c r="S82" s="3628">
        <v>53.241184856882413</v>
      </c>
      <c r="T82" s="3628">
        <v>54.729775875398367</v>
      </c>
      <c r="U82" s="3628">
        <v>61.00396009865311</v>
      </c>
      <c r="V82" s="3628">
        <v>63.128853631565065</v>
      </c>
    </row>
    <row r="83" spans="1:22" ht="38.4" x14ac:dyDescent="0.25">
      <c r="A83" s="3571" t="s">
        <v>1737</v>
      </c>
      <c r="B83" s="3571" t="s">
        <v>1738</v>
      </c>
      <c r="C83" s="3628">
        <v>424.46270013515283</v>
      </c>
      <c r="D83" s="3628">
        <v>426.78034285376418</v>
      </c>
      <c r="E83" s="3628">
        <v>432.62852496142483</v>
      </c>
      <c r="F83" s="3628">
        <v>421.03611651526802</v>
      </c>
      <c r="G83" s="3628">
        <v>414.10476426415767</v>
      </c>
      <c r="H83" s="3628">
        <v>398.97785544193675</v>
      </c>
      <c r="I83" s="3628">
        <v>351.02551044680558</v>
      </c>
      <c r="J83" s="3628">
        <v>383.07072911980453</v>
      </c>
      <c r="K83" s="3628">
        <v>383.42623236155032</v>
      </c>
      <c r="L83" s="3628">
        <v>397.91818786115294</v>
      </c>
      <c r="M83" s="3628">
        <v>393.04914153835063</v>
      </c>
      <c r="N83" s="3628">
        <v>400.13817831771456</v>
      </c>
      <c r="O83" s="3628">
        <v>409.61854034073434</v>
      </c>
      <c r="P83" s="3628">
        <v>415.62947779903078</v>
      </c>
      <c r="Q83" s="3628">
        <v>408.83276326621274</v>
      </c>
      <c r="R83" s="3628">
        <v>394.4032785063215</v>
      </c>
      <c r="S83" s="3628">
        <v>410.4060040888935</v>
      </c>
      <c r="T83" s="3628">
        <v>401.82179901698623</v>
      </c>
      <c r="U83" s="3628">
        <v>417.06353555075736</v>
      </c>
      <c r="V83" s="3628">
        <v>427.59203744308985</v>
      </c>
    </row>
    <row r="84" spans="1:22" ht="17.399999999999999" customHeight="1" x14ac:dyDescent="0.25">
      <c r="A84" s="3239" t="s">
        <v>432</v>
      </c>
      <c r="B84" s="3239" t="s">
        <v>432</v>
      </c>
      <c r="C84" s="3601" t="s">
        <v>432</v>
      </c>
      <c r="D84" s="3601" t="s">
        <v>432</v>
      </c>
      <c r="E84" s="3601" t="s">
        <v>432</v>
      </c>
      <c r="F84" s="3601" t="s">
        <v>432</v>
      </c>
      <c r="G84" s="3601" t="s">
        <v>432</v>
      </c>
      <c r="H84" s="3601" t="s">
        <v>432</v>
      </c>
      <c r="I84" s="3601" t="s">
        <v>432</v>
      </c>
      <c r="J84" s="3601" t="s">
        <v>432</v>
      </c>
      <c r="K84" s="3601" t="s">
        <v>432</v>
      </c>
      <c r="L84" s="3601">
        <v>0</v>
      </c>
      <c r="M84" s="3601" t="s">
        <v>432</v>
      </c>
      <c r="N84" s="3601"/>
      <c r="O84" s="3602"/>
      <c r="P84" s="3601"/>
      <c r="Q84" s="3603"/>
      <c r="R84" s="3551"/>
      <c r="S84" s="3551"/>
      <c r="T84" s="3551"/>
      <c r="U84" s="3551"/>
      <c r="V84" s="675"/>
    </row>
    <row r="85" spans="1:22" s="3238" customFormat="1" ht="45" x14ac:dyDescent="0.25">
      <c r="A85" s="3581" t="s">
        <v>1739</v>
      </c>
      <c r="B85" s="3577"/>
      <c r="C85" s="3578"/>
      <c r="D85" s="3578"/>
      <c r="E85" s="3578"/>
      <c r="F85" s="3578"/>
      <c r="G85" s="3578"/>
      <c r="H85" s="3579"/>
      <c r="I85" s="3578"/>
      <c r="J85" s="3578"/>
      <c r="K85" s="3578"/>
      <c r="L85" s="3578"/>
      <c r="M85" s="3578"/>
      <c r="N85" s="3578"/>
      <c r="O85" s="3578"/>
      <c r="P85" s="3578"/>
      <c r="Q85" s="3578"/>
      <c r="R85" s="3578"/>
      <c r="S85" s="3578"/>
      <c r="T85" s="3578"/>
      <c r="U85" s="3578"/>
      <c r="V85" s="3580"/>
    </row>
    <row r="86" spans="1:22" ht="17.399999999999999" customHeight="1" x14ac:dyDescent="0.25">
      <c r="A86" s="3571" t="s">
        <v>1692</v>
      </c>
      <c r="B86" s="3571" t="s">
        <v>1694</v>
      </c>
      <c r="C86" s="3559">
        <v>2005</v>
      </c>
      <c r="D86" s="3559">
        <v>2006</v>
      </c>
      <c r="E86" s="3571">
        <v>2007</v>
      </c>
      <c r="F86" s="3559">
        <v>2008</v>
      </c>
      <c r="G86" s="3559">
        <v>2009</v>
      </c>
      <c r="H86" s="3559" t="s">
        <v>442</v>
      </c>
      <c r="I86" s="3559" t="s">
        <v>443</v>
      </c>
      <c r="J86" s="3559" t="s">
        <v>444</v>
      </c>
      <c r="K86" s="3559" t="s">
        <v>445</v>
      </c>
      <c r="L86" s="3559" t="s">
        <v>446</v>
      </c>
      <c r="M86" s="3559" t="s">
        <v>447</v>
      </c>
      <c r="N86" s="3559" t="s">
        <v>448</v>
      </c>
      <c r="O86" s="3559" t="s">
        <v>449</v>
      </c>
      <c r="P86" s="3559" t="s">
        <v>450</v>
      </c>
      <c r="Q86" s="3559">
        <v>2019</v>
      </c>
      <c r="R86" s="3559" t="s">
        <v>1471</v>
      </c>
      <c r="S86" s="3559" t="s">
        <v>1620</v>
      </c>
      <c r="T86" s="3559" t="s">
        <v>1621</v>
      </c>
      <c r="U86" s="3559" t="s">
        <v>1770</v>
      </c>
      <c r="V86" s="3559" t="s">
        <v>1804</v>
      </c>
    </row>
    <row r="87" spans="1:22" ht="19.2" x14ac:dyDescent="0.25">
      <c r="A87" s="3571" t="s">
        <v>1740</v>
      </c>
      <c r="B87" s="3571" t="s">
        <v>1741</v>
      </c>
      <c r="C87" s="3628">
        <v>63.876316487368953</v>
      </c>
      <c r="D87" s="3628">
        <v>65.97408066462819</v>
      </c>
      <c r="E87" s="3628">
        <v>65.5174661530138</v>
      </c>
      <c r="F87" s="3628">
        <v>55.117988260445024</v>
      </c>
      <c r="G87" s="3628">
        <v>43.179250432680291</v>
      </c>
      <c r="H87" s="3628">
        <v>40.736069783669336</v>
      </c>
      <c r="I87" s="3628">
        <v>61.343505034192219</v>
      </c>
      <c r="J87" s="3628">
        <v>57.183266094961049</v>
      </c>
      <c r="K87" s="3628">
        <v>40.368126859530861</v>
      </c>
      <c r="L87" s="3628">
        <v>36.020309308023535</v>
      </c>
      <c r="M87" s="3628">
        <v>32.122386540197574</v>
      </c>
      <c r="N87" s="3628">
        <v>34.169064375056628</v>
      </c>
      <c r="O87" s="3628">
        <v>33.985943256662395</v>
      </c>
      <c r="P87" s="3628">
        <v>33.46208654667403</v>
      </c>
      <c r="Q87" s="3628">
        <v>30.885035881248864</v>
      </c>
      <c r="R87" s="3628">
        <v>33.311759421815637</v>
      </c>
      <c r="S87" s="3628">
        <v>32.312690574444652</v>
      </c>
      <c r="T87" s="3628">
        <v>32.140534468686155</v>
      </c>
      <c r="U87" s="3628">
        <v>29.356726264028307</v>
      </c>
      <c r="V87" s="3628">
        <v>31.017986935326022</v>
      </c>
    </row>
    <row r="88" spans="1:22" ht="17.399999999999999" customHeight="1" x14ac:dyDescent="0.25">
      <c r="A88" s="3571" t="s">
        <v>13</v>
      </c>
      <c r="B88" s="3571" t="s">
        <v>1696</v>
      </c>
      <c r="C88" s="3622">
        <v>63.876316487368953</v>
      </c>
      <c r="D88" s="3622">
        <v>65.97408066462819</v>
      </c>
      <c r="E88" s="3622">
        <v>65.5174661530138</v>
      </c>
      <c r="F88" s="3622">
        <v>55.117988260445024</v>
      </c>
      <c r="G88" s="3622">
        <v>43.179250432680291</v>
      </c>
      <c r="H88" s="3622">
        <v>40.736069783669336</v>
      </c>
      <c r="I88" s="3622">
        <v>61.343505034192219</v>
      </c>
      <c r="J88" s="3622">
        <v>57.183266094961049</v>
      </c>
      <c r="K88" s="3622">
        <v>40.368126859530861</v>
      </c>
      <c r="L88" s="3622">
        <v>36.020309308023535</v>
      </c>
      <c r="M88" s="3622">
        <v>32.122386540197574</v>
      </c>
      <c r="N88" s="3622">
        <v>34.169064375056628</v>
      </c>
      <c r="O88" s="3622">
        <v>33.985943256662395</v>
      </c>
      <c r="P88" s="3622">
        <v>33.46208654667403</v>
      </c>
      <c r="Q88" s="3622">
        <v>30.885035881248864</v>
      </c>
      <c r="R88" s="3622">
        <v>33.311759421815637</v>
      </c>
      <c r="S88" s="3622">
        <v>32.312690574444652</v>
      </c>
      <c r="T88" s="3622">
        <v>32.140534468686155</v>
      </c>
      <c r="U88" s="3622">
        <v>29.356726264028307</v>
      </c>
      <c r="V88" s="3622">
        <v>31.017986935326022</v>
      </c>
    </row>
    <row r="89" spans="1:22" ht="17.399999999999999" customHeight="1" x14ac:dyDescent="0.25">
      <c r="A89" s="3571" t="s">
        <v>1692</v>
      </c>
      <c r="B89" s="3571" t="s">
        <v>1742</v>
      </c>
      <c r="C89" s="3621">
        <v>61.595937945988979</v>
      </c>
      <c r="D89" s="3621">
        <v>65.759588474121955</v>
      </c>
      <c r="E89" s="3621">
        <v>71.826289230517091</v>
      </c>
      <c r="F89" s="3621">
        <v>66.289326029707667</v>
      </c>
      <c r="G89" s="3621">
        <v>53.860743795175559</v>
      </c>
      <c r="H89" s="3621">
        <v>51.806410482269584</v>
      </c>
      <c r="I89" s="3621">
        <v>73.500816025699692</v>
      </c>
      <c r="J89" s="3621">
        <v>71.831265714587616</v>
      </c>
      <c r="K89" s="3621">
        <v>74.050354865326668</v>
      </c>
      <c r="L89" s="3621">
        <v>76.84127806297677</v>
      </c>
      <c r="M89" s="3621">
        <v>76.386271943417952</v>
      </c>
      <c r="N89" s="3621">
        <v>80.037797899037926</v>
      </c>
      <c r="O89" s="3621">
        <v>76.850837827053368</v>
      </c>
      <c r="P89" s="3621">
        <v>86.404934121921102</v>
      </c>
      <c r="Q89" s="3621">
        <v>73.681598632246804</v>
      </c>
      <c r="R89" s="3621">
        <v>64.826457476222728</v>
      </c>
      <c r="S89" s="3621">
        <v>64.332543123415888</v>
      </c>
      <c r="T89" s="3621">
        <v>63.497705945707366</v>
      </c>
      <c r="U89" s="3621">
        <v>48.97417207315879</v>
      </c>
      <c r="V89" s="3621">
        <v>49.8847106233587</v>
      </c>
    </row>
    <row r="90" spans="1:22" ht="17.399999999999999" customHeight="1" x14ac:dyDescent="0.25">
      <c r="A90" s="3587" t="s">
        <v>48</v>
      </c>
      <c r="B90" s="3589" t="s">
        <v>1698</v>
      </c>
      <c r="C90" s="3624">
        <v>0</v>
      </c>
      <c r="D90" s="3621">
        <v>0</v>
      </c>
      <c r="E90" s="3621">
        <v>0</v>
      </c>
      <c r="F90" s="3621">
        <v>4.2534619481595454E-2</v>
      </c>
      <c r="G90" s="3621">
        <v>0.31258096907476957</v>
      </c>
      <c r="H90" s="3621">
        <v>0.48941299419098055</v>
      </c>
      <c r="I90" s="3621">
        <v>0.69851863646963952</v>
      </c>
      <c r="J90" s="3621">
        <v>0.6447424130989815</v>
      </c>
      <c r="K90" s="3621">
        <v>0.29784159839245156</v>
      </c>
      <c r="L90" s="3621">
        <v>0.65906696716733981</v>
      </c>
      <c r="M90" s="3621">
        <v>0.84121110233063179</v>
      </c>
      <c r="N90" s="3621">
        <v>1.0163041778917723</v>
      </c>
      <c r="O90" s="3621">
        <v>1.2090884326854696</v>
      </c>
      <c r="P90" s="3621">
        <v>1.9643880294350167</v>
      </c>
      <c r="Q90" s="3621">
        <v>2.7854638254531596</v>
      </c>
      <c r="R90" s="3621">
        <v>2.3920851140193777</v>
      </c>
      <c r="S90" s="3621">
        <v>2.8119844301100034</v>
      </c>
      <c r="T90" s="3621">
        <v>2.8083865072947036</v>
      </c>
      <c r="U90" s="3621">
        <v>0.885274813417124</v>
      </c>
      <c r="V90" s="3621">
        <v>0.93489877070136096</v>
      </c>
    </row>
    <row r="91" spans="1:22" s="3626" customFormat="1" ht="17.399999999999999" customHeight="1" x14ac:dyDescent="0.35">
      <c r="A91" s="3587" t="s">
        <v>22</v>
      </c>
      <c r="B91" s="3593" t="s">
        <v>1641</v>
      </c>
      <c r="C91" s="3625">
        <v>0</v>
      </c>
      <c r="D91" s="3627">
        <v>0</v>
      </c>
      <c r="E91" s="3625">
        <v>0</v>
      </c>
      <c r="F91" s="3625">
        <v>4.2534619481595454E-2</v>
      </c>
      <c r="G91" s="3625">
        <v>0.31258096907476957</v>
      </c>
      <c r="H91" s="3625">
        <v>0.48941299419098055</v>
      </c>
      <c r="I91" s="3625">
        <v>0.69851863646963952</v>
      </c>
      <c r="J91" s="3625">
        <v>0.6447424130989815</v>
      </c>
      <c r="K91" s="3627">
        <v>0.29784159839245156</v>
      </c>
      <c r="L91" s="3625">
        <v>0.65906696716733981</v>
      </c>
      <c r="M91" s="3625">
        <v>0.84121110233063179</v>
      </c>
      <c r="N91" s="3625">
        <v>1.0163041778917723</v>
      </c>
      <c r="O91" s="3625">
        <v>1.2090884326854696</v>
      </c>
      <c r="P91" s="3625">
        <v>1.9643880294350167</v>
      </c>
      <c r="Q91" s="3625">
        <v>2.7854638254531596</v>
      </c>
      <c r="R91" s="3625">
        <v>2.3920851140193777</v>
      </c>
      <c r="S91" s="3625">
        <v>2.8119844301100034</v>
      </c>
      <c r="T91" s="3625">
        <v>2.8083865072947036</v>
      </c>
      <c r="U91" s="3625">
        <v>0.885274813417124</v>
      </c>
      <c r="V91" s="3625">
        <v>0.93489877070136096</v>
      </c>
    </row>
    <row r="92" spans="1:22" ht="17.399999999999999" customHeight="1" x14ac:dyDescent="0.25">
      <c r="A92" s="3587" t="s">
        <v>48</v>
      </c>
      <c r="B92" s="3590"/>
      <c r="C92" s="3585" t="s">
        <v>48</v>
      </c>
      <c r="D92" s="3596" t="s">
        <v>48</v>
      </c>
      <c r="E92" s="3585" t="s">
        <v>48</v>
      </c>
      <c r="F92" s="3585" t="s">
        <v>48</v>
      </c>
      <c r="G92" s="3585" t="s">
        <v>48</v>
      </c>
      <c r="H92" s="3585" t="s">
        <v>48</v>
      </c>
      <c r="I92" s="3585" t="s">
        <v>48</v>
      </c>
      <c r="J92" s="3585" t="s">
        <v>48</v>
      </c>
      <c r="K92" s="3596" t="s">
        <v>48</v>
      </c>
      <c r="L92" s="3585">
        <v>0</v>
      </c>
      <c r="M92" s="3585"/>
      <c r="N92" s="3585"/>
      <c r="O92" s="3585"/>
      <c r="P92" s="3585"/>
      <c r="Q92" s="3599">
        <v>0</v>
      </c>
      <c r="R92" s="3585">
        <v>0</v>
      </c>
      <c r="S92" s="3585">
        <v>0</v>
      </c>
      <c r="T92" s="3585">
        <v>0</v>
      </c>
      <c r="U92" s="3585">
        <v>0</v>
      </c>
      <c r="V92" s="3585">
        <v>0</v>
      </c>
    </row>
    <row r="93" spans="1:22" ht="17.399999999999999" customHeight="1" x14ac:dyDescent="0.25">
      <c r="A93" s="3588" t="s">
        <v>26</v>
      </c>
      <c r="B93" s="3591" t="s">
        <v>1732</v>
      </c>
      <c r="C93" s="3629">
        <v>58.543062887429848</v>
      </c>
      <c r="D93" s="3630">
        <v>62.487132777349196</v>
      </c>
      <c r="E93" s="3629">
        <v>65.359021563922141</v>
      </c>
      <c r="F93" s="3629">
        <v>59.645141066990178</v>
      </c>
      <c r="G93" s="3629">
        <v>46.992261085329069</v>
      </c>
      <c r="H93" s="3629">
        <v>43.136482748881917</v>
      </c>
      <c r="I93" s="3629">
        <v>41.274831614791488</v>
      </c>
      <c r="J93" s="3629">
        <v>42.279088228235736</v>
      </c>
      <c r="K93" s="3630">
        <v>39.700904205293568</v>
      </c>
      <c r="L93" s="3629">
        <v>43.11133312649384</v>
      </c>
      <c r="M93" s="3629">
        <v>43.098294013514696</v>
      </c>
      <c r="N93" s="3629">
        <v>46.971257507921415</v>
      </c>
      <c r="O93" s="3629">
        <v>45.984734511747874</v>
      </c>
      <c r="P93" s="3629">
        <v>52.125304724079747</v>
      </c>
      <c r="Q93" s="3629">
        <v>41.093159502504463</v>
      </c>
      <c r="R93" s="3629">
        <v>35.121233956509727</v>
      </c>
      <c r="S93" s="3629">
        <v>35.570638646163914</v>
      </c>
      <c r="T93" s="3629">
        <v>33.176184099919084</v>
      </c>
      <c r="U93" s="3629">
        <v>23.051156909283975</v>
      </c>
      <c r="V93" s="3629">
        <v>23.757731680184094</v>
      </c>
    </row>
    <row r="94" spans="1:22" ht="17.399999999999999" customHeight="1" x14ac:dyDescent="0.25">
      <c r="A94" s="3588" t="s">
        <v>30</v>
      </c>
      <c r="B94" s="3591" t="s">
        <v>1643</v>
      </c>
      <c r="C94" s="3629">
        <v>0.76723694952639787</v>
      </c>
      <c r="D94" s="3630">
        <v>0.8088048968651278</v>
      </c>
      <c r="E94" s="3629">
        <v>0.87910440394942801</v>
      </c>
      <c r="F94" s="3629">
        <v>0.86132604450230787</v>
      </c>
      <c r="G94" s="3629">
        <v>0.87873057087980933</v>
      </c>
      <c r="H94" s="3629">
        <v>0.89419065855946067</v>
      </c>
      <c r="I94" s="3629">
        <v>11.472613341195833</v>
      </c>
      <c r="J94" s="3629">
        <v>11.357593945444027</v>
      </c>
      <c r="K94" s="3630">
        <v>11.385040353827135</v>
      </c>
      <c r="L94" s="3629">
        <v>11.79711987148338</v>
      </c>
      <c r="M94" s="3629">
        <v>12.601333917397543</v>
      </c>
      <c r="N94" s="3629">
        <v>12.471909042091596</v>
      </c>
      <c r="O94" s="3629">
        <v>12.582310029735504</v>
      </c>
      <c r="P94" s="3629">
        <v>13.02982790609197</v>
      </c>
      <c r="Q94" s="3629">
        <v>13.621587183705319</v>
      </c>
      <c r="R94" s="3629">
        <v>11.88927389387576</v>
      </c>
      <c r="S94" s="3629">
        <v>12.718689576614866</v>
      </c>
      <c r="T94" s="3629">
        <v>13.446397864442876</v>
      </c>
      <c r="U94" s="3629">
        <v>12.915106095063377</v>
      </c>
      <c r="V94" s="3629">
        <v>13.070380812923149</v>
      </c>
    </row>
    <row r="95" spans="1:22" ht="17.399999999999999" customHeight="1" x14ac:dyDescent="0.25">
      <c r="A95" s="3588" t="s">
        <v>34</v>
      </c>
      <c r="B95" s="3591" t="s">
        <v>1644</v>
      </c>
      <c r="C95" s="3629">
        <v>0</v>
      </c>
      <c r="D95" s="3630">
        <v>0</v>
      </c>
      <c r="E95" s="3629">
        <v>0</v>
      </c>
      <c r="F95" s="3629">
        <v>0</v>
      </c>
      <c r="G95" s="3629">
        <v>0</v>
      </c>
      <c r="H95" s="3629">
        <v>0</v>
      </c>
      <c r="I95" s="3629">
        <v>0.70946857752389225</v>
      </c>
      <c r="J95" s="3629">
        <v>0.73313419493713861</v>
      </c>
      <c r="K95" s="3630">
        <v>0.76342368103082869</v>
      </c>
      <c r="L95" s="3629">
        <v>0.80845485719217181</v>
      </c>
      <c r="M95" s="3629">
        <v>0.90267938009614579</v>
      </c>
      <c r="N95" s="3629">
        <v>0.90875654160961927</v>
      </c>
      <c r="O95" s="3629">
        <v>0.97395624903536593</v>
      </c>
      <c r="P95" s="3629">
        <v>1.0847404220620935</v>
      </c>
      <c r="Q95" s="3629">
        <v>2.7127805873633148</v>
      </c>
      <c r="R95" s="3629">
        <v>2.1489594477802618</v>
      </c>
      <c r="S95" s="3629">
        <v>1.2013499213907886</v>
      </c>
      <c r="T95" s="3629">
        <v>1.1752602464804043</v>
      </c>
      <c r="U95" s="3629">
        <v>1.1864899867149723</v>
      </c>
      <c r="V95" s="3629">
        <v>1.2297482855725168</v>
      </c>
    </row>
    <row r="96" spans="1:22" ht="17.399999999999999" customHeight="1" x14ac:dyDescent="0.25">
      <c r="A96" s="3588" t="s">
        <v>36</v>
      </c>
      <c r="B96" s="3591" t="s">
        <v>1645</v>
      </c>
      <c r="C96" s="3629">
        <v>1.4110919866520626</v>
      </c>
      <c r="D96" s="3630">
        <v>1.4603499959643285</v>
      </c>
      <c r="E96" s="3629">
        <v>1.7804646155937784</v>
      </c>
      <c r="F96" s="3629">
        <v>1.8229783110427269</v>
      </c>
      <c r="G96" s="3629">
        <v>1.4813018490224699</v>
      </c>
      <c r="H96" s="3629">
        <v>1.8964753524900497</v>
      </c>
      <c r="I96" s="3629">
        <v>1.0909082336836653</v>
      </c>
      <c r="J96" s="3629">
        <v>1.3812708618106364</v>
      </c>
      <c r="K96" s="3630">
        <v>1.3629962575280323</v>
      </c>
      <c r="L96" s="3629">
        <v>1.3410056724639363</v>
      </c>
      <c r="M96" s="3629">
        <v>1.4259887030165943</v>
      </c>
      <c r="N96" s="3629">
        <v>1.5694587252207446</v>
      </c>
      <c r="O96" s="3629">
        <v>1.4101143011507622</v>
      </c>
      <c r="P96" s="3629">
        <v>1.6176719298815596</v>
      </c>
      <c r="Q96" s="3629">
        <v>0.53565258532809779</v>
      </c>
      <c r="R96" s="3629">
        <v>0.35795792378678748</v>
      </c>
      <c r="S96" s="3629">
        <v>0.75581644548829408</v>
      </c>
      <c r="T96" s="3629">
        <v>0.64731059812161051</v>
      </c>
      <c r="U96" s="3629">
        <v>0.27999153292712625</v>
      </c>
      <c r="V96" s="3629">
        <v>0.30887030702348317</v>
      </c>
    </row>
    <row r="97" spans="1:22" ht="17.399999999999999" customHeight="1" x14ac:dyDescent="0.25">
      <c r="A97" s="3588" t="s">
        <v>37</v>
      </c>
      <c r="B97" s="3591" t="s">
        <v>1646</v>
      </c>
      <c r="C97" s="3629">
        <v>0.48643673509714319</v>
      </c>
      <c r="D97" s="3630">
        <v>0.54246934297389582</v>
      </c>
      <c r="E97" s="3629">
        <v>0.27563678149359749</v>
      </c>
      <c r="F97" s="3629">
        <v>0.48221313173156588</v>
      </c>
      <c r="G97" s="3629">
        <v>0.29091237682327376</v>
      </c>
      <c r="H97" s="3629">
        <v>0.39511819737786869</v>
      </c>
      <c r="I97" s="3629">
        <v>0.32974867446814288</v>
      </c>
      <c r="J97" s="3629">
        <v>0.35489482636221126</v>
      </c>
      <c r="K97" s="3630">
        <v>0.19705881421587454</v>
      </c>
      <c r="L97" s="3629">
        <v>0.21035476244007517</v>
      </c>
      <c r="M97" s="3629">
        <v>0.13359285821628067</v>
      </c>
      <c r="N97" s="3629">
        <v>0.11722635477300174</v>
      </c>
      <c r="O97" s="3629">
        <v>0.10965350209736802</v>
      </c>
      <c r="P97" s="3629">
        <v>0.12239341222740845</v>
      </c>
      <c r="Q97" s="3629">
        <v>0.10426401279382098</v>
      </c>
      <c r="R97" s="3629">
        <v>0.12095878823096584</v>
      </c>
      <c r="S97" s="3629">
        <v>0.1074507460216228</v>
      </c>
      <c r="T97" s="3629">
        <v>8.0814126511090698E-2</v>
      </c>
      <c r="U97" s="3629">
        <v>0.12115431877618933</v>
      </c>
      <c r="V97" s="3629">
        <v>8.7232309499018806E-2</v>
      </c>
    </row>
    <row r="98" spans="1:22" ht="17.399999999999999" customHeight="1" x14ac:dyDescent="0.25">
      <c r="A98" s="3587" t="s">
        <v>48</v>
      </c>
      <c r="B98" s="3590"/>
      <c r="C98" s="3585" t="s">
        <v>48</v>
      </c>
      <c r="D98" s="3596" t="s">
        <v>48</v>
      </c>
      <c r="E98" s="3585" t="s">
        <v>48</v>
      </c>
      <c r="F98" s="3585" t="s">
        <v>48</v>
      </c>
      <c r="G98" s="3585" t="s">
        <v>48</v>
      </c>
      <c r="H98" s="3585" t="s">
        <v>48</v>
      </c>
      <c r="I98" s="3585" t="s">
        <v>48</v>
      </c>
      <c r="J98" s="3585" t="s">
        <v>48</v>
      </c>
      <c r="K98" s="3596" t="s">
        <v>48</v>
      </c>
      <c r="L98" s="3585">
        <v>0</v>
      </c>
      <c r="M98" s="3585"/>
      <c r="N98" s="3585"/>
      <c r="O98" s="3585"/>
      <c r="P98" s="3585"/>
      <c r="Q98" s="3599">
        <v>0</v>
      </c>
      <c r="R98" s="3585">
        <v>0</v>
      </c>
      <c r="S98" s="3585">
        <v>0</v>
      </c>
      <c r="T98" s="3585">
        <v>0</v>
      </c>
      <c r="U98" s="3585">
        <v>0</v>
      </c>
      <c r="V98" s="3585">
        <v>0</v>
      </c>
    </row>
    <row r="99" spans="1:22" ht="17.399999999999999" customHeight="1" x14ac:dyDescent="0.25">
      <c r="A99" s="3588" t="s">
        <v>48</v>
      </c>
      <c r="B99" s="3591" t="s">
        <v>1743</v>
      </c>
      <c r="C99" s="3629">
        <v>0.37487301353939217</v>
      </c>
      <c r="D99" s="3630">
        <v>0.37353425346645419</v>
      </c>
      <c r="E99" s="3629">
        <v>0.39343425736839505</v>
      </c>
      <c r="F99" s="3629">
        <v>0.2945060066280033</v>
      </c>
      <c r="G99" s="3629">
        <v>0.28307480090251996</v>
      </c>
      <c r="H99" s="3629">
        <v>0.26218553260231103</v>
      </c>
      <c r="I99" s="3629">
        <v>0.26172555798371044</v>
      </c>
      <c r="J99" s="3629">
        <v>0.32375157632708035</v>
      </c>
      <c r="K99" s="3630">
        <v>0.22506139460793279</v>
      </c>
      <c r="L99" s="3629">
        <v>0.18831880523925457</v>
      </c>
      <c r="M99" s="3629">
        <v>0.19893461571665638</v>
      </c>
      <c r="N99" s="3629">
        <v>0.36081736870531395</v>
      </c>
      <c r="O99" s="3629">
        <v>0.36640800240067706</v>
      </c>
      <c r="P99" s="3629">
        <v>0.27672202542153029</v>
      </c>
      <c r="Q99" s="3629">
        <v>4.8459964879879608E-2</v>
      </c>
      <c r="R99" s="3629">
        <v>2.916997167393633E-2</v>
      </c>
      <c r="S99" s="3629">
        <v>2.3301047857464757E-2</v>
      </c>
      <c r="T99" s="3629">
        <v>1.6500651706355236E-2</v>
      </c>
      <c r="U99" s="3629">
        <v>1.8938679728416362E-2</v>
      </c>
      <c r="V99" s="3629">
        <v>1.5814469791083089E-2</v>
      </c>
    </row>
    <row r="100" spans="1:22" s="3626" customFormat="1" ht="17.399999999999999" customHeight="1" x14ac:dyDescent="0.35">
      <c r="A100" s="3587" t="s">
        <v>40</v>
      </c>
      <c r="B100" s="3593" t="s">
        <v>1704</v>
      </c>
      <c r="C100" s="3625">
        <v>0.35170935948714727</v>
      </c>
      <c r="D100" s="3627">
        <v>0.34490914107769327</v>
      </c>
      <c r="E100" s="3625">
        <v>0.34082115549546177</v>
      </c>
      <c r="F100" s="3625">
        <v>0.23301574150787074</v>
      </c>
      <c r="G100" s="3625">
        <v>0.23973761639952829</v>
      </c>
      <c r="H100" s="3625">
        <v>0.22676748697006899</v>
      </c>
      <c r="I100" s="3625">
        <v>0.22124779154686244</v>
      </c>
      <c r="J100" s="3625">
        <v>0.27283461477394877</v>
      </c>
      <c r="K100" s="3627">
        <v>0.13706865782641681</v>
      </c>
      <c r="L100" s="3625">
        <v>0.12104051682247735</v>
      </c>
      <c r="M100" s="3625">
        <v>8.949565994307658E-2</v>
      </c>
      <c r="N100" s="3625">
        <v>0.10775829482173978</v>
      </c>
      <c r="O100" s="3625">
        <v>0.10285834794039636</v>
      </c>
      <c r="P100" s="3625">
        <v>0.10953408545323934</v>
      </c>
      <c r="Q100" s="3625">
        <v>1.801580709305545E-2</v>
      </c>
      <c r="R100" s="3625">
        <v>0</v>
      </c>
      <c r="S100" s="3625">
        <v>0</v>
      </c>
      <c r="T100" s="3625">
        <v>0</v>
      </c>
      <c r="U100" s="3625">
        <v>0</v>
      </c>
      <c r="V100" s="3625">
        <v>0</v>
      </c>
    </row>
    <row r="101" spans="1:22" s="3626" customFormat="1" ht="17.399999999999999" customHeight="1" x14ac:dyDescent="0.35">
      <c r="A101" s="3587" t="s">
        <v>43</v>
      </c>
      <c r="B101" s="3593" t="s">
        <v>1648</v>
      </c>
      <c r="C101" s="3625">
        <v>2.3163654052244912E-2</v>
      </c>
      <c r="D101" s="3627">
        <v>2.8625112388760938E-2</v>
      </c>
      <c r="E101" s="3625">
        <v>5.2613101872933304E-2</v>
      </c>
      <c r="F101" s="3625">
        <v>6.1490265120132566E-2</v>
      </c>
      <c r="G101" s="3625">
        <v>4.3337184502991649E-2</v>
      </c>
      <c r="H101" s="3625">
        <v>3.5418045632242018E-2</v>
      </c>
      <c r="I101" s="3625">
        <v>4.0477766436848014E-2</v>
      </c>
      <c r="J101" s="3625">
        <v>4.6993253046349034E-2</v>
      </c>
      <c r="K101" s="3627">
        <v>8.7992736781516007E-2</v>
      </c>
      <c r="L101" s="3625">
        <v>5.2536862839649125E-2</v>
      </c>
      <c r="M101" s="3625">
        <v>6.5761580298704075E-2</v>
      </c>
      <c r="N101" s="3625">
        <v>0.25305907388357418</v>
      </c>
      <c r="O101" s="3625">
        <v>0.26354965446028067</v>
      </c>
      <c r="P101" s="3625">
        <v>0.16718793996829093</v>
      </c>
      <c r="Q101" s="3625">
        <v>9.7155788070936219E-3</v>
      </c>
      <c r="R101" s="3625">
        <v>5.8253283043850973E-3</v>
      </c>
      <c r="S101" s="3625">
        <v>8.2396552297973272E-4</v>
      </c>
      <c r="T101" s="3625">
        <v>6.4316086127784835E-5</v>
      </c>
      <c r="U101" s="3625">
        <v>0</v>
      </c>
      <c r="V101" s="3625">
        <v>0</v>
      </c>
    </row>
    <row r="102" spans="1:22" s="3626" customFormat="1" ht="17.399999999999999" customHeight="1" x14ac:dyDescent="0.35">
      <c r="A102" s="3587" t="s">
        <v>40</v>
      </c>
      <c r="B102" s="3593" t="s">
        <v>1701</v>
      </c>
      <c r="C102" s="3625">
        <v>0</v>
      </c>
      <c r="D102" s="3627">
        <v>0</v>
      </c>
      <c r="E102" s="3625">
        <v>0</v>
      </c>
      <c r="F102" s="3625">
        <v>0</v>
      </c>
      <c r="G102" s="3625">
        <v>0</v>
      </c>
      <c r="H102" s="3625">
        <v>0</v>
      </c>
      <c r="I102" s="3625">
        <v>0</v>
      </c>
      <c r="J102" s="3625">
        <v>3.923708506782541E-3</v>
      </c>
      <c r="K102" s="3627">
        <v>0</v>
      </c>
      <c r="L102" s="3625">
        <v>1.4741425577128103E-2</v>
      </c>
      <c r="M102" s="3625">
        <v>4.367737547487572E-2</v>
      </c>
      <c r="N102" s="3625">
        <v>0</v>
      </c>
      <c r="O102" s="3625">
        <v>0</v>
      </c>
      <c r="P102" s="3625">
        <v>0</v>
      </c>
      <c r="Q102" s="3625">
        <v>2.0728578979730534E-2</v>
      </c>
      <c r="R102" s="3625">
        <v>2.3344643369551239E-2</v>
      </c>
      <c r="S102" s="3625">
        <v>2.2477082334485025E-2</v>
      </c>
      <c r="T102" s="3625">
        <v>1.6436335620227453E-2</v>
      </c>
      <c r="U102" s="3625">
        <v>1.8938679728416362E-2</v>
      </c>
      <c r="V102" s="3625">
        <v>1.5814469791083089E-2</v>
      </c>
    </row>
    <row r="103" spans="1:22" s="3626" customFormat="1" ht="17.399999999999999" customHeight="1" x14ac:dyDescent="0.35">
      <c r="A103" s="3587" t="s">
        <v>52</v>
      </c>
      <c r="B103" s="3593" t="s">
        <v>1706</v>
      </c>
      <c r="C103" s="3625">
        <v>0</v>
      </c>
      <c r="D103" s="3627">
        <v>0</v>
      </c>
      <c r="E103" s="3625">
        <v>0</v>
      </c>
      <c r="F103" s="3625">
        <v>0</v>
      </c>
      <c r="G103" s="3625">
        <v>0</v>
      </c>
      <c r="H103" s="3625">
        <v>0</v>
      </c>
      <c r="I103" s="3625">
        <v>0</v>
      </c>
      <c r="J103" s="3625">
        <v>0</v>
      </c>
      <c r="K103" s="3627">
        <v>0</v>
      </c>
      <c r="L103" s="3625">
        <v>0</v>
      </c>
      <c r="M103" s="3625">
        <v>0</v>
      </c>
      <c r="N103" s="3625">
        <v>0</v>
      </c>
      <c r="O103" s="3625">
        <v>0</v>
      </c>
      <c r="P103" s="3625">
        <v>0</v>
      </c>
      <c r="Q103" s="3625">
        <v>0</v>
      </c>
      <c r="R103" s="3625">
        <v>0</v>
      </c>
      <c r="S103" s="3625">
        <v>0</v>
      </c>
      <c r="T103" s="3625">
        <v>0</v>
      </c>
      <c r="U103" s="3625">
        <v>0</v>
      </c>
      <c r="V103" s="3625">
        <v>0</v>
      </c>
    </row>
    <row r="104" spans="1:22" x14ac:dyDescent="0.25">
      <c r="A104" s="685" t="s">
        <v>48</v>
      </c>
      <c r="B104" s="686" t="s">
        <v>48</v>
      </c>
      <c r="C104" s="687" t="s">
        <v>48</v>
      </c>
      <c r="D104" s="687" t="s">
        <v>48</v>
      </c>
      <c r="E104" s="687" t="s">
        <v>48</v>
      </c>
      <c r="F104" s="687" t="s">
        <v>48</v>
      </c>
      <c r="G104" s="687" t="s">
        <v>48</v>
      </c>
      <c r="H104" s="687" t="s">
        <v>48</v>
      </c>
      <c r="I104" s="687" t="s">
        <v>48</v>
      </c>
      <c r="J104" s="687" t="s">
        <v>48</v>
      </c>
      <c r="K104" s="687" t="s">
        <v>48</v>
      </c>
      <c r="L104" s="687">
        <v>0</v>
      </c>
      <c r="M104" s="687"/>
      <c r="N104" s="687"/>
      <c r="O104" s="687"/>
      <c r="P104" s="687"/>
      <c r="Q104" s="687">
        <v>0</v>
      </c>
      <c r="R104" s="3224">
        <v>0</v>
      </c>
      <c r="S104" s="3224">
        <v>0</v>
      </c>
      <c r="T104" s="3224">
        <v>0</v>
      </c>
      <c r="U104" s="3224">
        <v>0</v>
      </c>
      <c r="V104" s="687">
        <v>0</v>
      </c>
    </row>
    <row r="105" spans="1:22" ht="17.399999999999999" customHeight="1" x14ac:dyDescent="0.25">
      <c r="A105" s="3588" t="s">
        <v>48</v>
      </c>
      <c r="B105" s="3591" t="s">
        <v>1707</v>
      </c>
      <c r="C105" s="3629">
        <v>0</v>
      </c>
      <c r="D105" s="3630">
        <v>8.5889415090408427E-2</v>
      </c>
      <c r="E105" s="3629">
        <v>5.0285088515723865E-2</v>
      </c>
      <c r="F105" s="3629">
        <v>6.2877263581488943E-2</v>
      </c>
      <c r="G105" s="3629">
        <v>0.14430360371740839</v>
      </c>
      <c r="H105" s="3629">
        <v>1.3025142672627323</v>
      </c>
      <c r="I105" s="3629">
        <v>16.755126486120496</v>
      </c>
      <c r="J105" s="3629">
        <v>13.856389815100254</v>
      </c>
      <c r="K105" s="3630">
        <v>17.879016145602201</v>
      </c>
      <c r="L105" s="3629">
        <v>17.818637625017224</v>
      </c>
      <c r="M105" s="3629">
        <v>16.375554902873439</v>
      </c>
      <c r="N105" s="3629">
        <v>15.732802579376319</v>
      </c>
      <c r="O105" s="3629">
        <v>13.433169089828702</v>
      </c>
      <c r="P105" s="3629">
        <v>15.378048483486573</v>
      </c>
      <c r="Q105" s="3629">
        <v>10.993760261485852</v>
      </c>
      <c r="R105" s="3629">
        <v>11.395898117922419</v>
      </c>
      <c r="S105" s="3629">
        <v>8.7605775427592931</v>
      </c>
      <c r="T105" s="3629">
        <v>9.9298574121746217</v>
      </c>
      <c r="U105" s="3629">
        <v>9.668314483474413</v>
      </c>
      <c r="V105" s="3629">
        <v>9.6269548058498007</v>
      </c>
    </row>
    <row r="106" spans="1:22" s="3626" customFormat="1" ht="17.399999999999999" customHeight="1" x14ac:dyDescent="0.35">
      <c r="A106" s="3587" t="s">
        <v>56</v>
      </c>
      <c r="B106" s="3593" t="s">
        <v>1650</v>
      </c>
      <c r="C106" s="3625">
        <v>0</v>
      </c>
      <c r="D106" s="3627">
        <v>0</v>
      </c>
      <c r="E106" s="3625">
        <v>5.0285088515723865E-2</v>
      </c>
      <c r="F106" s="3625">
        <v>6.2877263581488943E-2</v>
      </c>
      <c r="G106" s="3625">
        <v>0.14430360371740839</v>
      </c>
      <c r="H106" s="3625">
        <v>0.1683507104077997</v>
      </c>
      <c r="I106" s="3625">
        <v>0.27368489806732466</v>
      </c>
      <c r="J106" s="3625">
        <v>0.27876580205164331</v>
      </c>
      <c r="K106" s="3627">
        <v>0.29042270074112075</v>
      </c>
      <c r="L106" s="3625">
        <v>0.30260695817407762</v>
      </c>
      <c r="M106" s="3625">
        <v>0.26611539896869119</v>
      </c>
      <c r="N106" s="3625">
        <v>0.28817476503527867</v>
      </c>
      <c r="O106" s="3625">
        <v>0.3519447515051799</v>
      </c>
      <c r="P106" s="3625">
        <v>0.45183704069764202</v>
      </c>
      <c r="Q106" s="3625">
        <v>0.17978950245053091</v>
      </c>
      <c r="R106" s="3625">
        <v>6.1896362048291922E-2</v>
      </c>
      <c r="S106" s="3625">
        <v>4.7976545998135688E-2</v>
      </c>
      <c r="T106" s="3625">
        <v>5.6044997842380435E-2</v>
      </c>
      <c r="U106" s="3625">
        <v>7.225098953223974E-2</v>
      </c>
      <c r="V106" s="3625">
        <v>7.8371762408361911E-2</v>
      </c>
    </row>
    <row r="107" spans="1:22" s="3626" customFormat="1" ht="17.399999999999999" customHeight="1" x14ac:dyDescent="0.35">
      <c r="A107" s="3587" t="s">
        <v>93</v>
      </c>
      <c r="B107" s="3593" t="s">
        <v>1651</v>
      </c>
      <c r="C107" s="3625">
        <v>0</v>
      </c>
      <c r="D107" s="3627">
        <v>0</v>
      </c>
      <c r="E107" s="3625">
        <v>0</v>
      </c>
      <c r="F107" s="3625">
        <v>0</v>
      </c>
      <c r="G107" s="3625">
        <v>0</v>
      </c>
      <c r="H107" s="3625">
        <v>0</v>
      </c>
      <c r="I107" s="3625">
        <v>15.287788225845699</v>
      </c>
      <c r="J107" s="3625">
        <v>12.212028082803027</v>
      </c>
      <c r="K107" s="3627">
        <v>16.301595651078387</v>
      </c>
      <c r="L107" s="3625">
        <v>16.318372178726584</v>
      </c>
      <c r="M107" s="3625">
        <v>14.9662541218322</v>
      </c>
      <c r="N107" s="3625">
        <v>12.324780102083892</v>
      </c>
      <c r="O107" s="3625">
        <v>6.3864638132227336</v>
      </c>
      <c r="P107" s="3625">
        <v>7.2111271436152986</v>
      </c>
      <c r="Q107" s="3625">
        <v>7.9164741480674428</v>
      </c>
      <c r="R107" s="3625">
        <v>11.329492883402581</v>
      </c>
      <c r="S107" s="3625">
        <v>8.7061918762903812</v>
      </c>
      <c r="T107" s="3625">
        <v>9.8666162088913723</v>
      </c>
      <c r="U107" s="3625">
        <v>8.9326323719867364</v>
      </c>
      <c r="V107" s="3625">
        <v>8.875216065891097</v>
      </c>
    </row>
    <row r="108" spans="1:22" s="3626" customFormat="1" ht="17.399999999999999" customHeight="1" x14ac:dyDescent="0.35">
      <c r="A108" s="3587" t="s">
        <v>59</v>
      </c>
      <c r="B108" s="3593" t="s">
        <v>1708</v>
      </c>
      <c r="C108" s="3625">
        <v>0</v>
      </c>
      <c r="D108" s="3627">
        <v>0</v>
      </c>
      <c r="E108" s="3625">
        <v>0</v>
      </c>
      <c r="F108" s="3625">
        <v>0</v>
      </c>
      <c r="G108" s="3625">
        <v>0</v>
      </c>
      <c r="H108" s="3625">
        <v>0</v>
      </c>
      <c r="I108" s="3625">
        <v>0</v>
      </c>
      <c r="J108" s="3625">
        <v>1.5694834027130164E-2</v>
      </c>
      <c r="K108" s="3627">
        <v>0</v>
      </c>
      <c r="L108" s="3625">
        <v>0</v>
      </c>
      <c r="M108" s="3625">
        <v>0</v>
      </c>
      <c r="N108" s="3625">
        <v>0</v>
      </c>
      <c r="O108" s="3625">
        <v>0</v>
      </c>
      <c r="P108" s="3625">
        <v>0</v>
      </c>
      <c r="Q108" s="3625">
        <v>0</v>
      </c>
      <c r="R108" s="3625">
        <v>0</v>
      </c>
      <c r="S108" s="3625">
        <v>0</v>
      </c>
      <c r="T108" s="3625">
        <v>0</v>
      </c>
      <c r="U108" s="3625">
        <v>0</v>
      </c>
      <c r="V108" s="3625">
        <v>0</v>
      </c>
    </row>
    <row r="109" spans="1:22" s="3626" customFormat="1" ht="17.399999999999999" customHeight="1" x14ac:dyDescent="0.35">
      <c r="A109" s="3587" t="s">
        <v>52</v>
      </c>
      <c r="B109" s="3593" t="s">
        <v>1712</v>
      </c>
      <c r="C109" s="3625">
        <v>0</v>
      </c>
      <c r="D109" s="3627">
        <v>0</v>
      </c>
      <c r="E109" s="3625">
        <v>0</v>
      </c>
      <c r="F109" s="3625">
        <v>0</v>
      </c>
      <c r="G109" s="3625">
        <v>0</v>
      </c>
      <c r="H109" s="3625">
        <v>0</v>
      </c>
      <c r="I109" s="3625">
        <v>0</v>
      </c>
      <c r="J109" s="3625">
        <v>3.9397683369498367E-3</v>
      </c>
      <c r="K109" s="3627">
        <v>4.0713462720717861E-3</v>
      </c>
      <c r="L109" s="3625">
        <v>3.7566814862091224E-3</v>
      </c>
      <c r="M109" s="3625">
        <v>3.5133380868486433E-3</v>
      </c>
      <c r="N109" s="3625">
        <v>3.4855114003267272E-3</v>
      </c>
      <c r="O109" s="3625">
        <v>3.4862349559914734E-3</v>
      </c>
      <c r="P109" s="3625">
        <v>3.4707256233371961E-3</v>
      </c>
      <c r="Q109" s="3625">
        <v>2.7177071085173479</v>
      </c>
      <c r="R109" s="3625">
        <v>0</v>
      </c>
      <c r="S109" s="3625">
        <v>0</v>
      </c>
      <c r="T109" s="3625">
        <v>0</v>
      </c>
      <c r="U109" s="3625">
        <v>0</v>
      </c>
      <c r="V109" s="3625">
        <v>0</v>
      </c>
    </row>
    <row r="110" spans="1:22" s="3626" customFormat="1" ht="17.399999999999999" customHeight="1" x14ac:dyDescent="0.35">
      <c r="A110" s="3587" t="s">
        <v>61</v>
      </c>
      <c r="B110" s="3593" t="s">
        <v>1709</v>
      </c>
      <c r="C110" s="3625">
        <v>0</v>
      </c>
      <c r="D110" s="3627">
        <v>8.5889415090408427E-2</v>
      </c>
      <c r="E110" s="3625">
        <v>0</v>
      </c>
      <c r="F110" s="3625">
        <v>0</v>
      </c>
      <c r="G110" s="3625">
        <v>0</v>
      </c>
      <c r="H110" s="3625">
        <v>1.1341635568549326</v>
      </c>
      <c r="I110" s="3625">
        <v>1.1936533622074732</v>
      </c>
      <c r="J110" s="3625">
        <v>1.3459613278815077</v>
      </c>
      <c r="K110" s="3627">
        <v>1.2621173443422538</v>
      </c>
      <c r="L110" s="3625">
        <v>1.1767393622036393</v>
      </c>
      <c r="M110" s="3625">
        <v>1.0971758911813461</v>
      </c>
      <c r="N110" s="3625">
        <v>0.93731598945954087</v>
      </c>
      <c r="O110" s="3625">
        <v>0.92775431190190538</v>
      </c>
      <c r="P110" s="3625">
        <v>0.92362697957165085</v>
      </c>
      <c r="Q110" s="3625">
        <v>0</v>
      </c>
      <c r="R110" s="3625">
        <v>4.5088724715457535E-3</v>
      </c>
      <c r="S110" s="3625">
        <v>6.4091204707757603E-3</v>
      </c>
      <c r="T110" s="3625">
        <v>7.1962054408710287E-3</v>
      </c>
      <c r="U110" s="3625">
        <v>0.66343112195543874</v>
      </c>
      <c r="V110" s="3625">
        <v>0.67336697755034303</v>
      </c>
    </row>
    <row r="111" spans="1:22" s="3626" customFormat="1" ht="17.399999999999999" customHeight="1" x14ac:dyDescent="0.35">
      <c r="A111" s="3587" t="s">
        <v>52</v>
      </c>
      <c r="B111" s="3593" t="s">
        <v>1655</v>
      </c>
      <c r="C111" s="3625">
        <v>0</v>
      </c>
      <c r="D111" s="3627">
        <v>0</v>
      </c>
      <c r="E111" s="3625">
        <v>0</v>
      </c>
      <c r="F111" s="3625">
        <v>0</v>
      </c>
      <c r="G111" s="3625">
        <v>0</v>
      </c>
      <c r="H111" s="3625">
        <v>0</v>
      </c>
      <c r="I111" s="3625">
        <v>0</v>
      </c>
      <c r="J111" s="3625">
        <v>0</v>
      </c>
      <c r="K111" s="3627">
        <v>2.0809103168366906E-2</v>
      </c>
      <c r="L111" s="3625">
        <v>1.716244442671579E-2</v>
      </c>
      <c r="M111" s="3625">
        <v>4.249615280435326E-2</v>
      </c>
      <c r="N111" s="3625">
        <v>2.1790462113972793</v>
      </c>
      <c r="O111" s="3625">
        <v>5.7635199782428916</v>
      </c>
      <c r="P111" s="3625">
        <v>6.7879865939786432</v>
      </c>
      <c r="Q111" s="3625">
        <v>0.17978950245053091</v>
      </c>
      <c r="R111" s="3625">
        <v>0</v>
      </c>
      <c r="S111" s="3625">
        <v>0</v>
      </c>
      <c r="T111" s="3625">
        <v>0</v>
      </c>
      <c r="U111" s="3625">
        <v>0</v>
      </c>
      <c r="V111" s="3625">
        <v>0</v>
      </c>
    </row>
    <row r="112" spans="1:22" x14ac:dyDescent="0.25">
      <c r="A112" s="685" t="s">
        <v>48</v>
      </c>
      <c r="B112" s="686"/>
      <c r="C112" s="687" t="s">
        <v>48</v>
      </c>
      <c r="D112" s="687" t="s">
        <v>48</v>
      </c>
      <c r="E112" s="687" t="s">
        <v>48</v>
      </c>
      <c r="F112" s="687" t="s">
        <v>48</v>
      </c>
      <c r="G112" s="687" t="s">
        <v>48</v>
      </c>
      <c r="H112" s="687" t="s">
        <v>48</v>
      </c>
      <c r="I112" s="687" t="s">
        <v>48</v>
      </c>
      <c r="J112" s="687" t="s">
        <v>48</v>
      </c>
      <c r="K112" s="687" t="s">
        <v>48</v>
      </c>
      <c r="L112" s="687">
        <v>0</v>
      </c>
      <c r="M112" s="687"/>
      <c r="N112" s="687"/>
      <c r="O112" s="687"/>
      <c r="P112" s="687"/>
      <c r="Q112" s="687">
        <v>0</v>
      </c>
      <c r="R112" s="3224">
        <v>0</v>
      </c>
      <c r="S112" s="3224">
        <v>0</v>
      </c>
      <c r="T112" s="3224">
        <v>0</v>
      </c>
      <c r="U112" s="3224">
        <v>0</v>
      </c>
      <c r="V112" s="687">
        <v>0</v>
      </c>
    </row>
    <row r="113" spans="1:22" ht="17.399999999999999" customHeight="1" x14ac:dyDescent="0.25">
      <c r="A113" s="3588"/>
      <c r="B113" s="3591" t="s">
        <v>1657</v>
      </c>
      <c r="C113" s="3629">
        <v>1.323637374413995E-2</v>
      </c>
      <c r="D113" s="3630">
        <v>1.4077924125620131E-3</v>
      </c>
      <c r="E113" s="3629">
        <v>3.0883425196740406</v>
      </c>
      <c r="F113" s="3629">
        <v>3.0777495857497925</v>
      </c>
      <c r="G113" s="3629">
        <v>3.4775785394262342</v>
      </c>
      <c r="H113" s="3629">
        <v>3.4300307309042686</v>
      </c>
      <c r="I113" s="3629">
        <v>0.90787490346282695</v>
      </c>
      <c r="J113" s="3629">
        <v>0.9003998532715517</v>
      </c>
      <c r="K113" s="3630">
        <v>2.2390124148286339</v>
      </c>
      <c r="L113" s="3629">
        <v>0.90698637547958016</v>
      </c>
      <c r="M113" s="3629">
        <v>0.80868245025595431</v>
      </c>
      <c r="N113" s="3629">
        <v>0.88926560144812516</v>
      </c>
      <c r="O113" s="3629">
        <v>0.78140370837163997</v>
      </c>
      <c r="P113" s="3629">
        <v>0.80583718923521419</v>
      </c>
      <c r="Q113" s="3629">
        <v>1.7864707087328868</v>
      </c>
      <c r="R113" s="3629">
        <v>1.3709202624235033</v>
      </c>
      <c r="S113" s="3629">
        <v>2.3827347670096519</v>
      </c>
      <c r="T113" s="3629">
        <v>2.216994439056633</v>
      </c>
      <c r="U113" s="3629">
        <v>0.84774525377319632</v>
      </c>
      <c r="V113" s="3629">
        <v>0.85307918181418807</v>
      </c>
    </row>
    <row r="114" spans="1:22" s="3626" customFormat="1" ht="17.399999999999999" customHeight="1" x14ac:dyDescent="0.35">
      <c r="A114" s="3587" t="s">
        <v>77</v>
      </c>
      <c r="B114" s="3593" t="s">
        <v>1716</v>
      </c>
      <c r="C114" s="3625">
        <v>0</v>
      </c>
      <c r="D114" s="3627">
        <v>0</v>
      </c>
      <c r="E114" s="3625">
        <v>4.0507432415444231E-2</v>
      </c>
      <c r="F114" s="3625">
        <v>6.5188927683749565E-2</v>
      </c>
      <c r="G114" s="3625">
        <v>6.1778539610647672E-2</v>
      </c>
      <c r="H114" s="3625">
        <v>2.5758578641630555E-2</v>
      </c>
      <c r="I114" s="3625">
        <v>3.5073064668291604E-2</v>
      </c>
      <c r="J114" s="3625">
        <v>2.1968205186230157E-2</v>
      </c>
      <c r="K114" s="3627">
        <v>1.0091933675239955</v>
      </c>
      <c r="L114" s="3625">
        <v>1.722499836815805E-4</v>
      </c>
      <c r="M114" s="3625">
        <v>2.114415986793693E-4</v>
      </c>
      <c r="N114" s="3625">
        <v>8.877391626704248E-2</v>
      </c>
      <c r="O114" s="3625">
        <v>0.63772474878418384</v>
      </c>
      <c r="P114" s="3625">
        <v>0.51067648725196091</v>
      </c>
      <c r="Q114" s="3625">
        <v>0.98276306940160885</v>
      </c>
      <c r="R114" s="3625">
        <v>0.99702701551190365</v>
      </c>
      <c r="S114" s="3625">
        <v>1.2082232201868797</v>
      </c>
      <c r="T114" s="3625">
        <v>1.1951782439425827</v>
      </c>
      <c r="U114" s="3625">
        <v>0</v>
      </c>
      <c r="V114" s="3625">
        <v>0</v>
      </c>
    </row>
    <row r="115" spans="1:22" s="3626" customFormat="1" ht="17.399999999999999" customHeight="1" x14ac:dyDescent="0.35">
      <c r="A115" s="3587" t="s">
        <v>77</v>
      </c>
      <c r="B115" s="3593" t="s">
        <v>1717</v>
      </c>
      <c r="C115" s="3625">
        <v>0</v>
      </c>
      <c r="D115" s="3627">
        <v>0</v>
      </c>
      <c r="E115" s="3625">
        <v>0</v>
      </c>
      <c r="F115" s="3625">
        <v>0</v>
      </c>
      <c r="G115" s="3625">
        <v>0</v>
      </c>
      <c r="H115" s="3625">
        <v>0</v>
      </c>
      <c r="I115" s="3625">
        <v>0</v>
      </c>
      <c r="J115" s="3625">
        <v>8.7872820744920629E-2</v>
      </c>
      <c r="K115" s="3627">
        <v>4.8914344360923991E-2</v>
      </c>
      <c r="L115" s="3625">
        <v>1.4958551214453041E-4</v>
      </c>
      <c r="M115" s="3625">
        <v>8.7732961456786474E-4</v>
      </c>
      <c r="N115" s="3625">
        <v>1.9070043313714018E-2</v>
      </c>
      <c r="O115" s="3625">
        <v>1.1127607064080182E-3</v>
      </c>
      <c r="P115" s="3625">
        <v>1.1960636746969788E-2</v>
      </c>
      <c r="Q115" s="3625">
        <v>2.6736601721849457E-2</v>
      </c>
      <c r="R115" s="3625">
        <v>4.8283104840597717E-2</v>
      </c>
      <c r="S115" s="3625">
        <v>3.4695425102343531E-2</v>
      </c>
      <c r="T115" s="3625">
        <v>1.1897063300626882E-2</v>
      </c>
      <c r="U115" s="3625">
        <v>0</v>
      </c>
      <c r="V115" s="3625">
        <v>0</v>
      </c>
    </row>
    <row r="116" spans="1:22" s="3626" customFormat="1" ht="17.399999999999999" customHeight="1" x14ac:dyDescent="0.35">
      <c r="A116" s="3587" t="s">
        <v>77</v>
      </c>
      <c r="B116" s="3593" t="s">
        <v>1718</v>
      </c>
      <c r="C116" s="3625">
        <v>1.323637374413995E-2</v>
      </c>
      <c r="D116" s="3627">
        <v>1.4077924125620131E-3</v>
      </c>
      <c r="E116" s="3625">
        <v>0</v>
      </c>
      <c r="F116" s="3625">
        <v>0</v>
      </c>
      <c r="G116" s="3625">
        <v>0</v>
      </c>
      <c r="H116" s="3625">
        <v>0</v>
      </c>
      <c r="I116" s="3625">
        <v>0</v>
      </c>
      <c r="J116" s="3625">
        <v>0</v>
      </c>
      <c r="K116" s="3627">
        <v>0.20511655039690752</v>
      </c>
      <c r="L116" s="3625">
        <v>5.1382623421646206E-2</v>
      </c>
      <c r="M116" s="3625">
        <v>0.15031894382432029</v>
      </c>
      <c r="N116" s="3625">
        <v>0.32281174904122445</v>
      </c>
      <c r="O116" s="3625">
        <v>8.4110185244784655E-2</v>
      </c>
      <c r="P116" s="3625">
        <v>8.1476654325567277E-2</v>
      </c>
      <c r="Q116" s="3625">
        <v>1.4611411958878547E-2</v>
      </c>
      <c r="R116" s="3625">
        <v>3.0769011798994318E-2</v>
      </c>
      <c r="S116" s="3625">
        <v>2.5448858824088552E-2</v>
      </c>
      <c r="T116" s="3625">
        <v>5.8837718354403941E-2</v>
      </c>
      <c r="U116" s="3625">
        <v>0</v>
      </c>
      <c r="V116" s="3625">
        <v>0</v>
      </c>
    </row>
    <row r="117" spans="1:22" s="3626" customFormat="1" ht="17.399999999999999" customHeight="1" x14ac:dyDescent="0.35">
      <c r="A117" s="3587" t="s">
        <v>77</v>
      </c>
      <c r="B117" s="3593" t="s">
        <v>1744</v>
      </c>
      <c r="C117" s="3625">
        <v>0</v>
      </c>
      <c r="D117" s="3627">
        <v>0</v>
      </c>
      <c r="E117" s="3625">
        <v>0</v>
      </c>
      <c r="F117" s="3625">
        <v>0</v>
      </c>
      <c r="G117" s="3625">
        <v>0</v>
      </c>
      <c r="H117" s="3625">
        <v>0</v>
      </c>
      <c r="I117" s="3625">
        <v>0</v>
      </c>
      <c r="J117" s="3625">
        <v>0</v>
      </c>
      <c r="K117" s="3627">
        <v>0.12759101253185118</v>
      </c>
      <c r="L117" s="3625">
        <v>5.7686718982310835E-2</v>
      </c>
      <c r="M117" s="3625">
        <v>6.5937640030384714E-2</v>
      </c>
      <c r="N117" s="3625">
        <v>0.11121118638452189</v>
      </c>
      <c r="O117" s="3625">
        <v>5.8456013636263453E-2</v>
      </c>
      <c r="P117" s="3625">
        <v>2.5958624406845744E-2</v>
      </c>
      <c r="Q117" s="3625">
        <v>0</v>
      </c>
      <c r="R117" s="3625">
        <v>4.6788378488023266E-2</v>
      </c>
      <c r="S117" s="3625">
        <v>0</v>
      </c>
      <c r="T117" s="3625">
        <v>0</v>
      </c>
      <c r="U117" s="3625">
        <v>0</v>
      </c>
      <c r="V117" s="3625">
        <v>0</v>
      </c>
    </row>
    <row r="118" spans="1:22" s="3626" customFormat="1" ht="17.399999999999999" customHeight="1" x14ac:dyDescent="0.35">
      <c r="A118" s="3587" t="s">
        <v>107</v>
      </c>
      <c r="B118" s="3593" t="s">
        <v>1720</v>
      </c>
      <c r="C118" s="3625"/>
      <c r="D118" s="3627"/>
      <c r="E118" s="3625"/>
      <c r="F118" s="3625"/>
      <c r="G118" s="3625"/>
      <c r="H118" s="3625"/>
      <c r="I118" s="3625">
        <v>0.87280183879453532</v>
      </c>
      <c r="J118" s="3625">
        <v>0.79055882734040084</v>
      </c>
      <c r="K118" s="3627">
        <v>0.84819714001495539</v>
      </c>
      <c r="L118" s="3625">
        <v>0.79759519757979702</v>
      </c>
      <c r="M118" s="3625">
        <v>0.59133709518800215</v>
      </c>
      <c r="N118" s="3625">
        <v>0.34739870644162235</v>
      </c>
      <c r="O118" s="3625">
        <v>0</v>
      </c>
      <c r="P118" s="3625">
        <v>0.17576478650387056</v>
      </c>
      <c r="Q118" s="3625">
        <v>0.76235962565055015</v>
      </c>
      <c r="R118" s="3625">
        <v>0.24805275178398431</v>
      </c>
      <c r="S118" s="3625">
        <v>1.1143672628963401</v>
      </c>
      <c r="T118" s="3625">
        <v>0.95108141345901975</v>
      </c>
      <c r="U118" s="3625">
        <v>0.84774525377319632</v>
      </c>
      <c r="V118" s="3625">
        <v>0.85307918181418807</v>
      </c>
    </row>
    <row r="119" spans="1:22" ht="38.4" x14ac:dyDescent="0.25">
      <c r="A119" s="3571" t="s">
        <v>1740</v>
      </c>
      <c r="B119" s="3571" t="s">
        <v>1745</v>
      </c>
      <c r="C119" s="3631">
        <v>125.47225443335793</v>
      </c>
      <c r="D119" s="3631">
        <v>131.73366913875014</v>
      </c>
      <c r="E119" s="3631">
        <v>137.34375538353089</v>
      </c>
      <c r="F119" s="3631">
        <v>121.40731429015268</v>
      </c>
      <c r="G119" s="3631">
        <v>97.039994227855843</v>
      </c>
      <c r="H119" s="3631">
        <v>92.54248026593892</v>
      </c>
      <c r="I119" s="3631">
        <v>134.84432105989191</v>
      </c>
      <c r="J119" s="3631">
        <v>129.01453180954869</v>
      </c>
      <c r="K119" s="3631">
        <v>114.41848172485753</v>
      </c>
      <c r="L119" s="3631">
        <v>112.86158737100031</v>
      </c>
      <c r="M119" s="3631">
        <v>108.50865848361552</v>
      </c>
      <c r="N119" s="3631">
        <v>114.20686227409453</v>
      </c>
      <c r="O119" s="3631">
        <v>110.83678108371574</v>
      </c>
      <c r="P119" s="3631">
        <v>119.86702066859513</v>
      </c>
      <c r="Q119" s="3631">
        <v>104.56663451349566</v>
      </c>
      <c r="R119" s="3631">
        <v>98.13821689803838</v>
      </c>
      <c r="S119" s="3631">
        <v>96.645233697860533</v>
      </c>
      <c r="T119" s="3631">
        <v>95.638240414393522</v>
      </c>
      <c r="U119" s="3631">
        <v>78.330898337187108</v>
      </c>
      <c r="V119" s="3631">
        <v>80.902697558684707</v>
      </c>
    </row>
    <row r="120" spans="1:22" s="676" customFormat="1" ht="6.75" customHeight="1" thickBot="1" x14ac:dyDescent="0.3">
      <c r="A120" s="688"/>
      <c r="B120" s="688"/>
      <c r="C120" s="690"/>
      <c r="D120" s="691"/>
      <c r="E120" s="691"/>
      <c r="F120" s="691"/>
      <c r="G120" s="691"/>
      <c r="H120" s="691"/>
      <c r="I120" s="691"/>
      <c r="J120" s="691"/>
      <c r="K120" s="691"/>
      <c r="L120" s="691"/>
      <c r="M120" s="691"/>
      <c r="N120" s="691"/>
      <c r="O120" s="692"/>
      <c r="P120" s="691"/>
      <c r="Q120" s="691"/>
      <c r="R120" s="691"/>
      <c r="S120" s="691"/>
      <c r="T120" s="691"/>
      <c r="U120" s="691"/>
      <c r="V120" s="691"/>
    </row>
    <row r="121" spans="1:22" ht="13.8" x14ac:dyDescent="0.3">
      <c r="A121" s="3541" t="s">
        <v>1663</v>
      </c>
      <c r="B121" s="3541"/>
      <c r="C121" s="3541"/>
      <c r="D121" s="3541"/>
      <c r="E121" s="3541"/>
      <c r="F121" s="3541"/>
      <c r="G121" s="3541"/>
      <c r="H121" s="3541"/>
      <c r="I121" s="3541"/>
      <c r="J121" s="3541"/>
      <c r="K121" s="3541"/>
      <c r="L121" s="3541"/>
      <c r="M121" s="3541"/>
      <c r="N121" s="3541"/>
      <c r="O121" s="3541"/>
      <c r="P121" s="3541"/>
      <c r="Q121" s="3541"/>
      <c r="R121" s="3541"/>
      <c r="S121" s="3541"/>
      <c r="T121" s="3541"/>
      <c r="U121" s="3541"/>
      <c r="V121" s="3541"/>
    </row>
    <row r="122" spans="1:22" ht="13.8" x14ac:dyDescent="0.3">
      <c r="A122" s="3614" t="s">
        <v>1748</v>
      </c>
      <c r="B122" s="693"/>
      <c r="O122" s="669"/>
      <c r="Q122" s="682"/>
    </row>
    <row r="123" spans="1:22" ht="13.8" x14ac:dyDescent="0.3">
      <c r="A123" s="3614" t="s">
        <v>1749</v>
      </c>
      <c r="B123" s="693"/>
      <c r="O123" s="669"/>
      <c r="Q123" s="682"/>
    </row>
    <row r="124" spans="1:22" ht="13.8" x14ac:dyDescent="0.3">
      <c r="A124" s="3614" t="s">
        <v>1750</v>
      </c>
      <c r="B124" s="693"/>
      <c r="O124" s="669"/>
      <c r="Q124" s="682"/>
    </row>
    <row r="125" spans="1:22" ht="13.8" x14ac:dyDescent="0.3">
      <c r="A125" s="3614" t="s">
        <v>1751</v>
      </c>
      <c r="B125" s="693"/>
      <c r="O125" s="669"/>
      <c r="Q125" s="682"/>
    </row>
    <row r="126" spans="1:22" ht="21.75" customHeight="1" x14ac:dyDescent="0.3">
      <c r="A126" s="3614" t="s">
        <v>1752</v>
      </c>
      <c r="B126" s="693"/>
      <c r="O126" s="669"/>
      <c r="Q126" s="682"/>
    </row>
    <row r="127" spans="1:22" ht="13.8" x14ac:dyDescent="0.3">
      <c r="A127" s="3614" t="s">
        <v>1746</v>
      </c>
      <c r="B127" s="3615"/>
      <c r="C127" s="3304"/>
      <c r="D127" s="3304"/>
      <c r="E127" s="3304"/>
      <c r="F127" s="3304"/>
      <c r="G127" s="3304"/>
      <c r="H127" s="3304"/>
      <c r="I127" s="3304"/>
      <c r="J127" s="3304"/>
      <c r="K127" s="3304"/>
      <c r="L127" s="3304"/>
      <c r="M127" s="3304"/>
      <c r="N127" s="3304"/>
      <c r="O127" s="3304"/>
      <c r="P127" s="3304"/>
      <c r="Q127" s="3616"/>
      <c r="R127" s="3304"/>
      <c r="S127" s="3304"/>
      <c r="T127" s="3304"/>
      <c r="U127" s="3304"/>
    </row>
    <row r="128" spans="1:22" x14ac:dyDescent="0.25">
      <c r="A128" s="3555" t="s">
        <v>1747</v>
      </c>
      <c r="B128" s="3617"/>
      <c r="C128" s="3617"/>
      <c r="D128" s="3617"/>
      <c r="E128" s="3617"/>
      <c r="F128" s="3617"/>
      <c r="G128" s="3617"/>
      <c r="H128" s="3617"/>
      <c r="I128" s="3617"/>
      <c r="J128" s="3617"/>
      <c r="K128" s="3617"/>
      <c r="L128" s="3617"/>
      <c r="M128" s="3617"/>
      <c r="N128" s="3617"/>
      <c r="O128" s="3617"/>
      <c r="P128" s="3617"/>
      <c r="Q128" s="3618"/>
      <c r="R128" s="3617"/>
      <c r="S128" s="3617"/>
      <c r="T128" s="3617"/>
      <c r="U128" s="3617"/>
    </row>
    <row r="129" spans="1:22" ht="13.8" x14ac:dyDescent="0.3">
      <c r="A129" s="3540" t="s">
        <v>1754</v>
      </c>
      <c r="B129" s="3641"/>
      <c r="C129" s="3637"/>
      <c r="D129" s="3637"/>
      <c r="E129" s="3637"/>
      <c r="F129" s="3637"/>
      <c r="G129" s="3637"/>
      <c r="H129" s="3637"/>
      <c r="I129" s="3637"/>
      <c r="J129" s="3637"/>
      <c r="K129" s="3637"/>
      <c r="L129" s="3637"/>
      <c r="M129" s="3637"/>
      <c r="N129" s="3637"/>
      <c r="O129" s="3637"/>
      <c r="P129" s="3637"/>
      <c r="Q129" s="3637"/>
      <c r="R129" s="3637"/>
      <c r="S129" s="3637"/>
      <c r="T129" s="3637"/>
      <c r="U129" s="3637"/>
    </row>
    <row r="130" spans="1:22" ht="15" thickBot="1" x14ac:dyDescent="0.35">
      <c r="A130" s="3563"/>
      <c r="B130" s="3563"/>
      <c r="C130" s="3563"/>
      <c r="D130" s="3563"/>
      <c r="E130" s="3563"/>
      <c r="F130" s="3563"/>
      <c r="G130" s="3563"/>
      <c r="H130" s="3563"/>
      <c r="I130" s="3563"/>
      <c r="J130" s="3563"/>
      <c r="K130" s="3563"/>
      <c r="L130" s="3563"/>
      <c r="M130" s="3563"/>
      <c r="N130" s="3563"/>
      <c r="O130" s="3563"/>
      <c r="P130" s="3563"/>
      <c r="Q130" s="3563"/>
      <c r="R130" s="3563"/>
      <c r="S130" s="3563"/>
      <c r="T130" s="3563"/>
      <c r="U130" s="3563"/>
    </row>
    <row r="131" spans="1:22" ht="19.8" thickTop="1" x14ac:dyDescent="0.45">
      <c r="A131" s="3564"/>
      <c r="B131" s="3564"/>
      <c r="C131" s="3564"/>
      <c r="D131" s="3564"/>
      <c r="E131" s="3564"/>
      <c r="F131" s="3564"/>
      <c r="G131" s="3564"/>
      <c r="H131" s="3564"/>
      <c r="I131" s="3564"/>
      <c r="J131" s="3564"/>
      <c r="K131" s="3564"/>
      <c r="L131" s="3564"/>
      <c r="M131" s="3564"/>
      <c r="N131" s="3564"/>
      <c r="O131" s="3564"/>
      <c r="P131" s="3564"/>
      <c r="Q131" s="3564"/>
      <c r="R131" s="3564"/>
      <c r="S131" s="3564"/>
      <c r="T131" s="3564"/>
      <c r="U131" s="3564"/>
      <c r="V131" s="3564"/>
    </row>
  </sheetData>
  <mergeCells count="1">
    <mergeCell ref="M2:P2"/>
  </mergeCells>
  <phoneticPr fontId="154" type="noConversion"/>
  <pageMargins left="0.75" right="0.75" top="1" bottom="1" header="0" footer="0"/>
  <pageSetup paperSize="9" scale="56" orientation="landscape" r:id="rId1"/>
  <headerFooter alignWithMargins="0"/>
  <colBreaks count="1" manualBreakCount="1">
    <brk id="11"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37">
    <tabColor rgb="FFCC99FF"/>
    <pageSetUpPr fitToPage="1"/>
  </sheetPr>
  <dimension ref="A1:Z13"/>
  <sheetViews>
    <sheetView topLeftCell="B1" workbookViewId="0"/>
  </sheetViews>
  <sheetFormatPr baseColWidth="10" defaultColWidth="11.44140625" defaultRowHeight="13.2" x14ac:dyDescent="0.25"/>
  <cols>
    <col min="1" max="1" width="35" style="694" customWidth="1"/>
    <col min="2" max="22" width="7.88671875" style="694" customWidth="1"/>
    <col min="23" max="23" width="7.88671875" style="3226" customWidth="1"/>
    <col min="24" max="25" width="7.88671875" style="694" customWidth="1"/>
    <col min="26" max="16384" width="11.44140625" style="694"/>
  </cols>
  <sheetData>
    <row r="1" spans="1:26" s="3238" customFormat="1" ht="36" customHeight="1" thickTop="1" x14ac:dyDescent="0.55000000000000004">
      <c r="A1" s="3642" t="s">
        <v>1789</v>
      </c>
      <c r="B1" s="3543"/>
      <c r="C1" s="3543"/>
      <c r="D1" s="3543"/>
      <c r="E1" s="3543"/>
      <c r="F1" s="3543"/>
      <c r="G1" s="3543"/>
      <c r="H1" s="3543"/>
      <c r="I1" s="3543"/>
      <c r="J1" s="3543"/>
      <c r="K1" s="3543"/>
      <c r="L1" s="3543"/>
      <c r="M1" s="3543"/>
      <c r="N1" s="3543"/>
      <c r="O1" s="3543"/>
      <c r="P1" s="3543"/>
      <c r="Q1" s="3543"/>
      <c r="R1" s="3543"/>
      <c r="S1" s="3543"/>
      <c r="T1" s="3543"/>
      <c r="U1" s="3543"/>
    </row>
    <row r="2" spans="1:26" s="3238" customFormat="1" ht="24.9" customHeight="1" x14ac:dyDescent="0.25">
      <c r="A2" s="3544" t="s">
        <v>1676</v>
      </c>
      <c r="B2" s="3567"/>
      <c r="C2" s="3567"/>
      <c r="D2" s="3567"/>
      <c r="E2" s="3632"/>
      <c r="F2" s="3568"/>
      <c r="G2" s="3568"/>
      <c r="H2" s="3568"/>
      <c r="I2" s="3568"/>
      <c r="J2" s="3568"/>
      <c r="K2" s="3568"/>
      <c r="L2" s="3568"/>
      <c r="M2" s="3846"/>
      <c r="N2" s="3846"/>
      <c r="O2" s="3846"/>
      <c r="P2" s="3846"/>
      <c r="Q2" s="3568"/>
      <c r="R2" s="3568"/>
      <c r="S2" s="3569"/>
      <c r="T2" s="3569"/>
      <c r="U2" s="3569"/>
      <c r="V2" s="3569"/>
      <c r="W2" s="3569"/>
      <c r="X2" s="3569"/>
    </row>
    <row r="3" spans="1:26" ht="27" customHeight="1" x14ac:dyDescent="0.25">
      <c r="A3" s="3571" t="s">
        <v>1680</v>
      </c>
      <c r="B3" s="3571">
        <v>2000</v>
      </c>
      <c r="C3" s="3571">
        <v>2001</v>
      </c>
      <c r="D3" s="3571">
        <v>2002</v>
      </c>
      <c r="E3" s="3571">
        <v>2003</v>
      </c>
      <c r="F3" s="3571">
        <v>2004</v>
      </c>
      <c r="G3" s="3571">
        <v>2005</v>
      </c>
      <c r="H3" s="3571">
        <v>2006</v>
      </c>
      <c r="I3" s="3571">
        <v>2007</v>
      </c>
      <c r="J3" s="3571">
        <v>2008</v>
      </c>
      <c r="K3" s="3571">
        <v>2009</v>
      </c>
      <c r="L3" s="3571">
        <v>2010</v>
      </c>
      <c r="M3" s="3571">
        <v>2011</v>
      </c>
      <c r="N3" s="3571">
        <v>2012</v>
      </c>
      <c r="O3" s="3571">
        <v>2013</v>
      </c>
      <c r="P3" s="3571">
        <v>2014</v>
      </c>
      <c r="Q3" s="3571">
        <v>2015</v>
      </c>
      <c r="R3" s="3571">
        <v>2016</v>
      </c>
      <c r="S3" s="3571">
        <v>2017</v>
      </c>
      <c r="T3" s="3571">
        <v>2018</v>
      </c>
      <c r="U3" s="3571">
        <v>2019</v>
      </c>
      <c r="V3" s="3571">
        <v>2020</v>
      </c>
      <c r="W3" s="3571">
        <v>2021</v>
      </c>
      <c r="X3" s="3571">
        <v>2022</v>
      </c>
      <c r="Y3" s="3571">
        <v>2023</v>
      </c>
      <c r="Z3" s="3571">
        <v>2024</v>
      </c>
    </row>
    <row r="4" spans="1:26" ht="17.25" customHeight="1" x14ac:dyDescent="0.25">
      <c r="A4" s="3633" t="s">
        <v>1661</v>
      </c>
      <c r="B4" s="3570" t="s">
        <v>452</v>
      </c>
      <c r="C4" s="3570" t="s">
        <v>452</v>
      </c>
      <c r="D4" s="3570" t="s">
        <v>452</v>
      </c>
      <c r="E4" s="3570">
        <v>550.82753175913297</v>
      </c>
      <c r="F4" s="3570">
        <v>568.24059409626852</v>
      </c>
      <c r="G4" s="3570">
        <v>550.10466378901606</v>
      </c>
      <c r="H4" s="3570">
        <v>558.62050229094746</v>
      </c>
      <c r="I4" s="3570">
        <v>570.13703385024542</v>
      </c>
      <c r="J4" s="3570">
        <v>542.42364296070537</v>
      </c>
      <c r="K4" s="3570">
        <v>511.12034674818972</v>
      </c>
      <c r="L4" s="3570">
        <v>491.52011629998253</v>
      </c>
      <c r="M4" s="3570">
        <v>485.86983150669749</v>
      </c>
      <c r="N4" s="3570">
        <v>475.57261595716886</v>
      </c>
      <c r="O4" s="3570">
        <v>462.35447156528426</v>
      </c>
      <c r="P4" s="3570">
        <v>473.73680925843672</v>
      </c>
      <c r="Q4" s="3570">
        <v>465.60912170901554</v>
      </c>
      <c r="R4" s="3570">
        <v>478.81149339807251</v>
      </c>
      <c r="S4" s="3570">
        <v>476.2623270519436</v>
      </c>
      <c r="T4" s="3570">
        <v>488.9392807206454</v>
      </c>
      <c r="U4" s="3570">
        <v>474.62179948878492</v>
      </c>
      <c r="V4" s="3570">
        <v>450.52394195921363</v>
      </c>
      <c r="W4" s="3570">
        <v>457.66070105351343</v>
      </c>
      <c r="X4" s="3570">
        <v>448.52667908732582</v>
      </c>
      <c r="Y4" s="3570">
        <v>426.52294131137779</v>
      </c>
      <c r="Z4" s="3570">
        <v>434.08154704673524</v>
      </c>
    </row>
    <row r="5" spans="1:26" ht="19.2" x14ac:dyDescent="0.25">
      <c r="A5" s="3634" t="s">
        <v>185</v>
      </c>
      <c r="B5" s="3611" t="s">
        <v>452</v>
      </c>
      <c r="C5" s="3611" t="s">
        <v>452</v>
      </c>
      <c r="D5" s="3611" t="s">
        <v>452</v>
      </c>
      <c r="E5" s="3611">
        <v>584.088675705578</v>
      </c>
      <c r="F5" s="3611">
        <v>583.14286491707821</v>
      </c>
      <c r="G5" s="3611">
        <v>528.31031809145134</v>
      </c>
      <c r="H5" s="3611">
        <v>541.33376911805124</v>
      </c>
      <c r="I5" s="3611">
        <v>548.55640668074079</v>
      </c>
      <c r="J5" s="3611">
        <v>499.22988901645607</v>
      </c>
      <c r="K5" s="3611">
        <v>492.02084333282869</v>
      </c>
      <c r="L5" s="3611">
        <v>463.94364195400499</v>
      </c>
      <c r="M5" s="3611">
        <v>442.65863112979639</v>
      </c>
      <c r="N5" s="3611">
        <v>411.83420068227997</v>
      </c>
      <c r="O5" s="3611">
        <v>386.84749332839078</v>
      </c>
      <c r="P5" s="3611">
        <v>397.67231813354186</v>
      </c>
      <c r="Q5" s="3611">
        <v>413.59410947612616</v>
      </c>
      <c r="R5" s="3611">
        <v>411.15153578722254</v>
      </c>
      <c r="S5" s="3611">
        <v>426.9314017950424</v>
      </c>
      <c r="T5" s="3611">
        <v>440.5691123159645</v>
      </c>
      <c r="U5" s="3611">
        <v>429.53824167794312</v>
      </c>
      <c r="V5" s="3611">
        <v>411.12940682661031</v>
      </c>
      <c r="W5" s="3611">
        <v>404.11067776803992</v>
      </c>
      <c r="X5" s="3611">
        <v>400.09014915881016</v>
      </c>
      <c r="Y5" s="3611">
        <v>383.91216424626356</v>
      </c>
      <c r="Z5" s="3611">
        <v>394.75346340538078</v>
      </c>
    </row>
    <row r="6" spans="1:26" ht="19.2" x14ac:dyDescent="0.25">
      <c r="A6" s="3634" t="s">
        <v>182</v>
      </c>
      <c r="B6" s="3611" t="s">
        <v>452</v>
      </c>
      <c r="C6" s="3611" t="s">
        <v>452</v>
      </c>
      <c r="D6" s="3611" t="s">
        <v>452</v>
      </c>
      <c r="E6" s="3611">
        <v>542.05879542688342</v>
      </c>
      <c r="F6" s="3611">
        <v>565</v>
      </c>
      <c r="G6" s="3611">
        <v>557.34677204022739</v>
      </c>
      <c r="H6" s="3611">
        <v>560.89272658249206</v>
      </c>
      <c r="I6" s="3611">
        <v>579.19005543399999</v>
      </c>
      <c r="J6" s="3611">
        <v>551.9986239452636</v>
      </c>
      <c r="K6" s="3611">
        <v>517.04772390223911</v>
      </c>
      <c r="L6" s="3611">
        <v>504.04321827550359</v>
      </c>
      <c r="M6" s="3611">
        <v>490.75913263207593</v>
      </c>
      <c r="N6" s="3611">
        <v>475.84091102073069</v>
      </c>
      <c r="O6" s="3611">
        <v>466.2321443134644</v>
      </c>
      <c r="P6" s="3611">
        <v>460.83096247759937</v>
      </c>
      <c r="Q6" s="3611">
        <v>449.36276060930214</v>
      </c>
      <c r="R6" s="3611">
        <v>464.28586139857072</v>
      </c>
      <c r="S6" s="3611">
        <v>478.3834507948286</v>
      </c>
      <c r="T6" s="3611">
        <v>486.36675722272679</v>
      </c>
      <c r="U6" s="3611">
        <v>496.44962051686872</v>
      </c>
      <c r="V6" s="3611">
        <v>474.196326791275</v>
      </c>
      <c r="W6" s="3611">
        <v>479.25012191903085</v>
      </c>
      <c r="X6" s="3611">
        <v>471.81240509534388</v>
      </c>
      <c r="Y6" s="3611">
        <v>432.78201018991359</v>
      </c>
      <c r="Z6" s="3611">
        <v>442.2787282147213</v>
      </c>
    </row>
    <row r="7" spans="1:26" ht="19.2" x14ac:dyDescent="0.25">
      <c r="A7" s="3635" t="s">
        <v>184</v>
      </c>
      <c r="B7" s="3636" t="s">
        <v>452</v>
      </c>
      <c r="C7" s="3636" t="s">
        <v>452</v>
      </c>
      <c r="D7" s="3636" t="s">
        <v>452</v>
      </c>
      <c r="E7" s="3636">
        <v>551.03282022433859</v>
      </c>
      <c r="F7" s="3636">
        <v>566</v>
      </c>
      <c r="G7" s="3636">
        <v>547.7930676738182</v>
      </c>
      <c r="H7" s="3636">
        <v>562.54801312940845</v>
      </c>
      <c r="I7" s="3636">
        <v>564.83799153334178</v>
      </c>
      <c r="J7" s="3636">
        <v>546.03531313952965</v>
      </c>
      <c r="K7" s="3636">
        <v>510.01832749309597</v>
      </c>
      <c r="L7" s="3636">
        <v>483.4929826133843</v>
      </c>
      <c r="M7" s="3636">
        <v>497.4479801450284</v>
      </c>
      <c r="N7" s="3636">
        <v>504.20852465582186</v>
      </c>
      <c r="O7" s="3636">
        <v>490.21175907818269</v>
      </c>
      <c r="P7" s="3636">
        <v>528.92790560078049</v>
      </c>
      <c r="Q7" s="3636">
        <v>515.30202415093606</v>
      </c>
      <c r="R7" s="3636">
        <v>515.78472934699789</v>
      </c>
      <c r="S7" s="3636">
        <v>495.26655014348046</v>
      </c>
      <c r="T7" s="3636">
        <v>515.09152907097007</v>
      </c>
      <c r="U7" s="3636">
        <v>460.45543858535046</v>
      </c>
      <c r="V7" s="3636">
        <v>430.82510912597513</v>
      </c>
      <c r="W7" s="3636">
        <v>447.89654572686078</v>
      </c>
      <c r="X7" s="3636">
        <v>433.86089478339204</v>
      </c>
      <c r="Y7" s="3636">
        <v>436.27817109091825</v>
      </c>
      <c r="Z7" s="3636">
        <v>439.27449620334619</v>
      </c>
    </row>
    <row r="8" spans="1:26" s="3226" customFormat="1" ht="13.8" thickBot="1" x14ac:dyDescent="0.3"/>
    <row r="9" spans="1:26" ht="13.8" x14ac:dyDescent="0.3">
      <c r="A9" s="3541" t="s">
        <v>1663</v>
      </c>
      <c r="B9" s="3541"/>
      <c r="C9" s="3541"/>
      <c r="D9" s="3541"/>
      <c r="E9" s="3541"/>
      <c r="F9" s="3541"/>
      <c r="G9" s="3541"/>
      <c r="H9" s="3541"/>
      <c r="I9" s="3541"/>
      <c r="J9" s="3541"/>
      <c r="K9" s="3541"/>
      <c r="L9" s="3541"/>
      <c r="M9" s="3541"/>
      <c r="N9" s="3541"/>
      <c r="O9" s="3541"/>
      <c r="P9" s="3541"/>
      <c r="Q9" s="3541"/>
      <c r="R9" s="3541"/>
      <c r="S9" s="3541"/>
      <c r="T9" s="3541"/>
      <c r="U9" s="3541"/>
      <c r="V9" s="3541"/>
      <c r="W9" s="3541"/>
      <c r="X9" s="3541"/>
      <c r="Y9" s="3541"/>
      <c r="Z9" s="3541"/>
    </row>
    <row r="10" spans="1:26" ht="13.8" x14ac:dyDescent="0.3">
      <c r="A10" s="3540" t="s">
        <v>1754</v>
      </c>
      <c r="E10" s="695"/>
      <c r="F10" s="695"/>
      <c r="G10" s="696"/>
      <c r="H10" s="696"/>
      <c r="I10" s="696"/>
      <c r="J10" s="696"/>
      <c r="K10" s="696"/>
      <c r="L10" s="696"/>
      <c r="M10" s="696"/>
      <c r="N10" s="696"/>
      <c r="O10" s="696"/>
      <c r="P10" s="696"/>
    </row>
    <row r="11" spans="1:26" s="3638" customFormat="1" ht="13.8" x14ac:dyDescent="0.3">
      <c r="A11" s="3540" t="s">
        <v>1679</v>
      </c>
    </row>
    <row r="12" spans="1:26" ht="15" thickBot="1" x14ac:dyDescent="0.35">
      <c r="A12" s="3540"/>
      <c r="B12" s="3563"/>
      <c r="C12" s="3563"/>
      <c r="D12" s="3563"/>
      <c r="E12" s="3563"/>
      <c r="F12" s="3563"/>
      <c r="G12" s="3563"/>
      <c r="H12" s="3563"/>
      <c r="I12" s="3563"/>
      <c r="J12" s="3563"/>
      <c r="K12" s="3563"/>
      <c r="L12" s="3563"/>
      <c r="M12" s="3563"/>
      <c r="N12" s="3563"/>
      <c r="O12" s="3563"/>
      <c r="P12" s="3563"/>
      <c r="Q12" s="3563"/>
      <c r="R12" s="3563"/>
      <c r="S12" s="3563"/>
      <c r="T12" s="3563"/>
      <c r="U12" s="3563"/>
      <c r="V12" s="3563"/>
      <c r="W12" s="3563"/>
      <c r="X12" s="3563"/>
      <c r="Y12" s="3563"/>
      <c r="Z12" s="3563"/>
    </row>
    <row r="13" spans="1:26" ht="19.8" thickTop="1" x14ac:dyDescent="0.45">
      <c r="A13" s="3564"/>
      <c r="B13" s="3564"/>
      <c r="C13" s="3564"/>
      <c r="D13" s="3564"/>
      <c r="E13" s="3564"/>
      <c r="F13" s="3564"/>
      <c r="G13" s="3564"/>
      <c r="H13" s="3564"/>
      <c r="I13" s="3564"/>
      <c r="J13" s="3564"/>
      <c r="K13" s="3564"/>
      <c r="L13" s="3564"/>
      <c r="M13" s="3564"/>
      <c r="N13" s="3564"/>
      <c r="O13" s="3564"/>
      <c r="P13" s="3564"/>
      <c r="Q13" s="3564"/>
      <c r="R13" s="3564"/>
      <c r="S13" s="3564"/>
      <c r="T13" s="3564"/>
      <c r="U13" s="3564"/>
      <c r="V13" s="3564"/>
      <c r="W13" s="3564"/>
      <c r="X13" s="3564"/>
      <c r="Y13" s="3564"/>
      <c r="Z13" s="3564"/>
    </row>
  </sheetData>
  <mergeCells count="1">
    <mergeCell ref="M2:P2"/>
  </mergeCells>
  <pageMargins left="0.75" right="0.75" top="1" bottom="1" header="0" footer="0"/>
  <pageSetup paperSize="9" scale="73"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8">
    <tabColor rgb="FFCC99FF"/>
    <pageSetUpPr fitToPage="1"/>
  </sheetPr>
  <dimension ref="A1:Z13"/>
  <sheetViews>
    <sheetView workbookViewId="0"/>
  </sheetViews>
  <sheetFormatPr baseColWidth="10" defaultColWidth="11.44140625" defaultRowHeight="13.2" x14ac:dyDescent="0.25"/>
  <cols>
    <col min="1" max="1" width="35.109375" style="694" customWidth="1"/>
    <col min="2" max="25" width="8.5546875" style="694" customWidth="1"/>
    <col min="26" max="16384" width="11.44140625" style="694"/>
  </cols>
  <sheetData>
    <row r="1" spans="1:26" s="3238" customFormat="1" ht="36" customHeight="1" thickTop="1" x14ac:dyDescent="0.55000000000000004">
      <c r="A1" s="3642" t="s">
        <v>1790</v>
      </c>
      <c r="B1" s="3543"/>
      <c r="C1" s="3543"/>
      <c r="D1" s="3543"/>
      <c r="E1" s="3543"/>
      <c r="F1" s="3543"/>
      <c r="G1" s="3543"/>
      <c r="H1" s="3543"/>
      <c r="I1" s="3543"/>
      <c r="J1" s="3543"/>
      <c r="K1" s="3543"/>
      <c r="L1" s="3543"/>
      <c r="M1" s="3543"/>
      <c r="N1" s="3543"/>
      <c r="O1" s="3543"/>
      <c r="P1" s="3543"/>
      <c r="Q1" s="3543"/>
      <c r="R1" s="3543"/>
      <c r="S1" s="3543"/>
      <c r="T1" s="3543"/>
      <c r="U1" s="3543"/>
      <c r="V1" s="3543"/>
      <c r="W1" s="3543"/>
      <c r="X1" s="3543"/>
    </row>
    <row r="2" spans="1:26" s="3238" customFormat="1" ht="24.9" customHeight="1" x14ac:dyDescent="0.25">
      <c r="A2" s="3544" t="s">
        <v>1676</v>
      </c>
      <c r="B2" s="3567"/>
      <c r="C2" s="3567"/>
      <c r="D2" s="3567"/>
      <c r="E2" s="3632"/>
      <c r="F2" s="3568"/>
      <c r="G2" s="3568"/>
      <c r="H2" s="3568"/>
      <c r="I2" s="3568"/>
      <c r="J2" s="3568"/>
      <c r="K2" s="3568"/>
      <c r="L2" s="3568"/>
      <c r="M2" s="3846"/>
      <c r="N2" s="3846"/>
      <c r="O2" s="3846"/>
      <c r="P2" s="3846"/>
      <c r="Q2" s="3568"/>
      <c r="R2" s="3568"/>
      <c r="S2" s="3569"/>
      <c r="T2" s="3569"/>
      <c r="U2" s="3569"/>
      <c r="V2" s="3569"/>
      <c r="W2" s="3569"/>
      <c r="X2" s="3569"/>
    </row>
    <row r="3" spans="1:26" ht="27" customHeight="1" x14ac:dyDescent="0.25">
      <c r="A3" s="3571" t="s">
        <v>1680</v>
      </c>
      <c r="B3" s="3571">
        <v>2000</v>
      </c>
      <c r="C3" s="3571">
        <v>2001</v>
      </c>
      <c r="D3" s="3571">
        <v>2002</v>
      </c>
      <c r="E3" s="3571">
        <v>2003</v>
      </c>
      <c r="F3" s="3571">
        <v>2004</v>
      </c>
      <c r="G3" s="3571">
        <v>2005</v>
      </c>
      <c r="H3" s="3571">
        <v>2006</v>
      </c>
      <c r="I3" s="3571">
        <v>2007</v>
      </c>
      <c r="J3" s="3571">
        <v>2008</v>
      </c>
      <c r="K3" s="3571">
        <v>2009</v>
      </c>
      <c r="L3" s="3571">
        <v>2010</v>
      </c>
      <c r="M3" s="3571">
        <v>2011</v>
      </c>
      <c r="N3" s="3571">
        <v>2012</v>
      </c>
      <c r="O3" s="3571">
        <v>2013</v>
      </c>
      <c r="P3" s="3571">
        <v>2014</v>
      </c>
      <c r="Q3" s="3571">
        <v>2015</v>
      </c>
      <c r="R3" s="3571">
        <v>2016</v>
      </c>
      <c r="S3" s="3571">
        <v>2017</v>
      </c>
      <c r="T3" s="3571">
        <v>2018</v>
      </c>
      <c r="U3" s="3571">
        <v>2019</v>
      </c>
      <c r="V3" s="3571">
        <v>2020</v>
      </c>
      <c r="W3" s="3571">
        <v>2021</v>
      </c>
      <c r="X3" s="3571">
        <v>2022</v>
      </c>
      <c r="Y3" s="3571">
        <v>2023</v>
      </c>
      <c r="Z3" s="3571">
        <v>2024</v>
      </c>
    </row>
    <row r="4" spans="1:26" ht="17.25" customHeight="1" x14ac:dyDescent="0.25">
      <c r="A4" s="3633" t="s">
        <v>1661</v>
      </c>
      <c r="B4" s="3570" t="s">
        <v>452</v>
      </c>
      <c r="C4" s="3570" t="s">
        <v>452</v>
      </c>
      <c r="D4" s="3570" t="s">
        <v>452</v>
      </c>
      <c r="E4" s="3570">
        <v>550.82753175913297</v>
      </c>
      <c r="F4" s="3570">
        <v>568.24059409626852</v>
      </c>
      <c r="G4" s="3570">
        <v>550.10466378901606</v>
      </c>
      <c r="H4" s="3570">
        <v>558.62050229094746</v>
      </c>
      <c r="I4" s="3570">
        <v>570.13703385024542</v>
      </c>
      <c r="J4" s="3570">
        <v>542.42364296070537</v>
      </c>
      <c r="K4" s="3570">
        <v>511.12034674818972</v>
      </c>
      <c r="L4" s="3570">
        <v>491.52011629998253</v>
      </c>
      <c r="M4" s="3570">
        <v>485.86983150669749</v>
      </c>
      <c r="N4" s="3570">
        <v>475.57261595716886</v>
      </c>
      <c r="O4" s="3570">
        <v>462.35447156528426</v>
      </c>
      <c r="P4" s="3570">
        <v>473.73680925843672</v>
      </c>
      <c r="Q4" s="3570">
        <v>465.60912170901554</v>
      </c>
      <c r="R4" s="3570">
        <v>478.81149339807251</v>
      </c>
      <c r="S4" s="3570">
        <v>476.2623270519436</v>
      </c>
      <c r="T4" s="3570">
        <v>488.9392807206454</v>
      </c>
      <c r="U4" s="3570">
        <v>474.62179948878492</v>
      </c>
      <c r="V4" s="3570">
        <v>450.52394195921363</v>
      </c>
      <c r="W4" s="3570">
        <v>457.66070105351343</v>
      </c>
      <c r="X4" s="3570">
        <v>448.52667908732582</v>
      </c>
      <c r="Y4" s="3570">
        <v>426.52294131137779</v>
      </c>
      <c r="Z4" s="3570">
        <v>434.08154704673524</v>
      </c>
    </row>
    <row r="5" spans="1:26" ht="19.2" x14ac:dyDescent="0.25">
      <c r="A5" s="3634" t="s">
        <v>185</v>
      </c>
      <c r="B5" s="3611" t="s">
        <v>452</v>
      </c>
      <c r="C5" s="3611" t="s">
        <v>452</v>
      </c>
      <c r="D5" s="3611" t="s">
        <v>452</v>
      </c>
      <c r="E5" s="3611">
        <v>584.088675705578</v>
      </c>
      <c r="F5" s="3611">
        <v>583.14286491707821</v>
      </c>
      <c r="G5" s="3611">
        <v>528.31031809145134</v>
      </c>
      <c r="H5" s="3611">
        <v>541.33376911805124</v>
      </c>
      <c r="I5" s="3611">
        <v>548.55640668074079</v>
      </c>
      <c r="J5" s="3611">
        <v>499.22988901645607</v>
      </c>
      <c r="K5" s="3611">
        <v>492.02084333282869</v>
      </c>
      <c r="L5" s="3611">
        <v>463.94364195400499</v>
      </c>
      <c r="M5" s="3611">
        <v>442.65863112979639</v>
      </c>
      <c r="N5" s="3611">
        <v>411.83420068227997</v>
      </c>
      <c r="O5" s="3611">
        <v>386.84749332839078</v>
      </c>
      <c r="P5" s="3611">
        <v>397.67231813354186</v>
      </c>
      <c r="Q5" s="3611">
        <v>413.59410947612616</v>
      </c>
      <c r="R5" s="3611">
        <v>411.15153578722254</v>
      </c>
      <c r="S5" s="3611">
        <v>426.9314017950424</v>
      </c>
      <c r="T5" s="3611">
        <v>440.5691123159645</v>
      </c>
      <c r="U5" s="3611">
        <v>429.53824167794312</v>
      </c>
      <c r="V5" s="3611">
        <v>411.12940682661031</v>
      </c>
      <c r="W5" s="3611">
        <v>404.11067776803992</v>
      </c>
      <c r="X5" s="3611">
        <v>400.09014915881016</v>
      </c>
      <c r="Y5" s="3611">
        <v>383.91216424626356</v>
      </c>
      <c r="Z5" s="3611">
        <v>394.75346340538078</v>
      </c>
    </row>
    <row r="6" spans="1:26" ht="19.2" x14ac:dyDescent="0.25">
      <c r="A6" s="3634" t="s">
        <v>182</v>
      </c>
      <c r="B6" s="3611" t="s">
        <v>452</v>
      </c>
      <c r="C6" s="3611" t="s">
        <v>452</v>
      </c>
      <c r="D6" s="3611" t="s">
        <v>452</v>
      </c>
      <c r="E6" s="3611">
        <v>542.05879542688342</v>
      </c>
      <c r="F6" s="3611">
        <v>565</v>
      </c>
      <c r="G6" s="3611">
        <v>557.34677204022739</v>
      </c>
      <c r="H6" s="3611">
        <v>560.89272658249206</v>
      </c>
      <c r="I6" s="3611">
        <v>579.19005543399999</v>
      </c>
      <c r="J6" s="3611">
        <v>551.9986239452636</v>
      </c>
      <c r="K6" s="3611">
        <v>517.04772390223911</v>
      </c>
      <c r="L6" s="3611">
        <v>504.04321827550359</v>
      </c>
      <c r="M6" s="3611">
        <v>490.75913263207593</v>
      </c>
      <c r="N6" s="3611">
        <v>475.84091102073069</v>
      </c>
      <c r="O6" s="3611">
        <v>466.2321443134644</v>
      </c>
      <c r="P6" s="3611">
        <v>460.83096247759937</v>
      </c>
      <c r="Q6" s="3611">
        <v>449.36276060930214</v>
      </c>
      <c r="R6" s="3611">
        <v>464.28586139857072</v>
      </c>
      <c r="S6" s="3611">
        <v>478.3834507948286</v>
      </c>
      <c r="T6" s="3611">
        <v>486.36675722272679</v>
      </c>
      <c r="U6" s="3611">
        <v>496.44962051686872</v>
      </c>
      <c r="V6" s="3611">
        <v>474.196326791275</v>
      </c>
      <c r="W6" s="3611">
        <v>479.25012191903085</v>
      </c>
      <c r="X6" s="3611">
        <v>471.81240509534388</v>
      </c>
      <c r="Y6" s="3611">
        <v>432.78201018991359</v>
      </c>
      <c r="Z6" s="3611">
        <v>442.2787282147213</v>
      </c>
    </row>
    <row r="7" spans="1:26" ht="19.2" x14ac:dyDescent="0.25">
      <c r="A7" s="3635" t="s">
        <v>184</v>
      </c>
      <c r="B7" s="3636" t="s">
        <v>452</v>
      </c>
      <c r="C7" s="3636" t="s">
        <v>452</v>
      </c>
      <c r="D7" s="3636" t="s">
        <v>452</v>
      </c>
      <c r="E7" s="3636">
        <v>551.03282022433859</v>
      </c>
      <c r="F7" s="3636">
        <v>566</v>
      </c>
      <c r="G7" s="3636">
        <v>547.7930676738182</v>
      </c>
      <c r="H7" s="3636">
        <v>562.54801312940845</v>
      </c>
      <c r="I7" s="3636">
        <v>564.83799153334178</v>
      </c>
      <c r="J7" s="3636">
        <v>546.03531313952965</v>
      </c>
      <c r="K7" s="3636">
        <v>510.01832749309597</v>
      </c>
      <c r="L7" s="3636">
        <v>483.4929826133843</v>
      </c>
      <c r="M7" s="3636">
        <v>497.4479801450284</v>
      </c>
      <c r="N7" s="3636">
        <v>504.20852465582186</v>
      </c>
      <c r="O7" s="3636">
        <v>490.21175907818269</v>
      </c>
      <c r="P7" s="3636">
        <v>528.92790560078049</v>
      </c>
      <c r="Q7" s="3636">
        <v>515.30202415093606</v>
      </c>
      <c r="R7" s="3636">
        <v>515.78472934699789</v>
      </c>
      <c r="S7" s="3636">
        <v>495.26655014348046</v>
      </c>
      <c r="T7" s="3636">
        <v>515.09152907097007</v>
      </c>
      <c r="U7" s="3636">
        <v>460.45543858535046</v>
      </c>
      <c r="V7" s="3636">
        <v>430.82510912597513</v>
      </c>
      <c r="W7" s="3636">
        <v>447.89654572686078</v>
      </c>
      <c r="X7" s="3636">
        <v>433.86089478339204</v>
      </c>
      <c r="Y7" s="3636">
        <v>436.27817109091825</v>
      </c>
      <c r="Z7" s="3636">
        <v>439.27449620334619</v>
      </c>
    </row>
    <row r="8" spans="1:26" ht="13.8" thickBot="1" x14ac:dyDescent="0.3">
      <c r="A8" s="3226"/>
      <c r="B8" s="3226"/>
      <c r="C8" s="3226"/>
      <c r="D8" s="3226"/>
      <c r="E8" s="3226"/>
      <c r="F8" s="3226"/>
      <c r="G8" s="3226"/>
      <c r="H8" s="3226"/>
      <c r="I8" s="3226"/>
      <c r="J8" s="3226"/>
      <c r="K8" s="3226"/>
      <c r="L8" s="3226"/>
      <c r="M8" s="3226"/>
      <c r="N8" s="3226"/>
      <c r="O8" s="3226"/>
      <c r="P8" s="3226"/>
      <c r="Q8" s="3226"/>
      <c r="R8" s="3226"/>
      <c r="S8" s="3226"/>
      <c r="T8" s="3226"/>
      <c r="U8" s="3226"/>
      <c r="V8" s="3226"/>
      <c r="W8" s="3226"/>
      <c r="X8" s="3226"/>
      <c r="Y8" s="3226"/>
      <c r="Z8" s="3226"/>
    </row>
    <row r="9" spans="1:26" ht="13.8" x14ac:dyDescent="0.3">
      <c r="A9" s="3541" t="s">
        <v>1663</v>
      </c>
      <c r="B9" s="3541"/>
      <c r="C9" s="3541"/>
      <c r="D9" s="3541"/>
      <c r="E9" s="3541"/>
      <c r="F9" s="3541"/>
      <c r="G9" s="3541"/>
      <c r="H9" s="3541"/>
      <c r="I9" s="3541"/>
      <c r="J9" s="3541"/>
      <c r="K9" s="3541"/>
      <c r="L9" s="3541"/>
      <c r="M9" s="3541"/>
      <c r="N9" s="3541"/>
      <c r="O9" s="3541"/>
      <c r="P9" s="3541"/>
      <c r="Q9" s="3541"/>
      <c r="R9" s="3541"/>
      <c r="S9" s="3541"/>
      <c r="T9" s="3541"/>
      <c r="U9" s="3541"/>
      <c r="V9" s="3541"/>
      <c r="W9" s="3541"/>
      <c r="X9" s="3541"/>
      <c r="Y9" s="3541"/>
      <c r="Z9" s="3541"/>
    </row>
    <row r="10" spans="1:26" ht="13.8" x14ac:dyDescent="0.3">
      <c r="A10" s="3540" t="s">
        <v>1754</v>
      </c>
      <c r="E10" s="695"/>
      <c r="F10" s="695"/>
      <c r="G10" s="696"/>
      <c r="H10" s="696"/>
      <c r="I10" s="696"/>
      <c r="J10" s="696"/>
      <c r="K10" s="696"/>
      <c r="L10" s="696"/>
      <c r="M10" s="696"/>
      <c r="N10" s="696"/>
      <c r="O10" s="696"/>
      <c r="P10" s="696"/>
      <c r="W10" s="3226"/>
    </row>
    <row r="11" spans="1:26" ht="14.4" x14ac:dyDescent="0.3">
      <c r="A11" s="3540" t="s">
        <v>1679</v>
      </c>
      <c r="B11" s="3563"/>
      <c r="C11" s="3563"/>
      <c r="D11" s="3563"/>
      <c r="E11" s="3563"/>
      <c r="F11" s="3563"/>
      <c r="G11" s="3563"/>
      <c r="H11" s="3563"/>
      <c r="I11" s="3563"/>
      <c r="J11" s="3563"/>
      <c r="K11" s="3563"/>
      <c r="L11" s="3563"/>
      <c r="M11" s="3563"/>
      <c r="N11" s="3563"/>
      <c r="O11" s="3563"/>
      <c r="P11" s="3563"/>
      <c r="Q11" s="3563"/>
      <c r="R11" s="3563"/>
      <c r="S11" s="3563"/>
      <c r="T11" s="3563"/>
      <c r="U11" s="3563"/>
      <c r="V11" s="3563"/>
      <c r="W11" s="3563"/>
      <c r="X11" s="3563"/>
      <c r="Y11" s="3563"/>
      <c r="Z11" s="3563"/>
    </row>
    <row r="12" spans="1:26" ht="14.4" thickBot="1" x14ac:dyDescent="0.35">
      <c r="A12" s="3540"/>
      <c r="B12" s="3540"/>
      <c r="C12" s="3540"/>
      <c r="D12" s="3540"/>
      <c r="E12" s="3540"/>
      <c r="F12" s="3540"/>
      <c r="G12" s="3540"/>
      <c r="H12" s="3540"/>
      <c r="I12" s="3540"/>
      <c r="J12" s="3540"/>
      <c r="K12" s="3540"/>
      <c r="L12" s="3540"/>
      <c r="M12" s="3540"/>
      <c r="N12" s="3540"/>
      <c r="O12" s="3540"/>
      <c r="P12" s="3540"/>
      <c r="Q12" s="3540"/>
      <c r="R12" s="3540"/>
      <c r="S12" s="3540"/>
      <c r="T12" s="3540"/>
      <c r="U12" s="3540"/>
      <c r="V12" s="3540"/>
      <c r="W12" s="3540"/>
      <c r="X12" s="3540"/>
      <c r="Y12" s="3540"/>
      <c r="Z12" s="3540"/>
    </row>
    <row r="13" spans="1:26" ht="19.8" thickTop="1" x14ac:dyDescent="0.45">
      <c r="A13" s="3564"/>
      <c r="B13" s="3564"/>
      <c r="C13" s="3564"/>
      <c r="D13" s="3564"/>
      <c r="E13" s="3564"/>
      <c r="F13" s="3564"/>
      <c r="G13" s="3564"/>
      <c r="H13" s="3564"/>
      <c r="I13" s="3564"/>
      <c r="J13" s="3564"/>
      <c r="K13" s="3564"/>
      <c r="L13" s="3564"/>
      <c r="M13" s="3564"/>
      <c r="N13" s="3564"/>
      <c r="O13" s="3564"/>
      <c r="P13" s="3564"/>
      <c r="Q13" s="3564"/>
      <c r="R13" s="3564"/>
      <c r="S13" s="3564"/>
      <c r="T13" s="3564"/>
      <c r="U13" s="3564"/>
      <c r="V13" s="3564"/>
      <c r="W13" s="3564"/>
      <c r="X13" s="3564"/>
      <c r="Y13" s="3564"/>
      <c r="Z13" s="3564"/>
    </row>
  </sheetData>
  <mergeCells count="1">
    <mergeCell ref="M2:P2"/>
  </mergeCells>
  <pageMargins left="0.75" right="0.75" top="1" bottom="1" header="0" footer="0"/>
  <pageSetup paperSize="9" scale="6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9">
    <tabColor rgb="FFCC99FF"/>
    <pageSetUpPr fitToPage="1"/>
  </sheetPr>
  <dimension ref="A1:Z13"/>
  <sheetViews>
    <sheetView topLeftCell="D1" workbookViewId="0"/>
  </sheetViews>
  <sheetFormatPr baseColWidth="10" defaultColWidth="11.44140625" defaultRowHeight="13.2" x14ac:dyDescent="0.25"/>
  <cols>
    <col min="1" max="1" width="35.109375" style="694" customWidth="1"/>
    <col min="2" max="24" width="8.88671875" style="694" customWidth="1"/>
    <col min="25" max="25" width="9.33203125" style="694" customWidth="1"/>
    <col min="26" max="16384" width="11.44140625" style="694"/>
  </cols>
  <sheetData>
    <row r="1" spans="1:26" s="3238" customFormat="1" ht="36" customHeight="1" thickTop="1" x14ac:dyDescent="0.55000000000000004">
      <c r="A1" s="3642" t="s">
        <v>1791</v>
      </c>
      <c r="B1" s="3543"/>
      <c r="C1" s="3543"/>
      <c r="D1" s="3543"/>
      <c r="E1" s="3543"/>
      <c r="F1" s="3543"/>
      <c r="G1" s="3543"/>
      <c r="H1" s="3543"/>
      <c r="I1" s="3543"/>
      <c r="J1" s="3543"/>
      <c r="K1" s="3543"/>
      <c r="L1" s="3543"/>
      <c r="M1" s="3543"/>
      <c r="N1" s="3543"/>
      <c r="O1" s="3543"/>
      <c r="P1" s="3543"/>
      <c r="Q1" s="3543"/>
      <c r="R1" s="3543"/>
      <c r="S1" s="3543"/>
      <c r="T1" s="3543"/>
      <c r="U1" s="3543"/>
      <c r="V1" s="3543"/>
      <c r="W1" s="3543"/>
      <c r="X1" s="3543"/>
    </row>
    <row r="2" spans="1:26" s="3238" customFormat="1" ht="24.9" customHeight="1" x14ac:dyDescent="0.25">
      <c r="A2" s="3544" t="s">
        <v>1676</v>
      </c>
      <c r="B2" s="3567"/>
      <c r="C2" s="3567"/>
      <c r="D2" s="3567"/>
      <c r="E2" s="3632"/>
      <c r="F2" s="3568"/>
      <c r="G2" s="3568"/>
      <c r="H2" s="3568"/>
      <c r="I2" s="3568"/>
      <c r="J2" s="3568"/>
      <c r="K2" s="3568"/>
      <c r="L2" s="3568"/>
      <c r="M2" s="3846"/>
      <c r="N2" s="3846"/>
      <c r="O2" s="3846"/>
      <c r="P2" s="3846"/>
      <c r="Q2" s="3568"/>
      <c r="R2" s="3568"/>
      <c r="S2" s="3569"/>
      <c r="T2" s="3569"/>
      <c r="U2" s="3569"/>
      <c r="V2" s="3569"/>
      <c r="W2" s="3569"/>
      <c r="X2" s="3569"/>
    </row>
    <row r="3" spans="1:26" ht="27" customHeight="1" x14ac:dyDescent="0.25">
      <c r="A3" s="3571" t="s">
        <v>1680</v>
      </c>
      <c r="B3" s="3571">
        <v>2000</v>
      </c>
      <c r="C3" s="3571">
        <v>2001</v>
      </c>
      <c r="D3" s="3571">
        <v>2002</v>
      </c>
      <c r="E3" s="3571">
        <v>2003</v>
      </c>
      <c r="F3" s="3571">
        <v>2004</v>
      </c>
      <c r="G3" s="3571">
        <v>2005</v>
      </c>
      <c r="H3" s="3571">
        <v>2006</v>
      </c>
      <c r="I3" s="3571">
        <v>2007</v>
      </c>
      <c r="J3" s="3571">
        <v>2008</v>
      </c>
      <c r="K3" s="3571">
        <v>2009</v>
      </c>
      <c r="L3" s="3571">
        <v>2010</v>
      </c>
      <c r="M3" s="3571">
        <v>2011</v>
      </c>
      <c r="N3" s="3571">
        <v>2012</v>
      </c>
      <c r="O3" s="3571">
        <v>2013</v>
      </c>
      <c r="P3" s="3571">
        <v>2014</v>
      </c>
      <c r="Q3" s="3571">
        <v>2015</v>
      </c>
      <c r="R3" s="3571">
        <v>2016</v>
      </c>
      <c r="S3" s="3571">
        <v>2017</v>
      </c>
      <c r="T3" s="3571">
        <v>2018</v>
      </c>
      <c r="U3" s="3571">
        <v>2019</v>
      </c>
      <c r="V3" s="3571">
        <v>2020</v>
      </c>
      <c r="W3" s="3571">
        <v>2021</v>
      </c>
      <c r="X3" s="3571">
        <v>2022</v>
      </c>
      <c r="Y3" s="3571">
        <v>2023</v>
      </c>
      <c r="Z3" s="3571">
        <v>2024</v>
      </c>
    </row>
    <row r="4" spans="1:26" ht="17.25" customHeight="1" x14ac:dyDescent="0.25">
      <c r="A4" s="3633" t="s">
        <v>1661</v>
      </c>
      <c r="B4" s="3570" t="s">
        <v>452</v>
      </c>
      <c r="C4" s="3570" t="s">
        <v>452</v>
      </c>
      <c r="D4" s="3570" t="s">
        <v>452</v>
      </c>
      <c r="E4" s="3570">
        <v>403.46467618842559</v>
      </c>
      <c r="F4" s="3570">
        <v>367.87633220737507</v>
      </c>
      <c r="G4" s="3570">
        <v>307.84353999912599</v>
      </c>
      <c r="H4" s="3570">
        <v>292.82318204788402</v>
      </c>
      <c r="I4" s="3570">
        <v>284.90595631526298</v>
      </c>
      <c r="J4" s="3570">
        <v>262.683695879509</v>
      </c>
      <c r="K4" s="3570">
        <v>246.35499999999999</v>
      </c>
      <c r="L4" s="3570">
        <v>243.34</v>
      </c>
      <c r="M4" s="3570">
        <v>226.38300660569547</v>
      </c>
      <c r="N4" s="3570">
        <v>240.13949812099381</v>
      </c>
      <c r="O4" s="3570">
        <v>202</v>
      </c>
      <c r="P4" s="3570">
        <v>188.86422832117412</v>
      </c>
      <c r="Q4" s="3570">
        <v>160.71532640903607</v>
      </c>
      <c r="R4" s="3570">
        <v>170.54989476855286</v>
      </c>
      <c r="S4" s="3570">
        <v>165.21974480474159</v>
      </c>
      <c r="T4" s="3570">
        <v>168.1344494061224</v>
      </c>
      <c r="U4" s="3570">
        <v>142.2252670770734</v>
      </c>
      <c r="V4" s="3570">
        <v>86.396273159773543</v>
      </c>
      <c r="W4" s="3570">
        <v>90.986211558206591</v>
      </c>
      <c r="X4" s="3570">
        <v>76.029567900350798</v>
      </c>
      <c r="Y4" s="3570">
        <v>88.894652848839712</v>
      </c>
      <c r="Z4" s="3570">
        <v>89.616691291337546</v>
      </c>
    </row>
    <row r="5" spans="1:26" ht="19.2" x14ac:dyDescent="0.25">
      <c r="A5" s="3634" t="s">
        <v>185</v>
      </c>
      <c r="B5" s="3611" t="s">
        <v>452</v>
      </c>
      <c r="C5" s="3611" t="s">
        <v>452</v>
      </c>
      <c r="D5" s="3611" t="s">
        <v>452</v>
      </c>
      <c r="E5" s="3611">
        <v>426</v>
      </c>
      <c r="F5" s="3611">
        <v>416.94579215508799</v>
      </c>
      <c r="G5" s="3611">
        <v>387.83777334102501</v>
      </c>
      <c r="H5" s="3611">
        <v>395.79541418157697</v>
      </c>
      <c r="I5" s="3611">
        <v>400.15911447934798</v>
      </c>
      <c r="J5" s="3611">
        <v>351.25583644193102</v>
      </c>
      <c r="K5" s="3611">
        <v>345.7</v>
      </c>
      <c r="L5" s="3611">
        <v>353.20400000000001</v>
      </c>
      <c r="M5" s="3611">
        <v>337.77093464687982</v>
      </c>
      <c r="N5" s="3611">
        <v>325.06892380259109</v>
      </c>
      <c r="O5" s="3611">
        <v>283</v>
      </c>
      <c r="P5" s="3611">
        <v>216.07835810830599</v>
      </c>
      <c r="Q5" s="3611">
        <v>185.55435013802722</v>
      </c>
      <c r="R5" s="3611">
        <v>161.41508902559906</v>
      </c>
      <c r="S5" s="3611">
        <v>187.1718305111161</v>
      </c>
      <c r="T5" s="3611">
        <v>212.74950305763943</v>
      </c>
      <c r="U5" s="3611">
        <v>217.37505939114638</v>
      </c>
      <c r="V5" s="3611">
        <v>214.47830720499502</v>
      </c>
      <c r="W5" s="3611">
        <v>216.42744746570531</v>
      </c>
      <c r="X5" s="3611">
        <v>194.87693952735091</v>
      </c>
      <c r="Y5" s="3611">
        <v>209.16974143066744</v>
      </c>
      <c r="Z5" s="3611">
        <v>199.17317536286993</v>
      </c>
    </row>
    <row r="6" spans="1:26" ht="19.2" x14ac:dyDescent="0.25">
      <c r="A6" s="3634" t="s">
        <v>182</v>
      </c>
      <c r="B6" s="3611" t="s">
        <v>452</v>
      </c>
      <c r="C6" s="3611" t="s">
        <v>452</v>
      </c>
      <c r="D6" s="3611" t="s">
        <v>452</v>
      </c>
      <c r="E6" s="3611">
        <v>393.40125320467314</v>
      </c>
      <c r="F6" s="3611">
        <v>325.19422665238903</v>
      </c>
      <c r="G6" s="3611">
        <v>236.924908099536</v>
      </c>
      <c r="H6" s="3611">
        <v>201.90452831256502</v>
      </c>
      <c r="I6" s="3611">
        <v>183.68420876876601</v>
      </c>
      <c r="J6" s="3611">
        <v>176.96127855158099</v>
      </c>
      <c r="K6" s="3611">
        <v>161.256</v>
      </c>
      <c r="L6" s="3611">
        <v>170.54</v>
      </c>
      <c r="M6" s="3611">
        <v>147.94091665610904</v>
      </c>
      <c r="N6" s="3611">
        <v>153.36947613501965</v>
      </c>
      <c r="O6" s="3611">
        <v>141</v>
      </c>
      <c r="P6" s="3611">
        <v>123.73898880121385</v>
      </c>
      <c r="Q6" s="3611">
        <v>96.026441946653591</v>
      </c>
      <c r="R6" s="3611">
        <v>119.69616930705787</v>
      </c>
      <c r="S6" s="3611">
        <v>109.18471840642854</v>
      </c>
      <c r="T6" s="3611">
        <v>113.16932453483706</v>
      </c>
      <c r="U6" s="3611">
        <v>100.59617907609807</v>
      </c>
      <c r="V6" s="3611">
        <v>84.323147892339236</v>
      </c>
      <c r="W6" s="3611">
        <v>95.870964560879628</v>
      </c>
      <c r="X6" s="3611">
        <v>73.619425286059894</v>
      </c>
      <c r="Y6" s="3611">
        <v>91.813844765372437</v>
      </c>
      <c r="Z6" s="3611">
        <v>95.989622040003681</v>
      </c>
    </row>
    <row r="7" spans="1:26" ht="19.2" x14ac:dyDescent="0.25">
      <c r="A7" s="3635" t="s">
        <v>184</v>
      </c>
      <c r="B7" s="3636" t="s">
        <v>452</v>
      </c>
      <c r="C7" s="3636" t="s">
        <v>452</v>
      </c>
      <c r="D7" s="3636" t="s">
        <v>452</v>
      </c>
      <c r="E7" s="3636">
        <v>410.44056295218559</v>
      </c>
      <c r="F7" s="3636">
        <v>416.84708023572409</v>
      </c>
      <c r="G7" s="3636">
        <v>386.25032464683704</v>
      </c>
      <c r="H7" s="3636">
        <v>396.54082261194901</v>
      </c>
      <c r="I7" s="3636">
        <v>400.10515850060199</v>
      </c>
      <c r="J7" s="3636">
        <v>364.09101463777603</v>
      </c>
      <c r="K7" s="3636">
        <v>341.68</v>
      </c>
      <c r="L7" s="3636">
        <v>312.73</v>
      </c>
      <c r="M7" s="3636">
        <v>304.48045303934998</v>
      </c>
      <c r="N7" s="3636">
        <v>342.62624749611456</v>
      </c>
      <c r="O7" s="3636">
        <v>263</v>
      </c>
      <c r="P7" s="3636">
        <v>283.07770138986899</v>
      </c>
      <c r="Q7" s="3636">
        <v>253.16891105545767</v>
      </c>
      <c r="R7" s="3636">
        <v>253.97382661438994</v>
      </c>
      <c r="S7" s="3636">
        <v>244.45733353838335</v>
      </c>
      <c r="T7" s="3636">
        <v>233.93679218356195</v>
      </c>
      <c r="U7" s="3636">
        <v>173.37193721127596</v>
      </c>
      <c r="V7" s="3636">
        <v>30.998556387602559</v>
      </c>
      <c r="W7" s="3636">
        <v>25.596137036427258</v>
      </c>
      <c r="X7" s="3636">
        <v>25.017283970614084</v>
      </c>
      <c r="Y7" s="3636">
        <v>28.643505737591497</v>
      </c>
      <c r="Z7" s="3636">
        <v>28.679971467367263</v>
      </c>
    </row>
    <row r="8" spans="1:26" ht="13.8" thickBot="1" x14ac:dyDescent="0.3">
      <c r="A8" s="3226"/>
      <c r="B8" s="3226"/>
      <c r="C8" s="3226"/>
      <c r="D8" s="3226"/>
      <c r="E8" s="3226"/>
      <c r="F8" s="3226"/>
      <c r="G8" s="3226"/>
      <c r="H8" s="3226"/>
      <c r="I8" s="3226"/>
      <c r="J8" s="3226"/>
      <c r="K8" s="3226"/>
      <c r="L8" s="3226"/>
      <c r="M8" s="3226"/>
      <c r="N8" s="3226"/>
      <c r="O8" s="3226"/>
      <c r="P8" s="3226"/>
      <c r="Q8" s="3226"/>
      <c r="R8" s="3226"/>
      <c r="S8" s="3226"/>
      <c r="T8" s="3226"/>
      <c r="U8" s="3226"/>
      <c r="V8" s="3226"/>
      <c r="W8" s="3226"/>
      <c r="X8" s="3226"/>
      <c r="Y8" s="3226"/>
      <c r="Z8" s="3226"/>
    </row>
    <row r="9" spans="1:26" ht="13.8" x14ac:dyDescent="0.3">
      <c r="A9" s="3541" t="s">
        <v>1663</v>
      </c>
      <c r="B9" s="3541"/>
      <c r="C9" s="3541"/>
      <c r="D9" s="3541"/>
      <c r="E9" s="3541"/>
      <c r="F9" s="3541"/>
      <c r="G9" s="3541"/>
      <c r="H9" s="3541"/>
      <c r="I9" s="3541"/>
      <c r="J9" s="3541"/>
      <c r="K9" s="3541"/>
      <c r="L9" s="3541"/>
      <c r="M9" s="3541"/>
      <c r="N9" s="3541"/>
      <c r="O9" s="3541"/>
      <c r="P9" s="3541"/>
      <c r="Q9" s="3541"/>
      <c r="R9" s="3541"/>
      <c r="S9" s="3541"/>
      <c r="T9" s="3541"/>
      <c r="U9" s="3541"/>
      <c r="V9" s="3541"/>
      <c r="W9" s="3541"/>
      <c r="X9" s="3541"/>
      <c r="Y9" s="3541"/>
      <c r="Z9" s="3541"/>
    </row>
    <row r="10" spans="1:26" ht="13.8" x14ac:dyDescent="0.3">
      <c r="A10" s="3540" t="s">
        <v>1754</v>
      </c>
      <c r="E10" s="695"/>
      <c r="F10" s="695"/>
      <c r="G10" s="696"/>
      <c r="H10" s="696"/>
      <c r="I10" s="696"/>
      <c r="J10" s="696"/>
      <c r="K10" s="696"/>
      <c r="L10" s="696"/>
      <c r="M10" s="696"/>
      <c r="N10" s="696"/>
      <c r="O10" s="696"/>
      <c r="P10" s="696"/>
      <c r="W10" s="3226"/>
    </row>
    <row r="11" spans="1:26" ht="14.4" x14ac:dyDescent="0.3">
      <c r="A11" s="3540" t="s">
        <v>1679</v>
      </c>
      <c r="B11" s="3563"/>
      <c r="C11" s="3563"/>
      <c r="D11" s="3563"/>
      <c r="E11" s="3563"/>
      <c r="F11" s="3563"/>
      <c r="G11" s="3563"/>
      <c r="H11" s="3563"/>
      <c r="I11" s="3563"/>
      <c r="J11" s="3563"/>
      <c r="K11" s="3563"/>
      <c r="L11" s="3563"/>
      <c r="M11" s="3563"/>
      <c r="N11" s="3563"/>
      <c r="O11" s="3563"/>
      <c r="P11" s="3563"/>
      <c r="Q11" s="3563"/>
      <c r="R11" s="3563"/>
      <c r="S11" s="3563"/>
      <c r="T11" s="3563"/>
      <c r="U11" s="3563"/>
      <c r="V11" s="3563"/>
      <c r="W11" s="3563"/>
      <c r="X11" s="3563"/>
      <c r="Y11" s="3563"/>
      <c r="Z11" s="3563"/>
    </row>
    <row r="12" spans="1:26" ht="14.4" thickBot="1" x14ac:dyDescent="0.35">
      <c r="A12" s="3540"/>
      <c r="B12" s="3540"/>
      <c r="C12" s="3540"/>
      <c r="D12" s="3540"/>
      <c r="E12" s="3540"/>
      <c r="F12" s="3540"/>
      <c r="G12" s="3540"/>
      <c r="H12" s="3540"/>
      <c r="I12" s="3540"/>
      <c r="J12" s="3540"/>
      <c r="K12" s="3540"/>
      <c r="L12" s="3540"/>
      <c r="M12" s="3540"/>
      <c r="N12" s="3540"/>
      <c r="O12" s="3540"/>
      <c r="P12" s="3540"/>
      <c r="Q12" s="3540"/>
      <c r="R12" s="3540"/>
      <c r="S12" s="3540"/>
      <c r="T12" s="3540"/>
      <c r="U12" s="3540"/>
      <c r="V12" s="3540"/>
      <c r="W12" s="3540"/>
      <c r="X12" s="3540"/>
      <c r="Y12" s="3540"/>
      <c r="Z12" s="3540"/>
    </row>
    <row r="13" spans="1:26" ht="19.8" thickTop="1" x14ac:dyDescent="0.45">
      <c r="A13" s="3564"/>
      <c r="B13" s="3564"/>
      <c r="C13" s="3564"/>
      <c r="D13" s="3564"/>
      <c r="E13" s="3564"/>
      <c r="F13" s="3564"/>
      <c r="G13" s="3564"/>
      <c r="H13" s="3564"/>
      <c r="I13" s="3564"/>
      <c r="J13" s="3564"/>
      <c r="K13" s="3564"/>
      <c r="L13" s="3564"/>
      <c r="M13" s="3564"/>
      <c r="N13" s="3564"/>
      <c r="O13" s="3564"/>
      <c r="P13" s="3564"/>
      <c r="Q13" s="3564"/>
      <c r="R13" s="3564"/>
      <c r="S13" s="3564"/>
      <c r="T13" s="3564"/>
      <c r="U13" s="3564"/>
      <c r="V13" s="3564"/>
      <c r="W13" s="3564"/>
      <c r="X13" s="3564"/>
      <c r="Y13" s="3564"/>
      <c r="Z13" s="3564"/>
    </row>
  </sheetData>
  <mergeCells count="1">
    <mergeCell ref="M2:P2"/>
  </mergeCells>
  <pageMargins left="0.75" right="0.75" top="1" bottom="1" header="0" footer="0"/>
  <pageSetup paperSize="9" scale="6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40">
    <tabColor rgb="FFCC99FF"/>
    <pageSetUpPr fitToPage="1"/>
  </sheetPr>
  <dimension ref="A1:Z13"/>
  <sheetViews>
    <sheetView workbookViewId="0"/>
  </sheetViews>
  <sheetFormatPr baseColWidth="10" defaultColWidth="11.44140625" defaultRowHeight="13.2" x14ac:dyDescent="0.25"/>
  <cols>
    <col min="1" max="1" width="35" style="694" customWidth="1"/>
    <col min="2" max="25" width="9.6640625" style="694" customWidth="1"/>
    <col min="26" max="16384" width="11.44140625" style="694"/>
  </cols>
  <sheetData>
    <row r="1" spans="1:26" s="3238" customFormat="1" ht="36" customHeight="1" thickTop="1" x14ac:dyDescent="0.55000000000000004">
      <c r="A1" s="3642" t="s">
        <v>1792</v>
      </c>
      <c r="B1" s="3543"/>
      <c r="C1" s="3543"/>
      <c r="D1" s="3543"/>
      <c r="E1" s="3543"/>
      <c r="F1" s="3543"/>
      <c r="G1" s="3543"/>
      <c r="H1" s="3543"/>
      <c r="I1" s="3543"/>
      <c r="J1" s="3543"/>
      <c r="K1" s="3543"/>
      <c r="L1" s="3543"/>
      <c r="M1" s="3543"/>
      <c r="N1" s="3543"/>
      <c r="O1" s="3543"/>
      <c r="P1" s="3543"/>
      <c r="Q1" s="3543"/>
      <c r="R1" s="3543"/>
      <c r="S1" s="3543"/>
      <c r="T1" s="3543"/>
      <c r="U1" s="3543"/>
      <c r="V1" s="3543"/>
      <c r="W1" s="3543"/>
      <c r="X1" s="3543"/>
    </row>
    <row r="2" spans="1:26" s="3238" customFormat="1" ht="24.9" customHeight="1" x14ac:dyDescent="0.25">
      <c r="A2" s="3544" t="s">
        <v>1676</v>
      </c>
      <c r="B2" s="3567"/>
      <c r="C2" s="3567"/>
      <c r="D2" s="3567"/>
      <c r="E2" s="3632"/>
      <c r="F2" s="3568"/>
      <c r="G2" s="3568"/>
      <c r="H2" s="3568"/>
      <c r="I2" s="3568"/>
      <c r="J2" s="3568"/>
      <c r="K2" s="3568"/>
      <c r="L2" s="3568"/>
      <c r="M2" s="3846"/>
      <c r="N2" s="3846"/>
      <c r="O2" s="3846"/>
      <c r="P2" s="3846"/>
      <c r="Q2" s="3568"/>
      <c r="R2" s="3568"/>
      <c r="S2" s="3569"/>
      <c r="T2" s="3569"/>
      <c r="U2" s="3569"/>
      <c r="V2" s="3569"/>
      <c r="W2" s="3569"/>
      <c r="X2" s="3569"/>
    </row>
    <row r="3" spans="1:26" ht="27" customHeight="1" x14ac:dyDescent="0.25">
      <c r="A3" s="3571" t="s">
        <v>1680</v>
      </c>
      <c r="B3" s="3571">
        <v>2000</v>
      </c>
      <c r="C3" s="3571">
        <v>2001</v>
      </c>
      <c r="D3" s="3571">
        <v>2002</v>
      </c>
      <c r="E3" s="3571">
        <v>2003</v>
      </c>
      <c r="F3" s="3571">
        <v>2004</v>
      </c>
      <c r="G3" s="3571">
        <v>2005</v>
      </c>
      <c r="H3" s="3571">
        <v>2006</v>
      </c>
      <c r="I3" s="3571">
        <v>2007</v>
      </c>
      <c r="J3" s="3571">
        <v>2008</v>
      </c>
      <c r="K3" s="3571">
        <v>2009</v>
      </c>
      <c r="L3" s="3571">
        <v>2010</v>
      </c>
      <c r="M3" s="3571">
        <v>2011</v>
      </c>
      <c r="N3" s="3571">
        <v>2012</v>
      </c>
      <c r="O3" s="3571">
        <v>2013</v>
      </c>
      <c r="P3" s="3571">
        <v>2014</v>
      </c>
      <c r="Q3" s="3571">
        <v>2015</v>
      </c>
      <c r="R3" s="3571">
        <v>2016</v>
      </c>
      <c r="S3" s="3571">
        <v>2017</v>
      </c>
      <c r="T3" s="3571">
        <v>2018</v>
      </c>
      <c r="U3" s="3571">
        <v>2019</v>
      </c>
      <c r="V3" s="3571">
        <v>2020</v>
      </c>
      <c r="W3" s="3571">
        <v>2021</v>
      </c>
      <c r="X3" s="3571">
        <v>2022</v>
      </c>
      <c r="Y3" s="3571">
        <v>2023</v>
      </c>
      <c r="Z3" s="3571">
        <v>2024</v>
      </c>
    </row>
    <row r="4" spans="1:26" ht="17.25" customHeight="1" x14ac:dyDescent="0.25">
      <c r="A4" s="3633" t="s">
        <v>1661</v>
      </c>
      <c r="B4" s="3570" t="s">
        <v>452</v>
      </c>
      <c r="C4" s="3570" t="s">
        <v>452</v>
      </c>
      <c r="D4" s="3570" t="s">
        <v>452</v>
      </c>
      <c r="E4" s="3570">
        <v>3.1005526448001146</v>
      </c>
      <c r="F4" s="3570">
        <v>42.258428821955363</v>
      </c>
      <c r="G4" s="3570">
        <v>86.100297092372301</v>
      </c>
      <c r="H4" s="3570">
        <v>102.041242238403</v>
      </c>
      <c r="I4" s="3570">
        <v>110.94763357603699</v>
      </c>
      <c r="J4" s="3570">
        <v>106.323291373221</v>
      </c>
      <c r="K4" s="3570">
        <v>103.02107557107401</v>
      </c>
      <c r="L4" s="3570">
        <v>94.79</v>
      </c>
      <c r="M4" s="3570">
        <v>98.705915864319749</v>
      </c>
      <c r="N4" s="3570">
        <v>93.463911429114006</v>
      </c>
      <c r="O4" s="3570">
        <v>93</v>
      </c>
      <c r="P4" s="3570">
        <v>113.24478443267637</v>
      </c>
      <c r="Q4" s="3570">
        <v>120.51433911138496</v>
      </c>
      <c r="R4" s="3570">
        <v>110.29889935982501</v>
      </c>
      <c r="S4" s="3570">
        <v>107.81514345681212</v>
      </c>
      <c r="T4" s="3570">
        <v>104.66058190925628</v>
      </c>
      <c r="U4" s="3570">
        <v>102.03678246990833</v>
      </c>
      <c r="V4" s="3570">
        <v>122.93989319802203</v>
      </c>
      <c r="W4" s="3570">
        <v>134.2270347737992</v>
      </c>
      <c r="X4" s="3570">
        <v>136.14955720851387</v>
      </c>
      <c r="Y4" s="3570">
        <v>139.37347904514979</v>
      </c>
      <c r="Z4" s="3570">
        <v>136.72354519338023</v>
      </c>
    </row>
    <row r="5" spans="1:26" ht="19.2" x14ac:dyDescent="0.25">
      <c r="A5" s="3634" t="s">
        <v>185</v>
      </c>
      <c r="B5" s="3611" t="s">
        <v>452</v>
      </c>
      <c r="C5" s="3611" t="s">
        <v>452</v>
      </c>
      <c r="D5" s="3611" t="s">
        <v>452</v>
      </c>
      <c r="E5" s="3611">
        <v>0</v>
      </c>
      <c r="F5" s="3611">
        <v>0</v>
      </c>
      <c r="G5" s="3611">
        <v>0</v>
      </c>
      <c r="H5" s="3611">
        <v>0</v>
      </c>
      <c r="I5" s="3611">
        <v>0</v>
      </c>
      <c r="J5" s="3611">
        <v>0</v>
      </c>
      <c r="K5" s="3611">
        <v>0</v>
      </c>
      <c r="L5" s="3611">
        <v>0</v>
      </c>
      <c r="M5" s="3611">
        <v>0</v>
      </c>
      <c r="N5" s="3611">
        <v>0</v>
      </c>
      <c r="O5" s="3611">
        <v>0</v>
      </c>
      <c r="P5" s="3611">
        <v>12.374746822174034</v>
      </c>
      <c r="Q5" s="3611">
        <v>14.539450948038679</v>
      </c>
      <c r="R5" s="3611">
        <v>15.189294508360703</v>
      </c>
      <c r="S5" s="3611">
        <v>17.13452050013737</v>
      </c>
      <c r="T5" s="3611">
        <v>23.436608490409288</v>
      </c>
      <c r="U5" s="3611">
        <v>11.385594869570781</v>
      </c>
      <c r="V5" s="3611">
        <v>7.6417132515661956</v>
      </c>
      <c r="W5" s="3611">
        <v>5.7059889661990404</v>
      </c>
      <c r="X5" s="3611">
        <v>4.6750671348794128</v>
      </c>
      <c r="Y5" s="3611">
        <v>9.7429841134008015</v>
      </c>
      <c r="Z5" s="3611">
        <v>9.6979547551612626</v>
      </c>
    </row>
    <row r="6" spans="1:26" ht="19.2" x14ac:dyDescent="0.25">
      <c r="A6" s="3634" t="s">
        <v>182</v>
      </c>
      <c r="B6" s="3611" t="s">
        <v>452</v>
      </c>
      <c r="C6" s="3611" t="s">
        <v>452</v>
      </c>
      <c r="D6" s="3611" t="s">
        <v>452</v>
      </c>
      <c r="E6" s="3611">
        <v>5.7864944291596458</v>
      </c>
      <c r="F6" s="3611">
        <v>79.067819240383784</v>
      </c>
      <c r="G6" s="3611">
        <v>161.80361899840523</v>
      </c>
      <c r="H6" s="3611">
        <v>192.12243357748801</v>
      </c>
      <c r="I6" s="3611">
        <v>207.690848615227</v>
      </c>
      <c r="J6" s="3611">
        <v>199.271478128659</v>
      </c>
      <c r="K6" s="3611">
        <v>193.82111052520474</v>
      </c>
      <c r="L6" s="3611">
        <v>179.38299999999998</v>
      </c>
      <c r="M6" s="3611">
        <v>183.95213533654831</v>
      </c>
      <c r="N6" s="3611">
        <v>176.8367388580476</v>
      </c>
      <c r="O6" s="3611">
        <v>178</v>
      </c>
      <c r="P6" s="3611">
        <v>186.85617159028965</v>
      </c>
      <c r="Q6" s="3611">
        <v>203.76682617759678</v>
      </c>
      <c r="R6" s="3611">
        <v>185.22315014874053</v>
      </c>
      <c r="S6" s="3611">
        <v>187.54012614042838</v>
      </c>
      <c r="T6" s="3611">
        <v>177.27070626351068</v>
      </c>
      <c r="U6" s="3611">
        <v>435.20558965662315</v>
      </c>
      <c r="V6" s="3611">
        <v>184.1277246377318</v>
      </c>
      <c r="W6" s="3611">
        <v>182.35051057635735</v>
      </c>
      <c r="X6" s="3611">
        <v>189.2546696717223</v>
      </c>
      <c r="Y6" s="3611">
        <v>158.36829219896956</v>
      </c>
      <c r="Z6" s="3611">
        <v>163.25563943112422</v>
      </c>
    </row>
    <row r="7" spans="1:26" ht="19.2" x14ac:dyDescent="0.25">
      <c r="A7" s="3635" t="s">
        <v>184</v>
      </c>
      <c r="B7" s="3636" t="s">
        <v>452</v>
      </c>
      <c r="C7" s="3636" t="s">
        <v>452</v>
      </c>
      <c r="D7" s="3636" t="s">
        <v>452</v>
      </c>
      <c r="E7" s="3636">
        <v>0</v>
      </c>
      <c r="F7" s="3636">
        <v>0</v>
      </c>
      <c r="G7" s="3636">
        <v>0</v>
      </c>
      <c r="H7" s="3636">
        <v>0</v>
      </c>
      <c r="I7" s="3636">
        <v>0</v>
      </c>
      <c r="J7" s="3636">
        <v>0</v>
      </c>
      <c r="K7" s="3636">
        <v>0</v>
      </c>
      <c r="L7" s="3636">
        <v>0</v>
      </c>
      <c r="M7" s="3636">
        <v>0</v>
      </c>
      <c r="N7" s="3636">
        <v>0</v>
      </c>
      <c r="O7" s="3636">
        <v>0</v>
      </c>
      <c r="P7" s="3636">
        <v>38.26519973928508</v>
      </c>
      <c r="Q7" s="3636">
        <v>34.943878969710866</v>
      </c>
      <c r="R7" s="3636">
        <v>35.263116964674417</v>
      </c>
      <c r="S7" s="3636">
        <v>25.490782729713203</v>
      </c>
      <c r="T7" s="3636">
        <v>27.67841690449761</v>
      </c>
      <c r="U7" s="3636">
        <v>4.4212171786892087</v>
      </c>
      <c r="V7" s="3636">
        <v>78.197501709731753</v>
      </c>
      <c r="W7" s="3636">
        <v>116.66803049150657</v>
      </c>
      <c r="X7" s="3636">
        <v>112.39867808682406</v>
      </c>
      <c r="Y7" s="3636">
        <v>169.12477297688497</v>
      </c>
      <c r="Z7" s="3636">
        <v>153.40703726353138</v>
      </c>
    </row>
    <row r="8" spans="1:26" ht="13.8" thickBot="1" x14ac:dyDescent="0.3">
      <c r="A8" s="3226"/>
      <c r="B8" s="3226"/>
      <c r="C8" s="3226"/>
      <c r="D8" s="3226"/>
      <c r="E8" s="3226"/>
      <c r="F8" s="3226"/>
      <c r="G8" s="3226"/>
      <c r="H8" s="3226"/>
      <c r="I8" s="3226"/>
      <c r="J8" s="3226"/>
      <c r="K8" s="3226"/>
      <c r="L8" s="3226"/>
      <c r="M8" s="3226"/>
      <c r="N8" s="3226"/>
      <c r="O8" s="3226"/>
      <c r="P8" s="3226"/>
      <c r="Q8" s="3226"/>
      <c r="R8" s="3226"/>
      <c r="S8" s="3226"/>
      <c r="T8" s="3226"/>
      <c r="U8" s="3226"/>
      <c r="V8" s="3226"/>
      <c r="W8" s="3226"/>
      <c r="X8" s="3226"/>
      <c r="Y8" s="3226"/>
      <c r="Z8" s="3226"/>
    </row>
    <row r="9" spans="1:26" ht="13.8" x14ac:dyDescent="0.3">
      <c r="A9" s="3541" t="s">
        <v>1663</v>
      </c>
      <c r="B9" s="3541"/>
      <c r="C9" s="3541"/>
      <c r="D9" s="3541"/>
      <c r="E9" s="3541"/>
      <c r="F9" s="3541"/>
      <c r="G9" s="3541"/>
      <c r="H9" s="3541"/>
      <c r="I9" s="3541"/>
      <c r="J9" s="3541"/>
      <c r="K9" s="3541"/>
      <c r="L9" s="3541"/>
      <c r="M9" s="3541"/>
      <c r="N9" s="3541"/>
      <c r="O9" s="3541"/>
      <c r="P9" s="3541"/>
      <c r="Q9" s="3541"/>
      <c r="R9" s="3541"/>
      <c r="S9" s="3541"/>
      <c r="T9" s="3541"/>
      <c r="U9" s="3541"/>
      <c r="V9" s="3541"/>
      <c r="W9" s="3541"/>
      <c r="X9" s="3541"/>
      <c r="Y9" s="3541"/>
      <c r="Z9" s="3541"/>
    </row>
    <row r="10" spans="1:26" ht="13.8" x14ac:dyDescent="0.3">
      <c r="A10" s="3540" t="s">
        <v>1754</v>
      </c>
      <c r="E10" s="695"/>
      <c r="F10" s="695"/>
      <c r="G10" s="696"/>
      <c r="H10" s="696"/>
      <c r="I10" s="696"/>
      <c r="J10" s="696"/>
      <c r="K10" s="696"/>
      <c r="L10" s="696"/>
      <c r="M10" s="696"/>
      <c r="N10" s="696"/>
      <c r="O10" s="696"/>
      <c r="P10" s="696"/>
      <c r="W10" s="3226"/>
    </row>
    <row r="11" spans="1:26" ht="14.4" x14ac:dyDescent="0.3">
      <c r="A11" s="3540" t="s">
        <v>1679</v>
      </c>
      <c r="B11" s="3563"/>
      <c r="C11" s="3563"/>
      <c r="D11" s="3563"/>
      <c r="E11" s="3563"/>
      <c r="F11" s="3563"/>
      <c r="G11" s="3563"/>
      <c r="H11" s="3563"/>
      <c r="I11" s="3563"/>
      <c r="J11" s="3563"/>
      <c r="K11" s="3563"/>
      <c r="L11" s="3563"/>
      <c r="M11" s="3563"/>
      <c r="N11" s="3563"/>
      <c r="O11" s="3563"/>
      <c r="P11" s="3563"/>
      <c r="Q11" s="3563"/>
      <c r="R11" s="3563"/>
      <c r="S11" s="3563"/>
      <c r="T11" s="3563"/>
      <c r="U11" s="3563"/>
      <c r="V11" s="3563"/>
      <c r="W11" s="3563"/>
      <c r="X11" s="3563"/>
      <c r="Y11" s="3563"/>
      <c r="Z11" s="3563"/>
    </row>
    <row r="12" spans="1:26" ht="14.4" thickBot="1" x14ac:dyDescent="0.35">
      <c r="A12" s="3540"/>
      <c r="B12" s="3540"/>
      <c r="C12" s="3540"/>
      <c r="D12" s="3540"/>
      <c r="E12" s="3540"/>
      <c r="F12" s="3540"/>
      <c r="G12" s="3540"/>
      <c r="H12" s="3540"/>
      <c r="I12" s="3540"/>
      <c r="J12" s="3540"/>
      <c r="K12" s="3540"/>
      <c r="L12" s="3540"/>
      <c r="M12" s="3540"/>
      <c r="N12" s="3540"/>
      <c r="O12" s="3540"/>
      <c r="P12" s="3540"/>
      <c r="Q12" s="3540"/>
      <c r="R12" s="3540"/>
      <c r="S12" s="3540"/>
      <c r="T12" s="3540"/>
      <c r="U12" s="3540"/>
      <c r="V12" s="3540"/>
      <c r="W12" s="3540"/>
      <c r="X12" s="3540"/>
      <c r="Y12" s="3540"/>
      <c r="Z12" s="3540"/>
    </row>
    <row r="13" spans="1:26" ht="19.8" thickTop="1" x14ac:dyDescent="0.45">
      <c r="A13" s="3564"/>
      <c r="B13" s="3564"/>
      <c r="C13" s="3564"/>
      <c r="D13" s="3564"/>
      <c r="E13" s="3564"/>
      <c r="F13" s="3564"/>
      <c r="G13" s="3564"/>
      <c r="H13" s="3564"/>
      <c r="I13" s="3564"/>
      <c r="J13" s="3564"/>
      <c r="K13" s="3564"/>
      <c r="L13" s="3564"/>
      <c r="M13" s="3564"/>
      <c r="N13" s="3564"/>
      <c r="O13" s="3564"/>
      <c r="P13" s="3564"/>
      <c r="Q13" s="3564"/>
      <c r="R13" s="3564"/>
      <c r="S13" s="3564"/>
      <c r="T13" s="3564"/>
      <c r="U13" s="3564"/>
      <c r="V13" s="3564"/>
      <c r="W13" s="3564"/>
      <c r="X13" s="3564"/>
      <c r="Y13" s="3564"/>
      <c r="Z13" s="3564"/>
    </row>
  </sheetData>
  <mergeCells count="1">
    <mergeCell ref="M2:P2"/>
  </mergeCells>
  <pageMargins left="0.75" right="0.75" top="1" bottom="1" header="0" footer="0"/>
  <pageSetup paperSize="9"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41">
    <tabColor rgb="FFCC99FF"/>
    <pageSetUpPr fitToPage="1"/>
  </sheetPr>
  <dimension ref="A1:Z14"/>
  <sheetViews>
    <sheetView workbookViewId="0"/>
  </sheetViews>
  <sheetFormatPr baseColWidth="10" defaultColWidth="11.44140625" defaultRowHeight="13.2" x14ac:dyDescent="0.25"/>
  <cols>
    <col min="1" max="1" width="34.33203125" style="694" customWidth="1"/>
    <col min="2" max="21" width="8.88671875" style="694" customWidth="1"/>
    <col min="22" max="22" width="8.88671875" style="3226" customWidth="1"/>
    <col min="23" max="24" width="8.88671875" style="694" customWidth="1"/>
    <col min="25" max="25" width="9.5546875" style="694" customWidth="1"/>
    <col min="26" max="16384" width="11.44140625" style="694"/>
  </cols>
  <sheetData>
    <row r="1" spans="1:26" s="3238" customFormat="1" ht="36" customHeight="1" thickTop="1" x14ac:dyDescent="0.55000000000000004">
      <c r="A1" s="3642" t="s">
        <v>1793</v>
      </c>
      <c r="B1" s="3543"/>
      <c r="C1" s="3543"/>
      <c r="D1" s="3543"/>
      <c r="E1" s="3543"/>
      <c r="F1" s="3543"/>
      <c r="G1" s="3543"/>
      <c r="H1" s="3543"/>
      <c r="I1" s="3543"/>
      <c r="J1" s="3543"/>
      <c r="K1" s="3543"/>
      <c r="L1" s="3543"/>
      <c r="M1" s="3543"/>
      <c r="N1" s="3543"/>
      <c r="O1" s="3543"/>
      <c r="P1" s="3543"/>
      <c r="Q1" s="3543"/>
      <c r="R1" s="3543"/>
      <c r="S1" s="3543"/>
      <c r="T1" s="3543"/>
      <c r="U1" s="3543"/>
      <c r="V1" s="3543"/>
      <c r="W1" s="3543"/>
      <c r="X1" s="3543"/>
    </row>
    <row r="2" spans="1:26" s="3238" customFormat="1" ht="24.9" customHeight="1" x14ac:dyDescent="0.25">
      <c r="A2" s="3544" t="s">
        <v>1676</v>
      </c>
      <c r="B2" s="3567"/>
      <c r="C2" s="3567"/>
      <c r="D2" s="3567"/>
      <c r="E2" s="3632"/>
      <c r="F2" s="3568"/>
      <c r="G2" s="3568"/>
      <c r="H2" s="3568"/>
      <c r="I2" s="3568"/>
      <c r="J2" s="3568"/>
      <c r="K2" s="3568"/>
      <c r="L2" s="3568"/>
      <c r="M2" s="3846"/>
      <c r="N2" s="3846"/>
      <c r="O2" s="3846"/>
      <c r="P2" s="3846"/>
      <c r="Q2" s="3568"/>
      <c r="R2" s="3568"/>
      <c r="S2" s="3569"/>
      <c r="T2" s="3569"/>
      <c r="U2" s="3569"/>
      <c r="V2" s="3569"/>
      <c r="W2" s="3569"/>
      <c r="X2" s="3569"/>
    </row>
    <row r="3" spans="1:26" ht="27" customHeight="1" x14ac:dyDescent="0.25">
      <c r="A3" s="3571" t="s">
        <v>1680</v>
      </c>
      <c r="B3" s="3571">
        <v>2000</v>
      </c>
      <c r="C3" s="3571">
        <v>2001</v>
      </c>
      <c r="D3" s="3571">
        <v>2002</v>
      </c>
      <c r="E3" s="3571">
        <v>2003</v>
      </c>
      <c r="F3" s="3571">
        <v>2004</v>
      </c>
      <c r="G3" s="3571">
        <v>2005</v>
      </c>
      <c r="H3" s="3571">
        <v>2006</v>
      </c>
      <c r="I3" s="3571">
        <v>2007</v>
      </c>
      <c r="J3" s="3571">
        <v>2008</v>
      </c>
      <c r="K3" s="3571">
        <v>2009</v>
      </c>
      <c r="L3" s="3571">
        <v>2010</v>
      </c>
      <c r="M3" s="3571">
        <v>2011</v>
      </c>
      <c r="N3" s="3571">
        <v>2012</v>
      </c>
      <c r="O3" s="3571">
        <v>2013</v>
      </c>
      <c r="P3" s="3571">
        <v>2014</v>
      </c>
      <c r="Q3" s="3571">
        <v>2015</v>
      </c>
      <c r="R3" s="3571">
        <v>2016</v>
      </c>
      <c r="S3" s="3571">
        <v>2017</v>
      </c>
      <c r="T3" s="3571">
        <v>2018</v>
      </c>
      <c r="U3" s="3571">
        <v>2019</v>
      </c>
      <c r="V3" s="3571">
        <v>2020</v>
      </c>
      <c r="W3" s="3571">
        <v>2021</v>
      </c>
      <c r="X3" s="3571">
        <v>2022</v>
      </c>
      <c r="Y3" s="3571">
        <v>2023</v>
      </c>
      <c r="Z3" s="3571">
        <v>2024</v>
      </c>
    </row>
    <row r="4" spans="1:26" ht="17.25" customHeight="1" x14ac:dyDescent="0.25">
      <c r="A4" s="3633" t="s">
        <v>1661</v>
      </c>
      <c r="B4" s="3570" t="s">
        <v>452</v>
      </c>
      <c r="C4" s="3570" t="s">
        <v>452</v>
      </c>
      <c r="D4" s="3570" t="s">
        <v>452</v>
      </c>
      <c r="E4" s="3570">
        <v>135.02428287758082</v>
      </c>
      <c r="F4" s="3570">
        <v>146.91453135874033</v>
      </c>
      <c r="G4" s="3570">
        <v>145.255</v>
      </c>
      <c r="H4" s="3570">
        <v>153.46611178732201</v>
      </c>
      <c r="I4" s="3570">
        <v>164.90094051795501</v>
      </c>
      <c r="J4" s="3570">
        <v>162.974591911364</v>
      </c>
      <c r="K4" s="3570">
        <v>150.046515825933</v>
      </c>
      <c r="L4" s="3570">
        <v>145</v>
      </c>
      <c r="M4" s="3570">
        <v>137.36353014364585</v>
      </c>
      <c r="N4" s="3570">
        <v>158.63336948944129</v>
      </c>
      <c r="O4" s="3570">
        <v>191</v>
      </c>
      <c r="P4" s="3570">
        <v>163.37900754477738</v>
      </c>
      <c r="Q4" s="3570">
        <v>163.02300018302265</v>
      </c>
      <c r="R4" s="3570">
        <v>173.67598896023389</v>
      </c>
      <c r="S4" s="3570">
        <v>179.30201624197687</v>
      </c>
      <c r="T4" s="3570">
        <v>192.03975796052327</v>
      </c>
      <c r="U4" s="3570">
        <v>195.89375742020323</v>
      </c>
      <c r="V4" s="3570">
        <v>152.41199088619635</v>
      </c>
      <c r="W4" s="3570">
        <v>148.15460071339513</v>
      </c>
      <c r="X4" s="3570">
        <v>149.51757833339263</v>
      </c>
      <c r="Y4" s="3570">
        <v>137.14709096281177</v>
      </c>
      <c r="Z4" s="3570">
        <v>140.74064676277064</v>
      </c>
    </row>
    <row r="5" spans="1:26" ht="19.2" x14ac:dyDescent="0.25">
      <c r="A5" s="3634" t="s">
        <v>185</v>
      </c>
      <c r="B5" s="3611" t="s">
        <v>452</v>
      </c>
      <c r="C5" s="3611" t="s">
        <v>452</v>
      </c>
      <c r="D5" s="3611" t="s">
        <v>452</v>
      </c>
      <c r="E5" s="3611">
        <v>114.19814594657743</v>
      </c>
      <c r="F5" s="3611">
        <v>122.66166006829653</v>
      </c>
      <c r="G5" s="3611">
        <v>97.76340065601039</v>
      </c>
      <c r="H5" s="3611">
        <v>104.131139496355</v>
      </c>
      <c r="I5" s="3611">
        <v>106.830387398113</v>
      </c>
      <c r="J5" s="3611">
        <v>105.009965782831</v>
      </c>
      <c r="K5" s="3611">
        <v>103.956</v>
      </c>
      <c r="L5" s="3611">
        <v>96.73</v>
      </c>
      <c r="M5" s="3611">
        <v>92.014683840958114</v>
      </c>
      <c r="N5" s="3611">
        <v>86.381215695549912</v>
      </c>
      <c r="O5" s="3611">
        <v>117</v>
      </c>
      <c r="P5" s="3611">
        <v>96.020027057576741</v>
      </c>
      <c r="Q5" s="3611">
        <v>100.93494607850441</v>
      </c>
      <c r="R5" s="3611">
        <v>110.48587435869958</v>
      </c>
      <c r="S5" s="3611">
        <v>108.80096620973217</v>
      </c>
      <c r="T5" s="3611">
        <v>130.39568487530349</v>
      </c>
      <c r="U5" s="3611">
        <v>115.88048322821909</v>
      </c>
      <c r="V5" s="3611">
        <v>118.54434183526081</v>
      </c>
      <c r="W5" s="3611">
        <v>119.832712549053</v>
      </c>
      <c r="X5" s="3611">
        <v>120.20713176030557</v>
      </c>
      <c r="Y5" s="3611">
        <v>108.0655380298579</v>
      </c>
      <c r="Z5" s="3611">
        <v>115.3493658495963</v>
      </c>
    </row>
    <row r="6" spans="1:26" ht="19.2" x14ac:dyDescent="0.25">
      <c r="A6" s="3634" t="s">
        <v>182</v>
      </c>
      <c r="B6" s="3611" t="s">
        <v>452</v>
      </c>
      <c r="C6" s="3611" t="s">
        <v>452</v>
      </c>
      <c r="D6" s="3611" t="s">
        <v>452</v>
      </c>
      <c r="E6" s="3611">
        <v>138.66601657902092</v>
      </c>
      <c r="F6" s="3611">
        <v>156.04400118960754</v>
      </c>
      <c r="G6" s="3611">
        <v>153.20461512281602</v>
      </c>
      <c r="H6" s="3611">
        <v>163.17774260594598</v>
      </c>
      <c r="I6" s="3611">
        <v>185.63166051805499</v>
      </c>
      <c r="J6" s="3611">
        <v>173.33604096398199</v>
      </c>
      <c r="K6" s="3611">
        <v>159.65417817364585</v>
      </c>
      <c r="L6" s="3611">
        <v>151.80000000000001</v>
      </c>
      <c r="M6" s="3611">
        <v>141.9237537978351</v>
      </c>
      <c r="N6" s="3611">
        <v>203.02191441210653</v>
      </c>
      <c r="O6" s="3611">
        <v>201</v>
      </c>
      <c r="P6" s="3611">
        <v>180.1200706465163</v>
      </c>
      <c r="Q6" s="3611">
        <v>167.17970730119239</v>
      </c>
      <c r="R6" s="3611">
        <v>187.25735367865511</v>
      </c>
      <c r="S6" s="3611">
        <v>213.97452877239749</v>
      </c>
      <c r="T6" s="3611">
        <v>216.97297705962916</v>
      </c>
      <c r="U6" s="3611">
        <v>228.94898167108155</v>
      </c>
      <c r="V6" s="3611">
        <v>156.26653985308741</v>
      </c>
      <c r="W6" s="3611">
        <v>146.46324595761428</v>
      </c>
      <c r="X6" s="3611">
        <v>150.28682138576406</v>
      </c>
      <c r="Y6" s="3611">
        <v>130.79916150603799</v>
      </c>
      <c r="Z6" s="3611">
        <v>133.76818844046963</v>
      </c>
    </row>
    <row r="7" spans="1:26" ht="19.2" x14ac:dyDescent="0.25">
      <c r="A7" s="3635" t="s">
        <v>184</v>
      </c>
      <c r="B7" s="3636" t="s">
        <v>452</v>
      </c>
      <c r="C7" s="3636" t="s">
        <v>452</v>
      </c>
      <c r="D7" s="3636" t="s">
        <v>452</v>
      </c>
      <c r="E7" s="3636">
        <v>137.94449115914134</v>
      </c>
      <c r="F7" s="3636">
        <v>142</v>
      </c>
      <c r="G7" s="3636">
        <v>155.46100000000001</v>
      </c>
      <c r="H7" s="3636">
        <v>159</v>
      </c>
      <c r="I7" s="3636">
        <v>157.88</v>
      </c>
      <c r="J7" s="3636">
        <v>172.99</v>
      </c>
      <c r="K7" s="3636">
        <v>154.94800000000001</v>
      </c>
      <c r="L7" s="3636">
        <v>154.56299999999999</v>
      </c>
      <c r="M7" s="3636">
        <v>149.92254819845081</v>
      </c>
      <c r="N7" s="3636">
        <v>119.37208014152303</v>
      </c>
      <c r="O7" s="3636">
        <v>209</v>
      </c>
      <c r="P7" s="3636">
        <v>166.29044264196031</v>
      </c>
      <c r="Q7" s="3636">
        <v>184.39413117728864</v>
      </c>
      <c r="R7" s="3636">
        <v>180.33679315165111</v>
      </c>
      <c r="S7" s="3636">
        <v>158.83544302465319</v>
      </c>
      <c r="T7" s="3636">
        <v>180.6491210910466</v>
      </c>
      <c r="U7" s="3636">
        <v>180.26799287176715</v>
      </c>
      <c r="V7" s="3636">
        <v>161.78707751490757</v>
      </c>
      <c r="W7" s="3636">
        <v>163.85483428048457</v>
      </c>
      <c r="X7" s="3636">
        <v>161.82040382109918</v>
      </c>
      <c r="Y7" s="3636">
        <v>160.68169889404354</v>
      </c>
      <c r="Z7" s="3636">
        <v>163.60703095108036</v>
      </c>
    </row>
    <row r="8" spans="1:26" ht="13.8" thickBot="1" x14ac:dyDescent="0.3">
      <c r="A8" s="3226"/>
      <c r="B8" s="3226"/>
      <c r="C8" s="3226"/>
      <c r="D8" s="3226"/>
      <c r="E8" s="3226"/>
      <c r="F8" s="3226"/>
      <c r="G8" s="3226"/>
      <c r="H8" s="3226"/>
      <c r="I8" s="3226"/>
      <c r="J8" s="3226"/>
      <c r="K8" s="3226"/>
      <c r="L8" s="3226"/>
      <c r="M8" s="3226"/>
      <c r="N8" s="3226"/>
      <c r="O8" s="3226"/>
      <c r="P8" s="3226"/>
      <c r="Q8" s="3226"/>
      <c r="R8" s="3226"/>
      <c r="S8" s="3226"/>
      <c r="T8" s="3226"/>
      <c r="U8" s="3226"/>
      <c r="W8" s="3226"/>
      <c r="X8" s="3226"/>
      <c r="Y8" s="3226"/>
      <c r="Z8" s="3226"/>
    </row>
    <row r="9" spans="1:26" ht="13.8" x14ac:dyDescent="0.3">
      <c r="A9" s="3541" t="s">
        <v>1663</v>
      </c>
      <c r="B9" s="3541"/>
      <c r="C9" s="3541"/>
      <c r="D9" s="3541"/>
      <c r="E9" s="3541"/>
      <c r="F9" s="3541"/>
      <c r="G9" s="3541"/>
      <c r="H9" s="3541"/>
      <c r="I9" s="3541"/>
      <c r="J9" s="3541"/>
      <c r="K9" s="3541"/>
      <c r="L9" s="3541"/>
      <c r="M9" s="3541"/>
      <c r="N9" s="3541"/>
      <c r="O9" s="3541"/>
      <c r="P9" s="3541"/>
      <c r="Q9" s="3541"/>
      <c r="R9" s="3541"/>
      <c r="S9" s="3541"/>
      <c r="T9" s="3541"/>
      <c r="U9" s="3541"/>
      <c r="V9" s="3541"/>
      <c r="W9" s="3541"/>
      <c r="X9" s="3541"/>
      <c r="Y9" s="3541"/>
      <c r="Z9" s="3541"/>
    </row>
    <row r="10" spans="1:26" ht="13.8" x14ac:dyDescent="0.3">
      <c r="A10" s="3540" t="s">
        <v>1754</v>
      </c>
      <c r="E10" s="695"/>
      <c r="F10" s="695"/>
      <c r="G10" s="696"/>
      <c r="H10" s="696"/>
      <c r="I10" s="696"/>
      <c r="J10" s="696"/>
      <c r="K10" s="696"/>
      <c r="L10" s="696"/>
      <c r="M10" s="696"/>
      <c r="N10" s="696"/>
      <c r="O10" s="696"/>
      <c r="P10" s="696"/>
      <c r="V10" s="694"/>
      <c r="W10" s="3226"/>
    </row>
    <row r="11" spans="1:26" ht="14.4" x14ac:dyDescent="0.3">
      <c r="A11" s="3540" t="s">
        <v>1679</v>
      </c>
      <c r="B11" s="3563"/>
      <c r="C11" s="3563"/>
      <c r="D11" s="3563"/>
      <c r="E11" s="3563"/>
      <c r="F11" s="3563"/>
      <c r="G11" s="3563"/>
      <c r="H11" s="3563"/>
      <c r="I11" s="3563"/>
      <c r="J11" s="3563"/>
      <c r="K11" s="3563"/>
      <c r="L11" s="3563"/>
      <c r="M11" s="3563"/>
      <c r="N11" s="3563"/>
      <c r="O11" s="3563"/>
      <c r="P11" s="3563"/>
      <c r="Q11" s="3563"/>
      <c r="R11" s="3563"/>
      <c r="S11" s="3563"/>
      <c r="T11" s="3563"/>
      <c r="U11" s="3563"/>
      <c r="V11" s="3563"/>
      <c r="W11" s="3563"/>
      <c r="X11" s="3563"/>
      <c r="Y11" s="3563"/>
      <c r="Z11" s="3563"/>
    </row>
    <row r="12" spans="1:26" ht="14.4" thickBot="1" x14ac:dyDescent="0.35">
      <c r="A12" s="3540"/>
      <c r="B12" s="3540"/>
      <c r="C12" s="3540"/>
      <c r="D12" s="3540"/>
      <c r="E12" s="3540"/>
      <c r="F12" s="3540"/>
      <c r="G12" s="3540"/>
      <c r="H12" s="3540"/>
      <c r="I12" s="3540"/>
      <c r="J12" s="3540"/>
      <c r="K12" s="3540"/>
      <c r="L12" s="3540"/>
      <c r="M12" s="3540"/>
      <c r="N12" s="3540"/>
      <c r="O12" s="3540"/>
      <c r="P12" s="3540"/>
      <c r="Q12" s="3540"/>
      <c r="R12" s="3540"/>
      <c r="S12" s="3540"/>
      <c r="T12" s="3540"/>
      <c r="U12" s="3540"/>
      <c r="V12" s="3540"/>
      <c r="W12" s="3540"/>
      <c r="X12" s="3540"/>
      <c r="Y12" s="3540"/>
      <c r="Z12" s="3540"/>
    </row>
    <row r="13" spans="1:26" ht="19.8" thickTop="1" x14ac:dyDescent="0.45">
      <c r="A13" s="3564"/>
      <c r="B13" s="3564"/>
      <c r="C13" s="3564"/>
      <c r="D13" s="3564"/>
      <c r="E13" s="3564"/>
      <c r="F13" s="3564"/>
      <c r="G13" s="3564"/>
      <c r="H13" s="3564"/>
      <c r="I13" s="3564"/>
      <c r="J13" s="3564"/>
      <c r="K13" s="3564"/>
      <c r="L13" s="3564"/>
      <c r="M13" s="3564"/>
      <c r="N13" s="3564"/>
      <c r="O13" s="3564"/>
      <c r="P13" s="3564"/>
      <c r="Q13" s="3564"/>
      <c r="R13" s="3564"/>
      <c r="S13" s="3564"/>
      <c r="T13" s="3564"/>
      <c r="U13" s="3564"/>
      <c r="V13" s="3564"/>
      <c r="W13" s="3564"/>
      <c r="X13" s="3564"/>
      <c r="Y13" s="3564"/>
      <c r="Z13" s="3564"/>
    </row>
    <row r="14" spans="1:26" x14ac:dyDescent="0.25">
      <c r="V14" s="694"/>
    </row>
  </sheetData>
  <mergeCells count="1">
    <mergeCell ref="M2:P2"/>
  </mergeCells>
  <pageMargins left="0.75" right="0.75" top="1" bottom="1" header="0" footer="0"/>
  <pageSetup paperSize="9" scale="73"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42">
    <tabColor rgb="FFCC99FF"/>
    <pageSetUpPr fitToPage="1"/>
  </sheetPr>
  <dimension ref="A1:Z13"/>
  <sheetViews>
    <sheetView topLeftCell="A7" workbookViewId="0"/>
  </sheetViews>
  <sheetFormatPr baseColWidth="10" defaultColWidth="11.44140625" defaultRowHeight="13.2" x14ac:dyDescent="0.25"/>
  <cols>
    <col min="1" max="1" width="30.88671875" style="694" customWidth="1"/>
    <col min="2" max="25" width="9.44140625" style="694" customWidth="1"/>
    <col min="26" max="16384" width="11.44140625" style="694"/>
  </cols>
  <sheetData>
    <row r="1" spans="1:26" s="3238" customFormat="1" ht="36" customHeight="1" thickTop="1" x14ac:dyDescent="0.55000000000000004">
      <c r="A1" s="3642" t="s">
        <v>1796</v>
      </c>
      <c r="B1" s="3543"/>
      <c r="C1" s="3543"/>
      <c r="D1" s="3543"/>
      <c r="E1" s="3543"/>
      <c r="F1" s="3543"/>
      <c r="G1" s="3543"/>
      <c r="H1" s="3543"/>
      <c r="I1" s="3543"/>
      <c r="J1" s="3543"/>
      <c r="K1" s="3543"/>
      <c r="L1" s="3543"/>
      <c r="M1" s="3543"/>
      <c r="N1" s="3543"/>
      <c r="O1" s="3543"/>
      <c r="P1" s="3543"/>
      <c r="Q1" s="3543"/>
      <c r="R1" s="3543"/>
      <c r="S1" s="3543"/>
      <c r="T1" s="3543"/>
      <c r="U1" s="3543"/>
      <c r="V1" s="3543"/>
      <c r="W1" s="3543"/>
      <c r="X1" s="3543"/>
    </row>
    <row r="2" spans="1:26" s="3238" customFormat="1" ht="24.9" customHeight="1" x14ac:dyDescent="0.25">
      <c r="A2" s="3544" t="s">
        <v>1676</v>
      </c>
      <c r="B2" s="3567"/>
      <c r="C2" s="3567"/>
      <c r="D2" s="3567"/>
      <c r="E2" s="3632"/>
      <c r="F2" s="3568"/>
      <c r="G2" s="3568"/>
      <c r="H2" s="3568"/>
      <c r="I2" s="3568"/>
      <c r="J2" s="3568"/>
      <c r="K2" s="3568"/>
      <c r="L2" s="3568"/>
      <c r="M2" s="3846"/>
      <c r="N2" s="3846"/>
      <c r="O2" s="3846"/>
      <c r="P2" s="3846"/>
      <c r="Q2" s="3568"/>
      <c r="R2" s="3568"/>
      <c r="S2" s="3569"/>
      <c r="T2" s="3569"/>
      <c r="U2" s="3569"/>
      <c r="V2" s="3569"/>
      <c r="W2" s="3569"/>
      <c r="X2" s="3569"/>
    </row>
    <row r="3" spans="1:26" ht="27" customHeight="1" x14ac:dyDescent="0.25">
      <c r="A3" s="3571" t="s">
        <v>1680</v>
      </c>
      <c r="B3" s="3571">
        <v>2000</v>
      </c>
      <c r="C3" s="3571">
        <v>2001</v>
      </c>
      <c r="D3" s="3571">
        <v>2002</v>
      </c>
      <c r="E3" s="3571">
        <v>2003</v>
      </c>
      <c r="F3" s="3571">
        <v>2004</v>
      </c>
      <c r="G3" s="3571">
        <v>2005</v>
      </c>
      <c r="H3" s="3571">
        <v>2006</v>
      </c>
      <c r="I3" s="3571">
        <v>2007</v>
      </c>
      <c r="J3" s="3571">
        <v>2008</v>
      </c>
      <c r="K3" s="3571">
        <v>2009</v>
      </c>
      <c r="L3" s="3571">
        <v>2010</v>
      </c>
      <c r="M3" s="3571">
        <v>2011</v>
      </c>
      <c r="N3" s="3571">
        <v>2012</v>
      </c>
      <c r="O3" s="3571">
        <v>2013</v>
      </c>
      <c r="P3" s="3571">
        <v>2014</v>
      </c>
      <c r="Q3" s="3571">
        <v>2015</v>
      </c>
      <c r="R3" s="3571">
        <v>2016</v>
      </c>
      <c r="S3" s="3571">
        <v>2017</v>
      </c>
      <c r="T3" s="3571">
        <v>2018</v>
      </c>
      <c r="U3" s="3571">
        <v>2019</v>
      </c>
      <c r="V3" s="3571">
        <v>2020</v>
      </c>
      <c r="W3" s="3571">
        <v>2021</v>
      </c>
      <c r="X3" s="3571">
        <v>2022</v>
      </c>
      <c r="Y3" s="3571">
        <v>2023</v>
      </c>
      <c r="Z3" s="3571">
        <v>2024</v>
      </c>
    </row>
    <row r="4" spans="1:26" ht="17.25" customHeight="1" x14ac:dyDescent="0.25">
      <c r="A4" s="3633" t="s">
        <v>1661</v>
      </c>
      <c r="B4" s="3570" t="s">
        <v>452</v>
      </c>
      <c r="C4" s="3570" t="s">
        <v>452</v>
      </c>
      <c r="D4" s="3570" t="s">
        <v>452</v>
      </c>
      <c r="E4" s="3570">
        <v>9.2380200483265149</v>
      </c>
      <c r="F4" s="3570">
        <v>11.191333327605447</v>
      </c>
      <c r="G4" s="3570">
        <v>10.906133712476201</v>
      </c>
      <c r="H4" s="3570">
        <v>10.289862403167653</v>
      </c>
      <c r="I4" s="3570">
        <v>9.3824671655882987</v>
      </c>
      <c r="J4" s="3570">
        <v>10.442378410190367</v>
      </c>
      <c r="K4" s="3570">
        <v>11.697485075195443</v>
      </c>
      <c r="L4" s="3570">
        <v>8.39</v>
      </c>
      <c r="M4" s="3570">
        <v>9.1676621284037552</v>
      </c>
      <c r="N4" s="3570">
        <v>8.9775363125534948</v>
      </c>
      <c r="O4" s="3570">
        <v>11</v>
      </c>
      <c r="P4" s="3570">
        <v>18.152704075176736</v>
      </c>
      <c r="Q4" s="3570">
        <v>21.332994944542769</v>
      </c>
      <c r="R4" s="3570">
        <v>24.323927279344016</v>
      </c>
      <c r="S4" s="3570">
        <v>26.367255548098978</v>
      </c>
      <c r="T4" s="3570">
        <v>31.256447019163463</v>
      </c>
      <c r="U4" s="3570">
        <v>34.401225457268197</v>
      </c>
      <c r="V4" s="3570">
        <v>35.362407168666415</v>
      </c>
      <c r="W4" s="3570">
        <v>36.792122246992307</v>
      </c>
      <c r="X4" s="3570">
        <v>38.053903778245562</v>
      </c>
      <c r="Y4" s="3570">
        <v>34.442048731434078</v>
      </c>
      <c r="Z4" s="3570">
        <v>35.548415219058064</v>
      </c>
    </row>
    <row r="5" spans="1:26" ht="19.2" x14ac:dyDescent="0.25">
      <c r="A5" s="3634" t="s">
        <v>185</v>
      </c>
      <c r="B5" s="3611" t="s">
        <v>452</v>
      </c>
      <c r="C5" s="3611" t="s">
        <v>452</v>
      </c>
      <c r="D5" s="3611" t="s">
        <v>452</v>
      </c>
      <c r="E5" s="3611">
        <v>43.98051113600286</v>
      </c>
      <c r="F5" s="3611">
        <v>43.535638001170014</v>
      </c>
      <c r="G5" s="3611">
        <v>42.709106605045498</v>
      </c>
      <c r="H5" s="3611">
        <v>41.406732955660502</v>
      </c>
      <c r="I5" s="3611">
        <v>41.566732955660505</v>
      </c>
      <c r="J5" s="3611">
        <v>42.964006572278905</v>
      </c>
      <c r="K5" s="3611">
        <v>42.365114040322524</v>
      </c>
      <c r="L5" s="3611">
        <v>14.01</v>
      </c>
      <c r="M5" s="3611">
        <v>13.006353339817402</v>
      </c>
      <c r="N5" s="3611">
        <v>12.073861759430905</v>
      </c>
      <c r="O5" s="3611">
        <v>0</v>
      </c>
      <c r="P5" s="3611">
        <v>7.993620225551485</v>
      </c>
      <c r="Q5" s="3611">
        <v>9.4894291253090781</v>
      </c>
      <c r="R5" s="3611">
        <v>11.971959003682047</v>
      </c>
      <c r="S5" s="3611">
        <v>10.081261336392851</v>
      </c>
      <c r="T5" s="3611">
        <v>16.693191147336965</v>
      </c>
      <c r="U5" s="3611">
        <v>25.426251323333805</v>
      </c>
      <c r="V5" s="3611">
        <v>22.602404295461358</v>
      </c>
      <c r="W5" s="3611">
        <v>19.893952681044595</v>
      </c>
      <c r="X5" s="3611">
        <v>32.814253224415737</v>
      </c>
      <c r="Y5" s="3611">
        <v>33.828688258032642</v>
      </c>
      <c r="Z5" s="3611">
        <v>38.637043309670908</v>
      </c>
    </row>
    <row r="6" spans="1:26" ht="19.2" x14ac:dyDescent="0.25">
      <c r="A6" s="3634" t="s">
        <v>182</v>
      </c>
      <c r="B6" s="3611" t="s">
        <v>452</v>
      </c>
      <c r="C6" s="3611" t="s">
        <v>452</v>
      </c>
      <c r="D6" s="3611" t="s">
        <v>452</v>
      </c>
      <c r="E6" s="3611">
        <v>4.2050312140297486</v>
      </c>
      <c r="F6" s="3611">
        <v>4.8575641445855444</v>
      </c>
      <c r="G6" s="3611">
        <v>5.4133516273019664</v>
      </c>
      <c r="H6" s="3611">
        <v>3.6884885978864377</v>
      </c>
      <c r="I6" s="3611">
        <v>2.1828765462042203</v>
      </c>
      <c r="J6" s="3611">
        <v>2.4300519040212509</v>
      </c>
      <c r="K6" s="3611">
        <v>2.3168880900485007</v>
      </c>
      <c r="L6" s="3611">
        <v>2.3199999999999998</v>
      </c>
      <c r="M6" s="3611">
        <v>4.2959859632803017</v>
      </c>
      <c r="N6" s="3611">
        <v>1.9430569930743009</v>
      </c>
      <c r="O6" s="3611">
        <v>4</v>
      </c>
      <c r="P6" s="3611">
        <v>4.7740475171616721</v>
      </c>
      <c r="Q6" s="3611">
        <v>4.5979932328965809</v>
      </c>
      <c r="R6" s="3611">
        <v>5.5784739148742872</v>
      </c>
      <c r="S6" s="3611">
        <v>6.7435094877472492</v>
      </c>
      <c r="T6" s="3611">
        <v>9.0334306481334483</v>
      </c>
      <c r="U6" s="3611">
        <v>10.91091322468055</v>
      </c>
      <c r="V6" s="3611">
        <v>11.6723685510438</v>
      </c>
      <c r="W6" s="3611">
        <v>14.943100767983362</v>
      </c>
      <c r="X6" s="3611">
        <v>16.665520951961494</v>
      </c>
      <c r="Y6" s="3611">
        <v>14.079467675397138</v>
      </c>
      <c r="Z6" s="3611">
        <v>14.635645715407341</v>
      </c>
    </row>
    <row r="7" spans="1:26" ht="19.2" x14ac:dyDescent="0.25">
      <c r="A7" s="3635" t="s">
        <v>184</v>
      </c>
      <c r="B7" s="3636" t="s">
        <v>452</v>
      </c>
      <c r="C7" s="3636" t="s">
        <v>452</v>
      </c>
      <c r="D7" s="3636" t="s">
        <v>452</v>
      </c>
      <c r="E7" s="3636">
        <v>2.6477661130116057</v>
      </c>
      <c r="F7" s="3636">
        <v>7.642685728124702</v>
      </c>
      <c r="G7" s="3636">
        <v>6.082009885642421</v>
      </c>
      <c r="H7" s="3636">
        <v>7.0072214159570558</v>
      </c>
      <c r="I7" s="3636">
        <v>6.852743134162453</v>
      </c>
      <c r="J7" s="3636">
        <v>8.9539584859303183</v>
      </c>
      <c r="K7" s="3636">
        <v>13.390216692373018</v>
      </c>
      <c r="L7" s="3636">
        <v>16.2</v>
      </c>
      <c r="M7" s="3636">
        <v>15.414157408553459</v>
      </c>
      <c r="N7" s="3636">
        <v>19.024417055254407</v>
      </c>
      <c r="O7" s="3636">
        <v>28</v>
      </c>
      <c r="P7" s="3636">
        <v>44.585535244730622</v>
      </c>
      <c r="Q7" s="3636">
        <v>53.499295624420824</v>
      </c>
      <c r="R7" s="3636">
        <v>59.037234653981514</v>
      </c>
      <c r="S7" s="3636">
        <v>64.364757547042785</v>
      </c>
      <c r="T7" s="3636">
        <v>72.382601389651242</v>
      </c>
      <c r="U7" s="3636">
        <v>74.977517319719581</v>
      </c>
      <c r="V7" s="3636">
        <v>77.29179016503592</v>
      </c>
      <c r="W7" s="3636">
        <v>79.323535723920941</v>
      </c>
      <c r="X7" s="3636">
        <v>74.46680776718182</v>
      </c>
      <c r="Y7" s="3636">
        <v>67.085684451633355</v>
      </c>
      <c r="Z7" s="3636">
        <v>67.38924694519531</v>
      </c>
    </row>
    <row r="8" spans="1:26" ht="13.8" thickBot="1" x14ac:dyDescent="0.3">
      <c r="A8" s="3226"/>
      <c r="B8" s="3226"/>
      <c r="C8" s="3226"/>
      <c r="D8" s="3226"/>
      <c r="E8" s="3226"/>
      <c r="F8" s="3226"/>
      <c r="G8" s="3226"/>
      <c r="H8" s="3226"/>
      <c r="I8" s="3226"/>
      <c r="J8" s="3226"/>
      <c r="K8" s="3226"/>
      <c r="L8" s="3226"/>
      <c r="M8" s="3226"/>
      <c r="N8" s="3226"/>
      <c r="O8" s="3226"/>
      <c r="P8" s="3226"/>
      <c r="Q8" s="3226"/>
      <c r="R8" s="3226"/>
      <c r="S8" s="3226"/>
      <c r="T8" s="3226"/>
      <c r="U8" s="3226"/>
      <c r="V8" s="3226"/>
      <c r="W8" s="3226"/>
      <c r="X8" s="3226"/>
      <c r="Y8" s="3226"/>
      <c r="Z8" s="3226"/>
    </row>
    <row r="9" spans="1:26" ht="13.8" x14ac:dyDescent="0.3">
      <c r="A9" s="3541" t="s">
        <v>1663</v>
      </c>
      <c r="B9" s="3541"/>
      <c r="C9" s="3541"/>
      <c r="D9" s="3541"/>
      <c r="E9" s="3541"/>
      <c r="F9" s="3541"/>
      <c r="G9" s="3541"/>
      <c r="H9" s="3541"/>
      <c r="I9" s="3541"/>
      <c r="J9" s="3541"/>
      <c r="K9" s="3541"/>
      <c r="L9" s="3541"/>
      <c r="M9" s="3541"/>
      <c r="N9" s="3541"/>
      <c r="O9" s="3541"/>
      <c r="P9" s="3541"/>
      <c r="Q9" s="3541"/>
      <c r="R9" s="3541"/>
      <c r="S9" s="3541"/>
      <c r="T9" s="3541"/>
      <c r="U9" s="3541"/>
      <c r="V9" s="3541"/>
      <c r="W9" s="3541"/>
      <c r="X9" s="3541"/>
      <c r="Y9" s="3541"/>
      <c r="Z9" s="3541"/>
    </row>
    <row r="10" spans="1:26" ht="13.8" x14ac:dyDescent="0.3">
      <c r="A10" s="3540" t="s">
        <v>1754</v>
      </c>
      <c r="E10" s="695"/>
      <c r="F10" s="695"/>
      <c r="G10" s="696"/>
      <c r="H10" s="696"/>
      <c r="I10" s="696"/>
      <c r="J10" s="696"/>
      <c r="K10" s="696"/>
      <c r="L10" s="696"/>
      <c r="M10" s="696"/>
      <c r="N10" s="696"/>
      <c r="O10" s="696"/>
      <c r="P10" s="696"/>
      <c r="W10" s="3226"/>
    </row>
    <row r="11" spans="1:26" ht="14.4" x14ac:dyDescent="0.3">
      <c r="A11" s="3540" t="s">
        <v>1679</v>
      </c>
      <c r="B11" s="3563"/>
      <c r="C11" s="3563"/>
      <c r="D11" s="3563"/>
      <c r="E11" s="3563"/>
      <c r="F11" s="3563"/>
      <c r="G11" s="3563"/>
      <c r="H11" s="3563"/>
      <c r="I11" s="3563"/>
      <c r="J11" s="3563"/>
      <c r="K11" s="3563"/>
      <c r="L11" s="3563"/>
      <c r="M11" s="3563"/>
      <c r="N11" s="3563"/>
      <c r="O11" s="3563"/>
      <c r="P11" s="3563"/>
      <c r="Q11" s="3563"/>
      <c r="R11" s="3563"/>
      <c r="S11" s="3563"/>
      <c r="T11" s="3563"/>
      <c r="U11" s="3563"/>
      <c r="V11" s="3563"/>
      <c r="W11" s="3563"/>
      <c r="X11" s="3563"/>
      <c r="Y11" s="3563"/>
      <c r="Z11" s="3563"/>
    </row>
    <row r="12" spans="1:26" ht="14.4" thickBot="1" x14ac:dyDescent="0.35">
      <c r="A12" s="3540"/>
      <c r="B12" s="3540"/>
      <c r="C12" s="3540"/>
      <c r="D12" s="3540"/>
      <c r="E12" s="3540"/>
      <c r="F12" s="3540"/>
      <c r="G12" s="3540"/>
      <c r="H12" s="3540"/>
      <c r="I12" s="3540"/>
      <c r="J12" s="3540"/>
      <c r="K12" s="3540"/>
      <c r="L12" s="3540"/>
      <c r="M12" s="3540"/>
      <c r="N12" s="3540"/>
      <c r="O12" s="3540"/>
      <c r="P12" s="3540"/>
      <c r="Q12" s="3540"/>
      <c r="R12" s="3540"/>
      <c r="S12" s="3540"/>
      <c r="T12" s="3540"/>
      <c r="U12" s="3540"/>
      <c r="V12" s="3540"/>
      <c r="W12" s="3540"/>
      <c r="X12" s="3540"/>
      <c r="Y12" s="3540"/>
      <c r="Z12" s="3540"/>
    </row>
    <row r="13" spans="1:26" ht="19.8" thickTop="1" x14ac:dyDescent="0.45">
      <c r="A13" s="3564"/>
      <c r="B13" s="3564"/>
      <c r="C13" s="3564"/>
      <c r="D13" s="3564"/>
      <c r="E13" s="3564"/>
      <c r="F13" s="3564"/>
      <c r="G13" s="3564"/>
      <c r="H13" s="3564"/>
      <c r="I13" s="3564"/>
      <c r="J13" s="3564"/>
      <c r="K13" s="3564"/>
      <c r="L13" s="3564"/>
      <c r="M13" s="3564"/>
      <c r="N13" s="3564"/>
      <c r="O13" s="3564"/>
      <c r="P13" s="3564"/>
      <c r="Q13" s="3564"/>
      <c r="R13" s="3564"/>
      <c r="S13" s="3564"/>
      <c r="T13" s="3564"/>
      <c r="U13" s="3564"/>
      <c r="V13" s="3564"/>
      <c r="W13" s="3564"/>
      <c r="X13" s="3564"/>
      <c r="Y13" s="3564"/>
      <c r="Z13" s="3564"/>
    </row>
  </sheetData>
  <mergeCells count="1">
    <mergeCell ref="M2:P2"/>
  </mergeCells>
  <pageMargins left="0.75" right="0.75" top="1" bottom="1" header="0" footer="0"/>
  <pageSetup paperSize="9" scale="6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43">
    <tabColor theme="7" tint="0.39997558519241921"/>
  </sheetPr>
  <dimension ref="B1:AD49"/>
  <sheetViews>
    <sheetView workbookViewId="0"/>
  </sheetViews>
  <sheetFormatPr baseColWidth="10" defaultColWidth="11.5546875" defaultRowHeight="13.8" x14ac:dyDescent="0.3"/>
  <cols>
    <col min="1" max="1" width="1.88671875" style="2" customWidth="1"/>
    <col min="2" max="2" width="38.109375" style="2" customWidth="1"/>
    <col min="3" max="3" width="9.88671875" style="2" customWidth="1"/>
    <col min="4" max="4" width="12.44140625" style="2" customWidth="1"/>
    <col min="5" max="5" width="15.44140625" style="2" customWidth="1"/>
    <col min="6" max="7" width="11.5546875" style="2" customWidth="1"/>
    <col min="8" max="21" width="9.88671875" style="2" customWidth="1"/>
    <col min="22" max="16384" width="11.5546875" style="2"/>
  </cols>
  <sheetData>
    <row r="1" spans="2:30" ht="9" customHeight="1" x14ac:dyDescent="0.3"/>
    <row r="2" spans="2:30" x14ac:dyDescent="0.3">
      <c r="B2" s="39" t="s">
        <v>453</v>
      </c>
    </row>
    <row r="3" spans="2:30" ht="14.4" thickBot="1" x14ac:dyDescent="0.35"/>
    <row r="4" spans="2:30" ht="14.1" customHeight="1" x14ac:dyDescent="0.3">
      <c r="B4" s="3847" t="s">
        <v>186</v>
      </c>
      <c r="C4" s="3849" t="s">
        <v>3</v>
      </c>
      <c r="D4" s="3850"/>
      <c r="E4" s="3850"/>
      <c r="F4" s="3850"/>
      <c r="G4" s="3850"/>
      <c r="H4" s="3850"/>
      <c r="I4" s="3851"/>
      <c r="J4" s="3852" t="s">
        <v>146</v>
      </c>
      <c r="K4" s="3853"/>
      <c r="L4" s="3853"/>
      <c r="M4" s="3853"/>
      <c r="N4" s="3853"/>
      <c r="O4" s="3853"/>
      <c r="P4" s="3854"/>
      <c r="Q4" s="3852" t="s">
        <v>152</v>
      </c>
      <c r="R4" s="3853"/>
      <c r="S4" s="3853"/>
      <c r="T4" s="3853"/>
      <c r="U4" s="3853"/>
      <c r="V4" s="3853"/>
      <c r="W4" s="3854"/>
      <c r="X4" s="3855" t="s">
        <v>151</v>
      </c>
      <c r="Y4" s="3856"/>
      <c r="Z4" s="3856"/>
      <c r="AA4" s="3856"/>
      <c r="AB4" s="3856"/>
      <c r="AC4" s="3856"/>
      <c r="AD4" s="3857"/>
    </row>
    <row r="5" spans="2:30" x14ac:dyDescent="0.3">
      <c r="B5" s="3848"/>
      <c r="C5" s="662">
        <v>2012</v>
      </c>
      <c r="D5" s="662">
        <v>2013</v>
      </c>
      <c r="E5" s="662">
        <v>2015</v>
      </c>
      <c r="F5" s="662">
        <v>2016</v>
      </c>
      <c r="G5" s="662">
        <v>2017</v>
      </c>
      <c r="H5" s="662">
        <v>2018</v>
      </c>
      <c r="I5" s="697">
        <v>2019</v>
      </c>
      <c r="J5" s="698">
        <v>2012</v>
      </c>
      <c r="K5" s="662">
        <v>2013</v>
      </c>
      <c r="L5" s="662">
        <v>2015</v>
      </c>
      <c r="M5" s="662">
        <v>2016</v>
      </c>
      <c r="N5" s="662">
        <v>2017</v>
      </c>
      <c r="O5" s="662">
        <v>2018</v>
      </c>
      <c r="P5" s="699">
        <v>2019</v>
      </c>
      <c r="Q5" s="698">
        <v>2012</v>
      </c>
      <c r="R5" s="662">
        <v>2013</v>
      </c>
      <c r="S5" s="662">
        <v>2015</v>
      </c>
      <c r="T5" s="662">
        <v>2016</v>
      </c>
      <c r="U5" s="662">
        <v>2017</v>
      </c>
      <c r="V5" s="662">
        <v>2018</v>
      </c>
      <c r="W5" s="699">
        <v>2019</v>
      </c>
      <c r="X5" s="700">
        <v>2012</v>
      </c>
      <c r="Y5" s="701">
        <v>2013</v>
      </c>
      <c r="Z5" s="701">
        <v>2015</v>
      </c>
      <c r="AA5" s="701">
        <v>2016</v>
      </c>
      <c r="AB5" s="701">
        <v>2017</v>
      </c>
      <c r="AC5" s="701">
        <v>2018</v>
      </c>
      <c r="AD5" s="702">
        <v>2019</v>
      </c>
    </row>
    <row r="6" spans="2:30" ht="17.100000000000001" customHeight="1" x14ac:dyDescent="0.3">
      <c r="B6" s="703" t="s">
        <v>177</v>
      </c>
      <c r="C6" s="41"/>
      <c r="D6" s="41"/>
      <c r="E6" s="41"/>
      <c r="F6" s="41"/>
      <c r="G6" s="41"/>
      <c r="H6" s="41"/>
      <c r="I6" s="704"/>
      <c r="J6" s="705">
        <v>355</v>
      </c>
      <c r="K6" s="45" t="s">
        <v>188</v>
      </c>
      <c r="L6" s="48" t="e">
        <f>#REF!</f>
        <v>#REF!</v>
      </c>
      <c r="M6" s="48" t="e">
        <f>#REF!</f>
        <v>#REF!</v>
      </c>
      <c r="N6" s="48" t="e">
        <f>#REF!</f>
        <v>#REF!</v>
      </c>
      <c r="O6" s="48" t="e">
        <f>#REF!</f>
        <v>#REF!</v>
      </c>
      <c r="P6" s="706" t="e">
        <f>#REF!</f>
        <v>#REF!</v>
      </c>
      <c r="Q6" s="705" t="e">
        <f>#REF!</f>
        <v>#REF!</v>
      </c>
      <c r="R6" s="48" t="e">
        <f>#REF!</f>
        <v>#REF!</v>
      </c>
      <c r="S6" s="48" t="e">
        <f>#REF!</f>
        <v>#REF!</v>
      </c>
      <c r="T6" s="48">
        <v>5479.9740748461882</v>
      </c>
      <c r="U6" s="48">
        <v>4061.9461915320703</v>
      </c>
      <c r="V6" s="48" t="e">
        <f>#REF!</f>
        <v>#REF!</v>
      </c>
      <c r="W6" s="706" t="e">
        <f>#REF!</f>
        <v>#REF!</v>
      </c>
      <c r="X6" s="707" t="e">
        <f>C6+J6+Q6</f>
        <v>#REF!</v>
      </c>
      <c r="Y6" s="708" t="e">
        <f>D6+R6</f>
        <v>#REF!</v>
      </c>
      <c r="Z6" s="708" t="e">
        <f t="shared" ref="Z6:AD7" si="0">E6+L6+S6</f>
        <v>#REF!</v>
      </c>
      <c r="AA6" s="708" t="e">
        <f t="shared" si="0"/>
        <v>#REF!</v>
      </c>
      <c r="AB6" s="708" t="e">
        <f t="shared" si="0"/>
        <v>#REF!</v>
      </c>
      <c r="AC6" s="708" t="e">
        <f t="shared" si="0"/>
        <v>#REF!</v>
      </c>
      <c r="AD6" s="709" t="e">
        <f t="shared" si="0"/>
        <v>#REF!</v>
      </c>
    </row>
    <row r="7" spans="2:30" ht="17.100000000000001" customHeight="1" x14ac:dyDescent="0.3">
      <c r="B7" s="703" t="s">
        <v>454</v>
      </c>
      <c r="C7" s="48">
        <v>314</v>
      </c>
      <c r="D7" s="48" t="e">
        <f>#REF!</f>
        <v>#REF!</v>
      </c>
      <c r="E7" s="48" t="e">
        <f>#REF!</f>
        <v>#REF!</v>
      </c>
      <c r="F7" s="48" t="e">
        <f>#REF!</f>
        <v>#REF!</v>
      </c>
      <c r="G7" s="48" t="e">
        <f>#REF!</f>
        <v>#REF!</v>
      </c>
      <c r="H7" s="48" t="e">
        <f>#REF!</f>
        <v>#REF!</v>
      </c>
      <c r="I7" s="710" t="e">
        <f>#REF!</f>
        <v>#REF!</v>
      </c>
      <c r="J7" s="711"/>
      <c r="K7" s="712"/>
      <c r="L7" s="41"/>
      <c r="M7" s="41"/>
      <c r="N7" s="41"/>
      <c r="O7" s="41"/>
      <c r="P7" s="713"/>
      <c r="Q7" s="711"/>
      <c r="R7" s="41"/>
      <c r="S7" s="41"/>
      <c r="T7" s="41"/>
      <c r="U7" s="41"/>
      <c r="V7" s="41"/>
      <c r="W7" s="713"/>
      <c r="X7" s="707">
        <f>C7+J7+Q7</f>
        <v>314</v>
      </c>
      <c r="Y7" s="708" t="e">
        <f>D7+K7+R7</f>
        <v>#REF!</v>
      </c>
      <c r="Z7" s="708" t="e">
        <f t="shared" si="0"/>
        <v>#REF!</v>
      </c>
      <c r="AA7" s="708" t="e">
        <f t="shared" si="0"/>
        <v>#REF!</v>
      </c>
      <c r="AB7" s="708" t="e">
        <f t="shared" si="0"/>
        <v>#REF!</v>
      </c>
      <c r="AC7" s="708" t="e">
        <f t="shared" si="0"/>
        <v>#REF!</v>
      </c>
      <c r="AD7" s="709" t="e">
        <f t="shared" si="0"/>
        <v>#REF!</v>
      </c>
    </row>
    <row r="8" spans="2:30" ht="17.100000000000001" customHeight="1" thickBot="1" x14ac:dyDescent="0.35">
      <c r="B8" s="714" t="s">
        <v>125</v>
      </c>
      <c r="C8" s="715">
        <f>SUM(C6:C7)</f>
        <v>314</v>
      </c>
      <c r="D8" s="715" t="e">
        <f t="shared" ref="D8:Z8" si="1">SUM(D6:D7)</f>
        <v>#REF!</v>
      </c>
      <c r="E8" s="715" t="e">
        <f t="shared" si="1"/>
        <v>#REF!</v>
      </c>
      <c r="F8" s="715" t="e">
        <f t="shared" si="1"/>
        <v>#REF!</v>
      </c>
      <c r="G8" s="715" t="e">
        <f t="shared" si="1"/>
        <v>#REF!</v>
      </c>
      <c r="H8" s="715" t="e">
        <f>SUM(H6:H7)</f>
        <v>#REF!</v>
      </c>
      <c r="I8" s="715" t="e">
        <f>SUM(I6:I7)</f>
        <v>#REF!</v>
      </c>
      <c r="J8" s="716">
        <f t="shared" si="1"/>
        <v>355</v>
      </c>
      <c r="K8" s="717" t="s">
        <v>188</v>
      </c>
      <c r="L8" s="718" t="e">
        <f t="shared" si="1"/>
        <v>#REF!</v>
      </c>
      <c r="M8" s="718" t="e">
        <f>SUM(M6:M7)</f>
        <v>#REF!</v>
      </c>
      <c r="N8" s="718" t="e">
        <f>SUM(N6:N7)</f>
        <v>#REF!</v>
      </c>
      <c r="O8" s="718" t="e">
        <f>SUM(O6:O7)</f>
        <v>#REF!</v>
      </c>
      <c r="P8" s="719" t="e">
        <f>SUM(P6:P7)</f>
        <v>#REF!</v>
      </c>
      <c r="Q8" s="716" t="e">
        <f t="shared" si="1"/>
        <v>#REF!</v>
      </c>
      <c r="R8" s="718" t="e">
        <f t="shared" si="1"/>
        <v>#REF!</v>
      </c>
      <c r="S8" s="718" t="e">
        <f t="shared" si="1"/>
        <v>#REF!</v>
      </c>
      <c r="T8" s="718">
        <f t="shared" si="1"/>
        <v>5479.9740748461882</v>
      </c>
      <c r="U8" s="718">
        <v>4061.9461915320703</v>
      </c>
      <c r="V8" s="718" t="e">
        <f>SUM(V6:V7)</f>
        <v>#REF!</v>
      </c>
      <c r="W8" s="718" t="e">
        <f>SUM(W6:W7)</f>
        <v>#REF!</v>
      </c>
      <c r="X8" s="716" t="e">
        <f t="shared" si="1"/>
        <v>#REF!</v>
      </c>
      <c r="Y8" s="718" t="e">
        <f t="shared" si="1"/>
        <v>#REF!</v>
      </c>
      <c r="Z8" s="718" t="e">
        <f t="shared" si="1"/>
        <v>#REF!</v>
      </c>
      <c r="AA8" s="718" t="e">
        <f>SUM(AA6:AA7)</f>
        <v>#REF!</v>
      </c>
      <c r="AB8" s="718" t="e">
        <f>SUM(AB6:AB7)</f>
        <v>#REF!</v>
      </c>
      <c r="AC8" s="720" t="e">
        <f>SUM(AC6:AC7)</f>
        <v>#REF!</v>
      </c>
      <c r="AD8" s="721" t="e">
        <f>SUM(AD6:AD7)</f>
        <v>#REF!</v>
      </c>
    </row>
    <row r="11" spans="2:30" x14ac:dyDescent="0.3">
      <c r="B11" s="661" t="s">
        <v>3</v>
      </c>
      <c r="C11" s="661" t="s">
        <v>455</v>
      </c>
    </row>
    <row r="12" spans="2:30" x14ac:dyDescent="0.3">
      <c r="B12" s="661" t="s">
        <v>146</v>
      </c>
      <c r="C12" s="661" t="s">
        <v>456</v>
      </c>
    </row>
    <row r="13" spans="2:30" x14ac:dyDescent="0.3">
      <c r="B13" s="661" t="s">
        <v>152</v>
      </c>
      <c r="C13" s="661" t="s">
        <v>457</v>
      </c>
    </row>
    <row r="16" spans="2:30" ht="14.4" thickBot="1" x14ac:dyDescent="0.35"/>
    <row r="17" spans="2:7" ht="36.75" customHeight="1" thickBot="1" x14ac:dyDescent="0.35">
      <c r="B17" s="722" t="s">
        <v>186</v>
      </c>
      <c r="C17" s="723" t="s">
        <v>441</v>
      </c>
      <c r="D17" s="723" t="s">
        <v>177</v>
      </c>
      <c r="E17" s="723" t="s">
        <v>454</v>
      </c>
      <c r="F17" s="724" t="s">
        <v>125</v>
      </c>
      <c r="G17" s="668"/>
    </row>
    <row r="18" spans="2:7" x14ac:dyDescent="0.3">
      <c r="B18" s="725" t="s">
        <v>3</v>
      </c>
      <c r="C18" s="726">
        <v>2012</v>
      </c>
      <c r="D18" s="727">
        <f>C6</f>
        <v>0</v>
      </c>
      <c r="E18" s="728">
        <v>314</v>
      </c>
      <c r="F18" s="729">
        <v>314</v>
      </c>
      <c r="G18" s="23"/>
    </row>
    <row r="19" spans="2:7" x14ac:dyDescent="0.3">
      <c r="B19" s="730"/>
      <c r="C19" s="731">
        <v>2013</v>
      </c>
      <c r="D19" s="732">
        <f>D6</f>
        <v>0</v>
      </c>
      <c r="E19" s="49">
        <v>369</v>
      </c>
      <c r="F19" s="733">
        <v>369</v>
      </c>
      <c r="G19" s="23"/>
    </row>
    <row r="20" spans="2:7" x14ac:dyDescent="0.3">
      <c r="B20" s="730"/>
      <c r="C20" s="731">
        <v>2015</v>
      </c>
      <c r="D20" s="732">
        <f>E6</f>
        <v>0</v>
      </c>
      <c r="E20" s="49">
        <v>65.572999999999993</v>
      </c>
      <c r="F20" s="733">
        <v>65.572999999999993</v>
      </c>
      <c r="G20" s="23"/>
    </row>
    <row r="21" spans="2:7" x14ac:dyDescent="0.3">
      <c r="B21" s="730"/>
      <c r="C21" s="731">
        <v>2016</v>
      </c>
      <c r="D21" s="732">
        <f>F6</f>
        <v>0</v>
      </c>
      <c r="E21" s="49" t="e">
        <f>F8</f>
        <v>#REF!</v>
      </c>
      <c r="F21" s="733" t="e">
        <f>E21</f>
        <v>#REF!</v>
      </c>
      <c r="G21" s="23"/>
    </row>
    <row r="22" spans="2:7" x14ac:dyDescent="0.3">
      <c r="B22" s="730"/>
      <c r="C22" s="731">
        <v>2017</v>
      </c>
      <c r="D22" s="732">
        <f>G6</f>
        <v>0</v>
      </c>
      <c r="E22" s="49" t="e">
        <f>G8</f>
        <v>#REF!</v>
      </c>
      <c r="F22" s="733" t="e">
        <f>E22</f>
        <v>#REF!</v>
      </c>
      <c r="G22" s="23"/>
    </row>
    <row r="23" spans="2:7" x14ac:dyDescent="0.3">
      <c r="B23" s="730"/>
      <c r="C23" s="731">
        <v>2018</v>
      </c>
      <c r="D23" s="732">
        <f>H6</f>
        <v>0</v>
      </c>
      <c r="E23" s="49" t="e">
        <f>H8</f>
        <v>#REF!</v>
      </c>
      <c r="F23" s="733" t="e">
        <f>E23</f>
        <v>#REF!</v>
      </c>
      <c r="G23" s="734"/>
    </row>
    <row r="24" spans="2:7" ht="14.4" thickBot="1" x14ac:dyDescent="0.35">
      <c r="B24" s="730"/>
      <c r="C24" s="731">
        <v>2019</v>
      </c>
      <c r="D24" s="732">
        <f>I6</f>
        <v>0</v>
      </c>
      <c r="E24" s="49" t="e">
        <f>I7</f>
        <v>#REF!</v>
      </c>
      <c r="F24" s="733" t="e">
        <f>I8</f>
        <v>#REF!</v>
      </c>
      <c r="G24" s="734"/>
    </row>
    <row r="25" spans="2:7" x14ac:dyDescent="0.3">
      <c r="B25" s="735" t="s">
        <v>146</v>
      </c>
      <c r="C25" s="731">
        <v>2012</v>
      </c>
      <c r="D25" s="732">
        <v>355</v>
      </c>
      <c r="E25" s="49"/>
      <c r="F25" s="733">
        <v>355</v>
      </c>
      <c r="G25" s="23"/>
    </row>
    <row r="26" spans="2:7" x14ac:dyDescent="0.3">
      <c r="B26" s="736"/>
      <c r="C26" s="731">
        <v>2013</v>
      </c>
      <c r="D26" s="732" t="s">
        <v>188</v>
      </c>
      <c r="E26" s="49"/>
      <c r="F26" s="733" t="s">
        <v>188</v>
      </c>
      <c r="G26" s="23"/>
    </row>
    <row r="27" spans="2:7" x14ac:dyDescent="0.3">
      <c r="B27" s="736"/>
      <c r="C27" s="731">
        <v>2015</v>
      </c>
      <c r="D27" s="732">
        <v>870.04169999999999</v>
      </c>
      <c r="E27" s="49"/>
      <c r="F27" s="733">
        <v>870.04169999999999</v>
      </c>
      <c r="G27" s="23"/>
    </row>
    <row r="28" spans="2:7" x14ac:dyDescent="0.3">
      <c r="B28" s="737"/>
      <c r="C28" s="731">
        <v>2016</v>
      </c>
      <c r="D28" s="732" t="e">
        <f>M8</f>
        <v>#REF!</v>
      </c>
      <c r="E28" s="49"/>
      <c r="F28" s="733" t="e">
        <f>D28</f>
        <v>#REF!</v>
      </c>
      <c r="G28" s="23"/>
    </row>
    <row r="29" spans="2:7" x14ac:dyDescent="0.3">
      <c r="B29" s="737"/>
      <c r="C29" s="731">
        <v>2017</v>
      </c>
      <c r="D29" s="732" t="e">
        <f>N8</f>
        <v>#REF!</v>
      </c>
      <c r="E29" s="49"/>
      <c r="F29" s="733" t="e">
        <f>D29</f>
        <v>#REF!</v>
      </c>
      <c r="G29" s="23"/>
    </row>
    <row r="30" spans="2:7" x14ac:dyDescent="0.3">
      <c r="B30" s="737"/>
      <c r="C30" s="731">
        <v>2018</v>
      </c>
      <c r="D30" s="732" t="e">
        <f>O8</f>
        <v>#REF!</v>
      </c>
      <c r="E30" s="49"/>
      <c r="F30" s="733" t="e">
        <f>D30</f>
        <v>#REF!</v>
      </c>
      <c r="G30" s="734"/>
    </row>
    <row r="31" spans="2:7" ht="14.4" thickBot="1" x14ac:dyDescent="0.35">
      <c r="B31" s="737"/>
      <c r="C31" s="731">
        <v>2019</v>
      </c>
      <c r="D31" s="732" t="e">
        <f>P6</f>
        <v>#REF!</v>
      </c>
      <c r="E31" s="49"/>
      <c r="F31" s="733" t="e">
        <f>P8</f>
        <v>#REF!</v>
      </c>
      <c r="G31" s="734"/>
    </row>
    <row r="32" spans="2:7" x14ac:dyDescent="0.3">
      <c r="B32" s="725" t="s">
        <v>152</v>
      </c>
      <c r="C32" s="731">
        <v>2012</v>
      </c>
      <c r="D32" s="732">
        <v>1835.7349999999999</v>
      </c>
      <c r="E32" s="49"/>
      <c r="F32" s="733">
        <v>1835.7349999999999</v>
      </c>
      <c r="G32" s="23"/>
    </row>
    <row r="33" spans="2:10" x14ac:dyDescent="0.3">
      <c r="B33" s="730"/>
      <c r="C33" s="731">
        <v>2013</v>
      </c>
      <c r="D33" s="732">
        <v>3860</v>
      </c>
      <c r="E33" s="49"/>
      <c r="F33" s="733">
        <v>3860</v>
      </c>
      <c r="G33" s="23"/>
    </row>
    <row r="34" spans="2:10" x14ac:dyDescent="0.3">
      <c r="B34" s="730"/>
      <c r="C34" s="731">
        <v>2015</v>
      </c>
      <c r="D34" s="732">
        <v>2840.6907341724623</v>
      </c>
      <c r="E34" s="49"/>
      <c r="F34" s="733">
        <v>2840.6907341724623</v>
      </c>
      <c r="G34" s="23"/>
      <c r="J34" s="3"/>
    </row>
    <row r="35" spans="2:10" x14ac:dyDescent="0.3">
      <c r="B35" s="730"/>
      <c r="C35" s="731">
        <v>2016</v>
      </c>
      <c r="D35" s="732">
        <v>5479.9740748461882</v>
      </c>
      <c r="E35" s="49"/>
      <c r="F35" s="733">
        <v>5479.9740748461882</v>
      </c>
      <c r="G35" s="23"/>
    </row>
    <row r="36" spans="2:10" x14ac:dyDescent="0.3">
      <c r="B36" s="730"/>
      <c r="C36" s="731">
        <v>2017</v>
      </c>
      <c r="D36" s="732">
        <f>U8</f>
        <v>4061.9461915320703</v>
      </c>
      <c r="E36" s="49"/>
      <c r="F36" s="733">
        <f>D36</f>
        <v>4061.9461915320703</v>
      </c>
      <c r="G36" s="23"/>
    </row>
    <row r="37" spans="2:10" x14ac:dyDescent="0.3">
      <c r="B37" s="730"/>
      <c r="C37" s="731">
        <v>2018</v>
      </c>
      <c r="D37" s="732" t="e">
        <f>V8</f>
        <v>#REF!</v>
      </c>
      <c r="E37" s="49"/>
      <c r="F37" s="733" t="e">
        <f>D37</f>
        <v>#REF!</v>
      </c>
      <c r="G37" s="734"/>
    </row>
    <row r="38" spans="2:10" ht="14.4" thickBot="1" x14ac:dyDescent="0.35">
      <c r="B38" s="730"/>
      <c r="C38" s="731">
        <v>2019</v>
      </c>
      <c r="D38" s="732" t="e">
        <f>W6</f>
        <v>#REF!</v>
      </c>
      <c r="E38" s="49"/>
      <c r="F38" s="733" t="e">
        <f>W8</f>
        <v>#REF!</v>
      </c>
      <c r="G38" s="734"/>
    </row>
    <row r="39" spans="2:10" x14ac:dyDescent="0.3">
      <c r="B39" s="735" t="s">
        <v>151</v>
      </c>
      <c r="C39" s="731">
        <v>2012</v>
      </c>
      <c r="D39" s="732">
        <v>2190.7349999999997</v>
      </c>
      <c r="E39" s="49">
        <v>314</v>
      </c>
      <c r="F39" s="733">
        <v>2504.7349999999997</v>
      </c>
      <c r="G39" s="50"/>
    </row>
    <row r="40" spans="2:10" x14ac:dyDescent="0.3">
      <c r="B40" s="736"/>
      <c r="C40" s="731">
        <v>2013</v>
      </c>
      <c r="D40" s="732">
        <v>3860</v>
      </c>
      <c r="E40" s="49">
        <v>369</v>
      </c>
      <c r="F40" s="733">
        <v>4229</v>
      </c>
      <c r="G40" s="50"/>
    </row>
    <row r="41" spans="2:10" x14ac:dyDescent="0.3">
      <c r="B41" s="736"/>
      <c r="C41" s="731">
        <v>2015</v>
      </c>
      <c r="D41" s="732">
        <v>3710.7324341724625</v>
      </c>
      <c r="E41" s="49">
        <v>65.572999999999993</v>
      </c>
      <c r="F41" s="733">
        <v>3776.3054341724624</v>
      </c>
      <c r="G41" s="50"/>
    </row>
    <row r="42" spans="2:10" x14ac:dyDescent="0.3">
      <c r="B42" s="736"/>
      <c r="C42" s="731">
        <v>2016</v>
      </c>
      <c r="D42" s="732">
        <v>6495.9740748461882</v>
      </c>
      <c r="E42" s="49">
        <v>75.734999999999999</v>
      </c>
      <c r="F42" s="733">
        <v>6571.7090748461878</v>
      </c>
      <c r="G42" s="50"/>
    </row>
    <row r="43" spans="2:10" x14ac:dyDescent="0.3">
      <c r="B43" s="736"/>
      <c r="C43" s="731">
        <v>2017</v>
      </c>
      <c r="D43" s="732" t="e">
        <f>D36+D29+D22</f>
        <v>#REF!</v>
      </c>
      <c r="E43" s="49" t="e">
        <f>E29+E36+E22</f>
        <v>#REF!</v>
      </c>
      <c r="F43" s="733" t="e">
        <f>D43+E43</f>
        <v>#REF!</v>
      </c>
      <c r="G43" s="50"/>
    </row>
    <row r="44" spans="2:10" x14ac:dyDescent="0.3">
      <c r="B44" s="736"/>
      <c r="C44" s="731">
        <v>2018</v>
      </c>
      <c r="D44" s="732" t="e">
        <f>D37+D30+D23</f>
        <v>#REF!</v>
      </c>
      <c r="E44" s="49" t="e">
        <f>E30+E37+E23</f>
        <v>#REF!</v>
      </c>
      <c r="F44" s="733" t="e">
        <f>D44+E44</f>
        <v>#REF!</v>
      </c>
      <c r="G44" s="738"/>
    </row>
    <row r="45" spans="2:10" ht="14.4" thickBot="1" x14ac:dyDescent="0.35">
      <c r="B45" s="739"/>
      <c r="C45" s="731">
        <v>2019</v>
      </c>
      <c r="D45" s="732" t="e">
        <f>AD6</f>
        <v>#REF!</v>
      </c>
      <c r="E45" s="49" t="e">
        <f>AD7</f>
        <v>#REF!</v>
      </c>
      <c r="F45" s="733" t="e">
        <f>AD8</f>
        <v>#REF!</v>
      </c>
      <c r="G45" s="738"/>
    </row>
    <row r="49" spans="4:10" x14ac:dyDescent="0.3">
      <c r="D49" s="3"/>
      <c r="E49" s="3"/>
      <c r="F49" s="3"/>
      <c r="G49" s="3"/>
      <c r="J49" s="3"/>
    </row>
  </sheetData>
  <mergeCells count="5">
    <mergeCell ref="B4:B5"/>
    <mergeCell ref="C4:I4"/>
    <mergeCell ref="J4:P4"/>
    <mergeCell ref="Q4:W4"/>
    <mergeCell ref="X4:AD4"/>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44">
    <tabColor theme="7" tint="0.39997558519241921"/>
  </sheetPr>
  <dimension ref="B1:AP190"/>
  <sheetViews>
    <sheetView workbookViewId="0"/>
  </sheetViews>
  <sheetFormatPr baseColWidth="10" defaultColWidth="11.44140625" defaultRowHeight="13.8" x14ac:dyDescent="0.3"/>
  <cols>
    <col min="1" max="1" width="3.109375" style="27" customWidth="1"/>
    <col min="2" max="2" width="25.109375" style="27" customWidth="1"/>
    <col min="3" max="3" width="13.88671875" style="740" customWidth="1"/>
    <col min="4" max="4" width="12.109375" style="740" customWidth="1"/>
    <col min="5" max="5" width="13.88671875" style="740" customWidth="1"/>
    <col min="6" max="6" width="9.88671875" style="27" customWidth="1"/>
    <col min="7" max="7" width="12" style="27" customWidth="1"/>
    <col min="8" max="8" width="12.109375" style="27" customWidth="1"/>
    <col min="9" max="9" width="14.109375" style="27" customWidth="1"/>
    <col min="10" max="10" width="16.109375" style="27" customWidth="1"/>
    <col min="11" max="11" width="15.109375" style="741" customWidth="1"/>
    <col min="12" max="12" width="12.88671875" style="741" customWidth="1"/>
    <col min="13" max="13" width="10" style="27" customWidth="1"/>
    <col min="14" max="17" width="15.88671875" style="27" customWidth="1"/>
    <col min="18" max="18" width="15.88671875" style="741" customWidth="1"/>
    <col min="19" max="19" width="15.88671875" style="742" customWidth="1"/>
    <col min="20" max="20" width="15.88671875" style="741" customWidth="1"/>
    <col min="21" max="21" width="15.88671875" style="742" customWidth="1"/>
    <col min="22" max="22" width="15.88671875" style="741" customWidth="1"/>
    <col min="23" max="23" width="15.88671875" style="742" customWidth="1"/>
    <col min="24" max="26" width="15.88671875" style="741" customWidth="1"/>
    <col min="27" max="34" width="15.88671875" style="742" customWidth="1"/>
    <col min="35" max="16384" width="11.44140625" style="27"/>
  </cols>
  <sheetData>
    <row r="1" spans="2:38" ht="14.4" thickBot="1" x14ac:dyDescent="0.35">
      <c r="Q1" s="740"/>
    </row>
    <row r="2" spans="2:38" s="744" customFormat="1" ht="19.350000000000001" customHeight="1" x14ac:dyDescent="0.3">
      <c r="B2" s="3864" t="s">
        <v>336</v>
      </c>
      <c r="C2" s="3879" t="s">
        <v>458</v>
      </c>
      <c r="D2" s="3879" t="s">
        <v>459</v>
      </c>
      <c r="E2" s="3879" t="s">
        <v>460</v>
      </c>
      <c r="F2" s="3881" t="s">
        <v>461</v>
      </c>
      <c r="G2" s="3882"/>
      <c r="H2" s="3882"/>
      <c r="I2" s="3883"/>
      <c r="J2" s="743"/>
      <c r="K2" s="3864" t="s">
        <v>336</v>
      </c>
      <c r="L2" s="3884" t="s">
        <v>462</v>
      </c>
      <c r="M2" s="3884" t="s">
        <v>463</v>
      </c>
      <c r="N2" s="3866" t="s">
        <v>464</v>
      </c>
      <c r="O2" s="3886" t="s">
        <v>465</v>
      </c>
      <c r="P2" s="3886" t="s">
        <v>466</v>
      </c>
      <c r="Q2" s="3866" t="s">
        <v>467</v>
      </c>
      <c r="R2" s="3873" t="s">
        <v>468</v>
      </c>
      <c r="S2" s="3875" t="s">
        <v>469</v>
      </c>
      <c r="T2" s="3877" t="s">
        <v>470</v>
      </c>
      <c r="U2" s="3878" t="s">
        <v>471</v>
      </c>
      <c r="V2" s="3878" t="s">
        <v>472</v>
      </c>
      <c r="W2" s="3878" t="s">
        <v>473</v>
      </c>
      <c r="X2" s="3878" t="s">
        <v>474</v>
      </c>
      <c r="Y2" s="3878" t="s">
        <v>475</v>
      </c>
      <c r="Z2" s="3878" t="s">
        <v>476</v>
      </c>
      <c r="AA2" s="3878" t="s">
        <v>477</v>
      </c>
      <c r="AB2" s="3878" t="s">
        <v>478</v>
      </c>
    </row>
    <row r="3" spans="2:38" s="744" customFormat="1" ht="58.35" customHeight="1" thickBot="1" x14ac:dyDescent="0.35">
      <c r="B3" s="3865"/>
      <c r="C3" s="3880"/>
      <c r="D3" s="3880"/>
      <c r="E3" s="3880"/>
      <c r="F3" s="745" t="s">
        <v>15</v>
      </c>
      <c r="G3" s="745" t="s">
        <v>115</v>
      </c>
      <c r="H3" s="745" t="s">
        <v>116</v>
      </c>
      <c r="I3" s="746" t="s">
        <v>125</v>
      </c>
      <c r="J3" s="743"/>
      <c r="K3" s="3865"/>
      <c r="L3" s="3885"/>
      <c r="M3" s="3885"/>
      <c r="N3" s="3867"/>
      <c r="O3" s="3887"/>
      <c r="P3" s="3887"/>
      <c r="Q3" s="3867"/>
      <c r="R3" s="3874"/>
      <c r="S3" s="3876"/>
      <c r="T3" s="3877"/>
      <c r="U3" s="3878"/>
      <c r="V3" s="3878"/>
      <c r="W3" s="3878"/>
      <c r="X3" s="3878"/>
      <c r="Y3" s="3878"/>
      <c r="Z3" s="3878"/>
      <c r="AA3" s="3878"/>
      <c r="AB3" s="3878"/>
      <c r="AG3" s="3863" t="s">
        <v>479</v>
      </c>
      <c r="AH3" s="3863"/>
      <c r="AI3" s="3863"/>
      <c r="AJ3" s="3863"/>
      <c r="AK3" s="3863"/>
    </row>
    <row r="4" spans="2:38" ht="55.2" x14ac:dyDescent="0.3">
      <c r="B4" s="747" t="s">
        <v>6</v>
      </c>
      <c r="C4" s="748" t="e">
        <f>SUM(C5:C6)</f>
        <v>#REF!</v>
      </c>
      <c r="D4" s="748" t="e">
        <f>SUM(D5:D6)</f>
        <v>#REF!</v>
      </c>
      <c r="E4" s="748" t="e">
        <f>SUM(E5:E6)</f>
        <v>#REF!</v>
      </c>
      <c r="F4" s="748"/>
      <c r="G4" s="748" t="e">
        <f>SUM(G5:G6)</f>
        <v>#REF!</v>
      </c>
      <c r="H4" s="748" t="e">
        <f>SUM(H5:H6)</f>
        <v>#REF!</v>
      </c>
      <c r="I4" s="749" t="e">
        <f>SUM(I5:I6)</f>
        <v>#REF!</v>
      </c>
      <c r="J4" s="750"/>
      <c r="K4" s="751" t="s">
        <v>5</v>
      </c>
      <c r="L4" s="752" t="e">
        <f>#REF!</f>
        <v>#REF!</v>
      </c>
      <c r="M4" s="752" t="e">
        <f>#REF!</f>
        <v>#REF!</v>
      </c>
      <c r="N4" s="753" t="e">
        <f>$C$4*L4</f>
        <v>#REF!</v>
      </c>
      <c r="O4" s="753" t="e">
        <f>$D$4*M4</f>
        <v>#REF!</v>
      </c>
      <c r="P4" s="753" t="e">
        <f>N4+O4</f>
        <v>#REF!</v>
      </c>
      <c r="Q4" s="753" t="e">
        <f>F8</f>
        <v>#REF!</v>
      </c>
      <c r="R4" s="753" t="e">
        <f>P4+Q4</f>
        <v>#REF!</v>
      </c>
      <c r="S4" s="754" t="e">
        <f>Q4/R4</f>
        <v>#REF!</v>
      </c>
      <c r="T4" s="740" t="e">
        <f>G8</f>
        <v>#REF!</v>
      </c>
      <c r="U4" s="740"/>
      <c r="V4" s="740" t="e">
        <f>AJ6</f>
        <v>#REF!</v>
      </c>
      <c r="W4" s="740" t="e">
        <f>AK6</f>
        <v>#REF!</v>
      </c>
      <c r="X4" s="740" t="e">
        <f>T4-U4-V4-W4-Y4</f>
        <v>#REF!</v>
      </c>
      <c r="Y4" s="740" t="e">
        <f>AH6</f>
        <v>#REF!</v>
      </c>
      <c r="Z4" s="741" t="e">
        <f>V4/$V$26</f>
        <v>#REF!</v>
      </c>
      <c r="AA4" s="741" t="e">
        <f>W4/$W$26</f>
        <v>#REF!</v>
      </c>
      <c r="AB4" s="741" t="e">
        <f>X4/$X$26</f>
        <v>#REF!</v>
      </c>
      <c r="AC4" s="27" t="s">
        <v>5</v>
      </c>
      <c r="AD4" s="27"/>
      <c r="AE4" s="3863" t="s">
        <v>480</v>
      </c>
      <c r="AF4" s="3863"/>
      <c r="AG4" s="755" t="s">
        <v>481</v>
      </c>
      <c r="AH4" s="755" t="s">
        <v>475</v>
      </c>
      <c r="AI4" s="755" t="s">
        <v>482</v>
      </c>
      <c r="AJ4" s="755" t="s">
        <v>472</v>
      </c>
      <c r="AK4" s="755" t="s">
        <v>483</v>
      </c>
    </row>
    <row r="5" spans="2:38" x14ac:dyDescent="0.3">
      <c r="B5" s="756" t="s">
        <v>484</v>
      </c>
      <c r="C5" s="757" t="e">
        <f>#REF!+#REF!</f>
        <v>#REF!</v>
      </c>
      <c r="D5" s="757" t="e">
        <f>#REF!</f>
        <v>#REF!</v>
      </c>
      <c r="E5" s="757" t="e">
        <f>C5+D5</f>
        <v>#REF!</v>
      </c>
      <c r="F5" s="536"/>
      <c r="G5" s="757" t="e">
        <f>#REF!</f>
        <v>#REF!</v>
      </c>
      <c r="H5" s="757" t="e">
        <f>#REF!-'Gestion final Araba 2018'!H6</f>
        <v>#REF!</v>
      </c>
      <c r="I5" s="758" t="e">
        <f>SUM(F5:H5)</f>
        <v>#REF!</v>
      </c>
      <c r="J5" s="759"/>
      <c r="K5" s="756" t="s">
        <v>8</v>
      </c>
      <c r="L5" s="752" t="e">
        <f>#REF!</f>
        <v>#REF!</v>
      </c>
      <c r="M5" s="752" t="e">
        <f>#REF!</f>
        <v>#REF!</v>
      </c>
      <c r="N5" s="753" t="e">
        <f t="shared" ref="N5:N25" si="0">$C$4*L5</f>
        <v>#REF!</v>
      </c>
      <c r="O5" s="753" t="e">
        <f t="shared" ref="O5:O25" si="1">$D$4*M5</f>
        <v>#REF!</v>
      </c>
      <c r="P5" s="753" t="e">
        <f t="shared" ref="P5:P25" si="2">N5+O5</f>
        <v>#REF!</v>
      </c>
      <c r="Q5" s="753" t="e">
        <f t="shared" ref="Q5:Q25" si="3">F9</f>
        <v>#REF!</v>
      </c>
      <c r="R5" s="753" t="e">
        <f t="shared" ref="R5:R25" si="4">P5+Q5</f>
        <v>#REF!</v>
      </c>
      <c r="S5" s="754" t="e">
        <f t="shared" ref="S5:S25" si="5">Q5/R5</f>
        <v>#REF!</v>
      </c>
      <c r="T5" s="740" t="e">
        <f t="shared" ref="T5:T25" si="6">G9</f>
        <v>#REF!</v>
      </c>
      <c r="U5" s="740" t="e">
        <f>#REF!</f>
        <v>#REF!</v>
      </c>
      <c r="V5" s="740"/>
      <c r="W5" s="740"/>
      <c r="X5" s="740" t="e">
        <f t="shared" ref="X5:X25" si="7">T5-U5-V5-W5-Y5</f>
        <v>#REF!</v>
      </c>
      <c r="Y5" s="740"/>
      <c r="Z5" s="741" t="e">
        <f t="shared" ref="Z5:Z25" si="8">V5/$V$26</f>
        <v>#REF!</v>
      </c>
      <c r="AA5" s="741" t="e">
        <f t="shared" ref="AA5:AA25" si="9">W5/$W$26</f>
        <v>#REF!</v>
      </c>
      <c r="AB5" s="741" t="e">
        <f t="shared" ref="AB5:AB25" si="10">X5/$X$26</f>
        <v>#REF!</v>
      </c>
      <c r="AC5" s="27" t="s">
        <v>8</v>
      </c>
      <c r="AD5" s="27"/>
      <c r="AE5" s="536" t="s">
        <v>156</v>
      </c>
      <c r="AF5" s="757" t="e">
        <f>#REF!</f>
        <v>#REF!</v>
      </c>
      <c r="AG5" s="757" t="e">
        <f>#REF!</f>
        <v>#REF!</v>
      </c>
      <c r="AH5" s="757" t="e">
        <f>#REF!</f>
        <v>#REF!</v>
      </c>
      <c r="AI5" s="757" t="e">
        <f>#REF!</f>
        <v>#REF!</v>
      </c>
      <c r="AJ5" s="536"/>
      <c r="AK5" s="536"/>
      <c r="AL5" s="740"/>
    </row>
    <row r="6" spans="2:38" ht="28.2" thickBot="1" x14ac:dyDescent="0.35">
      <c r="B6" s="760" t="s">
        <v>485</v>
      </c>
      <c r="C6" s="761" t="e">
        <f>#REF!</f>
        <v>#REF!</v>
      </c>
      <c r="D6" s="761"/>
      <c r="E6" s="761" t="e">
        <f>C6</f>
        <v>#REF!</v>
      </c>
      <c r="F6" s="762"/>
      <c r="G6" s="762"/>
      <c r="H6" s="761" t="e">
        <f>E6</f>
        <v>#REF!</v>
      </c>
      <c r="I6" s="763" t="e">
        <f>SUM(F6:H6)</f>
        <v>#REF!</v>
      </c>
      <c r="J6" s="759"/>
      <c r="K6" s="756" t="s">
        <v>304</v>
      </c>
      <c r="L6" s="752" t="e">
        <f>#REF!</f>
        <v>#REF!</v>
      </c>
      <c r="M6" s="752" t="e">
        <f>#REF!</f>
        <v>#REF!</v>
      </c>
      <c r="N6" s="753" t="e">
        <f t="shared" si="0"/>
        <v>#REF!</v>
      </c>
      <c r="O6" s="753" t="e">
        <f t="shared" si="1"/>
        <v>#REF!</v>
      </c>
      <c r="P6" s="753" t="e">
        <f t="shared" si="2"/>
        <v>#REF!</v>
      </c>
      <c r="Q6" s="753" t="e">
        <f t="shared" si="3"/>
        <v>#REF!</v>
      </c>
      <c r="R6" s="753" t="e">
        <f t="shared" si="4"/>
        <v>#REF!</v>
      </c>
      <c r="S6" s="754" t="e">
        <f t="shared" si="5"/>
        <v>#REF!</v>
      </c>
      <c r="T6" s="740" t="e">
        <f t="shared" si="6"/>
        <v>#REF!</v>
      </c>
      <c r="U6" s="740" t="e">
        <f>#REF!</f>
        <v>#REF!</v>
      </c>
      <c r="V6" s="27"/>
      <c r="W6" s="27"/>
      <c r="X6" s="740" t="e">
        <f>T6-U6-V6-W6-Y6</f>
        <v>#REF!</v>
      </c>
      <c r="Y6" s="740"/>
      <c r="Z6" s="741" t="e">
        <f t="shared" si="8"/>
        <v>#REF!</v>
      </c>
      <c r="AA6" s="741" t="e">
        <f t="shared" si="9"/>
        <v>#REF!</v>
      </c>
      <c r="AB6" s="741" t="e">
        <f t="shared" si="10"/>
        <v>#REF!</v>
      </c>
      <c r="AC6" s="27" t="s">
        <v>304</v>
      </c>
      <c r="AD6" s="27"/>
      <c r="AE6" s="536" t="s">
        <v>486</v>
      </c>
      <c r="AF6" s="757" t="e">
        <f>G8</f>
        <v>#REF!</v>
      </c>
      <c r="AG6" s="536"/>
      <c r="AH6" s="757" t="e">
        <f>#REF!+#REF!-'Gestion final Araba 2018'!AH5</f>
        <v>#REF!</v>
      </c>
      <c r="AI6" s="757" t="e">
        <f>AF6-AH6-AJ6-AK6</f>
        <v>#REF!</v>
      </c>
      <c r="AJ6" s="757" t="e">
        <f>#REF!</f>
        <v>#REF!</v>
      </c>
      <c r="AK6" s="757" t="e">
        <f>#REF!</f>
        <v>#REF!</v>
      </c>
    </row>
    <row r="7" spans="2:38" x14ac:dyDescent="0.3">
      <c r="B7" s="764" t="s">
        <v>9</v>
      </c>
      <c r="C7" s="765" t="e">
        <f>SUM(C8:C29)</f>
        <v>#REF!</v>
      </c>
      <c r="D7" s="765" t="e">
        <f>SUM(D8:D29)</f>
        <v>#REF!</v>
      </c>
      <c r="E7" s="765" t="e">
        <f>SUM(E8:E29)</f>
        <v>#REF!</v>
      </c>
      <c r="F7" s="765" t="e">
        <f>SUM(F8:F29)</f>
        <v>#REF!</v>
      </c>
      <c r="G7" s="765"/>
      <c r="H7" s="765"/>
      <c r="I7" s="766" t="e">
        <f>SUM(I8:I29)</f>
        <v>#REF!</v>
      </c>
      <c r="J7" s="767" t="s">
        <v>487</v>
      </c>
      <c r="K7" s="756" t="s">
        <v>14</v>
      </c>
      <c r="L7" s="752" t="e">
        <f>#REF!</f>
        <v>#REF!</v>
      </c>
      <c r="M7" s="752" t="e">
        <f>#REF!</f>
        <v>#REF!</v>
      </c>
      <c r="N7" s="753" t="e">
        <f t="shared" si="0"/>
        <v>#REF!</v>
      </c>
      <c r="O7" s="753" t="e">
        <f t="shared" si="1"/>
        <v>#REF!</v>
      </c>
      <c r="P7" s="753" t="e">
        <f>N7+O7</f>
        <v>#REF!</v>
      </c>
      <c r="Q7" s="753" t="e">
        <f>F11</f>
        <v>#REF!</v>
      </c>
      <c r="R7" s="753" t="e">
        <f t="shared" si="4"/>
        <v>#REF!</v>
      </c>
      <c r="S7" s="754" t="e">
        <f>Q7/R7</f>
        <v>#REF!</v>
      </c>
      <c r="T7" s="740" t="e">
        <f t="shared" si="6"/>
        <v>#REF!</v>
      </c>
      <c r="U7" s="740" t="e">
        <f>#REF!</f>
        <v>#REF!</v>
      </c>
      <c r="V7" s="27"/>
      <c r="W7" s="27"/>
      <c r="X7" s="740" t="e">
        <f t="shared" si="7"/>
        <v>#REF!</v>
      </c>
      <c r="Y7" s="740"/>
      <c r="Z7" s="741" t="e">
        <f t="shared" si="8"/>
        <v>#REF!</v>
      </c>
      <c r="AA7" s="741" t="e">
        <f t="shared" si="9"/>
        <v>#REF!</v>
      </c>
      <c r="AB7" s="741" t="e">
        <f t="shared" si="10"/>
        <v>#REF!</v>
      </c>
      <c r="AC7" s="27" t="s">
        <v>14</v>
      </c>
      <c r="AD7" s="27"/>
      <c r="AE7" s="768" t="s">
        <v>125</v>
      </c>
      <c r="AF7" s="769" t="e">
        <f>T4+Q4</f>
        <v>#REF!</v>
      </c>
      <c r="AG7" s="769" t="e">
        <f>SUM(AG5:AG6)</f>
        <v>#REF!</v>
      </c>
      <c r="AH7" s="769" t="e">
        <f>SUM(AH5:AH6)</f>
        <v>#REF!</v>
      </c>
      <c r="AI7" s="769" t="e">
        <f>SUM(AI5:AI6)</f>
        <v>#REF!</v>
      </c>
      <c r="AJ7" s="769" t="e">
        <f>SUM(AJ5:AJ6)</f>
        <v>#REF!</v>
      </c>
      <c r="AK7" s="769" t="e">
        <f>SUM(AK5:AK6)</f>
        <v>#REF!</v>
      </c>
    </row>
    <row r="8" spans="2:38" ht="27.6" x14ac:dyDescent="0.3">
      <c r="B8" s="751" t="s">
        <v>5</v>
      </c>
      <c r="C8" s="753" t="e">
        <f>#REF!+#REF!</f>
        <v>#REF!</v>
      </c>
      <c r="D8" s="753" t="e">
        <f>#REF!</f>
        <v>#REF!</v>
      </c>
      <c r="E8" s="753" t="e">
        <f>C8+D8</f>
        <v>#REF!</v>
      </c>
      <c r="F8" s="753" t="e">
        <f t="shared" ref="F8:F28" si="11">E8</f>
        <v>#REF!</v>
      </c>
      <c r="G8" s="770" t="e">
        <f>(#REF!*L4)+(#REF!*M4)</f>
        <v>#REF!</v>
      </c>
      <c r="H8" s="770" t="e">
        <f>(#REF!*L4)+(#REF!*M4)</f>
        <v>#REF!</v>
      </c>
      <c r="I8" s="771" t="e">
        <f>F8</f>
        <v>#REF!</v>
      </c>
      <c r="J8" s="772" t="e">
        <f t="shared" ref="J8:J29" si="12">SUM(G8:H8)</f>
        <v>#REF!</v>
      </c>
      <c r="K8" s="756" t="s">
        <v>17</v>
      </c>
      <c r="L8" s="752" t="e">
        <f>#REF!</f>
        <v>#REF!</v>
      </c>
      <c r="M8" s="752" t="e">
        <f>#REF!</f>
        <v>#REF!</v>
      </c>
      <c r="N8" s="753" t="e">
        <f t="shared" si="0"/>
        <v>#REF!</v>
      </c>
      <c r="O8" s="753" t="e">
        <f t="shared" si="1"/>
        <v>#REF!</v>
      </c>
      <c r="P8" s="753" t="e">
        <f t="shared" si="2"/>
        <v>#REF!</v>
      </c>
      <c r="Q8" s="753" t="e">
        <f t="shared" si="3"/>
        <v>#REF!</v>
      </c>
      <c r="R8" s="753" t="e">
        <f t="shared" si="4"/>
        <v>#REF!</v>
      </c>
      <c r="S8" s="754" t="e">
        <f t="shared" si="5"/>
        <v>#REF!</v>
      </c>
      <c r="T8" s="740" t="e">
        <f t="shared" si="6"/>
        <v>#REF!</v>
      </c>
      <c r="U8" s="740" t="e">
        <f>#REF!</f>
        <v>#REF!</v>
      </c>
      <c r="V8" s="27"/>
      <c r="W8" s="27"/>
      <c r="X8" s="740" t="e">
        <f t="shared" si="7"/>
        <v>#REF!</v>
      </c>
      <c r="Y8" s="740"/>
      <c r="Z8" s="741" t="e">
        <f t="shared" si="8"/>
        <v>#REF!</v>
      </c>
      <c r="AA8" s="741" t="e">
        <f t="shared" si="9"/>
        <v>#REF!</v>
      </c>
      <c r="AB8" s="741" t="e">
        <f t="shared" si="10"/>
        <v>#REF!</v>
      </c>
      <c r="AC8" s="27" t="s">
        <v>17</v>
      </c>
      <c r="AD8" s="27"/>
      <c r="AE8" s="27"/>
      <c r="AF8" s="740"/>
      <c r="AG8" s="27"/>
      <c r="AH8" s="27"/>
    </row>
    <row r="9" spans="2:38" ht="27.6" x14ac:dyDescent="0.3">
      <c r="B9" s="756" t="s">
        <v>8</v>
      </c>
      <c r="C9" s="753" t="e">
        <f>#REF!+#REF!</f>
        <v>#REF!</v>
      </c>
      <c r="D9" s="753" t="e">
        <f>#REF!</f>
        <v>#REF!</v>
      </c>
      <c r="E9" s="753" t="e">
        <f t="shared" ref="E9:E28" si="13">C9+D9</f>
        <v>#REF!</v>
      </c>
      <c r="F9" s="753" t="e">
        <f t="shared" si="11"/>
        <v>#REF!</v>
      </c>
      <c r="G9" s="770" t="e">
        <f>(#REF!*L5)+(#REF!*M5)</f>
        <v>#REF!</v>
      </c>
      <c r="H9" s="770" t="e">
        <f>(#REF!*L5)+(#REF!*M5)</f>
        <v>#REF!</v>
      </c>
      <c r="I9" s="771" t="e">
        <f t="shared" ref="I9:I29" si="14">F9</f>
        <v>#REF!</v>
      </c>
      <c r="J9" s="772" t="e">
        <f t="shared" si="12"/>
        <v>#REF!</v>
      </c>
      <c r="K9" s="756" t="s">
        <v>16</v>
      </c>
      <c r="L9" s="752" t="e">
        <f>#REF!</f>
        <v>#REF!</v>
      </c>
      <c r="M9" s="752" t="e">
        <f>#REF!</f>
        <v>#REF!</v>
      </c>
      <c r="N9" s="753" t="e">
        <f t="shared" si="0"/>
        <v>#REF!</v>
      </c>
      <c r="O9" s="753" t="e">
        <f t="shared" si="1"/>
        <v>#REF!</v>
      </c>
      <c r="P9" s="753" t="e">
        <f t="shared" si="2"/>
        <v>#REF!</v>
      </c>
      <c r="Q9" s="753" t="e">
        <f t="shared" si="3"/>
        <v>#REF!</v>
      </c>
      <c r="R9" s="753" t="e">
        <f t="shared" si="4"/>
        <v>#REF!</v>
      </c>
      <c r="S9" s="754" t="e">
        <f t="shared" si="5"/>
        <v>#REF!</v>
      </c>
      <c r="T9" s="740" t="e">
        <f t="shared" si="6"/>
        <v>#REF!</v>
      </c>
      <c r="U9" s="740" t="e">
        <f>#REF!</f>
        <v>#REF!</v>
      </c>
      <c r="V9" s="27"/>
      <c r="W9" s="27"/>
      <c r="X9" s="740" t="e">
        <f t="shared" si="7"/>
        <v>#REF!</v>
      </c>
      <c r="Y9" s="740"/>
      <c r="Z9" s="741" t="e">
        <f t="shared" si="8"/>
        <v>#REF!</v>
      </c>
      <c r="AA9" s="741" t="e">
        <f t="shared" si="9"/>
        <v>#REF!</v>
      </c>
      <c r="AB9" s="741" t="e">
        <f t="shared" si="10"/>
        <v>#REF!</v>
      </c>
      <c r="AC9" s="27" t="s">
        <v>16</v>
      </c>
      <c r="AD9" s="27"/>
      <c r="AE9" s="27"/>
      <c r="AF9" s="27"/>
      <c r="AG9" s="27"/>
      <c r="AH9" s="27"/>
    </row>
    <row r="10" spans="2:38" ht="27.6" x14ac:dyDescent="0.3">
      <c r="B10" s="756" t="s">
        <v>304</v>
      </c>
      <c r="C10" s="753" t="e">
        <f>#REF!+#REF!</f>
        <v>#REF!</v>
      </c>
      <c r="D10" s="753" t="e">
        <f>#REF!</f>
        <v>#REF!</v>
      </c>
      <c r="E10" s="753" t="e">
        <f t="shared" si="13"/>
        <v>#REF!</v>
      </c>
      <c r="F10" s="753" t="e">
        <f t="shared" si="11"/>
        <v>#REF!</v>
      </c>
      <c r="G10" s="770" t="e">
        <f>(#REF!*L6)+(#REF!*M6)</f>
        <v>#REF!</v>
      </c>
      <c r="H10" s="770" t="e">
        <f>(#REF!*L6)+(#REF!*M6)</f>
        <v>#REF!</v>
      </c>
      <c r="I10" s="771" t="e">
        <f t="shared" si="14"/>
        <v>#REF!</v>
      </c>
      <c r="J10" s="772" t="e">
        <f t="shared" si="12"/>
        <v>#REF!</v>
      </c>
      <c r="K10" s="756" t="s">
        <v>308</v>
      </c>
      <c r="L10" s="752" t="e">
        <f>#REF!</f>
        <v>#REF!</v>
      </c>
      <c r="M10" s="752" t="e">
        <f>#REF!</f>
        <v>#REF!</v>
      </c>
      <c r="N10" s="753" t="e">
        <f t="shared" si="0"/>
        <v>#REF!</v>
      </c>
      <c r="O10" s="753" t="e">
        <f t="shared" si="1"/>
        <v>#REF!</v>
      </c>
      <c r="P10" s="753" t="e">
        <f t="shared" si="2"/>
        <v>#REF!</v>
      </c>
      <c r="Q10" s="753" t="e">
        <f t="shared" si="3"/>
        <v>#REF!</v>
      </c>
      <c r="R10" s="753" t="e">
        <f t="shared" si="4"/>
        <v>#REF!</v>
      </c>
      <c r="S10" s="754" t="e">
        <f t="shared" si="5"/>
        <v>#REF!</v>
      </c>
      <c r="T10" s="740" t="e">
        <f t="shared" si="6"/>
        <v>#REF!</v>
      </c>
      <c r="U10" s="740"/>
      <c r="V10" s="27"/>
      <c r="W10" s="27"/>
      <c r="X10" s="740" t="e">
        <f t="shared" si="7"/>
        <v>#REF!</v>
      </c>
      <c r="Y10" s="740"/>
      <c r="Z10" s="741" t="e">
        <f t="shared" si="8"/>
        <v>#REF!</v>
      </c>
      <c r="AA10" s="741" t="e">
        <f t="shared" si="9"/>
        <v>#REF!</v>
      </c>
      <c r="AB10" s="741" t="e">
        <f t="shared" si="10"/>
        <v>#REF!</v>
      </c>
      <c r="AC10" s="27" t="s">
        <v>308</v>
      </c>
      <c r="AD10" s="27"/>
      <c r="AE10" s="744"/>
      <c r="AF10" s="744"/>
      <c r="AG10" s="3863" t="s">
        <v>488</v>
      </c>
      <c r="AH10" s="3863"/>
      <c r="AI10" s="3863"/>
      <c r="AJ10" s="3863"/>
      <c r="AK10" s="3863"/>
    </row>
    <row r="11" spans="2:38" ht="55.2" x14ac:dyDescent="0.3">
      <c r="B11" s="756" t="s">
        <v>14</v>
      </c>
      <c r="C11" s="753" t="e">
        <f>#REF!+#REF!</f>
        <v>#REF!</v>
      </c>
      <c r="D11" s="753" t="e">
        <f>#REF!</f>
        <v>#REF!</v>
      </c>
      <c r="E11" s="753" t="e">
        <f>C11+D11</f>
        <v>#REF!</v>
      </c>
      <c r="F11" s="753" t="e">
        <f>E11</f>
        <v>#REF!</v>
      </c>
      <c r="G11" s="770" t="e">
        <f>(#REF!*L7)+(#REF!*M7)</f>
        <v>#REF!</v>
      </c>
      <c r="H11" s="770" t="e">
        <f>(#REF!*L7)+(#REF!*M7)</f>
        <v>#REF!</v>
      </c>
      <c r="I11" s="771" t="e">
        <f t="shared" si="14"/>
        <v>#REF!</v>
      </c>
      <c r="J11" s="772" t="e">
        <f t="shared" si="12"/>
        <v>#REF!</v>
      </c>
      <c r="K11" s="756" t="s">
        <v>44</v>
      </c>
      <c r="L11" s="752" t="e">
        <f>#REF!</f>
        <v>#REF!</v>
      </c>
      <c r="M11" s="752" t="e">
        <f>#REF!</f>
        <v>#REF!</v>
      </c>
      <c r="N11" s="753" t="e">
        <f t="shared" si="0"/>
        <v>#REF!</v>
      </c>
      <c r="O11" s="753" t="e">
        <f t="shared" si="1"/>
        <v>#REF!</v>
      </c>
      <c r="P11" s="753" t="e">
        <f t="shared" si="2"/>
        <v>#REF!</v>
      </c>
      <c r="Q11" s="753" t="e">
        <f t="shared" si="3"/>
        <v>#REF!</v>
      </c>
      <c r="R11" s="753" t="e">
        <f t="shared" si="4"/>
        <v>#REF!</v>
      </c>
      <c r="S11" s="754" t="e">
        <f t="shared" si="5"/>
        <v>#REF!</v>
      </c>
      <c r="T11" s="740" t="e">
        <f t="shared" si="6"/>
        <v>#REF!</v>
      </c>
      <c r="U11" s="740"/>
      <c r="V11" s="27"/>
      <c r="W11" s="27"/>
      <c r="X11" s="740" t="e">
        <f>T11-U11-V11-W11-Y11</f>
        <v>#REF!</v>
      </c>
      <c r="Y11" s="740"/>
      <c r="Z11" s="741" t="e">
        <f t="shared" si="8"/>
        <v>#REF!</v>
      </c>
      <c r="AA11" s="741" t="e">
        <f t="shared" si="9"/>
        <v>#REF!</v>
      </c>
      <c r="AB11" s="741" t="e">
        <f t="shared" si="10"/>
        <v>#REF!</v>
      </c>
      <c r="AC11" s="27" t="s">
        <v>44</v>
      </c>
      <c r="AD11" s="27"/>
      <c r="AE11" s="3863" t="s">
        <v>480</v>
      </c>
      <c r="AF11" s="3863"/>
      <c r="AG11" s="755" t="s">
        <v>481</v>
      </c>
      <c r="AH11" s="755" t="s">
        <v>475</v>
      </c>
      <c r="AI11" s="755" t="s">
        <v>482</v>
      </c>
      <c r="AJ11" s="755" t="s">
        <v>472</v>
      </c>
      <c r="AK11" s="755" t="s">
        <v>483</v>
      </c>
    </row>
    <row r="12" spans="2:38" ht="27.6" x14ac:dyDescent="0.3">
      <c r="B12" s="756" t="s">
        <v>17</v>
      </c>
      <c r="C12" s="753" t="e">
        <f>#REF!</f>
        <v>#REF!</v>
      </c>
      <c r="D12" s="753" t="e">
        <f>#REF!</f>
        <v>#REF!</v>
      </c>
      <c r="E12" s="753" t="e">
        <f t="shared" si="13"/>
        <v>#REF!</v>
      </c>
      <c r="F12" s="753" t="e">
        <f t="shared" si="11"/>
        <v>#REF!</v>
      </c>
      <c r="G12" s="770" t="e">
        <f>(#REF!*L8)+(#REF!*M8)</f>
        <v>#REF!</v>
      </c>
      <c r="H12" s="770" t="e">
        <f>(#REF!*L8)+(#REF!*M8)</f>
        <v>#REF!</v>
      </c>
      <c r="I12" s="771" t="e">
        <f t="shared" si="14"/>
        <v>#REF!</v>
      </c>
      <c r="J12" s="772" t="e">
        <f t="shared" si="12"/>
        <v>#REF!</v>
      </c>
      <c r="K12" s="756" t="s">
        <v>326</v>
      </c>
      <c r="L12" s="752" t="e">
        <f>#REF!</f>
        <v>#REF!</v>
      </c>
      <c r="M12" s="752" t="e">
        <f>#REF!</f>
        <v>#REF!</v>
      </c>
      <c r="N12" s="753" t="e">
        <f t="shared" si="0"/>
        <v>#REF!</v>
      </c>
      <c r="O12" s="753" t="e">
        <f t="shared" si="1"/>
        <v>#REF!</v>
      </c>
      <c r="P12" s="753" t="e">
        <f t="shared" si="2"/>
        <v>#REF!</v>
      </c>
      <c r="Q12" s="753" t="e">
        <f t="shared" si="3"/>
        <v>#REF!</v>
      </c>
      <c r="R12" s="753" t="e">
        <f t="shared" si="4"/>
        <v>#REF!</v>
      </c>
      <c r="S12" s="754" t="e">
        <f t="shared" si="5"/>
        <v>#REF!</v>
      </c>
      <c r="T12" s="740" t="e">
        <f t="shared" si="6"/>
        <v>#REF!</v>
      </c>
      <c r="U12" s="740"/>
      <c r="V12" s="27"/>
      <c r="W12" s="27"/>
      <c r="X12" s="740" t="e">
        <f t="shared" si="7"/>
        <v>#REF!</v>
      </c>
      <c r="Y12" s="740"/>
      <c r="Z12" s="741" t="e">
        <f t="shared" si="8"/>
        <v>#REF!</v>
      </c>
      <c r="AA12" s="741" t="e">
        <f t="shared" si="9"/>
        <v>#REF!</v>
      </c>
      <c r="AB12" s="741" t="e">
        <f t="shared" si="10"/>
        <v>#REF!</v>
      </c>
      <c r="AC12" s="27" t="s">
        <v>326</v>
      </c>
      <c r="AD12" s="27"/>
      <c r="AE12" s="536" t="s">
        <v>156</v>
      </c>
      <c r="AF12" s="757" t="e">
        <f>#REF!</f>
        <v>#REF!</v>
      </c>
      <c r="AG12" s="757" t="e">
        <f>#REF!</f>
        <v>#REF!</v>
      </c>
      <c r="AH12" s="757" t="e">
        <f>#REF!</f>
        <v>#REF!</v>
      </c>
      <c r="AI12" s="757" t="e">
        <f>#REF!</f>
        <v>#REF!</v>
      </c>
      <c r="AJ12" s="536"/>
      <c r="AK12" s="536"/>
    </row>
    <row r="13" spans="2:38" x14ac:dyDescent="0.3">
      <c r="B13" s="756" t="s">
        <v>16</v>
      </c>
      <c r="C13" s="753" t="e">
        <f>#REF!+#REF!</f>
        <v>#REF!</v>
      </c>
      <c r="D13" s="753" t="e">
        <f>#REF!</f>
        <v>#REF!</v>
      </c>
      <c r="E13" s="753" t="e">
        <f t="shared" si="13"/>
        <v>#REF!</v>
      </c>
      <c r="F13" s="753" t="e">
        <f t="shared" si="11"/>
        <v>#REF!</v>
      </c>
      <c r="G13" s="770" t="e">
        <f>(#REF!*L9)+(#REF!*M9)</f>
        <v>#REF!</v>
      </c>
      <c r="H13" s="770" t="e">
        <f>(#REF!*L9)+(#REF!*M9)</f>
        <v>#REF!</v>
      </c>
      <c r="I13" s="771" t="e">
        <f t="shared" si="14"/>
        <v>#REF!</v>
      </c>
      <c r="J13" s="772" t="e">
        <f t="shared" si="12"/>
        <v>#REF!</v>
      </c>
      <c r="K13" s="756" t="s">
        <v>25</v>
      </c>
      <c r="L13" s="752" t="e">
        <f>#REF!</f>
        <v>#REF!</v>
      </c>
      <c r="M13" s="752" t="e">
        <f>#REF!</f>
        <v>#REF!</v>
      </c>
      <c r="N13" s="753" t="e">
        <f t="shared" si="0"/>
        <v>#REF!</v>
      </c>
      <c r="O13" s="753" t="e">
        <f t="shared" si="1"/>
        <v>#REF!</v>
      </c>
      <c r="P13" s="753" t="e">
        <f t="shared" si="2"/>
        <v>#REF!</v>
      </c>
      <c r="Q13" s="753" t="e">
        <f t="shared" si="3"/>
        <v>#REF!</v>
      </c>
      <c r="R13" s="753" t="e">
        <f t="shared" si="4"/>
        <v>#REF!</v>
      </c>
      <c r="S13" s="754" t="e">
        <f t="shared" si="5"/>
        <v>#REF!</v>
      </c>
      <c r="T13" s="740" t="e">
        <f t="shared" si="6"/>
        <v>#REF!</v>
      </c>
      <c r="U13" s="740"/>
      <c r="V13" s="27"/>
      <c r="W13" s="27"/>
      <c r="X13" s="740" t="e">
        <f t="shared" si="7"/>
        <v>#REF!</v>
      </c>
      <c r="Y13" s="740"/>
      <c r="Z13" s="741" t="e">
        <f t="shared" si="8"/>
        <v>#REF!</v>
      </c>
      <c r="AA13" s="741" t="e">
        <f t="shared" si="9"/>
        <v>#REF!</v>
      </c>
      <c r="AB13" s="741" t="e">
        <f t="shared" si="10"/>
        <v>#REF!</v>
      </c>
      <c r="AC13" s="27" t="s">
        <v>25</v>
      </c>
      <c r="AD13" s="27"/>
      <c r="AE13" s="536" t="s">
        <v>486</v>
      </c>
      <c r="AF13" s="757" t="e">
        <f>G15</f>
        <v>#REF!</v>
      </c>
      <c r="AG13" s="536"/>
      <c r="AH13" s="757" t="e">
        <f>#REF!+#REF!-'Gestion final Araba 2018'!AH12</f>
        <v>#REF!</v>
      </c>
      <c r="AI13" s="757" t="e">
        <f>AF13-AH13-AJ13-AK13</f>
        <v>#REF!</v>
      </c>
      <c r="AJ13" s="757" t="e">
        <f>#REF!</f>
        <v>#REF!</v>
      </c>
      <c r="AK13" s="757" t="e">
        <f>#REF!</f>
        <v>#REF!</v>
      </c>
    </row>
    <row r="14" spans="2:38" x14ac:dyDescent="0.3">
      <c r="B14" s="756" t="s">
        <v>308</v>
      </c>
      <c r="C14" s="753" t="e">
        <f>#REF!+#REF!</f>
        <v>#REF!</v>
      </c>
      <c r="D14" s="753" t="e">
        <f>#REF!+#REF!</f>
        <v>#REF!</v>
      </c>
      <c r="E14" s="753" t="e">
        <f t="shared" si="13"/>
        <v>#REF!</v>
      </c>
      <c r="F14" s="753" t="e">
        <f t="shared" si="11"/>
        <v>#REF!</v>
      </c>
      <c r="G14" s="770" t="e">
        <f>(#REF!*L10)+(#REF!*M10)</f>
        <v>#REF!</v>
      </c>
      <c r="H14" s="770" t="e">
        <f>(#REF!*L10)+(#REF!*M10)</f>
        <v>#REF!</v>
      </c>
      <c r="I14" s="771" t="e">
        <f t="shared" si="14"/>
        <v>#REF!</v>
      </c>
      <c r="J14" s="772" t="e">
        <f t="shared" si="12"/>
        <v>#REF!</v>
      </c>
      <c r="K14" s="756" t="s">
        <v>29</v>
      </c>
      <c r="L14" s="752" t="e">
        <f>#REF!</f>
        <v>#REF!</v>
      </c>
      <c r="M14" s="752" t="e">
        <f>#REF!</f>
        <v>#REF!</v>
      </c>
      <c r="N14" s="753" t="e">
        <f t="shared" si="0"/>
        <v>#REF!</v>
      </c>
      <c r="O14" s="753" t="e">
        <f t="shared" si="1"/>
        <v>#REF!</v>
      </c>
      <c r="P14" s="753" t="e">
        <f t="shared" si="2"/>
        <v>#REF!</v>
      </c>
      <c r="Q14" s="753" t="e">
        <f t="shared" si="3"/>
        <v>#REF!</v>
      </c>
      <c r="R14" s="753" t="e">
        <f t="shared" si="4"/>
        <v>#REF!</v>
      </c>
      <c r="S14" s="754" t="e">
        <f t="shared" si="5"/>
        <v>#REF!</v>
      </c>
      <c r="T14" s="740" t="e">
        <f t="shared" si="6"/>
        <v>#REF!</v>
      </c>
      <c r="U14" s="740"/>
      <c r="V14" s="27"/>
      <c r="W14" s="27"/>
      <c r="X14" s="740" t="e">
        <f t="shared" si="7"/>
        <v>#REF!</v>
      </c>
      <c r="Y14" s="740"/>
      <c r="Z14" s="741" t="e">
        <f t="shared" si="8"/>
        <v>#REF!</v>
      </c>
      <c r="AA14" s="741" t="e">
        <f t="shared" si="9"/>
        <v>#REF!</v>
      </c>
      <c r="AB14" s="741" t="e">
        <f t="shared" si="10"/>
        <v>#REF!</v>
      </c>
      <c r="AC14" s="27" t="s">
        <v>29</v>
      </c>
      <c r="AD14" s="27"/>
      <c r="AE14" s="768" t="s">
        <v>125</v>
      </c>
      <c r="AF14" s="769" t="e">
        <f>T11+Q11</f>
        <v>#REF!</v>
      </c>
      <c r="AG14" s="769" t="e">
        <f>SUM(AG12:AG13)</f>
        <v>#REF!</v>
      </c>
      <c r="AH14" s="769" t="e">
        <f>SUM(AH12:AH13)</f>
        <v>#REF!</v>
      </c>
      <c r="AI14" s="769" t="e">
        <f>SUM(AI12:AI13)</f>
        <v>#REF!</v>
      </c>
      <c r="AJ14" s="769" t="e">
        <f>SUM(AJ12:AJ13)</f>
        <v>#REF!</v>
      </c>
      <c r="AK14" s="769" t="e">
        <f>SUM(AK12:AK13)</f>
        <v>#REF!</v>
      </c>
    </row>
    <row r="15" spans="2:38" ht="27.6" x14ac:dyDescent="0.3">
      <c r="B15" s="756" t="s">
        <v>44</v>
      </c>
      <c r="C15" s="753" t="e">
        <f>#REF!</f>
        <v>#REF!</v>
      </c>
      <c r="D15" s="753" t="e">
        <f>#REF!</f>
        <v>#REF!</v>
      </c>
      <c r="E15" s="753" t="e">
        <f t="shared" si="13"/>
        <v>#REF!</v>
      </c>
      <c r="F15" s="753" t="e">
        <f t="shared" si="11"/>
        <v>#REF!</v>
      </c>
      <c r="G15" s="770" t="e">
        <f>(#REF!*L11)+(#REF!*M11)</f>
        <v>#REF!</v>
      </c>
      <c r="H15" s="770" t="e">
        <f>(#REF!*L11)+(#REF!*M11)</f>
        <v>#REF!</v>
      </c>
      <c r="I15" s="771" t="e">
        <f t="shared" si="14"/>
        <v>#REF!</v>
      </c>
      <c r="J15" s="772" t="e">
        <f t="shared" si="12"/>
        <v>#REF!</v>
      </c>
      <c r="K15" s="756" t="s">
        <v>60</v>
      </c>
      <c r="L15" s="752" t="e">
        <f>#REF!</f>
        <v>#REF!</v>
      </c>
      <c r="M15" s="752" t="e">
        <f>#REF!</f>
        <v>#REF!</v>
      </c>
      <c r="N15" s="753" t="e">
        <f t="shared" si="0"/>
        <v>#REF!</v>
      </c>
      <c r="O15" s="753" t="e">
        <f t="shared" si="1"/>
        <v>#REF!</v>
      </c>
      <c r="P15" s="753" t="e">
        <f t="shared" si="2"/>
        <v>#REF!</v>
      </c>
      <c r="Q15" s="753" t="e">
        <f t="shared" si="3"/>
        <v>#REF!</v>
      </c>
      <c r="R15" s="753" t="e">
        <f t="shared" si="4"/>
        <v>#REF!</v>
      </c>
      <c r="S15" s="754" t="e">
        <f t="shared" si="5"/>
        <v>#REF!</v>
      </c>
      <c r="T15" s="740" t="e">
        <f t="shared" si="6"/>
        <v>#REF!</v>
      </c>
      <c r="U15" s="740"/>
      <c r="V15" s="27"/>
      <c r="W15" s="27"/>
      <c r="X15" s="740" t="e">
        <f t="shared" si="7"/>
        <v>#REF!</v>
      </c>
      <c r="Y15" s="740"/>
      <c r="Z15" s="741" t="e">
        <f t="shared" si="8"/>
        <v>#REF!</v>
      </c>
      <c r="AA15" s="741" t="e">
        <f t="shared" si="9"/>
        <v>#REF!</v>
      </c>
      <c r="AB15" s="741" t="e">
        <f t="shared" si="10"/>
        <v>#REF!</v>
      </c>
      <c r="AC15" s="27" t="s">
        <v>60</v>
      </c>
      <c r="AD15" s="27"/>
      <c r="AE15" s="27"/>
      <c r="AF15" s="27"/>
      <c r="AG15" s="27"/>
      <c r="AH15" s="27"/>
    </row>
    <row r="16" spans="2:38" x14ac:dyDescent="0.3">
      <c r="B16" s="756" t="s">
        <v>326</v>
      </c>
      <c r="C16" s="753" t="e">
        <f>#REF!-#REF!-#REF!-#REF!</f>
        <v>#REF!</v>
      </c>
      <c r="D16" s="753" t="e">
        <f>#REF!</f>
        <v>#REF!</v>
      </c>
      <c r="E16" s="753" t="e">
        <f t="shared" si="13"/>
        <v>#REF!</v>
      </c>
      <c r="F16" s="753" t="e">
        <f t="shared" si="11"/>
        <v>#REF!</v>
      </c>
      <c r="G16" s="770" t="e">
        <f>(#REF!*L12)+(#REF!*M12)</f>
        <v>#REF!</v>
      </c>
      <c r="H16" s="770" t="e">
        <f>(#REF!*L12)+(#REF!*M12)</f>
        <v>#REF!</v>
      </c>
      <c r="I16" s="771" t="e">
        <f t="shared" si="14"/>
        <v>#REF!</v>
      </c>
      <c r="J16" s="772" t="e">
        <f t="shared" si="12"/>
        <v>#REF!</v>
      </c>
      <c r="K16" s="756" t="s">
        <v>33</v>
      </c>
      <c r="L16" s="752" t="e">
        <f>#REF!</f>
        <v>#REF!</v>
      </c>
      <c r="M16" s="752" t="e">
        <f>#REF!</f>
        <v>#REF!</v>
      </c>
      <c r="N16" s="753" t="e">
        <f t="shared" si="0"/>
        <v>#REF!</v>
      </c>
      <c r="O16" s="753" t="e">
        <f t="shared" si="1"/>
        <v>#REF!</v>
      </c>
      <c r="P16" s="753" t="e">
        <f t="shared" si="2"/>
        <v>#REF!</v>
      </c>
      <c r="Q16" s="753" t="e">
        <f t="shared" si="3"/>
        <v>#REF!</v>
      </c>
      <c r="R16" s="753" t="e">
        <f t="shared" si="4"/>
        <v>#REF!</v>
      </c>
      <c r="S16" s="754" t="e">
        <f t="shared" si="5"/>
        <v>#REF!</v>
      </c>
      <c r="T16" s="740" t="e">
        <f t="shared" si="6"/>
        <v>#REF!</v>
      </c>
      <c r="U16" s="740"/>
      <c r="V16" s="27"/>
      <c r="W16" s="27"/>
      <c r="X16" s="740" t="e">
        <f t="shared" si="7"/>
        <v>#REF!</v>
      </c>
      <c r="Y16" s="740"/>
      <c r="Z16" s="741" t="e">
        <f t="shared" si="8"/>
        <v>#REF!</v>
      </c>
      <c r="AA16" s="741" t="e">
        <f t="shared" si="9"/>
        <v>#REF!</v>
      </c>
      <c r="AB16" s="741" t="e">
        <f t="shared" si="10"/>
        <v>#REF!</v>
      </c>
      <c r="AC16" s="27" t="s">
        <v>33</v>
      </c>
      <c r="AD16" s="27"/>
      <c r="AE16" s="27"/>
      <c r="AF16" s="27"/>
      <c r="AG16" s="27"/>
      <c r="AH16" s="27"/>
    </row>
    <row r="17" spans="2:42" ht="27.6" x14ac:dyDescent="0.3">
      <c r="B17" s="756" t="s">
        <v>25</v>
      </c>
      <c r="C17" s="753" t="e">
        <f>#REF!</f>
        <v>#REF!</v>
      </c>
      <c r="D17" s="753" t="e">
        <f>#REF!</f>
        <v>#REF!</v>
      </c>
      <c r="E17" s="753" t="e">
        <f t="shared" si="13"/>
        <v>#REF!</v>
      </c>
      <c r="F17" s="753" t="e">
        <f t="shared" si="11"/>
        <v>#REF!</v>
      </c>
      <c r="G17" s="770" t="e">
        <f>(#REF!*L13)+(#REF!*M13)</f>
        <v>#REF!</v>
      </c>
      <c r="H17" s="770" t="e">
        <f>(#REF!*L13)+(#REF!*M13)</f>
        <v>#REF!</v>
      </c>
      <c r="I17" s="771" t="e">
        <f t="shared" si="14"/>
        <v>#REF!</v>
      </c>
      <c r="J17" s="772" t="e">
        <f t="shared" si="12"/>
        <v>#REF!</v>
      </c>
      <c r="K17" s="756" t="s">
        <v>66</v>
      </c>
      <c r="L17" s="752" t="e">
        <f>#REF!</f>
        <v>#REF!</v>
      </c>
      <c r="M17" s="752" t="e">
        <f>#REF!</f>
        <v>#REF!</v>
      </c>
      <c r="N17" s="753" t="e">
        <f t="shared" si="0"/>
        <v>#REF!</v>
      </c>
      <c r="O17" s="753" t="e">
        <f t="shared" si="1"/>
        <v>#REF!</v>
      </c>
      <c r="P17" s="753" t="e">
        <f t="shared" si="2"/>
        <v>#REF!</v>
      </c>
      <c r="Q17" s="753" t="e">
        <f t="shared" si="3"/>
        <v>#REF!</v>
      </c>
      <c r="R17" s="753" t="e">
        <f t="shared" si="4"/>
        <v>#REF!</v>
      </c>
      <c r="S17" s="754" t="e">
        <f t="shared" si="5"/>
        <v>#REF!</v>
      </c>
      <c r="T17" s="740" t="e">
        <f t="shared" si="6"/>
        <v>#REF!</v>
      </c>
      <c r="U17" s="740"/>
      <c r="V17" s="27"/>
      <c r="W17" s="27"/>
      <c r="X17" s="740" t="e">
        <f t="shared" si="7"/>
        <v>#REF!</v>
      </c>
      <c r="Y17" s="740"/>
      <c r="Z17" s="741" t="e">
        <f t="shared" si="8"/>
        <v>#REF!</v>
      </c>
      <c r="AA17" s="741" t="e">
        <f t="shared" si="9"/>
        <v>#REF!</v>
      </c>
      <c r="AB17" s="741" t="e">
        <f t="shared" si="10"/>
        <v>#REF!</v>
      </c>
      <c r="AC17" s="27" t="s">
        <v>66</v>
      </c>
      <c r="AD17" s="27"/>
      <c r="AE17" s="27"/>
      <c r="AF17" s="27"/>
      <c r="AG17" s="27"/>
      <c r="AH17" s="27"/>
    </row>
    <row r="18" spans="2:42" x14ac:dyDescent="0.3">
      <c r="B18" s="756" t="s">
        <v>29</v>
      </c>
      <c r="C18" s="753" t="e">
        <f>#REF!+#REF!</f>
        <v>#REF!</v>
      </c>
      <c r="D18" s="753" t="e">
        <f>#REF!</f>
        <v>#REF!</v>
      </c>
      <c r="E18" s="753" t="e">
        <f t="shared" si="13"/>
        <v>#REF!</v>
      </c>
      <c r="F18" s="753" t="e">
        <f t="shared" si="11"/>
        <v>#REF!</v>
      </c>
      <c r="G18" s="770" t="e">
        <f>(#REF!*L14)+(#REF!*M14)</f>
        <v>#REF!</v>
      </c>
      <c r="H18" s="770" t="e">
        <f>(#REF!*L14)+(#REF!*M14)</f>
        <v>#REF!</v>
      </c>
      <c r="I18" s="771" t="e">
        <f t="shared" si="14"/>
        <v>#REF!</v>
      </c>
      <c r="J18" s="772" t="e">
        <f t="shared" si="12"/>
        <v>#REF!</v>
      </c>
      <c r="K18" s="756" t="s">
        <v>73</v>
      </c>
      <c r="L18" s="752" t="e">
        <f>#REF!</f>
        <v>#REF!</v>
      </c>
      <c r="M18" s="752" t="e">
        <f>#REF!</f>
        <v>#REF!</v>
      </c>
      <c r="N18" s="753" t="e">
        <f t="shared" si="0"/>
        <v>#REF!</v>
      </c>
      <c r="O18" s="753" t="e">
        <f t="shared" si="1"/>
        <v>#REF!</v>
      </c>
      <c r="P18" s="753" t="e">
        <f t="shared" si="2"/>
        <v>#REF!</v>
      </c>
      <c r="Q18" s="753" t="e">
        <f t="shared" si="3"/>
        <v>#REF!</v>
      </c>
      <c r="R18" s="753" t="e">
        <f t="shared" si="4"/>
        <v>#REF!</v>
      </c>
      <c r="S18" s="754" t="e">
        <f t="shared" si="5"/>
        <v>#REF!</v>
      </c>
      <c r="T18" s="740" t="e">
        <f t="shared" si="6"/>
        <v>#REF!</v>
      </c>
      <c r="U18" s="740"/>
      <c r="V18" s="27"/>
      <c r="W18" s="27"/>
      <c r="X18" s="740" t="e">
        <f t="shared" si="7"/>
        <v>#REF!</v>
      </c>
      <c r="Y18" s="740"/>
      <c r="Z18" s="741" t="e">
        <f t="shared" si="8"/>
        <v>#REF!</v>
      </c>
      <c r="AA18" s="741" t="e">
        <f t="shared" si="9"/>
        <v>#REF!</v>
      </c>
      <c r="AB18" s="741" t="e">
        <f t="shared" si="10"/>
        <v>#REF!</v>
      </c>
      <c r="AC18" s="27" t="s">
        <v>73</v>
      </c>
      <c r="AD18" s="27"/>
      <c r="AE18" s="27"/>
      <c r="AF18" s="27"/>
      <c r="AG18" s="27"/>
      <c r="AH18" s="27"/>
    </row>
    <row r="19" spans="2:42" x14ac:dyDescent="0.3">
      <c r="B19" s="756" t="s">
        <v>60</v>
      </c>
      <c r="C19" s="753" t="e">
        <f>#REF!</f>
        <v>#REF!</v>
      </c>
      <c r="D19" s="753" t="e">
        <f>#REF!</f>
        <v>#REF!</v>
      </c>
      <c r="E19" s="753" t="e">
        <f t="shared" si="13"/>
        <v>#REF!</v>
      </c>
      <c r="F19" s="753" t="e">
        <f t="shared" si="11"/>
        <v>#REF!</v>
      </c>
      <c r="G19" s="770" t="e">
        <f>(#REF!*L15)+(#REF!*M15)</f>
        <v>#REF!</v>
      </c>
      <c r="H19" s="770" t="e">
        <f>(#REF!*L15)+(#REF!*M15)</f>
        <v>#REF!</v>
      </c>
      <c r="I19" s="771" t="e">
        <f t="shared" si="14"/>
        <v>#REF!</v>
      </c>
      <c r="J19" s="772" t="e">
        <f t="shared" si="12"/>
        <v>#REF!</v>
      </c>
      <c r="K19" s="756" t="s">
        <v>74</v>
      </c>
      <c r="L19" s="752" t="e">
        <f>#REF!</f>
        <v>#REF!</v>
      </c>
      <c r="M19" s="752" t="e">
        <f>#REF!</f>
        <v>#REF!</v>
      </c>
      <c r="N19" s="753" t="e">
        <f t="shared" si="0"/>
        <v>#REF!</v>
      </c>
      <c r="O19" s="753" t="e">
        <f t="shared" si="1"/>
        <v>#REF!</v>
      </c>
      <c r="P19" s="753" t="e">
        <f t="shared" si="2"/>
        <v>#REF!</v>
      </c>
      <c r="Q19" s="753" t="e">
        <f t="shared" si="3"/>
        <v>#REF!</v>
      </c>
      <c r="R19" s="753" t="e">
        <f t="shared" si="4"/>
        <v>#REF!</v>
      </c>
      <c r="S19" s="754" t="e">
        <f t="shared" si="5"/>
        <v>#REF!</v>
      </c>
      <c r="T19" s="740" t="e">
        <f t="shared" si="6"/>
        <v>#REF!</v>
      </c>
      <c r="U19" s="740"/>
      <c r="V19" s="27"/>
      <c r="W19" s="27"/>
      <c r="X19" s="740" t="e">
        <f t="shared" si="7"/>
        <v>#REF!</v>
      </c>
      <c r="Y19" s="740"/>
      <c r="Z19" s="741" t="e">
        <f t="shared" si="8"/>
        <v>#REF!</v>
      </c>
      <c r="AA19" s="741" t="e">
        <f t="shared" si="9"/>
        <v>#REF!</v>
      </c>
      <c r="AB19" s="741" t="e">
        <f t="shared" si="10"/>
        <v>#REF!</v>
      </c>
      <c r="AC19" s="27" t="s">
        <v>74</v>
      </c>
      <c r="AD19" s="27"/>
      <c r="AE19" s="27"/>
      <c r="AF19" s="27"/>
      <c r="AG19" s="27"/>
      <c r="AH19" s="27"/>
    </row>
    <row r="20" spans="2:42" ht="27.6" x14ac:dyDescent="0.3">
      <c r="B20" s="756" t="s">
        <v>33</v>
      </c>
      <c r="C20" s="753" t="e">
        <f>#REF!</f>
        <v>#REF!</v>
      </c>
      <c r="D20" s="753" t="e">
        <f>#REF!</f>
        <v>#REF!</v>
      </c>
      <c r="E20" s="753" t="e">
        <f t="shared" si="13"/>
        <v>#REF!</v>
      </c>
      <c r="F20" s="753" t="e">
        <f t="shared" si="11"/>
        <v>#REF!</v>
      </c>
      <c r="G20" s="770" t="e">
        <f>(#REF!*L16)+(#REF!*M16)</f>
        <v>#REF!</v>
      </c>
      <c r="H20" s="770" t="e">
        <f>(#REF!*L16)+(#REF!*M16)</f>
        <v>#REF!</v>
      </c>
      <c r="I20" s="771" t="e">
        <f t="shared" si="14"/>
        <v>#REF!</v>
      </c>
      <c r="J20" s="772" t="e">
        <f t="shared" si="12"/>
        <v>#REF!</v>
      </c>
      <c r="K20" s="756" t="s">
        <v>327</v>
      </c>
      <c r="L20" s="752" t="e">
        <f>#REF!</f>
        <v>#REF!</v>
      </c>
      <c r="M20" s="752" t="e">
        <f>#REF!</f>
        <v>#REF!</v>
      </c>
      <c r="N20" s="753" t="e">
        <f t="shared" si="0"/>
        <v>#REF!</v>
      </c>
      <c r="O20" s="753" t="e">
        <f t="shared" si="1"/>
        <v>#REF!</v>
      </c>
      <c r="P20" s="753" t="e">
        <f t="shared" si="2"/>
        <v>#REF!</v>
      </c>
      <c r="Q20" s="753" t="e">
        <f t="shared" si="3"/>
        <v>#REF!</v>
      </c>
      <c r="R20" s="753" t="e">
        <f t="shared" si="4"/>
        <v>#REF!</v>
      </c>
      <c r="S20" s="754" t="e">
        <f t="shared" si="5"/>
        <v>#REF!</v>
      </c>
      <c r="T20" s="740" t="e">
        <f t="shared" si="6"/>
        <v>#REF!</v>
      </c>
      <c r="U20" s="740"/>
      <c r="V20" s="27"/>
      <c r="W20" s="27"/>
      <c r="X20" s="740" t="e">
        <f t="shared" si="7"/>
        <v>#REF!</v>
      </c>
      <c r="Y20" s="740"/>
      <c r="Z20" s="741" t="e">
        <f t="shared" si="8"/>
        <v>#REF!</v>
      </c>
      <c r="AA20" s="741" t="e">
        <f t="shared" si="9"/>
        <v>#REF!</v>
      </c>
      <c r="AB20" s="741" t="e">
        <f t="shared" si="10"/>
        <v>#REF!</v>
      </c>
      <c r="AC20" s="27" t="s">
        <v>327</v>
      </c>
      <c r="AD20" s="27"/>
      <c r="AE20" s="27"/>
      <c r="AF20" s="27"/>
      <c r="AG20" s="27"/>
      <c r="AH20" s="27"/>
    </row>
    <row r="21" spans="2:42" x14ac:dyDescent="0.3">
      <c r="B21" s="756" t="s">
        <v>66</v>
      </c>
      <c r="C21" s="753" t="e">
        <f>#REF!</f>
        <v>#REF!</v>
      </c>
      <c r="D21" s="753" t="e">
        <f>#REF!</f>
        <v>#REF!</v>
      </c>
      <c r="E21" s="753" t="e">
        <f t="shared" si="13"/>
        <v>#REF!</v>
      </c>
      <c r="F21" s="753" t="e">
        <f t="shared" si="11"/>
        <v>#REF!</v>
      </c>
      <c r="G21" s="770" t="e">
        <f>(#REF!*L17)+(#REF!*M17)</f>
        <v>#REF!</v>
      </c>
      <c r="H21" s="770" t="e">
        <f>(#REF!*L17)+(#REF!*M17)</f>
        <v>#REF!</v>
      </c>
      <c r="I21" s="771" t="e">
        <f t="shared" si="14"/>
        <v>#REF!</v>
      </c>
      <c r="J21" s="772" t="e">
        <f t="shared" si="12"/>
        <v>#REF!</v>
      </c>
      <c r="K21" s="756" t="s">
        <v>143</v>
      </c>
      <c r="L21" s="752" t="e">
        <f>#REF!</f>
        <v>#REF!</v>
      </c>
      <c r="M21" s="752" t="e">
        <f>#REF!</f>
        <v>#REF!</v>
      </c>
      <c r="N21" s="753" t="e">
        <f t="shared" si="0"/>
        <v>#REF!</v>
      </c>
      <c r="O21" s="753" t="e">
        <f t="shared" si="1"/>
        <v>#REF!</v>
      </c>
      <c r="P21" s="753" t="e">
        <f t="shared" si="2"/>
        <v>#REF!</v>
      </c>
      <c r="Q21" s="753" t="e">
        <f t="shared" si="3"/>
        <v>#REF!</v>
      </c>
      <c r="R21" s="753" t="e">
        <f t="shared" si="4"/>
        <v>#REF!</v>
      </c>
      <c r="S21" s="754" t="e">
        <f t="shared" si="5"/>
        <v>#REF!</v>
      </c>
      <c r="T21" s="740" t="e">
        <f t="shared" si="6"/>
        <v>#REF!</v>
      </c>
      <c r="U21" s="740"/>
      <c r="V21" s="27"/>
      <c r="W21" s="27"/>
      <c r="X21" s="740" t="e">
        <f t="shared" si="7"/>
        <v>#REF!</v>
      </c>
      <c r="Y21" s="740"/>
      <c r="Z21" s="741" t="e">
        <f t="shared" si="8"/>
        <v>#REF!</v>
      </c>
      <c r="AA21" s="741" t="e">
        <f t="shared" si="9"/>
        <v>#REF!</v>
      </c>
      <c r="AB21" s="741" t="e">
        <f t="shared" si="10"/>
        <v>#REF!</v>
      </c>
      <c r="AC21" s="27" t="s">
        <v>143</v>
      </c>
      <c r="AD21" s="27"/>
      <c r="AE21" s="27"/>
      <c r="AF21" s="27"/>
      <c r="AG21" s="27"/>
      <c r="AH21" s="27"/>
    </row>
    <row r="22" spans="2:42" x14ac:dyDescent="0.3">
      <c r="B22" s="756" t="s">
        <v>73</v>
      </c>
      <c r="C22" s="753" t="e">
        <f>#REF!</f>
        <v>#REF!</v>
      </c>
      <c r="D22" s="753"/>
      <c r="E22" s="753" t="e">
        <f t="shared" si="13"/>
        <v>#REF!</v>
      </c>
      <c r="F22" s="753" t="e">
        <f t="shared" si="11"/>
        <v>#REF!</v>
      </c>
      <c r="G22" s="770" t="e">
        <f>(#REF!*L18)+(#REF!*M18)</f>
        <v>#REF!</v>
      </c>
      <c r="H22" s="770" t="e">
        <f>(#REF!*L18)+(#REF!*M18)</f>
        <v>#REF!</v>
      </c>
      <c r="I22" s="771" t="e">
        <f t="shared" si="14"/>
        <v>#REF!</v>
      </c>
      <c r="J22" s="772" t="e">
        <f t="shared" si="12"/>
        <v>#REF!</v>
      </c>
      <c r="K22" s="756" t="s">
        <v>76</v>
      </c>
      <c r="L22" s="752" t="e">
        <f>#REF!</f>
        <v>#REF!</v>
      </c>
      <c r="M22" s="752" t="e">
        <f>#REF!</f>
        <v>#REF!</v>
      </c>
      <c r="N22" s="753" t="e">
        <f t="shared" si="0"/>
        <v>#REF!</v>
      </c>
      <c r="O22" s="753" t="e">
        <f t="shared" si="1"/>
        <v>#REF!</v>
      </c>
      <c r="P22" s="753" t="e">
        <f t="shared" si="2"/>
        <v>#REF!</v>
      </c>
      <c r="Q22" s="753" t="e">
        <f t="shared" si="3"/>
        <v>#REF!</v>
      </c>
      <c r="R22" s="753" t="e">
        <f t="shared" si="4"/>
        <v>#REF!</v>
      </c>
      <c r="S22" s="754" t="e">
        <f t="shared" si="5"/>
        <v>#REF!</v>
      </c>
      <c r="T22" s="740" t="e">
        <f t="shared" si="6"/>
        <v>#REF!</v>
      </c>
      <c r="U22" s="740"/>
      <c r="V22" s="27"/>
      <c r="W22" s="27"/>
      <c r="X22" s="740" t="e">
        <f t="shared" si="7"/>
        <v>#REF!</v>
      </c>
      <c r="Y22" s="740"/>
      <c r="Z22" s="741" t="e">
        <f t="shared" si="8"/>
        <v>#REF!</v>
      </c>
      <c r="AA22" s="741" t="e">
        <f t="shared" si="9"/>
        <v>#REF!</v>
      </c>
      <c r="AB22" s="741" t="e">
        <f t="shared" si="10"/>
        <v>#REF!</v>
      </c>
      <c r="AC22" s="27" t="s">
        <v>76</v>
      </c>
      <c r="AD22" s="27"/>
      <c r="AE22" s="27"/>
      <c r="AF22" s="27"/>
      <c r="AG22" s="27"/>
      <c r="AH22" s="27"/>
    </row>
    <row r="23" spans="2:42" x14ac:dyDescent="0.3">
      <c r="B23" s="756" t="s">
        <v>74</v>
      </c>
      <c r="C23" s="753" t="e">
        <f>#REF!</f>
        <v>#REF!</v>
      </c>
      <c r="D23" s="753"/>
      <c r="E23" s="753" t="e">
        <f t="shared" si="13"/>
        <v>#REF!</v>
      </c>
      <c r="F23" s="753" t="e">
        <f t="shared" si="11"/>
        <v>#REF!</v>
      </c>
      <c r="G23" s="770" t="e">
        <f>(#REF!*L19)+(#REF!*M19)</f>
        <v>#REF!</v>
      </c>
      <c r="H23" s="770" t="e">
        <f>(#REF!*L19)+(#REF!*M19)</f>
        <v>#REF!</v>
      </c>
      <c r="I23" s="771" t="e">
        <f t="shared" si="14"/>
        <v>#REF!</v>
      </c>
      <c r="J23" s="772" t="e">
        <f t="shared" si="12"/>
        <v>#REF!</v>
      </c>
      <c r="K23" s="756" t="s">
        <v>309</v>
      </c>
      <c r="L23" s="752" t="e">
        <f>#REF!</f>
        <v>#REF!</v>
      </c>
      <c r="M23" s="752" t="e">
        <f>#REF!</f>
        <v>#REF!</v>
      </c>
      <c r="N23" s="753" t="e">
        <f t="shared" si="0"/>
        <v>#REF!</v>
      </c>
      <c r="O23" s="753" t="e">
        <f t="shared" si="1"/>
        <v>#REF!</v>
      </c>
      <c r="P23" s="753" t="e">
        <f t="shared" si="2"/>
        <v>#REF!</v>
      </c>
      <c r="Q23" s="753" t="e">
        <f t="shared" si="3"/>
        <v>#REF!</v>
      </c>
      <c r="R23" s="753" t="e">
        <f t="shared" si="4"/>
        <v>#REF!</v>
      </c>
      <c r="S23" s="754" t="e">
        <f t="shared" si="5"/>
        <v>#REF!</v>
      </c>
      <c r="T23" s="740" t="e">
        <f t="shared" si="6"/>
        <v>#REF!</v>
      </c>
      <c r="U23" s="740"/>
      <c r="V23" s="27"/>
      <c r="W23" s="27"/>
      <c r="X23" s="740" t="e">
        <f t="shared" si="7"/>
        <v>#REF!</v>
      </c>
      <c r="Y23" s="740"/>
      <c r="Z23" s="741" t="e">
        <f t="shared" si="8"/>
        <v>#REF!</v>
      </c>
      <c r="AA23" s="741" t="e">
        <f t="shared" si="9"/>
        <v>#REF!</v>
      </c>
      <c r="AB23" s="741" t="e">
        <f t="shared" si="10"/>
        <v>#REF!</v>
      </c>
      <c r="AC23" s="27" t="s">
        <v>309</v>
      </c>
      <c r="AD23" s="27"/>
      <c r="AE23" s="27"/>
      <c r="AF23" s="27"/>
      <c r="AG23" s="27"/>
      <c r="AH23" s="27"/>
    </row>
    <row r="24" spans="2:42" ht="27.6" x14ac:dyDescent="0.3">
      <c r="B24" s="756" t="s">
        <v>327</v>
      </c>
      <c r="C24" s="753" t="e">
        <f>#REF!-#REF!-#REF!-#REF!-#REF!-#REF!-#REF!-#REF!</f>
        <v>#REF!</v>
      </c>
      <c r="D24" s="753" t="e">
        <f>#REF!</f>
        <v>#REF!</v>
      </c>
      <c r="E24" s="753" t="e">
        <f t="shared" si="13"/>
        <v>#REF!</v>
      </c>
      <c r="F24" s="753" t="e">
        <f t="shared" si="11"/>
        <v>#REF!</v>
      </c>
      <c r="G24" s="770" t="e">
        <f>(#REF!*L20)+(#REF!*M20)</f>
        <v>#REF!</v>
      </c>
      <c r="H24" s="770" t="e">
        <f>(#REF!*L20)+(#REF!*M20)</f>
        <v>#REF!</v>
      </c>
      <c r="I24" s="771" t="e">
        <f t="shared" si="14"/>
        <v>#REF!</v>
      </c>
      <c r="J24" s="772" t="e">
        <f t="shared" si="12"/>
        <v>#REF!</v>
      </c>
      <c r="K24" s="756" t="s">
        <v>95</v>
      </c>
      <c r="L24" s="752" t="e">
        <f>#REF!</f>
        <v>#REF!</v>
      </c>
      <c r="M24" s="752" t="e">
        <f>#REF!</f>
        <v>#REF!</v>
      </c>
      <c r="N24" s="753" t="e">
        <f t="shared" si="0"/>
        <v>#REF!</v>
      </c>
      <c r="O24" s="753" t="e">
        <f t="shared" si="1"/>
        <v>#REF!</v>
      </c>
      <c r="P24" s="753" t="e">
        <f t="shared" si="2"/>
        <v>#REF!</v>
      </c>
      <c r="Q24" s="753" t="e">
        <f t="shared" si="3"/>
        <v>#REF!</v>
      </c>
      <c r="R24" s="753" t="e">
        <f t="shared" si="4"/>
        <v>#REF!</v>
      </c>
      <c r="S24" s="754">
        <v>0</v>
      </c>
      <c r="T24" s="740" t="e">
        <f t="shared" si="6"/>
        <v>#REF!</v>
      </c>
      <c r="U24" s="740"/>
      <c r="V24" s="27"/>
      <c r="W24" s="27"/>
      <c r="X24" s="740" t="e">
        <f t="shared" si="7"/>
        <v>#REF!</v>
      </c>
      <c r="Y24" s="740"/>
      <c r="Z24" s="741" t="e">
        <f t="shared" si="8"/>
        <v>#REF!</v>
      </c>
      <c r="AA24" s="741" t="e">
        <f t="shared" si="9"/>
        <v>#REF!</v>
      </c>
      <c r="AB24" s="741" t="e">
        <f t="shared" si="10"/>
        <v>#REF!</v>
      </c>
      <c r="AC24" s="27" t="s">
        <v>95</v>
      </c>
      <c r="AD24" s="27"/>
      <c r="AE24" s="27"/>
      <c r="AF24" s="27"/>
      <c r="AG24" s="27"/>
      <c r="AH24" s="27"/>
    </row>
    <row r="25" spans="2:42" x14ac:dyDescent="0.3">
      <c r="B25" s="756" t="s">
        <v>143</v>
      </c>
      <c r="C25" s="753" t="e">
        <f>#REF!-#REF!</f>
        <v>#REF!</v>
      </c>
      <c r="D25" s="753" t="e">
        <f>#REF!-#REF!</f>
        <v>#REF!</v>
      </c>
      <c r="E25" s="753" t="e">
        <f t="shared" si="13"/>
        <v>#REF!</v>
      </c>
      <c r="F25" s="753" t="e">
        <f t="shared" si="11"/>
        <v>#REF!</v>
      </c>
      <c r="G25" s="770" t="e">
        <f>(#REF!*L21)+(#REF!*M21)</f>
        <v>#REF!</v>
      </c>
      <c r="H25" s="770" t="e">
        <f>(#REF!*L21)+(#REF!*M21)</f>
        <v>#REF!</v>
      </c>
      <c r="I25" s="771" t="e">
        <f t="shared" si="14"/>
        <v>#REF!</v>
      </c>
      <c r="J25" s="772" t="e">
        <f t="shared" si="12"/>
        <v>#REF!</v>
      </c>
      <c r="K25" s="773" t="s">
        <v>119</v>
      </c>
      <c r="L25" s="752" t="e">
        <f>#REF!</f>
        <v>#REF!</v>
      </c>
      <c r="M25" s="752" t="e">
        <f>#REF!</f>
        <v>#REF!</v>
      </c>
      <c r="N25" s="753" t="e">
        <f t="shared" si="0"/>
        <v>#REF!</v>
      </c>
      <c r="O25" s="753" t="e">
        <f t="shared" si="1"/>
        <v>#REF!</v>
      </c>
      <c r="P25" s="753" t="e">
        <f t="shared" si="2"/>
        <v>#REF!</v>
      </c>
      <c r="Q25" s="753">
        <f t="shared" si="3"/>
        <v>0</v>
      </c>
      <c r="R25" s="753" t="e">
        <f t="shared" si="4"/>
        <v>#REF!</v>
      </c>
      <c r="S25" s="754" t="e">
        <f t="shared" si="5"/>
        <v>#REF!</v>
      </c>
      <c r="T25" s="740" t="e">
        <f t="shared" si="6"/>
        <v>#REF!</v>
      </c>
      <c r="U25" s="740"/>
      <c r="V25" s="740">
        <f>-Y27</f>
        <v>0</v>
      </c>
      <c r="W25" s="740"/>
      <c r="X25" s="740" t="e">
        <f t="shared" si="7"/>
        <v>#REF!</v>
      </c>
      <c r="Y25" s="740"/>
      <c r="Z25" s="741" t="e">
        <f t="shared" si="8"/>
        <v>#REF!</v>
      </c>
      <c r="AA25" s="741" t="e">
        <f t="shared" si="9"/>
        <v>#REF!</v>
      </c>
      <c r="AB25" s="741" t="e">
        <f t="shared" si="10"/>
        <v>#REF!</v>
      </c>
      <c r="AC25" s="27" t="s">
        <v>119</v>
      </c>
      <c r="AD25" s="27"/>
      <c r="AE25" s="27"/>
      <c r="AF25" s="27"/>
      <c r="AG25" s="27"/>
      <c r="AH25" s="27"/>
    </row>
    <row r="26" spans="2:42" ht="14.4" thickBot="1" x14ac:dyDescent="0.35">
      <c r="B26" s="756" t="s">
        <v>76</v>
      </c>
      <c r="C26" s="753" t="e">
        <f>#REF!</f>
        <v>#REF!</v>
      </c>
      <c r="D26" s="753" t="e">
        <f>#REF!</f>
        <v>#REF!</v>
      </c>
      <c r="E26" s="753" t="e">
        <f t="shared" si="13"/>
        <v>#REF!</v>
      </c>
      <c r="F26" s="753" t="e">
        <f t="shared" si="11"/>
        <v>#REF!</v>
      </c>
      <c r="G26" s="770" t="e">
        <f>(#REF!*L22)+(#REF!*M22)</f>
        <v>#REF!</v>
      </c>
      <c r="H26" s="770" t="e">
        <f>(#REF!*L22)+(#REF!*M22)</f>
        <v>#REF!</v>
      </c>
      <c r="I26" s="771" t="e">
        <f t="shared" si="14"/>
        <v>#REF!</v>
      </c>
      <c r="J26" s="772" t="e">
        <f t="shared" si="12"/>
        <v>#REF!</v>
      </c>
      <c r="K26" s="774" t="s">
        <v>125</v>
      </c>
      <c r="L26" s="775" t="e">
        <f t="shared" ref="L26:R26" si="15">SUM(L4:L25)</f>
        <v>#REF!</v>
      </c>
      <c r="M26" s="775" t="e">
        <f t="shared" si="15"/>
        <v>#REF!</v>
      </c>
      <c r="N26" s="776" t="e">
        <f t="shared" si="15"/>
        <v>#REF!</v>
      </c>
      <c r="O26" s="776" t="e">
        <f t="shared" si="15"/>
        <v>#REF!</v>
      </c>
      <c r="P26" s="776" t="e">
        <f t="shared" si="15"/>
        <v>#REF!</v>
      </c>
      <c r="Q26" s="776" t="e">
        <f t="shared" si="15"/>
        <v>#REF!</v>
      </c>
      <c r="R26" s="776" t="e">
        <f t="shared" si="15"/>
        <v>#REF!</v>
      </c>
      <c r="S26" s="777" t="e">
        <f>Q26/R26</f>
        <v>#REF!</v>
      </c>
      <c r="T26" s="778" t="e">
        <f t="shared" ref="T26:AB26" si="16">SUM(T4:T25)</f>
        <v>#REF!</v>
      </c>
      <c r="U26" s="778" t="e">
        <f t="shared" si="16"/>
        <v>#REF!</v>
      </c>
      <c r="V26" s="778" t="e">
        <f t="shared" si="16"/>
        <v>#REF!</v>
      </c>
      <c r="W26" s="778" t="e">
        <f t="shared" si="16"/>
        <v>#REF!</v>
      </c>
      <c r="X26" s="778" t="e">
        <f t="shared" si="16"/>
        <v>#REF!</v>
      </c>
      <c r="Y26" s="778" t="e">
        <f t="shared" si="16"/>
        <v>#REF!</v>
      </c>
      <c r="Z26" s="779" t="e">
        <f t="shared" si="16"/>
        <v>#REF!</v>
      </c>
      <c r="AA26" s="779" t="e">
        <f t="shared" si="16"/>
        <v>#REF!</v>
      </c>
      <c r="AB26" s="779" t="e">
        <f t="shared" si="16"/>
        <v>#REF!</v>
      </c>
      <c r="AC26" s="27" t="s">
        <v>125</v>
      </c>
      <c r="AD26" s="27"/>
      <c r="AE26" s="27"/>
      <c r="AF26" s="27"/>
      <c r="AG26" s="27"/>
      <c r="AH26" s="27"/>
    </row>
    <row r="27" spans="2:42" x14ac:dyDescent="0.3">
      <c r="B27" s="756" t="s">
        <v>309</v>
      </c>
      <c r="C27" s="753" t="e">
        <f>#REF!+#REF!</f>
        <v>#REF!</v>
      </c>
      <c r="D27" s="753"/>
      <c r="E27" s="753" t="e">
        <f t="shared" si="13"/>
        <v>#REF!</v>
      </c>
      <c r="F27" s="753" t="e">
        <f t="shared" si="11"/>
        <v>#REF!</v>
      </c>
      <c r="G27" s="770" t="e">
        <f>(#REF!*L23)+(#REF!*M23)</f>
        <v>#REF!</v>
      </c>
      <c r="H27" s="770" t="e">
        <f>(#REF!*L23)+(#REF!*M23)</f>
        <v>#REF!</v>
      </c>
      <c r="I27" s="771" t="e">
        <f t="shared" si="14"/>
        <v>#REF!</v>
      </c>
      <c r="J27" s="780" t="e">
        <f t="shared" si="12"/>
        <v>#REF!</v>
      </c>
      <c r="K27" s="781"/>
      <c r="L27" s="782"/>
      <c r="M27" s="782"/>
      <c r="N27" s="783"/>
      <c r="O27" s="783"/>
      <c r="P27" s="783"/>
      <c r="Q27" s="783"/>
      <c r="R27" s="783"/>
      <c r="S27" s="782"/>
      <c r="T27" s="740"/>
      <c r="U27" s="740"/>
      <c r="V27" s="742"/>
      <c r="X27" s="742" t="e">
        <f>X26+AI5</f>
        <v>#REF!</v>
      </c>
      <c r="Y27" s="740"/>
      <c r="Z27" s="740"/>
      <c r="AA27" s="740"/>
      <c r="AB27" s="740"/>
      <c r="AC27" s="740"/>
      <c r="AD27" s="27"/>
      <c r="AE27" s="27"/>
      <c r="AF27" s="27"/>
      <c r="AG27" s="27"/>
      <c r="AH27" s="27"/>
    </row>
    <row r="28" spans="2:42" x14ac:dyDescent="0.3">
      <c r="B28" s="756" t="s">
        <v>95</v>
      </c>
      <c r="C28" s="753" t="e">
        <f>#REF!</f>
        <v>#REF!</v>
      </c>
      <c r="D28" s="753"/>
      <c r="E28" s="753" t="e">
        <f t="shared" si="13"/>
        <v>#REF!</v>
      </c>
      <c r="F28" s="753" t="e">
        <f t="shared" si="11"/>
        <v>#REF!</v>
      </c>
      <c r="G28" s="770" t="e">
        <f>(#REF!*L24)+(#REF!*M24)</f>
        <v>#REF!</v>
      </c>
      <c r="H28" s="770" t="e">
        <f>(#REF!*L24)+(#REF!*M24)</f>
        <v>#REF!</v>
      </c>
      <c r="I28" s="771" t="e">
        <f t="shared" si="14"/>
        <v>#REF!</v>
      </c>
      <c r="J28" s="780" t="e">
        <f t="shared" si="12"/>
        <v>#REF!</v>
      </c>
      <c r="K28" s="784" t="s">
        <v>42</v>
      </c>
      <c r="L28" s="785" t="e">
        <f t="shared" ref="L28:R28" si="17">L10+L15</f>
        <v>#REF!</v>
      </c>
      <c r="M28" s="785" t="e">
        <f>M10+M15</f>
        <v>#REF!</v>
      </c>
      <c r="N28" s="786" t="e">
        <f t="shared" si="17"/>
        <v>#REF!</v>
      </c>
      <c r="O28" s="786" t="e">
        <f t="shared" si="17"/>
        <v>#REF!</v>
      </c>
      <c r="P28" s="786" t="e">
        <f t="shared" si="17"/>
        <v>#REF!</v>
      </c>
      <c r="Q28" s="786" t="e">
        <f t="shared" si="17"/>
        <v>#REF!</v>
      </c>
      <c r="R28" s="786" t="e">
        <f t="shared" si="17"/>
        <v>#REF!</v>
      </c>
      <c r="S28" s="785" t="e">
        <f>Q28/R28</f>
        <v>#REF!</v>
      </c>
      <c r="T28" s="742"/>
      <c r="V28" s="742"/>
      <c r="W28" s="27"/>
      <c r="X28" s="27"/>
      <c r="Y28" s="27"/>
      <c r="Z28" s="27"/>
      <c r="AA28" s="27"/>
      <c r="AB28" s="27"/>
      <c r="AC28" s="27"/>
      <c r="AD28" s="27"/>
      <c r="AE28" s="27"/>
      <c r="AF28" s="27"/>
      <c r="AG28" s="27"/>
      <c r="AH28" s="27"/>
    </row>
    <row r="29" spans="2:42" ht="27.6" x14ac:dyDescent="0.3">
      <c r="B29" s="773" t="s">
        <v>119</v>
      </c>
      <c r="C29" s="787"/>
      <c r="D29" s="787"/>
      <c r="E29" s="753"/>
      <c r="F29" s="787"/>
      <c r="G29" s="770" t="e">
        <f>(#REF!*L25)+(#REF!*M25)</f>
        <v>#REF!</v>
      </c>
      <c r="H29" s="770" t="e">
        <f>(#REF!*L25)+(#REF!*M25)</f>
        <v>#REF!</v>
      </c>
      <c r="I29" s="771">
        <f t="shared" si="14"/>
        <v>0</v>
      </c>
      <c r="J29" s="780" t="e">
        <f t="shared" si="12"/>
        <v>#REF!</v>
      </c>
      <c r="K29" s="788"/>
      <c r="L29" s="779"/>
      <c r="M29" s="779"/>
      <c r="N29" s="778"/>
      <c r="O29" s="778"/>
      <c r="P29" s="778"/>
      <c r="Q29" s="778"/>
      <c r="R29" s="778"/>
      <c r="S29" s="779"/>
      <c r="T29" s="789" t="s">
        <v>489</v>
      </c>
      <c r="V29" s="27"/>
      <c r="W29" s="27"/>
      <c r="X29" s="27"/>
      <c r="Y29" s="27"/>
      <c r="Z29" s="27"/>
      <c r="AA29" s="27"/>
      <c r="AB29" s="27"/>
      <c r="AC29" s="27"/>
      <c r="AD29" s="27"/>
      <c r="AE29" s="27"/>
      <c r="AF29" s="27"/>
      <c r="AG29" s="27"/>
      <c r="AH29" s="27"/>
    </row>
    <row r="30" spans="2:42" s="788" customFormat="1" ht="14.4" thickBot="1" x14ac:dyDescent="0.35">
      <c r="B30" s="774" t="s">
        <v>125</v>
      </c>
      <c r="C30" s="776" t="e">
        <f>C4+C7</f>
        <v>#REF!</v>
      </c>
      <c r="D30" s="776" t="e">
        <f>D4+D7</f>
        <v>#REF!</v>
      </c>
      <c r="E30" s="776" t="e">
        <f>E4+E7</f>
        <v>#REF!</v>
      </c>
      <c r="F30" s="776" t="e">
        <f>F4+F7</f>
        <v>#REF!</v>
      </c>
      <c r="G30" s="776" t="e">
        <f>G4</f>
        <v>#REF!</v>
      </c>
      <c r="H30" s="776" t="e">
        <f>H4</f>
        <v>#REF!</v>
      </c>
      <c r="I30" s="790" t="e">
        <f>I4+I7</f>
        <v>#REF!</v>
      </c>
      <c r="J30" s="778"/>
      <c r="K30" s="791" t="s">
        <v>118</v>
      </c>
      <c r="L30" s="792">
        <v>6.08E-2</v>
      </c>
      <c r="M30" s="792">
        <v>8.6482895908570473E-3</v>
      </c>
      <c r="N30" s="793" t="e">
        <f>$N$26*L30</f>
        <v>#REF!</v>
      </c>
      <c r="O30" s="793" t="e">
        <f>$O$26*M30</f>
        <v>#REF!</v>
      </c>
      <c r="P30" s="793" t="e">
        <f>O30+N30</f>
        <v>#REF!</v>
      </c>
      <c r="Q30" s="793" t="e">
        <f>#REF!+#REF!</f>
        <v>#REF!</v>
      </c>
      <c r="R30" s="793" t="e">
        <f>P30+Q30</f>
        <v>#REF!</v>
      </c>
      <c r="S30" s="792" t="e">
        <f>Q30/R30</f>
        <v>#REF!</v>
      </c>
      <c r="T30" s="794" t="e">
        <f>P30/P32</f>
        <v>#REF!</v>
      </c>
      <c r="U30" s="742"/>
    </row>
    <row r="31" spans="2:42" ht="41.4" x14ac:dyDescent="0.3">
      <c r="B31" s="795" t="s">
        <v>490</v>
      </c>
      <c r="C31" s="796" t="e">
        <f>#REF!</f>
        <v>#REF!</v>
      </c>
      <c r="D31" s="796"/>
      <c r="E31" s="796"/>
      <c r="F31" s="795"/>
      <c r="G31" s="795"/>
      <c r="H31" s="795"/>
      <c r="I31" s="797" t="e">
        <f>I30*1000/C31</f>
        <v>#REF!</v>
      </c>
      <c r="J31" s="798" t="s">
        <v>491</v>
      </c>
      <c r="K31" s="799" t="s">
        <v>438</v>
      </c>
      <c r="L31" s="799">
        <v>0.4662</v>
      </c>
      <c r="M31" s="799">
        <v>0.32195171040914294</v>
      </c>
      <c r="N31" s="800" t="e">
        <f>$N$26*L31</f>
        <v>#REF!</v>
      </c>
      <c r="O31" s="800" t="e">
        <f>$O$26*M31</f>
        <v>#REF!</v>
      </c>
      <c r="P31" s="800" t="e">
        <f>O31+N31</f>
        <v>#REF!</v>
      </c>
      <c r="Q31" s="800" t="e">
        <f>#REF!+#REF!+#REF!</f>
        <v>#REF!</v>
      </c>
      <c r="R31" s="800" t="e">
        <f>P31+Q31</f>
        <v>#REF!</v>
      </c>
      <c r="S31" s="799" t="e">
        <f>Q31/R31</f>
        <v>#REF!</v>
      </c>
      <c r="T31" s="794" t="e">
        <f>P31/P32</f>
        <v>#REF!</v>
      </c>
      <c r="U31" s="741"/>
      <c r="W31" s="741"/>
      <c r="AA31" s="741"/>
      <c r="AB31" s="741"/>
      <c r="AC31" s="741"/>
      <c r="AD31" s="741"/>
      <c r="AE31" s="741"/>
      <c r="AF31" s="741"/>
      <c r="AG31" s="741"/>
      <c r="AH31" s="741"/>
      <c r="AI31" s="741"/>
      <c r="AJ31" s="741"/>
      <c r="AK31" s="741"/>
      <c r="AL31" s="741"/>
      <c r="AM31" s="741"/>
      <c r="AN31" s="741"/>
      <c r="AO31" s="741"/>
    </row>
    <row r="32" spans="2:42" x14ac:dyDescent="0.3">
      <c r="F32" s="740"/>
      <c r="G32" s="740"/>
      <c r="H32" s="740"/>
      <c r="I32" s="740"/>
      <c r="J32" s="740"/>
      <c r="K32" s="801" t="s">
        <v>492</v>
      </c>
      <c r="L32" s="801">
        <f t="shared" ref="L32:R32" si="18">SUM(L30:L31)</f>
        <v>0.52700000000000002</v>
      </c>
      <c r="M32" s="801">
        <v>0.3306</v>
      </c>
      <c r="N32" s="802" t="e">
        <f t="shared" si="18"/>
        <v>#REF!</v>
      </c>
      <c r="O32" s="802" t="e">
        <f t="shared" si="18"/>
        <v>#REF!</v>
      </c>
      <c r="P32" s="802" t="e">
        <f t="shared" si="18"/>
        <v>#REF!</v>
      </c>
      <c r="Q32" s="802" t="e">
        <f t="shared" si="18"/>
        <v>#REF!</v>
      </c>
      <c r="R32" s="802" t="e">
        <f t="shared" si="18"/>
        <v>#REF!</v>
      </c>
      <c r="S32" s="801" t="e">
        <f>Q32/R32</f>
        <v>#REF!</v>
      </c>
      <c r="AI32" s="742"/>
      <c r="AJ32" s="742"/>
      <c r="AK32" s="742"/>
      <c r="AL32" s="742"/>
      <c r="AM32" s="742"/>
      <c r="AN32" s="742"/>
      <c r="AO32" s="742"/>
      <c r="AP32" s="31"/>
    </row>
    <row r="33" spans="2:34" x14ac:dyDescent="0.3">
      <c r="F33" s="740"/>
      <c r="G33" s="740"/>
      <c r="H33" s="740"/>
      <c r="I33" s="740"/>
      <c r="J33" s="740"/>
      <c r="U33" s="741"/>
    </row>
    <row r="34" spans="2:34" ht="14.4" thickBot="1" x14ac:dyDescent="0.35">
      <c r="B34" s="27" t="s">
        <v>125</v>
      </c>
    </row>
    <row r="35" spans="2:34" ht="19.350000000000001" customHeight="1" x14ac:dyDescent="0.3">
      <c r="B35" s="3864" t="s">
        <v>336</v>
      </c>
      <c r="C35" s="3866" t="s">
        <v>468</v>
      </c>
      <c r="D35" s="3868" t="s">
        <v>469</v>
      </c>
      <c r="E35" s="3870" t="s">
        <v>493</v>
      </c>
      <c r="F35" s="3871"/>
      <c r="G35" s="3871"/>
      <c r="H35" s="3871"/>
      <c r="I35" s="3871"/>
      <c r="J35" s="3871"/>
      <c r="K35" s="3871"/>
      <c r="L35" s="3871"/>
      <c r="M35" s="3871"/>
      <c r="N35" s="3871"/>
      <c r="O35" s="3871"/>
      <c r="P35" s="3871"/>
      <c r="Q35" s="3871"/>
      <c r="R35" s="3871"/>
      <c r="S35" s="3871"/>
      <c r="T35" s="3871"/>
      <c r="U35" s="3871"/>
      <c r="V35" s="3872"/>
      <c r="X35" s="742"/>
      <c r="Y35" s="742"/>
      <c r="Z35" s="742"/>
      <c r="AD35" s="27"/>
      <c r="AE35" s="27"/>
      <c r="AF35" s="27"/>
      <c r="AG35" s="27"/>
      <c r="AH35" s="27"/>
    </row>
    <row r="36" spans="2:34" ht="42" customHeight="1" thickBot="1" x14ac:dyDescent="0.35">
      <c r="B36" s="3865"/>
      <c r="C36" s="3867"/>
      <c r="D36" s="3869"/>
      <c r="E36" s="803" t="s">
        <v>436</v>
      </c>
      <c r="F36" s="803" t="s">
        <v>494</v>
      </c>
      <c r="G36" s="803" t="s">
        <v>429</v>
      </c>
      <c r="H36" s="803" t="s">
        <v>495</v>
      </c>
      <c r="I36" s="803" t="s">
        <v>405</v>
      </c>
      <c r="J36" s="803" t="s">
        <v>496</v>
      </c>
      <c r="K36" s="803" t="s">
        <v>435</v>
      </c>
      <c r="L36" s="803" t="s">
        <v>497</v>
      </c>
      <c r="M36" s="803" t="s">
        <v>498</v>
      </c>
      <c r="N36" s="803" t="s">
        <v>499</v>
      </c>
      <c r="O36" s="803" t="s">
        <v>500</v>
      </c>
      <c r="P36" s="803" t="s">
        <v>501</v>
      </c>
      <c r="Q36" s="803" t="s">
        <v>502</v>
      </c>
      <c r="R36" s="803" t="s">
        <v>503</v>
      </c>
      <c r="S36" s="803" t="s">
        <v>504</v>
      </c>
      <c r="T36" s="803" t="s">
        <v>505</v>
      </c>
      <c r="U36" s="803" t="s">
        <v>506</v>
      </c>
      <c r="V36" s="804" t="s">
        <v>507</v>
      </c>
      <c r="X36" s="742"/>
      <c r="Y36" s="742"/>
      <c r="Z36" s="742"/>
      <c r="AE36" s="27"/>
      <c r="AF36" s="27"/>
      <c r="AG36" s="27"/>
      <c r="AH36" s="27"/>
    </row>
    <row r="37" spans="2:34" x14ac:dyDescent="0.3">
      <c r="B37" s="751" t="s">
        <v>5</v>
      </c>
      <c r="C37" s="805" t="e">
        <f>R4</f>
        <v>#REF!</v>
      </c>
      <c r="D37" s="806" t="e">
        <f>S4</f>
        <v>#REF!</v>
      </c>
      <c r="E37" s="805"/>
      <c r="F37" s="806"/>
      <c r="G37" s="805"/>
      <c r="H37" s="806"/>
      <c r="I37" s="805" t="e">
        <f>AG5+AH5+#REF!+#REF!</f>
        <v>#REF!</v>
      </c>
      <c r="J37" s="806" t="e">
        <f>I37/C37</f>
        <v>#REF!</v>
      </c>
      <c r="K37" s="805" t="e">
        <f>#REF!+#REF!</f>
        <v>#REF!</v>
      </c>
      <c r="L37" s="806" t="e">
        <f>K37/C37</f>
        <v>#REF!</v>
      </c>
      <c r="M37" s="805" t="e">
        <f>V4</f>
        <v>#REF!</v>
      </c>
      <c r="N37" s="806" t="e">
        <f>M37/C37</f>
        <v>#REF!</v>
      </c>
      <c r="O37" s="805" t="e">
        <f>W4</f>
        <v>#REF!</v>
      </c>
      <c r="P37" s="806" t="e">
        <f>O37/C37</f>
        <v>#REF!</v>
      </c>
      <c r="Q37" s="805" t="e">
        <f>X4+AI5+#REF!</f>
        <v>#REF!</v>
      </c>
      <c r="R37" s="806" t="e">
        <f t="shared" ref="R37:R48" si="19">Q37/C37</f>
        <v>#REF!</v>
      </c>
      <c r="S37" s="805" t="e">
        <f>#REF!+H8</f>
        <v>#REF!</v>
      </c>
      <c r="T37" s="806" t="e">
        <f t="shared" ref="T37:T47" si="20">S37/C37</f>
        <v>#REF!</v>
      </c>
      <c r="U37" s="807" t="e">
        <f>Y4</f>
        <v>#REF!</v>
      </c>
      <c r="V37" s="808" t="e">
        <f>U37/C37</f>
        <v>#REF!</v>
      </c>
      <c r="W37" s="740" t="e">
        <f>E37+G37+I37+K37+Q37+M37+O37+S37+U37</f>
        <v>#REF!</v>
      </c>
      <c r="X37" s="740"/>
      <c r="Y37" s="742" t="e">
        <f t="shared" ref="Y37:Y59" si="21">W37-C37</f>
        <v>#REF!</v>
      </c>
      <c r="Z37" s="740" t="e">
        <f t="shared" ref="Z37:Z59" si="22">SUM(E37:V37)</f>
        <v>#REF!</v>
      </c>
      <c r="AA37" s="742" t="e">
        <f t="shared" ref="AA37:AA59" si="23">Z37-C37</f>
        <v>#REF!</v>
      </c>
      <c r="AE37" s="27"/>
      <c r="AF37" s="27"/>
      <c r="AG37" s="27"/>
      <c r="AH37" s="27"/>
    </row>
    <row r="38" spans="2:34" x14ac:dyDescent="0.3">
      <c r="B38" s="756" t="s">
        <v>8</v>
      </c>
      <c r="C38" s="805" t="e">
        <f t="shared" ref="C38:D58" si="24">R5</f>
        <v>#REF!</v>
      </c>
      <c r="D38" s="806" t="e">
        <f t="shared" si="24"/>
        <v>#REF!</v>
      </c>
      <c r="E38" s="809"/>
      <c r="F38" s="810"/>
      <c r="G38" s="809" t="e">
        <f>#REF!+(F9*#REF!)</f>
        <v>#REF!</v>
      </c>
      <c r="H38" s="810" t="e">
        <f>G38/C38</f>
        <v>#REF!</v>
      </c>
      <c r="I38" s="809"/>
      <c r="J38" s="810"/>
      <c r="K38" s="805"/>
      <c r="L38" s="810"/>
      <c r="M38" s="805"/>
      <c r="N38" s="810"/>
      <c r="O38" s="805"/>
      <c r="P38" s="806"/>
      <c r="Q38" s="805" t="e">
        <f>X5+(F9*#REF!)</f>
        <v>#REF!</v>
      </c>
      <c r="R38" s="806" t="e">
        <f t="shared" si="19"/>
        <v>#REF!</v>
      </c>
      <c r="S38" s="805" t="e">
        <f t="shared" ref="S38:S47" si="25">H9</f>
        <v>#REF!</v>
      </c>
      <c r="T38" s="806" t="e">
        <f t="shared" si="20"/>
        <v>#REF!</v>
      </c>
      <c r="U38" s="809"/>
      <c r="V38" s="808"/>
      <c r="W38" s="740" t="e">
        <f t="shared" ref="W38:W59" si="26">E38+G38+I38+K38+Q38+M38+O38+S38+U38</f>
        <v>#REF!</v>
      </c>
      <c r="X38" s="740"/>
      <c r="Y38" s="742" t="e">
        <f t="shared" si="21"/>
        <v>#REF!</v>
      </c>
      <c r="Z38" s="740" t="e">
        <f t="shared" si="22"/>
        <v>#REF!</v>
      </c>
      <c r="AA38" s="742" t="e">
        <f t="shared" si="23"/>
        <v>#REF!</v>
      </c>
      <c r="AE38" s="27"/>
      <c r="AF38" s="27"/>
      <c r="AG38" s="27"/>
      <c r="AH38" s="27"/>
    </row>
    <row r="39" spans="2:34" x14ac:dyDescent="0.3">
      <c r="B39" s="756" t="s">
        <v>304</v>
      </c>
      <c r="C39" s="805" t="e">
        <f t="shared" si="24"/>
        <v>#REF!</v>
      </c>
      <c r="D39" s="806" t="e">
        <f t="shared" si="24"/>
        <v>#REF!</v>
      </c>
      <c r="E39" s="809"/>
      <c r="F39" s="810"/>
      <c r="G39" s="809" t="e">
        <f>#REF!+(F10*#REF!)</f>
        <v>#REF!</v>
      </c>
      <c r="H39" s="810" t="e">
        <f t="shared" ref="H39:H56" si="27">G39/C39</f>
        <v>#REF!</v>
      </c>
      <c r="I39" s="809"/>
      <c r="J39" s="810"/>
      <c r="K39" s="805"/>
      <c r="L39" s="810"/>
      <c r="M39" s="805"/>
      <c r="N39" s="810"/>
      <c r="O39" s="805"/>
      <c r="P39" s="806"/>
      <c r="Q39" s="805" t="e">
        <f>X6+(F10*#REF!)</f>
        <v>#REF!</v>
      </c>
      <c r="R39" s="806" t="e">
        <f t="shared" si="19"/>
        <v>#REF!</v>
      </c>
      <c r="S39" s="805" t="e">
        <f t="shared" si="25"/>
        <v>#REF!</v>
      </c>
      <c r="T39" s="806" t="e">
        <f t="shared" si="20"/>
        <v>#REF!</v>
      </c>
      <c r="U39" s="809"/>
      <c r="V39" s="808"/>
      <c r="W39" s="740" t="e">
        <f t="shared" si="26"/>
        <v>#REF!</v>
      </c>
      <c r="X39" s="740"/>
      <c r="Y39" s="742" t="e">
        <f t="shared" si="21"/>
        <v>#REF!</v>
      </c>
      <c r="Z39" s="740" t="e">
        <f t="shared" si="22"/>
        <v>#REF!</v>
      </c>
      <c r="AA39" s="742" t="e">
        <f t="shared" si="23"/>
        <v>#REF!</v>
      </c>
      <c r="AE39" s="27"/>
      <c r="AF39" s="27"/>
      <c r="AG39" s="27"/>
      <c r="AH39" s="27"/>
    </row>
    <row r="40" spans="2:34" x14ac:dyDescent="0.3">
      <c r="B40" s="756" t="s">
        <v>14</v>
      </c>
      <c r="C40" s="805" t="e">
        <f t="shared" si="24"/>
        <v>#REF!</v>
      </c>
      <c r="D40" s="806" t="e">
        <f>S7</f>
        <v>#REF!</v>
      </c>
      <c r="E40" s="809"/>
      <c r="F40" s="810"/>
      <c r="G40" s="809" t="e">
        <f>#REF!+(F11*#REF!)</f>
        <v>#REF!</v>
      </c>
      <c r="H40" s="810" t="e">
        <f t="shared" si="27"/>
        <v>#REF!</v>
      </c>
      <c r="I40" s="809"/>
      <c r="J40" s="810"/>
      <c r="K40" s="805" t="e">
        <f>F11*#REF!</f>
        <v>#REF!</v>
      </c>
      <c r="L40" s="810" t="e">
        <f t="shared" ref="L40:L55" si="28">K40/C40</f>
        <v>#REF!</v>
      </c>
      <c r="M40" s="805"/>
      <c r="N40" s="810"/>
      <c r="O40" s="805"/>
      <c r="P40" s="806"/>
      <c r="Q40" s="805" t="e">
        <f>X7+(F11*#REF!)</f>
        <v>#REF!</v>
      </c>
      <c r="R40" s="806" t="e">
        <f t="shared" si="19"/>
        <v>#REF!</v>
      </c>
      <c r="S40" s="805" t="e">
        <f t="shared" si="25"/>
        <v>#REF!</v>
      </c>
      <c r="T40" s="806" t="e">
        <f t="shared" si="20"/>
        <v>#REF!</v>
      </c>
      <c r="U40" s="809"/>
      <c r="V40" s="808"/>
      <c r="W40" s="740" t="e">
        <f t="shared" si="26"/>
        <v>#REF!</v>
      </c>
      <c r="X40" s="740"/>
      <c r="Y40" s="742" t="e">
        <f t="shared" si="21"/>
        <v>#REF!</v>
      </c>
      <c r="Z40" s="740" t="e">
        <f t="shared" si="22"/>
        <v>#REF!</v>
      </c>
      <c r="AA40" s="742" t="e">
        <f t="shared" si="23"/>
        <v>#REF!</v>
      </c>
      <c r="AE40" s="27"/>
      <c r="AF40" s="27"/>
      <c r="AG40" s="27"/>
      <c r="AH40" s="27"/>
    </row>
    <row r="41" spans="2:34" x14ac:dyDescent="0.3">
      <c r="B41" s="756" t="s">
        <v>17</v>
      </c>
      <c r="C41" s="805" t="e">
        <f t="shared" si="24"/>
        <v>#REF!</v>
      </c>
      <c r="D41" s="806" t="e">
        <f t="shared" si="24"/>
        <v>#REF!</v>
      </c>
      <c r="E41" s="809"/>
      <c r="F41" s="810"/>
      <c r="G41" s="809" t="e">
        <f>#REF!+(F12*#REF!)</f>
        <v>#REF!</v>
      </c>
      <c r="H41" s="810" t="e">
        <f t="shared" si="27"/>
        <v>#REF!</v>
      </c>
      <c r="I41" s="809"/>
      <c r="J41" s="810"/>
      <c r="K41" s="805"/>
      <c r="L41" s="810"/>
      <c r="M41" s="805"/>
      <c r="N41" s="810"/>
      <c r="O41" s="805"/>
      <c r="P41" s="806"/>
      <c r="Q41" s="805" t="e">
        <f>X8+(F12*#REF!)</f>
        <v>#REF!</v>
      </c>
      <c r="R41" s="806" t="e">
        <f t="shared" si="19"/>
        <v>#REF!</v>
      </c>
      <c r="S41" s="805" t="e">
        <f t="shared" si="25"/>
        <v>#REF!</v>
      </c>
      <c r="T41" s="806" t="e">
        <f t="shared" si="20"/>
        <v>#REF!</v>
      </c>
      <c r="U41" s="809"/>
      <c r="V41" s="808"/>
      <c r="W41" s="740" t="e">
        <f t="shared" si="26"/>
        <v>#REF!</v>
      </c>
      <c r="X41" s="740"/>
      <c r="Y41" s="742" t="e">
        <f t="shared" si="21"/>
        <v>#REF!</v>
      </c>
      <c r="Z41" s="740" t="e">
        <f t="shared" si="22"/>
        <v>#REF!</v>
      </c>
      <c r="AA41" s="742" t="e">
        <f t="shared" si="23"/>
        <v>#REF!</v>
      </c>
      <c r="AE41" s="27"/>
      <c r="AF41" s="27"/>
      <c r="AG41" s="27"/>
      <c r="AH41" s="27"/>
    </row>
    <row r="42" spans="2:34" x14ac:dyDescent="0.3">
      <c r="B42" s="756" t="s">
        <v>16</v>
      </c>
      <c r="C42" s="805" t="e">
        <f t="shared" si="24"/>
        <v>#REF!</v>
      </c>
      <c r="D42" s="806" t="e">
        <f t="shared" si="24"/>
        <v>#REF!</v>
      </c>
      <c r="E42" s="809"/>
      <c r="F42" s="810"/>
      <c r="G42" s="809" t="e">
        <f>#REF!+(F13*#REF!)</f>
        <v>#REF!</v>
      </c>
      <c r="H42" s="810" t="e">
        <f t="shared" si="27"/>
        <v>#REF!</v>
      </c>
      <c r="I42" s="809"/>
      <c r="J42" s="810"/>
      <c r="K42" s="805"/>
      <c r="L42" s="810"/>
      <c r="M42" s="805"/>
      <c r="N42" s="810"/>
      <c r="O42" s="805"/>
      <c r="P42" s="806"/>
      <c r="Q42" s="805" t="e">
        <f>X9+(F13*#REF!)</f>
        <v>#REF!</v>
      </c>
      <c r="R42" s="806" t="e">
        <f t="shared" si="19"/>
        <v>#REF!</v>
      </c>
      <c r="S42" s="805" t="e">
        <f t="shared" si="25"/>
        <v>#REF!</v>
      </c>
      <c r="T42" s="806" t="e">
        <f t="shared" si="20"/>
        <v>#REF!</v>
      </c>
      <c r="U42" s="809"/>
      <c r="V42" s="808"/>
      <c r="W42" s="740" t="e">
        <f t="shared" si="26"/>
        <v>#REF!</v>
      </c>
      <c r="X42" s="740"/>
      <c r="Y42" s="742" t="e">
        <f t="shared" si="21"/>
        <v>#REF!</v>
      </c>
      <c r="Z42" s="740" t="e">
        <f t="shared" si="22"/>
        <v>#REF!</v>
      </c>
      <c r="AA42" s="742" t="e">
        <f t="shared" si="23"/>
        <v>#REF!</v>
      </c>
      <c r="AE42" s="27"/>
      <c r="AF42" s="27"/>
      <c r="AG42" s="27"/>
      <c r="AH42" s="27"/>
    </row>
    <row r="43" spans="2:34" x14ac:dyDescent="0.3">
      <c r="B43" s="756" t="s">
        <v>308</v>
      </c>
      <c r="C43" s="805" t="e">
        <f t="shared" si="24"/>
        <v>#REF!</v>
      </c>
      <c r="D43" s="806" t="e">
        <f t="shared" si="24"/>
        <v>#REF!</v>
      </c>
      <c r="E43" s="809"/>
      <c r="F43" s="810"/>
      <c r="G43" s="809" t="e">
        <f>F14*#REF!</f>
        <v>#REF!</v>
      </c>
      <c r="H43" s="810" t="e">
        <f t="shared" si="27"/>
        <v>#REF!</v>
      </c>
      <c r="I43" s="809"/>
      <c r="J43" s="810"/>
      <c r="K43" s="811" t="e">
        <f>F14*#REF!</f>
        <v>#REF!</v>
      </c>
      <c r="L43" s="810" t="e">
        <f t="shared" si="28"/>
        <v>#REF!</v>
      </c>
      <c r="M43" s="805"/>
      <c r="N43" s="810"/>
      <c r="O43" s="805"/>
      <c r="P43" s="806"/>
      <c r="Q43" s="805" t="e">
        <f>X10+(F14*#REF!)</f>
        <v>#REF!</v>
      </c>
      <c r="R43" s="806" t="e">
        <f t="shared" si="19"/>
        <v>#REF!</v>
      </c>
      <c r="S43" s="805" t="e">
        <f t="shared" si="25"/>
        <v>#REF!</v>
      </c>
      <c r="T43" s="806" t="e">
        <f t="shared" si="20"/>
        <v>#REF!</v>
      </c>
      <c r="U43" s="809"/>
      <c r="V43" s="808"/>
      <c r="W43" s="740" t="e">
        <f t="shared" si="26"/>
        <v>#REF!</v>
      </c>
      <c r="X43" s="740"/>
      <c r="Y43" s="742" t="e">
        <f t="shared" si="21"/>
        <v>#REF!</v>
      </c>
      <c r="Z43" s="740" t="e">
        <f t="shared" si="22"/>
        <v>#REF!</v>
      </c>
      <c r="AA43" s="742" t="e">
        <f t="shared" si="23"/>
        <v>#REF!</v>
      </c>
      <c r="AE43" s="27"/>
      <c r="AF43" s="27"/>
      <c r="AG43" s="27"/>
      <c r="AH43" s="27"/>
    </row>
    <row r="44" spans="2:34" x14ac:dyDescent="0.3">
      <c r="B44" s="756" t="s">
        <v>44</v>
      </c>
      <c r="C44" s="805" t="e">
        <f t="shared" si="24"/>
        <v>#REF!</v>
      </c>
      <c r="D44" s="806" t="e">
        <f t="shared" si="24"/>
        <v>#REF!</v>
      </c>
      <c r="E44" s="812" t="e">
        <f>F15*#REF!</f>
        <v>#REF!</v>
      </c>
      <c r="F44" s="810" t="e">
        <f>E44/C44</f>
        <v>#REF!</v>
      </c>
      <c r="G44" s="809" t="e">
        <f>F15*#REF!</f>
        <v>#REF!</v>
      </c>
      <c r="H44" s="810" t="e">
        <f t="shared" si="27"/>
        <v>#REF!</v>
      </c>
      <c r="I44" s="809"/>
      <c r="J44" s="810"/>
      <c r="K44" s="811" t="e">
        <f>F15*#REF!</f>
        <v>#REF!</v>
      </c>
      <c r="L44" s="810" t="e">
        <f t="shared" si="28"/>
        <v>#REF!</v>
      </c>
      <c r="M44" s="805"/>
      <c r="N44" s="810"/>
      <c r="O44" s="805"/>
      <c r="P44" s="806"/>
      <c r="Q44" s="805" t="e">
        <f>X11+(F15*#REF!)</f>
        <v>#REF!</v>
      </c>
      <c r="R44" s="806" t="e">
        <f t="shared" si="19"/>
        <v>#REF!</v>
      </c>
      <c r="S44" s="805" t="e">
        <f t="shared" si="25"/>
        <v>#REF!</v>
      </c>
      <c r="T44" s="806" t="e">
        <f t="shared" si="20"/>
        <v>#REF!</v>
      </c>
      <c r="U44" s="809"/>
      <c r="V44" s="808"/>
      <c r="W44" s="740" t="e">
        <f t="shared" si="26"/>
        <v>#REF!</v>
      </c>
      <c r="X44" s="740"/>
      <c r="Y44" s="742" t="e">
        <f t="shared" si="21"/>
        <v>#REF!</v>
      </c>
      <c r="Z44" s="740" t="e">
        <f t="shared" si="22"/>
        <v>#REF!</v>
      </c>
      <c r="AA44" s="742" t="e">
        <f t="shared" si="23"/>
        <v>#REF!</v>
      </c>
      <c r="AE44" s="27"/>
      <c r="AF44" s="27"/>
      <c r="AG44" s="27"/>
      <c r="AH44" s="27"/>
    </row>
    <row r="45" spans="2:34" x14ac:dyDescent="0.3">
      <c r="B45" s="756" t="s">
        <v>326</v>
      </c>
      <c r="C45" s="805" t="e">
        <f t="shared" si="24"/>
        <v>#REF!</v>
      </c>
      <c r="D45" s="806" t="e">
        <f t="shared" si="24"/>
        <v>#REF!</v>
      </c>
      <c r="E45" s="809"/>
      <c r="F45" s="810"/>
      <c r="G45" s="809" t="e">
        <f>F16</f>
        <v>#REF!</v>
      </c>
      <c r="H45" s="810" t="e">
        <f t="shared" si="27"/>
        <v>#REF!</v>
      </c>
      <c r="I45" s="809"/>
      <c r="J45" s="810"/>
      <c r="K45" s="805"/>
      <c r="L45" s="810"/>
      <c r="M45" s="805"/>
      <c r="N45" s="810"/>
      <c r="O45" s="805"/>
      <c r="P45" s="806"/>
      <c r="Q45" s="805" t="e">
        <f>X12</f>
        <v>#REF!</v>
      </c>
      <c r="R45" s="806" t="e">
        <f t="shared" si="19"/>
        <v>#REF!</v>
      </c>
      <c r="S45" s="805" t="e">
        <f t="shared" si="25"/>
        <v>#REF!</v>
      </c>
      <c r="T45" s="806" t="e">
        <f t="shared" si="20"/>
        <v>#REF!</v>
      </c>
      <c r="U45" s="809"/>
      <c r="V45" s="808"/>
      <c r="W45" s="740" t="e">
        <f t="shared" si="26"/>
        <v>#REF!</v>
      </c>
      <c r="X45" s="740"/>
      <c r="Y45" s="742" t="e">
        <f t="shared" si="21"/>
        <v>#REF!</v>
      </c>
      <c r="Z45" s="740" t="e">
        <f t="shared" si="22"/>
        <v>#REF!</v>
      </c>
      <c r="AA45" s="742" t="e">
        <f t="shared" si="23"/>
        <v>#REF!</v>
      </c>
      <c r="AE45" s="27"/>
      <c r="AF45" s="27"/>
      <c r="AG45" s="27"/>
      <c r="AH45" s="27"/>
    </row>
    <row r="46" spans="2:34" x14ac:dyDescent="0.3">
      <c r="B46" s="756" t="s">
        <v>25</v>
      </c>
      <c r="C46" s="805" t="e">
        <f t="shared" si="24"/>
        <v>#REF!</v>
      </c>
      <c r="D46" s="806" t="e">
        <f t="shared" si="24"/>
        <v>#REF!</v>
      </c>
      <c r="E46" s="809" t="e">
        <f>F17*#REF!</f>
        <v>#REF!</v>
      </c>
      <c r="F46" s="810" t="e">
        <f>E46/C46</f>
        <v>#REF!</v>
      </c>
      <c r="G46" s="809" t="e">
        <f>F17*#REF!</f>
        <v>#REF!</v>
      </c>
      <c r="H46" s="810" t="e">
        <f t="shared" si="27"/>
        <v>#REF!</v>
      </c>
      <c r="I46" s="809"/>
      <c r="J46" s="810"/>
      <c r="K46" s="805" t="e">
        <f>F17*#REF!</f>
        <v>#REF!</v>
      </c>
      <c r="L46" s="810" t="e">
        <f t="shared" si="28"/>
        <v>#REF!</v>
      </c>
      <c r="M46" s="805"/>
      <c r="N46" s="810"/>
      <c r="O46" s="805"/>
      <c r="P46" s="806"/>
      <c r="Q46" s="805" t="e">
        <f>X13+(F17*#REF!)</f>
        <v>#REF!</v>
      </c>
      <c r="R46" s="806" t="e">
        <f t="shared" si="19"/>
        <v>#REF!</v>
      </c>
      <c r="S46" s="805" t="e">
        <f t="shared" si="25"/>
        <v>#REF!</v>
      </c>
      <c r="T46" s="806" t="e">
        <f t="shared" si="20"/>
        <v>#REF!</v>
      </c>
      <c r="U46" s="809"/>
      <c r="V46" s="808"/>
      <c r="W46" s="740" t="e">
        <f t="shared" si="26"/>
        <v>#REF!</v>
      </c>
      <c r="X46" s="740"/>
      <c r="Y46" s="742" t="e">
        <f t="shared" si="21"/>
        <v>#REF!</v>
      </c>
      <c r="Z46" s="740" t="e">
        <f t="shared" si="22"/>
        <v>#REF!</v>
      </c>
      <c r="AA46" s="742" t="e">
        <f t="shared" si="23"/>
        <v>#REF!</v>
      </c>
      <c r="AE46" s="27"/>
      <c r="AF46" s="27"/>
      <c r="AG46" s="27"/>
      <c r="AH46" s="27"/>
    </row>
    <row r="47" spans="2:34" x14ac:dyDescent="0.3">
      <c r="B47" s="756" t="s">
        <v>29</v>
      </c>
      <c r="C47" s="805" t="e">
        <f t="shared" si="24"/>
        <v>#REF!</v>
      </c>
      <c r="D47" s="806" t="e">
        <f t="shared" si="24"/>
        <v>#REF!</v>
      </c>
      <c r="E47" s="809"/>
      <c r="F47" s="810"/>
      <c r="G47" s="809" t="e">
        <f>F18*#REF!</f>
        <v>#REF!</v>
      </c>
      <c r="H47" s="810" t="e">
        <f t="shared" si="27"/>
        <v>#REF!</v>
      </c>
      <c r="I47" s="809"/>
      <c r="J47" s="810"/>
      <c r="K47" s="805" t="e">
        <f>F18*#REF!</f>
        <v>#REF!</v>
      </c>
      <c r="L47" s="810" t="e">
        <f t="shared" si="28"/>
        <v>#REF!</v>
      </c>
      <c r="M47" s="805"/>
      <c r="N47" s="810"/>
      <c r="O47" s="805"/>
      <c r="P47" s="806"/>
      <c r="Q47" s="805" t="e">
        <f>X14+(F18*#REF!)</f>
        <v>#REF!</v>
      </c>
      <c r="R47" s="806" t="e">
        <f t="shared" si="19"/>
        <v>#REF!</v>
      </c>
      <c r="S47" s="805" t="e">
        <f t="shared" si="25"/>
        <v>#REF!</v>
      </c>
      <c r="T47" s="806" t="e">
        <f t="shared" si="20"/>
        <v>#REF!</v>
      </c>
      <c r="U47" s="809"/>
      <c r="V47" s="808"/>
      <c r="W47" s="740" t="e">
        <f t="shared" si="26"/>
        <v>#REF!</v>
      </c>
      <c r="X47" s="740"/>
      <c r="Y47" s="742" t="e">
        <f t="shared" si="21"/>
        <v>#REF!</v>
      </c>
      <c r="Z47" s="740" t="e">
        <f t="shared" si="22"/>
        <v>#REF!</v>
      </c>
      <c r="AA47" s="742" t="e">
        <f t="shared" si="23"/>
        <v>#REF!</v>
      </c>
      <c r="AE47" s="27"/>
      <c r="AF47" s="27"/>
      <c r="AG47" s="27"/>
      <c r="AH47" s="27"/>
    </row>
    <row r="48" spans="2:34" x14ac:dyDescent="0.3">
      <c r="B48" s="756" t="s">
        <v>60</v>
      </c>
      <c r="C48" s="805" t="e">
        <f t="shared" si="24"/>
        <v>#REF!</v>
      </c>
      <c r="D48" s="806" t="e">
        <f t="shared" si="24"/>
        <v>#REF!</v>
      </c>
      <c r="E48" s="809"/>
      <c r="F48" s="810"/>
      <c r="G48" s="809" t="e">
        <f>F19*#REF!</f>
        <v>#REF!</v>
      </c>
      <c r="H48" s="810" t="e">
        <f t="shared" si="27"/>
        <v>#REF!</v>
      </c>
      <c r="I48" s="809"/>
      <c r="J48" s="810"/>
      <c r="K48" s="811" t="e">
        <f>F19*#REF!</f>
        <v>#REF!</v>
      </c>
      <c r="L48" s="810" t="e">
        <f t="shared" si="28"/>
        <v>#REF!</v>
      </c>
      <c r="M48" s="813"/>
      <c r="N48" s="810"/>
      <c r="O48" s="805"/>
      <c r="P48" s="806"/>
      <c r="Q48" s="805" t="e">
        <f>X15+(F19*#REF!)</f>
        <v>#REF!</v>
      </c>
      <c r="R48" s="806" t="e">
        <f t="shared" si="19"/>
        <v>#REF!</v>
      </c>
      <c r="S48" s="805"/>
      <c r="T48" s="806"/>
      <c r="U48" s="809"/>
      <c r="V48" s="808"/>
      <c r="W48" s="740" t="e">
        <f t="shared" si="26"/>
        <v>#REF!</v>
      </c>
      <c r="X48" s="740"/>
      <c r="Y48" s="742" t="e">
        <f t="shared" si="21"/>
        <v>#REF!</v>
      </c>
      <c r="Z48" s="740" t="e">
        <f t="shared" si="22"/>
        <v>#REF!</v>
      </c>
      <c r="AA48" s="742" t="e">
        <f t="shared" si="23"/>
        <v>#REF!</v>
      </c>
      <c r="AE48" s="27"/>
      <c r="AF48" s="27"/>
      <c r="AG48" s="27"/>
      <c r="AH48" s="27"/>
    </row>
    <row r="49" spans="2:34" x14ac:dyDescent="0.3">
      <c r="B49" s="756" t="s">
        <v>33</v>
      </c>
      <c r="C49" s="805" t="e">
        <f t="shared" si="24"/>
        <v>#REF!</v>
      </c>
      <c r="D49" s="806" t="e">
        <f t="shared" si="24"/>
        <v>#REF!</v>
      </c>
      <c r="E49" s="809"/>
      <c r="F49" s="810"/>
      <c r="G49" s="809" t="e">
        <f>F20*#REF!</f>
        <v>#REF!</v>
      </c>
      <c r="H49" s="810" t="e">
        <f t="shared" si="27"/>
        <v>#REF!</v>
      </c>
      <c r="I49" s="809"/>
      <c r="J49" s="810"/>
      <c r="K49" s="805" t="e">
        <f>F20*#REF!</f>
        <v>#REF!</v>
      </c>
      <c r="L49" s="810" t="e">
        <f t="shared" si="28"/>
        <v>#REF!</v>
      </c>
      <c r="M49" s="813"/>
      <c r="N49" s="810"/>
      <c r="O49" s="805"/>
      <c r="P49" s="806"/>
      <c r="Q49" s="814"/>
      <c r="R49" s="806"/>
      <c r="S49" s="805"/>
      <c r="T49" s="806"/>
      <c r="U49" s="809" t="e">
        <f>F20*#REF!</f>
        <v>#REF!</v>
      </c>
      <c r="V49" s="808" t="e">
        <f>U49/C49</f>
        <v>#REF!</v>
      </c>
      <c r="W49" s="740" t="e">
        <f t="shared" si="26"/>
        <v>#REF!</v>
      </c>
      <c r="X49" s="740"/>
      <c r="Y49" s="742" t="e">
        <f t="shared" si="21"/>
        <v>#REF!</v>
      </c>
      <c r="Z49" s="740" t="e">
        <f t="shared" si="22"/>
        <v>#REF!</v>
      </c>
      <c r="AA49" s="742" t="e">
        <f t="shared" si="23"/>
        <v>#REF!</v>
      </c>
      <c r="AE49" s="27"/>
      <c r="AF49" s="27"/>
      <c r="AG49" s="27"/>
      <c r="AH49" s="27"/>
    </row>
    <row r="50" spans="2:34" x14ac:dyDescent="0.3">
      <c r="B50" s="756" t="s">
        <v>66</v>
      </c>
      <c r="C50" s="805" t="e">
        <f t="shared" si="24"/>
        <v>#REF!</v>
      </c>
      <c r="D50" s="806" t="e">
        <f t="shared" si="24"/>
        <v>#REF!</v>
      </c>
      <c r="E50" s="809" t="e">
        <f>F21*#REF!</f>
        <v>#REF!</v>
      </c>
      <c r="F50" s="810" t="e">
        <f>E50/C50</f>
        <v>#REF!</v>
      </c>
      <c r="G50" s="809" t="e">
        <f>F21*#REF!</f>
        <v>#REF!</v>
      </c>
      <c r="H50" s="810" t="e">
        <f t="shared" si="27"/>
        <v>#REF!</v>
      </c>
      <c r="I50" s="809"/>
      <c r="J50" s="810"/>
      <c r="K50" s="805" t="e">
        <f>F21*#REF!</f>
        <v>#REF!</v>
      </c>
      <c r="L50" s="810" t="e">
        <f t="shared" si="28"/>
        <v>#REF!</v>
      </c>
      <c r="M50" s="813"/>
      <c r="N50" s="810"/>
      <c r="O50" s="805"/>
      <c r="P50" s="806"/>
      <c r="Q50" s="814"/>
      <c r="R50" s="806"/>
      <c r="S50" s="805"/>
      <c r="T50" s="806"/>
      <c r="U50" s="809"/>
      <c r="V50" s="808"/>
      <c r="W50" s="740" t="e">
        <f t="shared" si="26"/>
        <v>#REF!</v>
      </c>
      <c r="X50" s="740"/>
      <c r="Y50" s="742" t="e">
        <f t="shared" si="21"/>
        <v>#REF!</v>
      </c>
      <c r="Z50" s="740" t="e">
        <f t="shared" si="22"/>
        <v>#REF!</v>
      </c>
      <c r="AA50" s="742" t="e">
        <f t="shared" si="23"/>
        <v>#REF!</v>
      </c>
      <c r="AE50" s="27"/>
      <c r="AF50" s="27"/>
      <c r="AG50" s="27"/>
      <c r="AH50" s="27"/>
    </row>
    <row r="51" spans="2:34" x14ac:dyDescent="0.3">
      <c r="B51" s="756" t="s">
        <v>73</v>
      </c>
      <c r="C51" s="805" t="e">
        <f t="shared" si="24"/>
        <v>#REF!</v>
      </c>
      <c r="D51" s="806" t="e">
        <f t="shared" si="24"/>
        <v>#REF!</v>
      </c>
      <c r="E51" s="809"/>
      <c r="F51" s="810"/>
      <c r="G51" s="809" t="e">
        <f>F22*#REF!</f>
        <v>#REF!</v>
      </c>
      <c r="H51" s="810" t="e">
        <f t="shared" si="27"/>
        <v>#REF!</v>
      </c>
      <c r="I51" s="809"/>
      <c r="J51" s="810"/>
      <c r="K51" s="805" t="e">
        <f>F22*#REF!</f>
        <v>#REF!</v>
      </c>
      <c r="L51" s="810" t="e">
        <f t="shared" si="28"/>
        <v>#REF!</v>
      </c>
      <c r="M51" s="813"/>
      <c r="N51" s="810"/>
      <c r="O51" s="805"/>
      <c r="P51" s="806"/>
      <c r="Q51" s="815" t="e">
        <f>X18+(F22*#REF!)</f>
        <v>#REF!</v>
      </c>
      <c r="R51" s="806" t="e">
        <f>Q51/C51</f>
        <v>#REF!</v>
      </c>
      <c r="S51" s="805" t="e">
        <f>H22</f>
        <v>#REF!</v>
      </c>
      <c r="T51" s="806" t="e">
        <f>S51/C51</f>
        <v>#REF!</v>
      </c>
      <c r="U51" s="809"/>
      <c r="V51" s="808"/>
      <c r="W51" s="740" t="e">
        <f t="shared" si="26"/>
        <v>#REF!</v>
      </c>
      <c r="X51" s="740"/>
      <c r="Y51" s="742" t="e">
        <f t="shared" si="21"/>
        <v>#REF!</v>
      </c>
      <c r="Z51" s="740" t="e">
        <f t="shared" si="22"/>
        <v>#REF!</v>
      </c>
      <c r="AA51" s="742" t="e">
        <f t="shared" si="23"/>
        <v>#REF!</v>
      </c>
      <c r="AE51" s="27"/>
      <c r="AF51" s="27"/>
      <c r="AG51" s="27"/>
      <c r="AH51" s="27"/>
    </row>
    <row r="52" spans="2:34" x14ac:dyDescent="0.3">
      <c r="B52" s="756" t="s">
        <v>74</v>
      </c>
      <c r="C52" s="805" t="e">
        <f t="shared" si="24"/>
        <v>#REF!</v>
      </c>
      <c r="D52" s="806" t="e">
        <f t="shared" si="24"/>
        <v>#REF!</v>
      </c>
      <c r="E52" s="809"/>
      <c r="F52" s="810"/>
      <c r="G52" s="812" t="e">
        <f>F23*#REF!</f>
        <v>#REF!</v>
      </c>
      <c r="H52" s="810" t="e">
        <f t="shared" si="27"/>
        <v>#REF!</v>
      </c>
      <c r="I52" s="809"/>
      <c r="J52" s="810"/>
      <c r="K52" s="805" t="e">
        <f>F23*#REF!</f>
        <v>#REF!</v>
      </c>
      <c r="L52" s="810" t="e">
        <f t="shared" si="28"/>
        <v>#REF!</v>
      </c>
      <c r="M52" s="813"/>
      <c r="N52" s="810"/>
      <c r="O52" s="805"/>
      <c r="P52" s="806"/>
      <c r="Q52" s="805"/>
      <c r="R52" s="806"/>
      <c r="S52" s="805"/>
      <c r="T52" s="806"/>
      <c r="U52" s="809"/>
      <c r="V52" s="808"/>
      <c r="W52" s="740" t="e">
        <f t="shared" si="26"/>
        <v>#REF!</v>
      </c>
      <c r="X52" s="740"/>
      <c r="Y52" s="742" t="e">
        <f t="shared" si="21"/>
        <v>#REF!</v>
      </c>
      <c r="Z52" s="740" t="e">
        <f t="shared" si="22"/>
        <v>#REF!</v>
      </c>
      <c r="AA52" s="742" t="e">
        <f t="shared" si="23"/>
        <v>#REF!</v>
      </c>
      <c r="AE52" s="27"/>
      <c r="AF52" s="27"/>
      <c r="AG52" s="27"/>
      <c r="AH52" s="27"/>
    </row>
    <row r="53" spans="2:34" x14ac:dyDescent="0.3">
      <c r="B53" s="756" t="s">
        <v>327</v>
      </c>
      <c r="C53" s="805" t="e">
        <f t="shared" si="24"/>
        <v>#REF!</v>
      </c>
      <c r="D53" s="806" t="e">
        <f t="shared" si="24"/>
        <v>#REF!</v>
      </c>
      <c r="E53" s="809" t="e">
        <f>F24*#REF!</f>
        <v>#REF!</v>
      </c>
      <c r="F53" s="810" t="e">
        <f>E53/C53</f>
        <v>#REF!</v>
      </c>
      <c r="G53" s="809" t="e">
        <f>F24*#REF!</f>
        <v>#REF!</v>
      </c>
      <c r="H53" s="810" t="e">
        <f t="shared" si="27"/>
        <v>#REF!</v>
      </c>
      <c r="I53" s="809"/>
      <c r="J53" s="810"/>
      <c r="K53" s="805" t="e">
        <f>F24*#REF!</f>
        <v>#REF!</v>
      </c>
      <c r="L53" s="810" t="e">
        <f t="shared" si="28"/>
        <v>#REF!</v>
      </c>
      <c r="M53" s="813"/>
      <c r="N53" s="810"/>
      <c r="O53" s="805"/>
      <c r="P53" s="806"/>
      <c r="Q53" s="805" t="e">
        <f>X20</f>
        <v>#REF!</v>
      </c>
      <c r="R53" s="806" t="e">
        <f>Q53/C53</f>
        <v>#REF!</v>
      </c>
      <c r="S53" s="811" t="e">
        <f>H24</f>
        <v>#REF!</v>
      </c>
      <c r="T53" s="806" t="e">
        <f>S53/C53</f>
        <v>#REF!</v>
      </c>
      <c r="U53" s="809"/>
      <c r="V53" s="808"/>
      <c r="W53" s="740" t="e">
        <f t="shared" si="26"/>
        <v>#REF!</v>
      </c>
      <c r="X53" s="740"/>
      <c r="Y53" s="742" t="e">
        <f t="shared" si="21"/>
        <v>#REF!</v>
      </c>
      <c r="Z53" s="740" t="e">
        <f t="shared" si="22"/>
        <v>#REF!</v>
      </c>
      <c r="AA53" s="742" t="e">
        <f t="shared" si="23"/>
        <v>#REF!</v>
      </c>
      <c r="AE53" s="27"/>
      <c r="AF53" s="27"/>
      <c r="AG53" s="27"/>
      <c r="AH53" s="27"/>
    </row>
    <row r="54" spans="2:34" x14ac:dyDescent="0.3">
      <c r="B54" s="756" t="s">
        <v>143</v>
      </c>
      <c r="C54" s="805" t="e">
        <f t="shared" si="24"/>
        <v>#REF!</v>
      </c>
      <c r="D54" s="806" t="e">
        <f t="shared" si="24"/>
        <v>#REF!</v>
      </c>
      <c r="E54" s="809" t="e">
        <f>F25*#REF!</f>
        <v>#REF!</v>
      </c>
      <c r="F54" s="810" t="e">
        <f>E54/C54</f>
        <v>#REF!</v>
      </c>
      <c r="G54" s="809" t="e">
        <f>F25*#REF!</f>
        <v>#REF!</v>
      </c>
      <c r="H54" s="810" t="e">
        <f t="shared" si="27"/>
        <v>#REF!</v>
      </c>
      <c r="I54" s="809"/>
      <c r="J54" s="810"/>
      <c r="K54" s="805" t="e">
        <f>F25*#REF!</f>
        <v>#REF!</v>
      </c>
      <c r="L54" s="810" t="e">
        <f t="shared" si="28"/>
        <v>#REF!</v>
      </c>
      <c r="M54" s="813"/>
      <c r="N54" s="810"/>
      <c r="O54" s="805"/>
      <c r="P54" s="806"/>
      <c r="Q54" s="805" t="e">
        <f>X21+(F25*#REF!)</f>
        <v>#REF!</v>
      </c>
      <c r="R54" s="806" t="e">
        <f>Q54/C54</f>
        <v>#REF!</v>
      </c>
      <c r="S54" s="805" t="e">
        <f>H25</f>
        <v>#REF!</v>
      </c>
      <c r="T54" s="806" t="e">
        <f>S54/C54</f>
        <v>#REF!</v>
      </c>
      <c r="U54" s="809"/>
      <c r="V54" s="808"/>
      <c r="W54" s="740" t="e">
        <f t="shared" si="26"/>
        <v>#REF!</v>
      </c>
      <c r="X54" s="740"/>
      <c r="Y54" s="742" t="e">
        <f t="shared" si="21"/>
        <v>#REF!</v>
      </c>
      <c r="Z54" s="740" t="e">
        <f t="shared" si="22"/>
        <v>#REF!</v>
      </c>
      <c r="AA54" s="742" t="e">
        <f t="shared" si="23"/>
        <v>#REF!</v>
      </c>
      <c r="AE54" s="27"/>
      <c r="AF54" s="27"/>
      <c r="AG54" s="27"/>
      <c r="AH54" s="27"/>
    </row>
    <row r="55" spans="2:34" x14ac:dyDescent="0.3">
      <c r="B55" s="756" t="s">
        <v>76</v>
      </c>
      <c r="C55" s="805" t="e">
        <f t="shared" si="24"/>
        <v>#REF!</v>
      </c>
      <c r="D55" s="806" t="e">
        <f t="shared" si="24"/>
        <v>#REF!</v>
      </c>
      <c r="E55" s="809" t="e">
        <f>F26*#REF!</f>
        <v>#REF!</v>
      </c>
      <c r="F55" s="810" t="e">
        <f>E55/C55</f>
        <v>#REF!</v>
      </c>
      <c r="G55" s="809" t="e">
        <f>F26*#REF!</f>
        <v>#REF!</v>
      </c>
      <c r="H55" s="810" t="e">
        <f t="shared" si="27"/>
        <v>#REF!</v>
      </c>
      <c r="I55" s="809"/>
      <c r="J55" s="810"/>
      <c r="K55" s="805" t="e">
        <f>F26*#REF!</f>
        <v>#REF!</v>
      </c>
      <c r="L55" s="810" t="e">
        <f t="shared" si="28"/>
        <v>#REF!</v>
      </c>
      <c r="M55" s="813"/>
      <c r="N55" s="810"/>
      <c r="O55" s="805"/>
      <c r="P55" s="806"/>
      <c r="Q55" s="805" t="e">
        <f>X22+(F26*#REF!)</f>
        <v>#REF!</v>
      </c>
      <c r="R55" s="806" t="e">
        <f>Q55/C55</f>
        <v>#REF!</v>
      </c>
      <c r="S55" s="805"/>
      <c r="T55" s="806"/>
      <c r="U55" s="809"/>
      <c r="V55" s="808"/>
      <c r="W55" s="740" t="e">
        <f t="shared" si="26"/>
        <v>#REF!</v>
      </c>
      <c r="X55" s="740"/>
      <c r="Y55" s="742" t="e">
        <f t="shared" si="21"/>
        <v>#REF!</v>
      </c>
      <c r="Z55" s="740" t="e">
        <f t="shared" si="22"/>
        <v>#REF!</v>
      </c>
      <c r="AA55" s="742" t="e">
        <f t="shared" si="23"/>
        <v>#REF!</v>
      </c>
      <c r="AE55" s="27"/>
      <c r="AF55" s="27"/>
      <c r="AG55" s="27"/>
      <c r="AH55" s="27"/>
    </row>
    <row r="56" spans="2:34" x14ac:dyDescent="0.3">
      <c r="B56" s="756" t="s">
        <v>309</v>
      </c>
      <c r="C56" s="805" t="e">
        <f t="shared" si="24"/>
        <v>#REF!</v>
      </c>
      <c r="D56" s="806" t="e">
        <f t="shared" si="24"/>
        <v>#REF!</v>
      </c>
      <c r="E56" s="809"/>
      <c r="F56" s="810"/>
      <c r="G56" s="809" t="e">
        <f>F27*#REF!</f>
        <v>#REF!</v>
      </c>
      <c r="H56" s="810" t="e">
        <f t="shared" si="27"/>
        <v>#REF!</v>
      </c>
      <c r="I56" s="809"/>
      <c r="J56" s="810"/>
      <c r="K56" s="805" t="e">
        <f>F27*#REF!</f>
        <v>#REF!</v>
      </c>
      <c r="L56" s="810" t="e">
        <f>K56/C56</f>
        <v>#REF!</v>
      </c>
      <c r="M56" s="813"/>
      <c r="N56" s="810"/>
      <c r="O56" s="805"/>
      <c r="P56" s="806"/>
      <c r="Q56" s="805" t="e">
        <f>X23+(F27*#REF!)</f>
        <v>#REF!</v>
      </c>
      <c r="R56" s="806" t="e">
        <f>Q56/C56</f>
        <v>#REF!</v>
      </c>
      <c r="S56" s="805" t="e">
        <f>H27</f>
        <v>#REF!</v>
      </c>
      <c r="T56" s="806" t="e">
        <f>S56/C56</f>
        <v>#REF!</v>
      </c>
      <c r="U56" s="809"/>
      <c r="V56" s="808"/>
      <c r="W56" s="740" t="e">
        <f t="shared" si="26"/>
        <v>#REF!</v>
      </c>
      <c r="X56" s="740"/>
      <c r="Y56" s="742" t="e">
        <f t="shared" si="21"/>
        <v>#REF!</v>
      </c>
      <c r="Z56" s="740" t="e">
        <f t="shared" si="22"/>
        <v>#REF!</v>
      </c>
      <c r="AA56" s="742" t="e">
        <f t="shared" si="23"/>
        <v>#REF!</v>
      </c>
      <c r="AE56" s="27"/>
      <c r="AF56" s="27"/>
      <c r="AG56" s="27"/>
      <c r="AH56" s="27"/>
    </row>
    <row r="57" spans="2:34" x14ac:dyDescent="0.3">
      <c r="B57" s="756" t="s">
        <v>95</v>
      </c>
      <c r="C57" s="805" t="e">
        <f t="shared" si="24"/>
        <v>#REF!</v>
      </c>
      <c r="D57" s="806"/>
      <c r="E57" s="809"/>
      <c r="F57" s="810"/>
      <c r="G57" s="809"/>
      <c r="H57" s="810"/>
      <c r="I57" s="809"/>
      <c r="J57" s="810"/>
      <c r="K57" s="805"/>
      <c r="L57" s="810"/>
      <c r="M57" s="813"/>
      <c r="N57" s="810"/>
      <c r="O57" s="805"/>
      <c r="P57" s="806"/>
      <c r="Q57" s="805"/>
      <c r="R57" s="806"/>
      <c r="S57" s="805"/>
      <c r="T57" s="806"/>
      <c r="U57" s="809"/>
      <c r="V57" s="808"/>
      <c r="W57" s="740">
        <f t="shared" si="26"/>
        <v>0</v>
      </c>
      <c r="X57" s="740"/>
      <c r="Y57" s="742" t="e">
        <f t="shared" si="21"/>
        <v>#REF!</v>
      </c>
      <c r="Z57" s="740">
        <f t="shared" si="22"/>
        <v>0</v>
      </c>
      <c r="AA57" s="742" t="e">
        <f t="shared" si="23"/>
        <v>#REF!</v>
      </c>
      <c r="AE57" s="27"/>
      <c r="AF57" s="27"/>
      <c r="AG57" s="27"/>
      <c r="AH57" s="27"/>
    </row>
    <row r="58" spans="2:34" x14ac:dyDescent="0.3">
      <c r="B58" s="773" t="s">
        <v>119</v>
      </c>
      <c r="C58" s="805" t="e">
        <f t="shared" si="24"/>
        <v>#REF!</v>
      </c>
      <c r="D58" s="806" t="e">
        <f t="shared" si="24"/>
        <v>#REF!</v>
      </c>
      <c r="E58" s="807"/>
      <c r="F58" s="816"/>
      <c r="G58" s="807"/>
      <c r="H58" s="816"/>
      <c r="I58" s="807"/>
      <c r="J58" s="816"/>
      <c r="K58" s="805"/>
      <c r="L58" s="810"/>
      <c r="M58" s="813"/>
      <c r="N58" s="810"/>
      <c r="O58" s="805"/>
      <c r="P58" s="806"/>
      <c r="Q58" s="805" t="e">
        <f>X25</f>
        <v>#REF!</v>
      </c>
      <c r="R58" s="806" t="e">
        <f>Q58/C58</f>
        <v>#REF!</v>
      </c>
      <c r="S58" s="805" t="e">
        <f>H29</f>
        <v>#REF!</v>
      </c>
      <c r="T58" s="806" t="e">
        <f>S58/C58</f>
        <v>#REF!</v>
      </c>
      <c r="U58" s="817"/>
      <c r="V58" s="808"/>
      <c r="W58" s="740" t="e">
        <f t="shared" si="26"/>
        <v>#REF!</v>
      </c>
      <c r="X58" s="740"/>
      <c r="Y58" s="742" t="e">
        <f t="shared" si="21"/>
        <v>#REF!</v>
      </c>
      <c r="Z58" s="740" t="e">
        <f t="shared" si="22"/>
        <v>#REF!</v>
      </c>
      <c r="AA58" s="742" t="e">
        <f t="shared" si="23"/>
        <v>#REF!</v>
      </c>
      <c r="AE58" s="27"/>
      <c r="AF58" s="27"/>
      <c r="AG58" s="27"/>
      <c r="AH58" s="27"/>
    </row>
    <row r="59" spans="2:34" ht="14.4" thickBot="1" x14ac:dyDescent="0.35">
      <c r="B59" s="774" t="s">
        <v>125</v>
      </c>
      <c r="C59" s="818" t="e">
        <f>SUM(C37:C58)</f>
        <v>#REF!</v>
      </c>
      <c r="D59" s="819" t="e">
        <f>S26</f>
        <v>#REF!</v>
      </c>
      <c r="E59" s="820" t="e">
        <f>SUM(E37:E58)</f>
        <v>#REF!</v>
      </c>
      <c r="F59" s="819" t="e">
        <f>E59/C59</f>
        <v>#REF!</v>
      </c>
      <c r="G59" s="820" t="e">
        <f>SUM(G37:G58)</f>
        <v>#REF!</v>
      </c>
      <c r="H59" s="819" t="e">
        <f>G59/C59</f>
        <v>#REF!</v>
      </c>
      <c r="I59" s="820" t="e">
        <f>SUM(I37:I58)</f>
        <v>#REF!</v>
      </c>
      <c r="J59" s="819" t="e">
        <f>I59/C59</f>
        <v>#REF!</v>
      </c>
      <c r="K59" s="820" t="e">
        <f>SUM(K37:K58)</f>
        <v>#REF!</v>
      </c>
      <c r="L59" s="819" t="e">
        <f>K59/C59</f>
        <v>#REF!</v>
      </c>
      <c r="M59" s="820" t="e">
        <f>SUM(M37:M58)</f>
        <v>#REF!</v>
      </c>
      <c r="N59" s="819" t="e">
        <f>M59/C59</f>
        <v>#REF!</v>
      </c>
      <c r="O59" s="820" t="e">
        <f>SUM(O37:O58)</f>
        <v>#REF!</v>
      </c>
      <c r="P59" s="819" t="e">
        <f>O59/C59</f>
        <v>#REF!</v>
      </c>
      <c r="Q59" s="820" t="e">
        <f>SUM(Q37:Q58)</f>
        <v>#REF!</v>
      </c>
      <c r="R59" s="819" t="e">
        <f>Q59/C59</f>
        <v>#REF!</v>
      </c>
      <c r="S59" s="820" t="e">
        <f>SUM(S37:S58)</f>
        <v>#REF!</v>
      </c>
      <c r="T59" s="819" t="e">
        <f>S59/C59</f>
        <v>#REF!</v>
      </c>
      <c r="U59" s="820" t="e">
        <f>SUM(U37:U57)</f>
        <v>#REF!</v>
      </c>
      <c r="V59" s="821" t="e">
        <f>U59/C59</f>
        <v>#REF!</v>
      </c>
      <c r="W59" s="778" t="e">
        <f t="shared" si="26"/>
        <v>#REF!</v>
      </c>
      <c r="X59" s="822"/>
      <c r="Y59" s="742" t="e">
        <f t="shared" si="21"/>
        <v>#REF!</v>
      </c>
      <c r="Z59" s="740" t="e">
        <f t="shared" si="22"/>
        <v>#REF!</v>
      </c>
      <c r="AA59" s="742" t="e">
        <f t="shared" si="23"/>
        <v>#REF!</v>
      </c>
      <c r="AE59" s="27"/>
      <c r="AF59" s="27"/>
      <c r="AG59" s="27"/>
      <c r="AH59" s="27"/>
    </row>
    <row r="60" spans="2:34" s="823" customFormat="1" ht="10.199999999999999" x14ac:dyDescent="0.3">
      <c r="B60" s="823" t="s">
        <v>508</v>
      </c>
      <c r="C60" s="824" t="e">
        <f>C59-U59</f>
        <v>#REF!</v>
      </c>
      <c r="D60" s="824"/>
      <c r="E60" s="824"/>
      <c r="F60" s="825" t="e">
        <f>E59/C60</f>
        <v>#REF!</v>
      </c>
      <c r="H60" s="825" t="e">
        <f>G59/C60</f>
        <v>#REF!</v>
      </c>
      <c r="I60" s="825"/>
      <c r="J60" s="825" t="e">
        <f>I59/C60</f>
        <v>#REF!</v>
      </c>
      <c r="K60" s="825"/>
      <c r="L60" s="825" t="e">
        <f>K59/$C$60</f>
        <v>#REF!</v>
      </c>
      <c r="M60" s="825"/>
      <c r="N60" s="825" t="e">
        <f t="shared" ref="N60:T60" si="29">M59/$C$60</f>
        <v>#REF!</v>
      </c>
      <c r="O60" s="825"/>
      <c r="P60" s="825" t="e">
        <f t="shared" si="29"/>
        <v>#REF!</v>
      </c>
      <c r="Q60" s="825"/>
      <c r="R60" s="825" t="e">
        <f>Q59/$C$60</f>
        <v>#REF!</v>
      </c>
      <c r="S60" s="825"/>
      <c r="T60" s="825" t="e">
        <f t="shared" si="29"/>
        <v>#REF!</v>
      </c>
      <c r="U60" s="825"/>
      <c r="V60" s="825"/>
      <c r="W60" s="825" t="e">
        <f>SUM(E60:V60)</f>
        <v>#REF!</v>
      </c>
      <c r="X60" s="825"/>
      <c r="Y60" s="826"/>
      <c r="Z60" s="826"/>
      <c r="AA60" s="826"/>
      <c r="AB60" s="826"/>
    </row>
    <row r="61" spans="2:34" x14ac:dyDescent="0.3">
      <c r="L61" s="740"/>
      <c r="N61" s="741"/>
      <c r="O61" s="742"/>
      <c r="P61" s="741"/>
      <c r="R61" s="27"/>
      <c r="S61" s="741"/>
      <c r="T61" s="742"/>
      <c r="V61" s="742"/>
      <c r="X61" s="742"/>
      <c r="Y61" s="742"/>
      <c r="Z61" s="742"/>
      <c r="AC61" s="740"/>
      <c r="AD61" s="27"/>
      <c r="AE61" s="27"/>
      <c r="AF61" s="27"/>
      <c r="AG61" s="27"/>
      <c r="AH61" s="27"/>
    </row>
    <row r="62" spans="2:34" s="7" customFormat="1" x14ac:dyDescent="0.3">
      <c r="C62" s="827"/>
      <c r="D62" s="828"/>
      <c r="E62" s="828"/>
      <c r="K62" s="827"/>
      <c r="L62" s="827"/>
      <c r="N62" s="827"/>
      <c r="O62" s="817"/>
      <c r="P62" s="827"/>
      <c r="Q62" s="827"/>
      <c r="S62" s="827"/>
      <c r="T62" s="817"/>
      <c r="U62" s="817"/>
      <c r="V62" s="817"/>
      <c r="W62" s="817"/>
      <c r="X62" s="817"/>
      <c r="Y62" s="817"/>
      <c r="Z62" s="817"/>
      <c r="AA62" s="817"/>
      <c r="AB62" s="817"/>
    </row>
    <row r="63" spans="2:34" s="832" customFormat="1" ht="20.399999999999999" x14ac:dyDescent="0.3">
      <c r="B63" s="829" t="s">
        <v>509</v>
      </c>
      <c r="C63" s="830" t="e">
        <f>C38+C39+C42+C41+C47+C40</f>
        <v>#REF!</v>
      </c>
      <c r="D63" s="830"/>
      <c r="E63" s="830">
        <f>E38+E39+E42+E41+E47+E40</f>
        <v>0</v>
      </c>
      <c r="F63" s="830"/>
      <c r="G63" s="830" t="e">
        <f>G38+G39+G42+G41+G47+G40</f>
        <v>#REF!</v>
      </c>
      <c r="H63" s="831" t="e">
        <f>G63/C63</f>
        <v>#REF!</v>
      </c>
      <c r="K63" s="833"/>
      <c r="L63" s="833"/>
      <c r="N63" s="833"/>
      <c r="O63" s="834"/>
      <c r="P63" s="833"/>
      <c r="Q63" s="833"/>
      <c r="S63" s="833"/>
      <c r="T63" s="834"/>
      <c r="U63" s="834"/>
      <c r="V63" s="834"/>
      <c r="W63" s="834"/>
      <c r="X63" s="834"/>
      <c r="Y63" s="834"/>
      <c r="Z63" s="834"/>
      <c r="AA63" s="834"/>
      <c r="AB63" s="834"/>
    </row>
    <row r="64" spans="2:34" s="7" customFormat="1" x14ac:dyDescent="0.3">
      <c r="C64" s="827"/>
      <c r="D64" s="828"/>
      <c r="E64" s="828"/>
      <c r="K64" s="827"/>
      <c r="L64" s="827"/>
      <c r="N64" s="827"/>
      <c r="O64" s="817"/>
      <c r="P64" s="827"/>
      <c r="Q64" s="827"/>
      <c r="S64" s="817"/>
      <c r="T64" s="827"/>
      <c r="U64" s="817"/>
      <c r="V64" s="827"/>
      <c r="W64" s="827"/>
      <c r="X64" s="827"/>
      <c r="Y64" s="817"/>
      <c r="Z64" s="817"/>
      <c r="AA64" s="817"/>
      <c r="AB64" s="817"/>
      <c r="AC64" s="817"/>
      <c r="AD64" s="817"/>
      <c r="AE64" s="817"/>
      <c r="AF64" s="817"/>
    </row>
    <row r="65" spans="2:34" s="837" customFormat="1" x14ac:dyDescent="0.3">
      <c r="B65" s="791" t="s">
        <v>510</v>
      </c>
      <c r="C65" s="835" t="e">
        <f>R30</f>
        <v>#REF!</v>
      </c>
      <c r="D65" s="836" t="e">
        <f>S30</f>
        <v>#REF!</v>
      </c>
      <c r="E65" s="835"/>
      <c r="I65" s="835" t="e">
        <f>+#REF!+#REF!</f>
        <v>#REF!</v>
      </c>
      <c r="J65" s="836" t="e">
        <f>I65/C65</f>
        <v>#REF!</v>
      </c>
      <c r="K65" s="838" t="e">
        <f>#REF!+#REF!</f>
        <v>#REF!</v>
      </c>
      <c r="L65" s="836" t="e">
        <f>K65/C65</f>
        <v>#REF!</v>
      </c>
      <c r="N65" s="836"/>
      <c r="O65" s="839"/>
      <c r="P65" s="836"/>
      <c r="Q65" s="835" t="e">
        <f>+#REF!</f>
        <v>#REF!</v>
      </c>
      <c r="R65" s="836" t="e">
        <f>Q65/C65</f>
        <v>#REF!</v>
      </c>
      <c r="S65" s="835" t="e">
        <f>#REF!+(H8*T30)</f>
        <v>#REF!</v>
      </c>
      <c r="T65" s="836" t="e">
        <f>S65/C65</f>
        <v>#REF!</v>
      </c>
      <c r="U65" s="835" t="e">
        <f>C65-I65-K65-Q65-S65</f>
        <v>#REF!</v>
      </c>
      <c r="V65" s="836" t="e">
        <f>U65/C65</f>
        <v>#REF!</v>
      </c>
      <c r="W65" s="840" t="e">
        <f>E65+G65+I65+K65+Q65+M65+O65+S65+U65</f>
        <v>#REF!</v>
      </c>
      <c r="X65" s="836"/>
      <c r="Y65" s="839"/>
      <c r="Z65" s="839"/>
      <c r="AA65" s="839"/>
      <c r="AB65" s="839"/>
      <c r="AC65" s="839"/>
      <c r="AD65" s="839"/>
      <c r="AE65" s="839"/>
      <c r="AF65" s="839"/>
    </row>
    <row r="66" spans="2:34" s="7" customFormat="1" x14ac:dyDescent="0.3">
      <c r="C66" s="828"/>
      <c r="D66" s="827"/>
      <c r="E66" s="828"/>
      <c r="J66" s="827"/>
      <c r="K66" s="827"/>
      <c r="L66" s="827"/>
      <c r="N66" s="827"/>
      <c r="O66" s="817"/>
      <c r="P66" s="827"/>
      <c r="Q66" s="828"/>
      <c r="R66" s="827"/>
      <c r="T66" s="827"/>
      <c r="U66" s="817"/>
      <c r="V66" s="827"/>
      <c r="W66" s="841"/>
      <c r="X66" s="827"/>
      <c r="Y66" s="817"/>
      <c r="Z66" s="817"/>
      <c r="AA66" s="817"/>
      <c r="AB66" s="817"/>
      <c r="AC66" s="817"/>
      <c r="AD66" s="817"/>
      <c r="AE66" s="817"/>
      <c r="AF66" s="817"/>
    </row>
    <row r="67" spans="2:34" s="844" customFormat="1" ht="27.6" x14ac:dyDescent="0.3">
      <c r="B67" s="799" t="s">
        <v>511</v>
      </c>
      <c r="C67" s="842" t="e">
        <f>R31</f>
        <v>#REF!</v>
      </c>
      <c r="D67" s="843" t="e">
        <f>S31</f>
        <v>#REF!</v>
      </c>
      <c r="E67" s="842"/>
      <c r="I67" s="842" t="e">
        <f>AG5+AH5</f>
        <v>#REF!</v>
      </c>
      <c r="J67" s="843" t="e">
        <f>I67/C67</f>
        <v>#REF!</v>
      </c>
      <c r="K67" s="843"/>
      <c r="L67" s="843"/>
      <c r="M67" s="842" t="e">
        <f>V4</f>
        <v>#REF!</v>
      </c>
      <c r="N67" s="843" t="e">
        <f>M67/C67</f>
        <v>#REF!</v>
      </c>
      <c r="O67" s="842" t="e">
        <f>W4</f>
        <v>#REF!</v>
      </c>
      <c r="P67" s="843" t="e">
        <f>O67/C67</f>
        <v>#REF!</v>
      </c>
      <c r="Q67" s="842" t="e">
        <f>X4+AI5</f>
        <v>#REF!</v>
      </c>
      <c r="R67" s="843" t="e">
        <f>Q67/C67</f>
        <v>#REF!</v>
      </c>
      <c r="S67" s="842" t="e">
        <f>H8*T31</f>
        <v>#REF!</v>
      </c>
      <c r="T67" s="843" t="e">
        <f>S67/C67</f>
        <v>#REF!</v>
      </c>
      <c r="U67" s="842" t="e">
        <f>C67-I67-M67-O67-Q67-S67</f>
        <v>#REF!</v>
      </c>
      <c r="V67" s="843" t="e">
        <f>U67/C67</f>
        <v>#REF!</v>
      </c>
      <c r="W67" s="840" t="e">
        <f>E67+G67+I67+K67+Q67+M67+O67+S67+U67</f>
        <v>#REF!</v>
      </c>
      <c r="X67" s="843"/>
      <c r="Y67" s="845"/>
      <c r="Z67" s="845"/>
      <c r="AA67" s="845"/>
      <c r="AB67" s="845"/>
      <c r="AC67" s="845"/>
      <c r="AD67" s="845"/>
      <c r="AE67" s="845"/>
      <c r="AF67" s="845"/>
    </row>
    <row r="68" spans="2:34" s="7" customFormat="1" x14ac:dyDescent="0.3">
      <c r="C68" s="846" t="e">
        <f>SUM(C65:C67)</f>
        <v>#REF!</v>
      </c>
      <c r="D68" s="828"/>
      <c r="E68" s="828"/>
      <c r="I68" s="846" t="e">
        <f>SUM(I65:I67)</f>
        <v>#REF!</v>
      </c>
      <c r="K68" s="846" t="e">
        <f>SUM(K65:K67)</f>
        <v>#REF!</v>
      </c>
      <c r="L68" s="827"/>
      <c r="M68" s="846" t="e">
        <f>SUM(M65:M67)</f>
        <v>#REF!</v>
      </c>
      <c r="N68" s="827"/>
      <c r="O68" s="846" t="e">
        <f>SUM(O65:O67)</f>
        <v>#REF!</v>
      </c>
      <c r="P68" s="827"/>
      <c r="Q68" s="846" t="e">
        <f>SUM(Q65:Q67)</f>
        <v>#REF!</v>
      </c>
      <c r="S68" s="846" t="e">
        <f>SUM(S65:S67)</f>
        <v>#REF!</v>
      </c>
      <c r="T68" s="827"/>
      <c r="U68" s="846" t="e">
        <f>SUM(U65:U67)</f>
        <v>#REF!</v>
      </c>
      <c r="V68" s="827"/>
      <c r="W68" s="846" t="e">
        <f>SUM(W65:W67)</f>
        <v>#REF!</v>
      </c>
      <c r="X68" s="827"/>
      <c r="Y68" s="817"/>
      <c r="Z68" s="817"/>
      <c r="AA68" s="817"/>
      <c r="AB68" s="817"/>
      <c r="AC68" s="817"/>
      <c r="AD68" s="817"/>
      <c r="AE68" s="817"/>
      <c r="AF68" s="817"/>
    </row>
    <row r="69" spans="2:34" s="7" customFormat="1" x14ac:dyDescent="0.3">
      <c r="B69" s="828">
        <v>1</v>
      </c>
      <c r="C69" s="828">
        <v>2</v>
      </c>
      <c r="D69" s="828">
        <v>3</v>
      </c>
      <c r="E69" s="828">
        <v>4</v>
      </c>
      <c r="F69" s="828">
        <v>5</v>
      </c>
      <c r="G69" s="828">
        <v>6</v>
      </c>
      <c r="H69" s="828">
        <v>7</v>
      </c>
      <c r="I69" s="828">
        <v>8</v>
      </c>
      <c r="J69" s="828">
        <v>9</v>
      </c>
      <c r="K69" s="828">
        <v>10</v>
      </c>
      <c r="L69" s="828">
        <v>11</v>
      </c>
      <c r="M69" s="828">
        <v>12</v>
      </c>
      <c r="R69" s="827"/>
      <c r="S69" s="817"/>
      <c r="T69" s="827"/>
      <c r="U69" s="817"/>
      <c r="V69" s="827"/>
      <c r="W69" s="817"/>
      <c r="X69" s="827"/>
      <c r="Y69" s="827"/>
      <c r="Z69" s="827"/>
      <c r="AA69" s="817"/>
      <c r="AB69" s="817"/>
      <c r="AC69" s="817"/>
      <c r="AD69" s="817"/>
      <c r="AE69" s="817"/>
      <c r="AF69" s="817"/>
      <c r="AG69" s="817"/>
      <c r="AH69" s="817"/>
    </row>
    <row r="70" spans="2:34" ht="20.100000000000001" customHeight="1" x14ac:dyDescent="0.3">
      <c r="B70" s="3858" t="s">
        <v>336</v>
      </c>
      <c r="C70" s="3858" t="s">
        <v>468</v>
      </c>
      <c r="D70" s="3859" t="s">
        <v>469</v>
      </c>
      <c r="E70" s="3860" t="s">
        <v>493</v>
      </c>
      <c r="F70" s="3861"/>
      <c r="G70" s="3861"/>
      <c r="H70" s="3861"/>
      <c r="I70" s="3861"/>
      <c r="J70" s="3861"/>
      <c r="K70" s="3861"/>
      <c r="L70" s="3861"/>
      <c r="M70" s="3862"/>
      <c r="N70" s="740"/>
      <c r="O70" s="742"/>
      <c r="P70" s="742"/>
      <c r="Q70" s="742"/>
      <c r="R70" s="742"/>
      <c r="T70" s="742"/>
      <c r="V70" s="742"/>
      <c r="W70" s="27"/>
      <c r="X70" s="27"/>
      <c r="Y70" s="27"/>
      <c r="Z70" s="27"/>
      <c r="AA70" s="27"/>
      <c r="AB70" s="27"/>
      <c r="AC70" s="27"/>
      <c r="AD70" s="27"/>
      <c r="AE70" s="27"/>
      <c r="AF70" s="27"/>
      <c r="AG70" s="27"/>
      <c r="AH70" s="27"/>
    </row>
    <row r="71" spans="2:34" ht="55.2" x14ac:dyDescent="0.3">
      <c r="B71" s="3858"/>
      <c r="C71" s="3858"/>
      <c r="D71" s="3859"/>
      <c r="E71" s="847" t="s">
        <v>436</v>
      </c>
      <c r="F71" s="847" t="s">
        <v>429</v>
      </c>
      <c r="G71" s="847" t="s">
        <v>405</v>
      </c>
      <c r="H71" s="847" t="s">
        <v>435</v>
      </c>
      <c r="I71" s="847" t="s">
        <v>498</v>
      </c>
      <c r="J71" s="847" t="s">
        <v>500</v>
      </c>
      <c r="K71" s="847" t="s">
        <v>502</v>
      </c>
      <c r="L71" s="847" t="s">
        <v>504</v>
      </c>
      <c r="M71" s="847" t="s">
        <v>506</v>
      </c>
      <c r="N71" s="740"/>
      <c r="O71" s="742"/>
      <c r="P71" s="742"/>
      <c r="Q71" s="742"/>
      <c r="R71" s="742"/>
      <c r="T71" s="742"/>
      <c r="V71" s="742"/>
      <c r="W71" s="27"/>
      <c r="X71" s="27"/>
      <c r="Y71" s="27"/>
      <c r="Z71" s="27"/>
      <c r="AA71" s="27"/>
      <c r="AB71" s="27"/>
      <c r="AC71" s="27"/>
      <c r="AD71" s="27"/>
      <c r="AE71" s="27"/>
      <c r="AF71" s="27"/>
      <c r="AG71" s="27"/>
      <c r="AH71" s="27"/>
    </row>
    <row r="72" spans="2:34" x14ac:dyDescent="0.3">
      <c r="B72" s="848" t="s">
        <v>5</v>
      </c>
      <c r="C72" s="849" t="e">
        <f>C37</f>
        <v>#REF!</v>
      </c>
      <c r="D72" s="849" t="e">
        <f>D37</f>
        <v>#REF!</v>
      </c>
      <c r="E72" s="849">
        <f>E37</f>
        <v>0</v>
      </c>
      <c r="F72" s="849">
        <f t="shared" ref="F72:F93" si="30">G37</f>
        <v>0</v>
      </c>
      <c r="G72" s="849" t="e">
        <f>I37</f>
        <v>#REF!</v>
      </c>
      <c r="H72" s="849" t="e">
        <f t="shared" ref="H72:H93" si="31">K37</f>
        <v>#REF!</v>
      </c>
      <c r="I72" s="849" t="e">
        <f>M37</f>
        <v>#REF!</v>
      </c>
      <c r="J72" s="849" t="e">
        <f>O37</f>
        <v>#REF!</v>
      </c>
      <c r="K72" s="849" t="e">
        <f>Q37</f>
        <v>#REF!</v>
      </c>
      <c r="L72" s="849" t="e">
        <f>S37</f>
        <v>#REF!</v>
      </c>
      <c r="M72" s="849" t="e">
        <f>U37</f>
        <v>#REF!</v>
      </c>
      <c r="N72" s="740" t="e">
        <f t="shared" ref="N72:N94" si="32">SUM(E72:M72)</f>
        <v>#REF!</v>
      </c>
      <c r="O72" s="742" t="e">
        <f t="shared" ref="O72:O95" si="33">N72-C72</f>
        <v>#REF!</v>
      </c>
      <c r="P72" s="742"/>
      <c r="Q72" s="742"/>
      <c r="R72" s="742"/>
      <c r="T72" s="742"/>
      <c r="V72" s="742"/>
      <c r="W72" s="27"/>
      <c r="X72" s="27"/>
      <c r="Y72" s="27"/>
      <c r="Z72" s="27"/>
      <c r="AA72" s="27"/>
      <c r="AB72" s="27"/>
      <c r="AC72" s="27"/>
      <c r="AD72" s="27"/>
      <c r="AE72" s="27"/>
      <c r="AF72" s="27"/>
      <c r="AG72" s="27"/>
      <c r="AH72" s="27"/>
    </row>
    <row r="73" spans="2:34" x14ac:dyDescent="0.3">
      <c r="B73" s="848" t="s">
        <v>8</v>
      </c>
      <c r="C73" s="849" t="e">
        <f t="shared" ref="C73:E88" si="34">C38</f>
        <v>#REF!</v>
      </c>
      <c r="D73" s="849" t="e">
        <f t="shared" si="34"/>
        <v>#REF!</v>
      </c>
      <c r="E73" s="849">
        <f t="shared" si="34"/>
        <v>0</v>
      </c>
      <c r="F73" s="849" t="e">
        <f t="shared" si="30"/>
        <v>#REF!</v>
      </c>
      <c r="G73" s="849">
        <f t="shared" ref="G73:G93" si="35">I38</f>
        <v>0</v>
      </c>
      <c r="H73" s="849">
        <f t="shared" si="31"/>
        <v>0</v>
      </c>
      <c r="I73" s="849">
        <f t="shared" ref="I73:I93" si="36">M38</f>
        <v>0</v>
      </c>
      <c r="J73" s="849">
        <f t="shared" ref="J73:J93" si="37">O38</f>
        <v>0</v>
      </c>
      <c r="K73" s="849" t="e">
        <f t="shared" ref="K73:K93" si="38">Q38</f>
        <v>#REF!</v>
      </c>
      <c r="L73" s="849" t="e">
        <f t="shared" ref="L73:L93" si="39">S38</f>
        <v>#REF!</v>
      </c>
      <c r="M73" s="849">
        <f t="shared" ref="M73:M93" si="40">U38</f>
        <v>0</v>
      </c>
      <c r="N73" s="740" t="e">
        <f t="shared" si="32"/>
        <v>#REF!</v>
      </c>
      <c r="O73" s="742" t="e">
        <f t="shared" si="33"/>
        <v>#REF!</v>
      </c>
      <c r="P73" s="742"/>
      <c r="Q73" s="742"/>
      <c r="R73" s="742"/>
      <c r="T73" s="742"/>
      <c r="V73" s="742"/>
      <c r="W73" s="27"/>
      <c r="X73" s="27"/>
      <c r="Y73" s="27"/>
      <c r="Z73" s="27"/>
      <c r="AA73" s="27"/>
      <c r="AB73" s="27"/>
      <c r="AC73" s="27"/>
      <c r="AD73" s="27"/>
      <c r="AE73" s="27"/>
      <c r="AF73" s="27"/>
      <c r="AG73" s="27"/>
      <c r="AH73" s="27"/>
    </row>
    <row r="74" spans="2:34" x14ac:dyDescent="0.3">
      <c r="B74" s="848" t="s">
        <v>304</v>
      </c>
      <c r="C74" s="849" t="e">
        <f t="shared" si="34"/>
        <v>#REF!</v>
      </c>
      <c r="D74" s="849" t="e">
        <f t="shared" si="34"/>
        <v>#REF!</v>
      </c>
      <c r="E74" s="849">
        <f t="shared" si="34"/>
        <v>0</v>
      </c>
      <c r="F74" s="849" t="e">
        <f t="shared" si="30"/>
        <v>#REF!</v>
      </c>
      <c r="G74" s="849">
        <f t="shared" si="35"/>
        <v>0</v>
      </c>
      <c r="H74" s="849">
        <f t="shared" si="31"/>
        <v>0</v>
      </c>
      <c r="I74" s="849">
        <f t="shared" si="36"/>
        <v>0</v>
      </c>
      <c r="J74" s="849">
        <f t="shared" si="37"/>
        <v>0</v>
      </c>
      <c r="K74" s="849" t="e">
        <f t="shared" si="38"/>
        <v>#REF!</v>
      </c>
      <c r="L74" s="849" t="e">
        <f t="shared" si="39"/>
        <v>#REF!</v>
      </c>
      <c r="M74" s="849">
        <f t="shared" si="40"/>
        <v>0</v>
      </c>
      <c r="N74" s="740" t="e">
        <f t="shared" si="32"/>
        <v>#REF!</v>
      </c>
      <c r="O74" s="742" t="e">
        <f t="shared" si="33"/>
        <v>#REF!</v>
      </c>
      <c r="P74" s="742"/>
      <c r="Q74" s="742"/>
      <c r="R74" s="742"/>
      <c r="T74" s="742"/>
      <c r="V74" s="742"/>
      <c r="W74" s="27"/>
      <c r="X74" s="27"/>
      <c r="Y74" s="27"/>
      <c r="Z74" s="27"/>
      <c r="AA74" s="27"/>
      <c r="AB74" s="27"/>
      <c r="AC74" s="27"/>
      <c r="AD74" s="27"/>
      <c r="AE74" s="27"/>
      <c r="AF74" s="27"/>
      <c r="AG74" s="27"/>
      <c r="AH74" s="27"/>
    </row>
    <row r="75" spans="2:34" x14ac:dyDescent="0.3">
      <c r="B75" s="848" t="s">
        <v>14</v>
      </c>
      <c r="C75" s="849" t="e">
        <f t="shared" si="34"/>
        <v>#REF!</v>
      </c>
      <c r="D75" s="849" t="e">
        <f t="shared" si="34"/>
        <v>#REF!</v>
      </c>
      <c r="E75" s="849">
        <f t="shared" si="34"/>
        <v>0</v>
      </c>
      <c r="F75" s="849" t="e">
        <f t="shared" si="30"/>
        <v>#REF!</v>
      </c>
      <c r="G75" s="849">
        <f t="shared" si="35"/>
        <v>0</v>
      </c>
      <c r="H75" s="849" t="e">
        <f t="shared" si="31"/>
        <v>#REF!</v>
      </c>
      <c r="I75" s="849">
        <f t="shared" si="36"/>
        <v>0</v>
      </c>
      <c r="J75" s="849">
        <f t="shared" si="37"/>
        <v>0</v>
      </c>
      <c r="K75" s="849" t="e">
        <f t="shared" si="38"/>
        <v>#REF!</v>
      </c>
      <c r="L75" s="849" t="e">
        <f t="shared" si="39"/>
        <v>#REF!</v>
      </c>
      <c r="M75" s="849">
        <f t="shared" si="40"/>
        <v>0</v>
      </c>
      <c r="N75" s="740" t="e">
        <f t="shared" si="32"/>
        <v>#REF!</v>
      </c>
      <c r="O75" s="742" t="e">
        <f t="shared" si="33"/>
        <v>#REF!</v>
      </c>
      <c r="P75" s="742"/>
      <c r="Q75" s="742"/>
      <c r="R75" s="742"/>
      <c r="T75" s="742"/>
      <c r="V75" s="742"/>
      <c r="W75" s="27"/>
      <c r="X75" s="27"/>
      <c r="Y75" s="27"/>
      <c r="Z75" s="27"/>
      <c r="AA75" s="27"/>
      <c r="AB75" s="27"/>
      <c r="AC75" s="27"/>
      <c r="AD75" s="27"/>
      <c r="AE75" s="27"/>
      <c r="AF75" s="27"/>
      <c r="AG75" s="27"/>
      <c r="AH75" s="27"/>
    </row>
    <row r="76" spans="2:34" x14ac:dyDescent="0.3">
      <c r="B76" s="848" t="s">
        <v>17</v>
      </c>
      <c r="C76" s="849" t="e">
        <f t="shared" si="34"/>
        <v>#REF!</v>
      </c>
      <c r="D76" s="849" t="e">
        <f t="shared" si="34"/>
        <v>#REF!</v>
      </c>
      <c r="E76" s="849">
        <f t="shared" si="34"/>
        <v>0</v>
      </c>
      <c r="F76" s="849" t="e">
        <f t="shared" si="30"/>
        <v>#REF!</v>
      </c>
      <c r="G76" s="849">
        <f t="shared" si="35"/>
        <v>0</v>
      </c>
      <c r="H76" s="849">
        <f t="shared" si="31"/>
        <v>0</v>
      </c>
      <c r="I76" s="849">
        <f t="shared" si="36"/>
        <v>0</v>
      </c>
      <c r="J76" s="849">
        <f t="shared" si="37"/>
        <v>0</v>
      </c>
      <c r="K76" s="849" t="e">
        <f t="shared" si="38"/>
        <v>#REF!</v>
      </c>
      <c r="L76" s="849" t="e">
        <f t="shared" si="39"/>
        <v>#REF!</v>
      </c>
      <c r="M76" s="849">
        <f t="shared" si="40"/>
        <v>0</v>
      </c>
      <c r="N76" s="740" t="e">
        <f t="shared" si="32"/>
        <v>#REF!</v>
      </c>
      <c r="O76" s="742" t="e">
        <f t="shared" si="33"/>
        <v>#REF!</v>
      </c>
      <c r="P76" s="742"/>
      <c r="Q76" s="742"/>
      <c r="R76" s="742"/>
      <c r="T76" s="742"/>
      <c r="V76" s="742"/>
      <c r="W76" s="27"/>
      <c r="X76" s="27"/>
      <c r="Y76" s="27"/>
      <c r="Z76" s="27"/>
      <c r="AA76" s="27"/>
      <c r="AB76" s="27"/>
      <c r="AC76" s="27"/>
      <c r="AD76" s="27"/>
      <c r="AE76" s="27"/>
      <c r="AF76" s="27"/>
      <c r="AG76" s="27"/>
      <c r="AH76" s="27"/>
    </row>
    <row r="77" spans="2:34" x14ac:dyDescent="0.3">
      <c r="B77" s="848" t="s">
        <v>16</v>
      </c>
      <c r="C77" s="849" t="e">
        <f t="shared" si="34"/>
        <v>#REF!</v>
      </c>
      <c r="D77" s="849" t="e">
        <f t="shared" si="34"/>
        <v>#REF!</v>
      </c>
      <c r="E77" s="849">
        <f t="shared" si="34"/>
        <v>0</v>
      </c>
      <c r="F77" s="849" t="e">
        <f t="shared" si="30"/>
        <v>#REF!</v>
      </c>
      <c r="G77" s="849">
        <f t="shared" si="35"/>
        <v>0</v>
      </c>
      <c r="H77" s="849">
        <f t="shared" si="31"/>
        <v>0</v>
      </c>
      <c r="I77" s="849">
        <f t="shared" si="36"/>
        <v>0</v>
      </c>
      <c r="J77" s="849">
        <f t="shared" si="37"/>
        <v>0</v>
      </c>
      <c r="K77" s="849" t="e">
        <f t="shared" si="38"/>
        <v>#REF!</v>
      </c>
      <c r="L77" s="849" t="e">
        <f t="shared" si="39"/>
        <v>#REF!</v>
      </c>
      <c r="M77" s="849">
        <f t="shared" si="40"/>
        <v>0</v>
      </c>
      <c r="N77" s="740" t="e">
        <f t="shared" si="32"/>
        <v>#REF!</v>
      </c>
      <c r="O77" s="742" t="e">
        <f t="shared" si="33"/>
        <v>#REF!</v>
      </c>
      <c r="P77" s="742"/>
      <c r="Q77" s="742"/>
      <c r="R77" s="742"/>
      <c r="T77" s="742"/>
      <c r="V77" s="742"/>
      <c r="W77" s="27"/>
      <c r="X77" s="27"/>
      <c r="Y77" s="27"/>
      <c r="Z77" s="27"/>
      <c r="AA77" s="27"/>
      <c r="AB77" s="27"/>
      <c r="AC77" s="27"/>
      <c r="AD77" s="27"/>
      <c r="AE77" s="27"/>
      <c r="AF77" s="27"/>
      <c r="AG77" s="27"/>
      <c r="AH77" s="27"/>
    </row>
    <row r="78" spans="2:34" x14ac:dyDescent="0.3">
      <c r="B78" s="848" t="s">
        <v>308</v>
      </c>
      <c r="C78" s="849" t="e">
        <f t="shared" si="34"/>
        <v>#REF!</v>
      </c>
      <c r="D78" s="849" t="e">
        <f t="shared" si="34"/>
        <v>#REF!</v>
      </c>
      <c r="E78" s="849">
        <f t="shared" si="34"/>
        <v>0</v>
      </c>
      <c r="F78" s="849" t="e">
        <f t="shared" si="30"/>
        <v>#REF!</v>
      </c>
      <c r="G78" s="849">
        <f t="shared" si="35"/>
        <v>0</v>
      </c>
      <c r="H78" s="849" t="e">
        <f t="shared" si="31"/>
        <v>#REF!</v>
      </c>
      <c r="I78" s="849">
        <f t="shared" si="36"/>
        <v>0</v>
      </c>
      <c r="J78" s="849">
        <f t="shared" si="37"/>
        <v>0</v>
      </c>
      <c r="K78" s="849" t="e">
        <f t="shared" si="38"/>
        <v>#REF!</v>
      </c>
      <c r="L78" s="849" t="e">
        <f t="shared" si="39"/>
        <v>#REF!</v>
      </c>
      <c r="M78" s="849">
        <f t="shared" si="40"/>
        <v>0</v>
      </c>
      <c r="N78" s="740" t="e">
        <f t="shared" si="32"/>
        <v>#REF!</v>
      </c>
      <c r="O78" s="742" t="e">
        <f t="shared" si="33"/>
        <v>#REF!</v>
      </c>
      <c r="P78" s="742"/>
      <c r="Q78" s="742"/>
      <c r="R78" s="742"/>
      <c r="T78" s="742"/>
      <c r="V78" s="742"/>
      <c r="W78" s="27"/>
      <c r="X78" s="27"/>
      <c r="Y78" s="27"/>
      <c r="Z78" s="27"/>
      <c r="AA78" s="27"/>
      <c r="AB78" s="27"/>
      <c r="AC78" s="27"/>
      <c r="AD78" s="27"/>
      <c r="AE78" s="27"/>
      <c r="AF78" s="27"/>
      <c r="AG78" s="27"/>
      <c r="AH78" s="27"/>
    </row>
    <row r="79" spans="2:34" x14ac:dyDescent="0.3">
      <c r="B79" s="848" t="s">
        <v>44</v>
      </c>
      <c r="C79" s="849" t="e">
        <f t="shared" si="34"/>
        <v>#REF!</v>
      </c>
      <c r="D79" s="849" t="e">
        <f t="shared" si="34"/>
        <v>#REF!</v>
      </c>
      <c r="E79" s="849" t="e">
        <f t="shared" si="34"/>
        <v>#REF!</v>
      </c>
      <c r="F79" s="849" t="e">
        <f t="shared" si="30"/>
        <v>#REF!</v>
      </c>
      <c r="G79" s="849">
        <f t="shared" si="35"/>
        <v>0</v>
      </c>
      <c r="H79" s="849" t="e">
        <f t="shared" si="31"/>
        <v>#REF!</v>
      </c>
      <c r="I79" s="849">
        <f t="shared" si="36"/>
        <v>0</v>
      </c>
      <c r="J79" s="849">
        <f t="shared" si="37"/>
        <v>0</v>
      </c>
      <c r="K79" s="849" t="e">
        <f t="shared" si="38"/>
        <v>#REF!</v>
      </c>
      <c r="L79" s="849" t="e">
        <f t="shared" si="39"/>
        <v>#REF!</v>
      </c>
      <c r="M79" s="849">
        <f t="shared" si="40"/>
        <v>0</v>
      </c>
      <c r="N79" s="740" t="e">
        <f t="shared" si="32"/>
        <v>#REF!</v>
      </c>
      <c r="O79" s="742" t="e">
        <f t="shared" si="33"/>
        <v>#REF!</v>
      </c>
      <c r="P79" s="742"/>
      <c r="Q79" s="742"/>
      <c r="R79" s="742"/>
      <c r="T79" s="742"/>
      <c r="V79" s="742"/>
      <c r="W79" s="27"/>
      <c r="X79" s="27"/>
      <c r="Y79" s="27"/>
      <c r="Z79" s="27"/>
      <c r="AA79" s="27"/>
      <c r="AB79" s="27"/>
      <c r="AC79" s="27"/>
      <c r="AD79" s="27"/>
      <c r="AE79" s="27"/>
      <c r="AF79" s="27"/>
      <c r="AG79" s="27"/>
      <c r="AH79" s="27"/>
    </row>
    <row r="80" spans="2:34" x14ac:dyDescent="0.3">
      <c r="B80" s="848" t="s">
        <v>326</v>
      </c>
      <c r="C80" s="849" t="e">
        <f t="shared" si="34"/>
        <v>#REF!</v>
      </c>
      <c r="D80" s="849" t="e">
        <f t="shared" si="34"/>
        <v>#REF!</v>
      </c>
      <c r="E80" s="849">
        <f t="shared" si="34"/>
        <v>0</v>
      </c>
      <c r="F80" s="849" t="e">
        <f t="shared" si="30"/>
        <v>#REF!</v>
      </c>
      <c r="G80" s="849">
        <f t="shared" si="35"/>
        <v>0</v>
      </c>
      <c r="H80" s="849">
        <f t="shared" si="31"/>
        <v>0</v>
      </c>
      <c r="I80" s="849">
        <f t="shared" si="36"/>
        <v>0</v>
      </c>
      <c r="J80" s="849">
        <f t="shared" si="37"/>
        <v>0</v>
      </c>
      <c r="K80" s="849" t="e">
        <f t="shared" si="38"/>
        <v>#REF!</v>
      </c>
      <c r="L80" s="849" t="e">
        <f t="shared" si="39"/>
        <v>#REF!</v>
      </c>
      <c r="M80" s="849">
        <f t="shared" si="40"/>
        <v>0</v>
      </c>
      <c r="N80" s="740" t="e">
        <f t="shared" si="32"/>
        <v>#REF!</v>
      </c>
      <c r="O80" s="742" t="e">
        <f t="shared" si="33"/>
        <v>#REF!</v>
      </c>
      <c r="P80" s="742"/>
      <c r="Q80" s="742"/>
      <c r="R80" s="742"/>
      <c r="T80" s="742"/>
      <c r="V80" s="742"/>
      <c r="W80" s="27"/>
      <c r="X80" s="27"/>
      <c r="Y80" s="27"/>
      <c r="Z80" s="27"/>
      <c r="AA80" s="27"/>
      <c r="AB80" s="27"/>
      <c r="AC80" s="27"/>
      <c r="AD80" s="27"/>
      <c r="AE80" s="27"/>
      <c r="AF80" s="27"/>
      <c r="AG80" s="27"/>
      <c r="AH80" s="27"/>
    </row>
    <row r="81" spans="2:34" x14ac:dyDescent="0.3">
      <c r="B81" s="848" t="s">
        <v>25</v>
      </c>
      <c r="C81" s="849" t="e">
        <f t="shared" si="34"/>
        <v>#REF!</v>
      </c>
      <c r="D81" s="849" t="e">
        <f t="shared" si="34"/>
        <v>#REF!</v>
      </c>
      <c r="E81" s="849" t="e">
        <f t="shared" si="34"/>
        <v>#REF!</v>
      </c>
      <c r="F81" s="849" t="e">
        <f t="shared" si="30"/>
        <v>#REF!</v>
      </c>
      <c r="G81" s="849">
        <f t="shared" si="35"/>
        <v>0</v>
      </c>
      <c r="H81" s="849" t="e">
        <f t="shared" si="31"/>
        <v>#REF!</v>
      </c>
      <c r="I81" s="849">
        <f t="shared" si="36"/>
        <v>0</v>
      </c>
      <c r="J81" s="849">
        <f t="shared" si="37"/>
        <v>0</v>
      </c>
      <c r="K81" s="849" t="e">
        <f t="shared" si="38"/>
        <v>#REF!</v>
      </c>
      <c r="L81" s="849" t="e">
        <f t="shared" si="39"/>
        <v>#REF!</v>
      </c>
      <c r="M81" s="849">
        <f t="shared" si="40"/>
        <v>0</v>
      </c>
      <c r="N81" s="740" t="e">
        <f t="shared" si="32"/>
        <v>#REF!</v>
      </c>
      <c r="O81" s="742" t="e">
        <f t="shared" si="33"/>
        <v>#REF!</v>
      </c>
      <c r="P81" s="742"/>
      <c r="Q81" s="742"/>
      <c r="R81" s="742"/>
      <c r="T81" s="742"/>
      <c r="V81" s="742"/>
      <c r="W81" s="27"/>
      <c r="X81" s="27"/>
      <c r="Y81" s="27"/>
      <c r="Z81" s="27"/>
      <c r="AA81" s="27"/>
      <c r="AB81" s="27"/>
      <c r="AC81" s="27"/>
      <c r="AD81" s="27"/>
      <c r="AE81" s="27"/>
      <c r="AF81" s="27"/>
      <c r="AG81" s="27"/>
      <c r="AH81" s="27"/>
    </row>
    <row r="82" spans="2:34" x14ac:dyDescent="0.3">
      <c r="B82" s="848" t="s">
        <v>29</v>
      </c>
      <c r="C82" s="849" t="e">
        <f t="shared" si="34"/>
        <v>#REF!</v>
      </c>
      <c r="D82" s="849" t="e">
        <f t="shared" si="34"/>
        <v>#REF!</v>
      </c>
      <c r="E82" s="849">
        <f t="shared" si="34"/>
        <v>0</v>
      </c>
      <c r="F82" s="849" t="e">
        <f t="shared" si="30"/>
        <v>#REF!</v>
      </c>
      <c r="G82" s="849">
        <f t="shared" si="35"/>
        <v>0</v>
      </c>
      <c r="H82" s="849" t="e">
        <f t="shared" si="31"/>
        <v>#REF!</v>
      </c>
      <c r="I82" s="849">
        <f t="shared" si="36"/>
        <v>0</v>
      </c>
      <c r="J82" s="849">
        <f t="shared" si="37"/>
        <v>0</v>
      </c>
      <c r="K82" s="849" t="e">
        <f t="shared" si="38"/>
        <v>#REF!</v>
      </c>
      <c r="L82" s="849" t="e">
        <f t="shared" si="39"/>
        <v>#REF!</v>
      </c>
      <c r="M82" s="849">
        <f t="shared" si="40"/>
        <v>0</v>
      </c>
      <c r="N82" s="740" t="e">
        <f t="shared" si="32"/>
        <v>#REF!</v>
      </c>
      <c r="O82" s="742" t="e">
        <f t="shared" si="33"/>
        <v>#REF!</v>
      </c>
      <c r="P82" s="742"/>
      <c r="Q82" s="742"/>
      <c r="R82" s="742"/>
      <c r="T82" s="742"/>
      <c r="V82" s="742"/>
      <c r="W82" s="27"/>
      <c r="X82" s="27"/>
      <c r="Y82" s="27"/>
      <c r="Z82" s="27"/>
      <c r="AA82" s="27"/>
      <c r="AB82" s="27"/>
      <c r="AC82" s="27"/>
      <c r="AD82" s="27"/>
      <c r="AE82" s="27"/>
      <c r="AF82" s="27"/>
      <c r="AG82" s="27"/>
      <c r="AH82" s="27"/>
    </row>
    <row r="83" spans="2:34" x14ac:dyDescent="0.3">
      <c r="B83" s="848" t="s">
        <v>60</v>
      </c>
      <c r="C83" s="849" t="e">
        <f t="shared" si="34"/>
        <v>#REF!</v>
      </c>
      <c r="D83" s="849" t="e">
        <f t="shared" si="34"/>
        <v>#REF!</v>
      </c>
      <c r="E83" s="849">
        <f t="shared" si="34"/>
        <v>0</v>
      </c>
      <c r="F83" s="849" t="e">
        <f t="shared" si="30"/>
        <v>#REF!</v>
      </c>
      <c r="G83" s="849">
        <f t="shared" si="35"/>
        <v>0</v>
      </c>
      <c r="H83" s="850" t="e">
        <f t="shared" si="31"/>
        <v>#REF!</v>
      </c>
      <c r="I83" s="849">
        <f t="shared" si="36"/>
        <v>0</v>
      </c>
      <c r="J83" s="849">
        <f t="shared" si="37"/>
        <v>0</v>
      </c>
      <c r="K83" s="849" t="e">
        <f t="shared" si="38"/>
        <v>#REF!</v>
      </c>
      <c r="L83" s="849">
        <f t="shared" si="39"/>
        <v>0</v>
      </c>
      <c r="M83" s="849">
        <f t="shared" si="40"/>
        <v>0</v>
      </c>
      <c r="N83" s="740" t="e">
        <f t="shared" si="32"/>
        <v>#REF!</v>
      </c>
      <c r="O83" s="742" t="e">
        <f t="shared" si="33"/>
        <v>#REF!</v>
      </c>
      <c r="P83" s="742"/>
      <c r="Q83" s="742"/>
      <c r="R83" s="742"/>
      <c r="T83" s="742"/>
      <c r="V83" s="742"/>
      <c r="W83" s="27"/>
      <c r="X83" s="27"/>
      <c r="Y83" s="27"/>
      <c r="Z83" s="27"/>
      <c r="AA83" s="27"/>
      <c r="AB83" s="27"/>
      <c r="AC83" s="27"/>
      <c r="AD83" s="27"/>
      <c r="AE83" s="27"/>
      <c r="AF83" s="27"/>
      <c r="AG83" s="27"/>
      <c r="AH83" s="27"/>
    </row>
    <row r="84" spans="2:34" x14ac:dyDescent="0.3">
      <c r="B84" s="848" t="s">
        <v>33</v>
      </c>
      <c r="C84" s="849" t="e">
        <f t="shared" si="34"/>
        <v>#REF!</v>
      </c>
      <c r="D84" s="849" t="e">
        <f t="shared" si="34"/>
        <v>#REF!</v>
      </c>
      <c r="E84" s="849">
        <f t="shared" si="34"/>
        <v>0</v>
      </c>
      <c r="F84" s="849" t="e">
        <f t="shared" si="30"/>
        <v>#REF!</v>
      </c>
      <c r="G84" s="849">
        <f t="shared" si="35"/>
        <v>0</v>
      </c>
      <c r="H84" s="849" t="e">
        <f t="shared" si="31"/>
        <v>#REF!</v>
      </c>
      <c r="I84" s="849">
        <f t="shared" si="36"/>
        <v>0</v>
      </c>
      <c r="J84" s="849">
        <f t="shared" si="37"/>
        <v>0</v>
      </c>
      <c r="K84" s="849">
        <f>Q49</f>
        <v>0</v>
      </c>
      <c r="L84" s="849">
        <f>S49</f>
        <v>0</v>
      </c>
      <c r="M84" s="849" t="e">
        <f t="shared" si="40"/>
        <v>#REF!</v>
      </c>
      <c r="N84" s="740" t="e">
        <f t="shared" si="32"/>
        <v>#REF!</v>
      </c>
      <c r="O84" s="742" t="e">
        <f t="shared" si="33"/>
        <v>#REF!</v>
      </c>
      <c r="P84" s="742"/>
      <c r="Q84" s="742"/>
      <c r="R84" s="742"/>
      <c r="T84" s="742"/>
      <c r="V84" s="742"/>
      <c r="W84" s="27"/>
      <c r="X84" s="27"/>
      <c r="Y84" s="27"/>
      <c r="Z84" s="27"/>
      <c r="AA84" s="27"/>
      <c r="AB84" s="27"/>
      <c r="AC84" s="27"/>
      <c r="AD84" s="27"/>
      <c r="AE84" s="27"/>
      <c r="AF84" s="27"/>
      <c r="AG84" s="27"/>
      <c r="AH84" s="27"/>
    </row>
    <row r="85" spans="2:34" x14ac:dyDescent="0.3">
      <c r="B85" s="848" t="s">
        <v>66</v>
      </c>
      <c r="C85" s="849" t="e">
        <f t="shared" si="34"/>
        <v>#REF!</v>
      </c>
      <c r="D85" s="849" t="e">
        <f t="shared" si="34"/>
        <v>#REF!</v>
      </c>
      <c r="E85" s="849" t="e">
        <f t="shared" si="34"/>
        <v>#REF!</v>
      </c>
      <c r="F85" s="849" t="e">
        <f t="shared" si="30"/>
        <v>#REF!</v>
      </c>
      <c r="G85" s="849">
        <f t="shared" si="35"/>
        <v>0</v>
      </c>
      <c r="H85" s="849" t="e">
        <f t="shared" si="31"/>
        <v>#REF!</v>
      </c>
      <c r="I85" s="849">
        <f t="shared" si="36"/>
        <v>0</v>
      </c>
      <c r="J85" s="849">
        <f t="shared" si="37"/>
        <v>0</v>
      </c>
      <c r="K85" s="849">
        <f>Q50</f>
        <v>0</v>
      </c>
      <c r="L85" s="849">
        <f>S50</f>
        <v>0</v>
      </c>
      <c r="M85" s="849">
        <f t="shared" si="40"/>
        <v>0</v>
      </c>
      <c r="N85" s="740" t="e">
        <f t="shared" si="32"/>
        <v>#REF!</v>
      </c>
      <c r="O85" s="742" t="e">
        <f t="shared" si="33"/>
        <v>#REF!</v>
      </c>
      <c r="P85" s="742"/>
      <c r="Q85" s="742"/>
      <c r="R85" s="742"/>
      <c r="T85" s="742"/>
      <c r="V85" s="742"/>
      <c r="W85" s="27"/>
      <c r="X85" s="27"/>
      <c r="Y85" s="27"/>
      <c r="Z85" s="27"/>
      <c r="AA85" s="27"/>
      <c r="AB85" s="27"/>
      <c r="AC85" s="27"/>
      <c r="AD85" s="27"/>
      <c r="AE85" s="27"/>
      <c r="AF85" s="27"/>
      <c r="AG85" s="27"/>
      <c r="AH85" s="27"/>
    </row>
    <row r="86" spans="2:34" x14ac:dyDescent="0.3">
      <c r="B86" s="848" t="s">
        <v>73</v>
      </c>
      <c r="C86" s="849" t="e">
        <f t="shared" si="34"/>
        <v>#REF!</v>
      </c>
      <c r="D86" s="849" t="e">
        <f t="shared" si="34"/>
        <v>#REF!</v>
      </c>
      <c r="E86" s="849">
        <f t="shared" si="34"/>
        <v>0</v>
      </c>
      <c r="F86" s="849" t="e">
        <f t="shared" si="30"/>
        <v>#REF!</v>
      </c>
      <c r="G86" s="849">
        <f t="shared" si="35"/>
        <v>0</v>
      </c>
      <c r="H86" s="849" t="e">
        <f t="shared" si="31"/>
        <v>#REF!</v>
      </c>
      <c r="I86" s="849">
        <f t="shared" si="36"/>
        <v>0</v>
      </c>
      <c r="J86" s="849">
        <f t="shared" si="37"/>
        <v>0</v>
      </c>
      <c r="K86" s="849" t="e">
        <f>Q51</f>
        <v>#REF!</v>
      </c>
      <c r="L86" s="849" t="e">
        <f>S51</f>
        <v>#REF!</v>
      </c>
      <c r="M86" s="849">
        <f t="shared" si="40"/>
        <v>0</v>
      </c>
      <c r="N86" s="740" t="e">
        <f t="shared" si="32"/>
        <v>#REF!</v>
      </c>
      <c r="O86" s="742" t="e">
        <f t="shared" si="33"/>
        <v>#REF!</v>
      </c>
      <c r="P86" s="742"/>
      <c r="Q86" s="742"/>
      <c r="R86" s="742"/>
      <c r="T86" s="742"/>
      <c r="V86" s="742"/>
      <c r="W86" s="27"/>
      <c r="X86" s="27"/>
      <c r="Y86" s="27"/>
      <c r="Z86" s="27"/>
      <c r="AA86" s="27"/>
      <c r="AB86" s="27"/>
      <c r="AC86" s="27"/>
      <c r="AD86" s="27"/>
      <c r="AE86" s="27"/>
      <c r="AF86" s="27"/>
      <c r="AG86" s="27"/>
      <c r="AH86" s="27"/>
    </row>
    <row r="87" spans="2:34" x14ac:dyDescent="0.3">
      <c r="B87" s="848" t="s">
        <v>74</v>
      </c>
      <c r="C87" s="849" t="e">
        <f t="shared" si="34"/>
        <v>#REF!</v>
      </c>
      <c r="D87" s="849" t="e">
        <f t="shared" si="34"/>
        <v>#REF!</v>
      </c>
      <c r="E87" s="849">
        <f t="shared" si="34"/>
        <v>0</v>
      </c>
      <c r="F87" s="850" t="e">
        <f t="shared" si="30"/>
        <v>#REF!</v>
      </c>
      <c r="G87" s="849">
        <f t="shared" si="35"/>
        <v>0</v>
      </c>
      <c r="H87" s="850" t="e">
        <f t="shared" si="31"/>
        <v>#REF!</v>
      </c>
      <c r="I87" s="849">
        <f t="shared" si="36"/>
        <v>0</v>
      </c>
      <c r="J87" s="849">
        <f t="shared" si="37"/>
        <v>0</v>
      </c>
      <c r="K87" s="849">
        <f>Q52</f>
        <v>0</v>
      </c>
      <c r="L87" s="849">
        <f>S52</f>
        <v>0</v>
      </c>
      <c r="M87" s="849">
        <f t="shared" si="40"/>
        <v>0</v>
      </c>
      <c r="N87" s="740" t="e">
        <f t="shared" si="32"/>
        <v>#REF!</v>
      </c>
      <c r="O87" s="742" t="e">
        <f t="shared" si="33"/>
        <v>#REF!</v>
      </c>
      <c r="P87" s="742"/>
      <c r="Q87" s="742"/>
      <c r="R87" s="742"/>
      <c r="T87" s="742"/>
      <c r="V87" s="742"/>
      <c r="W87" s="27"/>
      <c r="X87" s="27"/>
      <c r="Y87" s="27"/>
      <c r="Z87" s="27"/>
      <c r="AA87" s="27"/>
      <c r="AB87" s="27"/>
      <c r="AC87" s="27"/>
      <c r="AD87" s="27"/>
      <c r="AE87" s="27"/>
      <c r="AF87" s="27"/>
      <c r="AG87" s="27"/>
      <c r="AH87" s="27"/>
    </row>
    <row r="88" spans="2:34" x14ac:dyDescent="0.3">
      <c r="B88" s="848" t="s">
        <v>327</v>
      </c>
      <c r="C88" s="849" t="e">
        <f t="shared" si="34"/>
        <v>#REF!</v>
      </c>
      <c r="D88" s="849" t="e">
        <f t="shared" si="34"/>
        <v>#REF!</v>
      </c>
      <c r="E88" s="849" t="e">
        <f t="shared" si="34"/>
        <v>#REF!</v>
      </c>
      <c r="F88" s="849" t="e">
        <f t="shared" si="30"/>
        <v>#REF!</v>
      </c>
      <c r="G88" s="849">
        <f t="shared" si="35"/>
        <v>0</v>
      </c>
      <c r="H88" s="849" t="e">
        <f t="shared" si="31"/>
        <v>#REF!</v>
      </c>
      <c r="I88" s="849">
        <f t="shared" si="36"/>
        <v>0</v>
      </c>
      <c r="J88" s="849">
        <f t="shared" si="37"/>
        <v>0</v>
      </c>
      <c r="K88" s="849" t="e">
        <f t="shared" si="38"/>
        <v>#REF!</v>
      </c>
      <c r="L88" s="849" t="e">
        <f t="shared" si="39"/>
        <v>#REF!</v>
      </c>
      <c r="M88" s="849">
        <f t="shared" si="40"/>
        <v>0</v>
      </c>
      <c r="N88" s="740" t="e">
        <f t="shared" si="32"/>
        <v>#REF!</v>
      </c>
      <c r="O88" s="742" t="e">
        <f t="shared" si="33"/>
        <v>#REF!</v>
      </c>
      <c r="P88" s="742"/>
      <c r="Q88" s="742"/>
      <c r="R88" s="742"/>
      <c r="T88" s="742"/>
      <c r="V88" s="742"/>
      <c r="W88" s="27"/>
      <c r="X88" s="27"/>
      <c r="Y88" s="27"/>
      <c r="Z88" s="27"/>
      <c r="AA88" s="27"/>
      <c r="AB88" s="27"/>
      <c r="AC88" s="27"/>
      <c r="AD88" s="27"/>
      <c r="AE88" s="27"/>
      <c r="AF88" s="27"/>
      <c r="AG88" s="27"/>
      <c r="AH88" s="27"/>
    </row>
    <row r="89" spans="2:34" x14ac:dyDescent="0.3">
      <c r="B89" s="848" t="s">
        <v>143</v>
      </c>
      <c r="C89" s="849" t="e">
        <f t="shared" ref="C89:E94" si="41">C54</f>
        <v>#REF!</v>
      </c>
      <c r="D89" s="849" t="e">
        <f t="shared" si="41"/>
        <v>#REF!</v>
      </c>
      <c r="E89" s="849" t="e">
        <f t="shared" si="41"/>
        <v>#REF!</v>
      </c>
      <c r="F89" s="849" t="e">
        <f t="shared" si="30"/>
        <v>#REF!</v>
      </c>
      <c r="G89" s="849">
        <f t="shared" si="35"/>
        <v>0</v>
      </c>
      <c r="H89" s="849" t="e">
        <f t="shared" si="31"/>
        <v>#REF!</v>
      </c>
      <c r="I89" s="849">
        <f t="shared" si="36"/>
        <v>0</v>
      </c>
      <c r="J89" s="849">
        <f t="shared" si="37"/>
        <v>0</v>
      </c>
      <c r="K89" s="849" t="e">
        <f t="shared" si="38"/>
        <v>#REF!</v>
      </c>
      <c r="L89" s="849" t="e">
        <f t="shared" si="39"/>
        <v>#REF!</v>
      </c>
      <c r="M89" s="849">
        <f t="shared" si="40"/>
        <v>0</v>
      </c>
      <c r="N89" s="740" t="e">
        <f t="shared" si="32"/>
        <v>#REF!</v>
      </c>
      <c r="O89" s="742" t="e">
        <f t="shared" si="33"/>
        <v>#REF!</v>
      </c>
      <c r="P89" s="742"/>
      <c r="Q89" s="742"/>
      <c r="R89" s="742"/>
      <c r="T89" s="742"/>
      <c r="V89" s="742"/>
      <c r="W89" s="27"/>
      <c r="X89" s="27"/>
      <c r="Y89" s="27"/>
      <c r="Z89" s="27"/>
      <c r="AA89" s="27"/>
      <c r="AB89" s="27"/>
      <c r="AC89" s="27"/>
      <c r="AD89" s="27"/>
      <c r="AE89" s="27"/>
      <c r="AF89" s="27"/>
      <c r="AG89" s="27"/>
      <c r="AH89" s="27"/>
    </row>
    <row r="90" spans="2:34" x14ac:dyDescent="0.3">
      <c r="B90" s="848" t="s">
        <v>76</v>
      </c>
      <c r="C90" s="849" t="e">
        <f t="shared" si="41"/>
        <v>#REF!</v>
      </c>
      <c r="D90" s="849" t="e">
        <f t="shared" si="41"/>
        <v>#REF!</v>
      </c>
      <c r="E90" s="849" t="e">
        <f t="shared" si="41"/>
        <v>#REF!</v>
      </c>
      <c r="F90" s="849" t="e">
        <f t="shared" si="30"/>
        <v>#REF!</v>
      </c>
      <c r="G90" s="849">
        <f t="shared" si="35"/>
        <v>0</v>
      </c>
      <c r="H90" s="849" t="e">
        <f t="shared" si="31"/>
        <v>#REF!</v>
      </c>
      <c r="I90" s="849">
        <f t="shared" si="36"/>
        <v>0</v>
      </c>
      <c r="J90" s="849">
        <f t="shared" si="37"/>
        <v>0</v>
      </c>
      <c r="K90" s="849" t="e">
        <f t="shared" si="38"/>
        <v>#REF!</v>
      </c>
      <c r="L90" s="849">
        <f t="shared" si="39"/>
        <v>0</v>
      </c>
      <c r="M90" s="849">
        <f t="shared" si="40"/>
        <v>0</v>
      </c>
      <c r="N90" s="740" t="e">
        <f t="shared" si="32"/>
        <v>#REF!</v>
      </c>
      <c r="O90" s="742" t="e">
        <f t="shared" si="33"/>
        <v>#REF!</v>
      </c>
      <c r="P90" s="742"/>
      <c r="Q90" s="742"/>
      <c r="R90" s="742"/>
      <c r="T90" s="742"/>
      <c r="V90" s="742"/>
      <c r="W90" s="27"/>
      <c r="X90" s="27"/>
      <c r="Y90" s="27"/>
      <c r="Z90" s="27"/>
      <c r="AA90" s="27"/>
      <c r="AB90" s="27"/>
      <c r="AC90" s="27"/>
      <c r="AD90" s="27"/>
      <c r="AE90" s="27"/>
      <c r="AF90" s="27"/>
      <c r="AG90" s="27"/>
      <c r="AH90" s="27"/>
    </row>
    <row r="91" spans="2:34" x14ac:dyDescent="0.3">
      <c r="B91" s="848" t="s">
        <v>309</v>
      </c>
      <c r="C91" s="849" t="e">
        <f t="shared" si="41"/>
        <v>#REF!</v>
      </c>
      <c r="D91" s="849" t="e">
        <f t="shared" si="41"/>
        <v>#REF!</v>
      </c>
      <c r="E91" s="849">
        <f>E56</f>
        <v>0</v>
      </c>
      <c r="F91" s="849" t="e">
        <f t="shared" si="30"/>
        <v>#REF!</v>
      </c>
      <c r="G91" s="849">
        <f t="shared" si="35"/>
        <v>0</v>
      </c>
      <c r="H91" s="849" t="e">
        <f t="shared" si="31"/>
        <v>#REF!</v>
      </c>
      <c r="I91" s="849">
        <f t="shared" si="36"/>
        <v>0</v>
      </c>
      <c r="J91" s="849">
        <f t="shared" si="37"/>
        <v>0</v>
      </c>
      <c r="K91" s="849" t="e">
        <f t="shared" si="38"/>
        <v>#REF!</v>
      </c>
      <c r="L91" s="849" t="e">
        <f t="shared" si="39"/>
        <v>#REF!</v>
      </c>
      <c r="M91" s="849">
        <f t="shared" si="40"/>
        <v>0</v>
      </c>
      <c r="N91" s="740" t="e">
        <f t="shared" si="32"/>
        <v>#REF!</v>
      </c>
      <c r="O91" s="742" t="e">
        <f t="shared" si="33"/>
        <v>#REF!</v>
      </c>
      <c r="P91" s="742"/>
      <c r="Q91" s="742"/>
      <c r="R91" s="742"/>
      <c r="T91" s="742"/>
      <c r="V91" s="742"/>
      <c r="W91" s="27"/>
      <c r="X91" s="27"/>
      <c r="Y91" s="27"/>
      <c r="Z91" s="27"/>
      <c r="AA91" s="27"/>
      <c r="AB91" s="27"/>
      <c r="AC91" s="27"/>
      <c r="AD91" s="27"/>
      <c r="AE91" s="27"/>
      <c r="AF91" s="27"/>
      <c r="AG91" s="27"/>
      <c r="AH91" s="27"/>
    </row>
    <row r="92" spans="2:34" x14ac:dyDescent="0.3">
      <c r="B92" s="848" t="s">
        <v>95</v>
      </c>
      <c r="C92" s="849" t="e">
        <f t="shared" si="41"/>
        <v>#REF!</v>
      </c>
      <c r="D92" s="849"/>
      <c r="E92" s="849"/>
      <c r="F92" s="849"/>
      <c r="G92" s="849"/>
      <c r="H92" s="849"/>
      <c r="I92" s="849"/>
      <c r="J92" s="849"/>
      <c r="K92" s="849"/>
      <c r="L92" s="849"/>
      <c r="M92" s="849"/>
      <c r="N92" s="740">
        <f t="shared" si="32"/>
        <v>0</v>
      </c>
      <c r="O92" s="742" t="e">
        <f t="shared" si="33"/>
        <v>#REF!</v>
      </c>
      <c r="P92" s="742"/>
      <c r="Q92" s="742"/>
      <c r="R92" s="742"/>
      <c r="T92" s="742"/>
      <c r="V92" s="742"/>
      <c r="W92" s="27"/>
      <c r="X92" s="27"/>
      <c r="Y92" s="27"/>
      <c r="Z92" s="27"/>
      <c r="AA92" s="27"/>
      <c r="AB92" s="27"/>
      <c r="AC92" s="27"/>
      <c r="AD92" s="27"/>
      <c r="AE92" s="27"/>
      <c r="AF92" s="27"/>
      <c r="AG92" s="27"/>
      <c r="AH92" s="27"/>
    </row>
    <row r="93" spans="2:34" x14ac:dyDescent="0.3">
      <c r="B93" s="848" t="s">
        <v>119</v>
      </c>
      <c r="C93" s="849" t="e">
        <f t="shared" si="41"/>
        <v>#REF!</v>
      </c>
      <c r="D93" s="849" t="e">
        <f t="shared" si="41"/>
        <v>#REF!</v>
      </c>
      <c r="E93" s="849">
        <f t="shared" si="41"/>
        <v>0</v>
      </c>
      <c r="F93" s="849">
        <f t="shared" si="30"/>
        <v>0</v>
      </c>
      <c r="G93" s="849">
        <f t="shared" si="35"/>
        <v>0</v>
      </c>
      <c r="H93" s="849">
        <f t="shared" si="31"/>
        <v>0</v>
      </c>
      <c r="I93" s="849">
        <f t="shared" si="36"/>
        <v>0</v>
      </c>
      <c r="J93" s="849">
        <f t="shared" si="37"/>
        <v>0</v>
      </c>
      <c r="K93" s="849" t="e">
        <f t="shared" si="38"/>
        <v>#REF!</v>
      </c>
      <c r="L93" s="849" t="e">
        <f t="shared" si="39"/>
        <v>#REF!</v>
      </c>
      <c r="M93" s="849">
        <f t="shared" si="40"/>
        <v>0</v>
      </c>
      <c r="N93" s="740" t="e">
        <f t="shared" si="32"/>
        <v>#REF!</v>
      </c>
      <c r="O93" s="742" t="e">
        <f t="shared" si="33"/>
        <v>#REF!</v>
      </c>
      <c r="P93" s="742"/>
      <c r="Q93" s="742"/>
      <c r="R93" s="742"/>
      <c r="T93" s="742"/>
      <c r="V93" s="742"/>
      <c r="W93" s="27"/>
      <c r="X93" s="27"/>
      <c r="Y93" s="27"/>
      <c r="Z93" s="27"/>
      <c r="AA93" s="27"/>
      <c r="AB93" s="27"/>
      <c r="AC93" s="27"/>
      <c r="AD93" s="27"/>
      <c r="AE93" s="27"/>
      <c r="AF93" s="27"/>
      <c r="AG93" s="27"/>
      <c r="AH93" s="27"/>
    </row>
    <row r="94" spans="2:34" x14ac:dyDescent="0.3">
      <c r="B94" s="851" t="s">
        <v>427</v>
      </c>
      <c r="C94" s="852" t="e">
        <f>SUM(C72:C93)</f>
        <v>#REF!</v>
      </c>
      <c r="D94" s="853" t="e">
        <f t="shared" si="41"/>
        <v>#REF!</v>
      </c>
      <c r="E94" s="852" t="e">
        <f t="shared" ref="E94:L94" si="42">SUM(E72:E93)</f>
        <v>#REF!</v>
      </c>
      <c r="F94" s="852" t="e">
        <f t="shared" si="42"/>
        <v>#REF!</v>
      </c>
      <c r="G94" s="852" t="e">
        <f t="shared" si="42"/>
        <v>#REF!</v>
      </c>
      <c r="H94" s="852" t="e">
        <f t="shared" si="42"/>
        <v>#REF!</v>
      </c>
      <c r="I94" s="852" t="e">
        <f t="shared" si="42"/>
        <v>#REF!</v>
      </c>
      <c r="J94" s="852" t="e">
        <f t="shared" si="42"/>
        <v>#REF!</v>
      </c>
      <c r="K94" s="852" t="e">
        <f t="shared" si="42"/>
        <v>#REF!</v>
      </c>
      <c r="L94" s="852" t="e">
        <f t="shared" si="42"/>
        <v>#REF!</v>
      </c>
      <c r="M94" s="852" t="e">
        <f>SUM(M72:M92)</f>
        <v>#REF!</v>
      </c>
      <c r="N94" s="740" t="e">
        <f t="shared" si="32"/>
        <v>#REF!</v>
      </c>
      <c r="O94" s="742" t="e">
        <f t="shared" si="33"/>
        <v>#REF!</v>
      </c>
      <c r="P94" s="742"/>
      <c r="Q94" s="742"/>
      <c r="R94" s="742"/>
      <c r="T94" s="742"/>
      <c r="V94" s="742"/>
      <c r="W94" s="27"/>
      <c r="X94" s="27"/>
      <c r="Y94" s="27"/>
      <c r="Z94" s="27"/>
      <c r="AA94" s="27"/>
      <c r="AB94" s="27"/>
      <c r="AC94" s="27"/>
      <c r="AD94" s="27"/>
      <c r="AE94" s="27"/>
      <c r="AF94" s="27"/>
      <c r="AG94" s="27"/>
      <c r="AH94" s="27"/>
    </row>
    <row r="95" spans="2:34" x14ac:dyDescent="0.3">
      <c r="B95" s="854" t="s">
        <v>428</v>
      </c>
      <c r="C95" s="855" t="e">
        <f>C94-C91</f>
        <v>#REF!</v>
      </c>
      <c r="D95" s="856" t="e">
        <f>(Q26-Q23)/C95</f>
        <v>#REF!</v>
      </c>
      <c r="E95" s="855" t="e">
        <f>E94-E91</f>
        <v>#REF!</v>
      </c>
      <c r="F95" s="855" t="e">
        <f t="shared" ref="F95:M95" si="43">F94-F91</f>
        <v>#REF!</v>
      </c>
      <c r="G95" s="855" t="e">
        <f t="shared" si="43"/>
        <v>#REF!</v>
      </c>
      <c r="H95" s="855" t="e">
        <f t="shared" si="43"/>
        <v>#REF!</v>
      </c>
      <c r="I95" s="855" t="e">
        <f t="shared" si="43"/>
        <v>#REF!</v>
      </c>
      <c r="J95" s="855" t="e">
        <f t="shared" si="43"/>
        <v>#REF!</v>
      </c>
      <c r="K95" s="855" t="e">
        <f t="shared" si="43"/>
        <v>#REF!</v>
      </c>
      <c r="L95" s="855" t="e">
        <f t="shared" si="43"/>
        <v>#REF!</v>
      </c>
      <c r="M95" s="855" t="e">
        <f t="shared" si="43"/>
        <v>#REF!</v>
      </c>
      <c r="N95" s="27" t="e">
        <f>N94/#REF!*1000</f>
        <v>#REF!</v>
      </c>
      <c r="O95" s="27" t="e">
        <f t="shared" si="33"/>
        <v>#REF!</v>
      </c>
      <c r="Q95" s="741"/>
      <c r="R95" s="742"/>
      <c r="S95" s="741"/>
      <c r="T95" s="742"/>
      <c r="U95" s="741"/>
      <c r="V95" s="742"/>
      <c r="W95" s="741"/>
      <c r="Z95" s="742"/>
      <c r="AH95" s="27"/>
    </row>
    <row r="96" spans="2:34" x14ac:dyDescent="0.3">
      <c r="J96" s="741"/>
      <c r="L96" s="27"/>
      <c r="Q96" s="741"/>
      <c r="R96" s="742"/>
      <c r="S96" s="741"/>
      <c r="T96" s="742"/>
      <c r="U96" s="741"/>
      <c r="V96" s="742"/>
      <c r="W96" s="741"/>
      <c r="Z96" s="742"/>
      <c r="AH96" s="27"/>
    </row>
    <row r="98" spans="2:34" ht="20.100000000000001" customHeight="1" x14ac:dyDescent="0.3">
      <c r="B98" s="3858" t="s">
        <v>336</v>
      </c>
      <c r="C98" s="3858" t="s">
        <v>468</v>
      </c>
      <c r="D98" s="3859" t="s">
        <v>469</v>
      </c>
      <c r="E98" s="3860" t="s">
        <v>512</v>
      </c>
      <c r="F98" s="3861"/>
      <c r="G98" s="3861"/>
      <c r="H98" s="3861"/>
      <c r="I98" s="3861"/>
      <c r="J98" s="3861"/>
      <c r="K98" s="3861"/>
      <c r="L98" s="3861"/>
      <c r="M98" s="3862"/>
      <c r="P98" s="741"/>
      <c r="Q98" s="742"/>
      <c r="W98" s="741"/>
      <c r="X98" s="742"/>
      <c r="Y98" s="742"/>
      <c r="Z98" s="742"/>
      <c r="AG98" s="27"/>
      <c r="AH98" s="27"/>
    </row>
    <row r="99" spans="2:34" ht="42" customHeight="1" x14ac:dyDescent="0.3">
      <c r="B99" s="3858"/>
      <c r="C99" s="3858"/>
      <c r="D99" s="3859"/>
      <c r="E99" s="847" t="s">
        <v>494</v>
      </c>
      <c r="F99" s="847" t="s">
        <v>495</v>
      </c>
      <c r="G99" s="847" t="s">
        <v>496</v>
      </c>
      <c r="H99" s="847" t="s">
        <v>497</v>
      </c>
      <c r="I99" s="847" t="s">
        <v>499</v>
      </c>
      <c r="J99" s="847" t="s">
        <v>501</v>
      </c>
      <c r="K99" s="847" t="s">
        <v>503</v>
      </c>
      <c r="L99" s="847" t="s">
        <v>505</v>
      </c>
      <c r="M99" s="847" t="s">
        <v>507</v>
      </c>
      <c r="P99" s="741"/>
      <c r="Q99" s="742"/>
      <c r="W99" s="741"/>
      <c r="X99" s="742"/>
      <c r="Y99" s="742"/>
      <c r="Z99" s="742"/>
      <c r="AG99" s="27"/>
      <c r="AH99" s="27"/>
    </row>
    <row r="100" spans="2:34" x14ac:dyDescent="0.3">
      <c r="B100" s="857" t="s">
        <v>5</v>
      </c>
      <c r="C100" s="858" t="e">
        <f>C37</f>
        <v>#REF!</v>
      </c>
      <c r="D100" s="859" t="e">
        <f>D72</f>
        <v>#REF!</v>
      </c>
      <c r="E100" s="859">
        <f t="shared" ref="E100:E106" si="44">F37</f>
        <v>0</v>
      </c>
      <c r="F100" s="859">
        <f>H37</f>
        <v>0</v>
      </c>
      <c r="G100" s="859" t="e">
        <f>J37</f>
        <v>#REF!</v>
      </c>
      <c r="H100" s="859" t="e">
        <f>L37</f>
        <v>#REF!</v>
      </c>
      <c r="I100" s="859" t="e">
        <f>N37</f>
        <v>#REF!</v>
      </c>
      <c r="J100" s="859" t="e">
        <f>P37</f>
        <v>#REF!</v>
      </c>
      <c r="K100" s="859" t="e">
        <f>R37</f>
        <v>#REF!</v>
      </c>
      <c r="L100" s="859" t="e">
        <f>T37</f>
        <v>#REF!</v>
      </c>
      <c r="M100" s="859" t="e">
        <f>V37</f>
        <v>#REF!</v>
      </c>
      <c r="N100" s="742" t="e">
        <f t="shared" ref="N100:N119" si="45">SUM(E100:M100)</f>
        <v>#REF!</v>
      </c>
      <c r="P100" s="741"/>
      <c r="Q100" s="742"/>
      <c r="W100" s="741"/>
      <c r="X100" s="742"/>
      <c r="Y100" s="742"/>
      <c r="Z100" s="742"/>
      <c r="AG100" s="27"/>
      <c r="AH100" s="27"/>
    </row>
    <row r="101" spans="2:34" x14ac:dyDescent="0.3">
      <c r="B101" s="857" t="s">
        <v>8</v>
      </c>
      <c r="C101" s="858" t="e">
        <f t="shared" ref="C101:C121" si="46">C38</f>
        <v>#REF!</v>
      </c>
      <c r="D101" s="859" t="e">
        <f t="shared" ref="D101:D122" si="47">D73</f>
        <v>#REF!</v>
      </c>
      <c r="E101" s="859">
        <f t="shared" si="44"/>
        <v>0</v>
      </c>
      <c r="F101" s="859" t="e">
        <f>H38</f>
        <v>#REF!</v>
      </c>
      <c r="G101" s="859">
        <f t="shared" ref="G101:G121" si="48">J38</f>
        <v>0</v>
      </c>
      <c r="H101" s="859">
        <f t="shared" ref="H101:H121" si="49">L38</f>
        <v>0</v>
      </c>
      <c r="I101" s="859">
        <f t="shared" ref="I101:I121" si="50">N38</f>
        <v>0</v>
      </c>
      <c r="J101" s="859">
        <f t="shared" ref="J101:J121" si="51">P38</f>
        <v>0</v>
      </c>
      <c r="K101" s="859" t="e">
        <f t="shared" ref="K101:K121" si="52">R38</f>
        <v>#REF!</v>
      </c>
      <c r="L101" s="859" t="e">
        <f t="shared" ref="L101:L121" si="53">T38</f>
        <v>#REF!</v>
      </c>
      <c r="M101" s="859">
        <f t="shared" ref="M101:M121" si="54">V38</f>
        <v>0</v>
      </c>
      <c r="N101" s="742" t="e">
        <f t="shared" si="45"/>
        <v>#REF!</v>
      </c>
      <c r="P101" s="741"/>
      <c r="Q101" s="742"/>
      <c r="W101" s="741"/>
      <c r="X101" s="742"/>
      <c r="Y101" s="742"/>
      <c r="Z101" s="742"/>
      <c r="AG101" s="27"/>
      <c r="AH101" s="27"/>
    </row>
    <row r="102" spans="2:34" x14ac:dyDescent="0.3">
      <c r="B102" s="857" t="s">
        <v>304</v>
      </c>
      <c r="C102" s="858" t="e">
        <f t="shared" si="46"/>
        <v>#REF!</v>
      </c>
      <c r="D102" s="859" t="e">
        <f t="shared" si="47"/>
        <v>#REF!</v>
      </c>
      <c r="E102" s="859">
        <f t="shared" si="44"/>
        <v>0</v>
      </c>
      <c r="F102" s="859" t="e">
        <f t="shared" ref="F102:F121" si="55">H39</f>
        <v>#REF!</v>
      </c>
      <c r="G102" s="859">
        <f t="shared" si="48"/>
        <v>0</v>
      </c>
      <c r="H102" s="859">
        <f t="shared" si="49"/>
        <v>0</v>
      </c>
      <c r="I102" s="859">
        <f t="shared" si="50"/>
        <v>0</v>
      </c>
      <c r="J102" s="859">
        <f t="shared" si="51"/>
        <v>0</v>
      </c>
      <c r="K102" s="859" t="e">
        <f t="shared" si="52"/>
        <v>#REF!</v>
      </c>
      <c r="L102" s="859" t="e">
        <f t="shared" si="53"/>
        <v>#REF!</v>
      </c>
      <c r="M102" s="859">
        <f t="shared" si="54"/>
        <v>0</v>
      </c>
      <c r="N102" s="742" t="e">
        <f t="shared" si="45"/>
        <v>#REF!</v>
      </c>
      <c r="P102" s="741"/>
      <c r="Q102" s="742"/>
      <c r="W102" s="741"/>
      <c r="X102" s="742"/>
      <c r="Y102" s="742"/>
      <c r="Z102" s="742"/>
      <c r="AG102" s="27"/>
      <c r="AH102" s="27"/>
    </row>
    <row r="103" spans="2:34" x14ac:dyDescent="0.3">
      <c r="B103" s="857" t="s">
        <v>14</v>
      </c>
      <c r="C103" s="858" t="e">
        <f t="shared" si="46"/>
        <v>#REF!</v>
      </c>
      <c r="D103" s="859" t="e">
        <f t="shared" si="47"/>
        <v>#REF!</v>
      </c>
      <c r="E103" s="859">
        <f t="shared" si="44"/>
        <v>0</v>
      </c>
      <c r="F103" s="859" t="e">
        <f t="shared" si="55"/>
        <v>#REF!</v>
      </c>
      <c r="G103" s="859">
        <f t="shared" si="48"/>
        <v>0</v>
      </c>
      <c r="H103" s="859" t="e">
        <f t="shared" si="49"/>
        <v>#REF!</v>
      </c>
      <c r="I103" s="859">
        <f t="shared" si="50"/>
        <v>0</v>
      </c>
      <c r="J103" s="859">
        <f t="shared" si="51"/>
        <v>0</v>
      </c>
      <c r="K103" s="859" t="e">
        <f t="shared" si="52"/>
        <v>#REF!</v>
      </c>
      <c r="L103" s="859" t="e">
        <f t="shared" si="53"/>
        <v>#REF!</v>
      </c>
      <c r="M103" s="859">
        <f t="shared" si="54"/>
        <v>0</v>
      </c>
      <c r="N103" s="742" t="e">
        <f t="shared" si="45"/>
        <v>#REF!</v>
      </c>
      <c r="P103" s="741"/>
      <c r="Q103" s="742"/>
      <c r="W103" s="741"/>
      <c r="X103" s="742"/>
      <c r="Y103" s="742"/>
      <c r="Z103" s="742"/>
      <c r="AG103" s="27"/>
      <c r="AH103" s="27"/>
    </row>
    <row r="104" spans="2:34" x14ac:dyDescent="0.3">
      <c r="B104" s="857" t="s">
        <v>17</v>
      </c>
      <c r="C104" s="858" t="e">
        <f t="shared" si="46"/>
        <v>#REF!</v>
      </c>
      <c r="D104" s="859" t="e">
        <f t="shared" si="47"/>
        <v>#REF!</v>
      </c>
      <c r="E104" s="859">
        <f t="shared" si="44"/>
        <v>0</v>
      </c>
      <c r="F104" s="859" t="e">
        <f t="shared" si="55"/>
        <v>#REF!</v>
      </c>
      <c r="G104" s="859">
        <f t="shared" si="48"/>
        <v>0</v>
      </c>
      <c r="H104" s="859">
        <f t="shared" si="49"/>
        <v>0</v>
      </c>
      <c r="I104" s="859">
        <f t="shared" si="50"/>
        <v>0</v>
      </c>
      <c r="J104" s="859">
        <f t="shared" si="51"/>
        <v>0</v>
      </c>
      <c r="K104" s="859" t="e">
        <f t="shared" si="52"/>
        <v>#REF!</v>
      </c>
      <c r="L104" s="859" t="e">
        <f t="shared" si="53"/>
        <v>#REF!</v>
      </c>
      <c r="M104" s="859">
        <f t="shared" si="54"/>
        <v>0</v>
      </c>
      <c r="N104" s="742" t="e">
        <f t="shared" si="45"/>
        <v>#REF!</v>
      </c>
      <c r="P104" s="741"/>
      <c r="Q104" s="742"/>
      <c r="W104" s="741"/>
      <c r="X104" s="742"/>
      <c r="Y104" s="742"/>
      <c r="Z104" s="742"/>
      <c r="AG104" s="27"/>
      <c r="AH104" s="27"/>
    </row>
    <row r="105" spans="2:34" x14ac:dyDescent="0.3">
      <c r="B105" s="857" t="s">
        <v>16</v>
      </c>
      <c r="C105" s="858" t="e">
        <f t="shared" si="46"/>
        <v>#REF!</v>
      </c>
      <c r="D105" s="859" t="e">
        <f t="shared" si="47"/>
        <v>#REF!</v>
      </c>
      <c r="E105" s="859">
        <f t="shared" si="44"/>
        <v>0</v>
      </c>
      <c r="F105" s="859" t="e">
        <f t="shared" si="55"/>
        <v>#REF!</v>
      </c>
      <c r="G105" s="859">
        <f t="shared" si="48"/>
        <v>0</v>
      </c>
      <c r="H105" s="859">
        <f t="shared" si="49"/>
        <v>0</v>
      </c>
      <c r="I105" s="859">
        <f t="shared" si="50"/>
        <v>0</v>
      </c>
      <c r="J105" s="859">
        <f t="shared" si="51"/>
        <v>0</v>
      </c>
      <c r="K105" s="859" t="e">
        <f t="shared" si="52"/>
        <v>#REF!</v>
      </c>
      <c r="L105" s="859" t="e">
        <f t="shared" si="53"/>
        <v>#REF!</v>
      </c>
      <c r="M105" s="859">
        <f t="shared" si="54"/>
        <v>0</v>
      </c>
      <c r="N105" s="742" t="e">
        <f t="shared" si="45"/>
        <v>#REF!</v>
      </c>
      <c r="P105" s="741"/>
      <c r="Q105" s="742"/>
      <c r="W105" s="741"/>
      <c r="X105" s="742"/>
      <c r="Y105" s="742"/>
      <c r="Z105" s="742"/>
      <c r="AG105" s="27"/>
      <c r="AH105" s="27"/>
    </row>
    <row r="106" spans="2:34" x14ac:dyDescent="0.3">
      <c r="B106" s="857" t="s">
        <v>308</v>
      </c>
      <c r="C106" s="858" t="e">
        <f t="shared" si="46"/>
        <v>#REF!</v>
      </c>
      <c r="D106" s="859" t="e">
        <f t="shared" si="47"/>
        <v>#REF!</v>
      </c>
      <c r="E106" s="859">
        <f t="shared" si="44"/>
        <v>0</v>
      </c>
      <c r="F106" s="859" t="e">
        <f t="shared" si="55"/>
        <v>#REF!</v>
      </c>
      <c r="G106" s="859">
        <f t="shared" si="48"/>
        <v>0</v>
      </c>
      <c r="H106" s="859" t="e">
        <f t="shared" si="49"/>
        <v>#REF!</v>
      </c>
      <c r="I106" s="859">
        <f t="shared" si="50"/>
        <v>0</v>
      </c>
      <c r="J106" s="859">
        <f t="shared" si="51"/>
        <v>0</v>
      </c>
      <c r="K106" s="859" t="e">
        <f t="shared" si="52"/>
        <v>#REF!</v>
      </c>
      <c r="L106" s="859" t="e">
        <f t="shared" si="53"/>
        <v>#REF!</v>
      </c>
      <c r="M106" s="859">
        <f t="shared" si="54"/>
        <v>0</v>
      </c>
      <c r="N106" s="742" t="e">
        <f t="shared" si="45"/>
        <v>#REF!</v>
      </c>
      <c r="P106" s="741"/>
      <c r="Q106" s="742"/>
      <c r="W106" s="741"/>
      <c r="X106" s="742"/>
      <c r="Y106" s="742"/>
      <c r="Z106" s="742"/>
      <c r="AG106" s="27"/>
      <c r="AH106" s="27"/>
    </row>
    <row r="107" spans="2:34" x14ac:dyDescent="0.3">
      <c r="B107" s="857" t="s">
        <v>44</v>
      </c>
      <c r="C107" s="858" t="e">
        <f t="shared" si="46"/>
        <v>#REF!</v>
      </c>
      <c r="D107" s="859" t="e">
        <f t="shared" si="47"/>
        <v>#REF!</v>
      </c>
      <c r="E107" s="859" t="e">
        <f>F44</f>
        <v>#REF!</v>
      </c>
      <c r="F107" s="859" t="e">
        <f t="shared" si="55"/>
        <v>#REF!</v>
      </c>
      <c r="G107" s="859">
        <f t="shared" si="48"/>
        <v>0</v>
      </c>
      <c r="H107" s="859" t="e">
        <f t="shared" si="49"/>
        <v>#REF!</v>
      </c>
      <c r="I107" s="859">
        <f t="shared" si="50"/>
        <v>0</v>
      </c>
      <c r="J107" s="859">
        <f t="shared" si="51"/>
        <v>0</v>
      </c>
      <c r="K107" s="859" t="e">
        <f t="shared" si="52"/>
        <v>#REF!</v>
      </c>
      <c r="L107" s="859" t="e">
        <f t="shared" si="53"/>
        <v>#REF!</v>
      </c>
      <c r="M107" s="859">
        <f t="shared" si="54"/>
        <v>0</v>
      </c>
      <c r="N107" s="742" t="e">
        <f t="shared" si="45"/>
        <v>#REF!</v>
      </c>
      <c r="P107" s="741"/>
      <c r="Q107" s="742"/>
      <c r="W107" s="741"/>
      <c r="X107" s="742"/>
      <c r="Y107" s="742"/>
      <c r="Z107" s="742"/>
      <c r="AG107" s="27"/>
      <c r="AH107" s="27"/>
    </row>
    <row r="108" spans="2:34" x14ac:dyDescent="0.3">
      <c r="B108" s="857" t="s">
        <v>326</v>
      </c>
      <c r="C108" s="858" t="e">
        <f t="shared" si="46"/>
        <v>#REF!</v>
      </c>
      <c r="D108" s="859" t="e">
        <f t="shared" si="47"/>
        <v>#REF!</v>
      </c>
      <c r="E108" s="859">
        <f t="shared" ref="E108:E121" si="56">F45</f>
        <v>0</v>
      </c>
      <c r="F108" s="859" t="e">
        <f t="shared" si="55"/>
        <v>#REF!</v>
      </c>
      <c r="G108" s="859">
        <f t="shared" si="48"/>
        <v>0</v>
      </c>
      <c r="H108" s="859">
        <f t="shared" si="49"/>
        <v>0</v>
      </c>
      <c r="I108" s="859">
        <f t="shared" si="50"/>
        <v>0</v>
      </c>
      <c r="J108" s="859">
        <f t="shared" si="51"/>
        <v>0</v>
      </c>
      <c r="K108" s="859" t="e">
        <f t="shared" si="52"/>
        <v>#REF!</v>
      </c>
      <c r="L108" s="859" t="e">
        <f t="shared" si="53"/>
        <v>#REF!</v>
      </c>
      <c r="M108" s="859">
        <f t="shared" si="54"/>
        <v>0</v>
      </c>
      <c r="N108" s="742" t="e">
        <f t="shared" si="45"/>
        <v>#REF!</v>
      </c>
      <c r="P108" s="741"/>
      <c r="Q108" s="742"/>
      <c r="W108" s="741"/>
      <c r="X108" s="742"/>
      <c r="Y108" s="742"/>
      <c r="Z108" s="742"/>
      <c r="AG108" s="27"/>
      <c r="AH108" s="27"/>
    </row>
    <row r="109" spans="2:34" x14ac:dyDescent="0.3">
      <c r="B109" s="857" t="s">
        <v>25</v>
      </c>
      <c r="C109" s="858" t="e">
        <f t="shared" si="46"/>
        <v>#REF!</v>
      </c>
      <c r="D109" s="859" t="e">
        <f t="shared" si="47"/>
        <v>#REF!</v>
      </c>
      <c r="E109" s="859" t="e">
        <f t="shared" si="56"/>
        <v>#REF!</v>
      </c>
      <c r="F109" s="859" t="e">
        <f t="shared" si="55"/>
        <v>#REF!</v>
      </c>
      <c r="G109" s="859">
        <f t="shared" si="48"/>
        <v>0</v>
      </c>
      <c r="H109" s="859" t="e">
        <f t="shared" si="49"/>
        <v>#REF!</v>
      </c>
      <c r="I109" s="859">
        <f t="shared" si="50"/>
        <v>0</v>
      </c>
      <c r="J109" s="859">
        <f t="shared" si="51"/>
        <v>0</v>
      </c>
      <c r="K109" s="859" t="e">
        <f t="shared" si="52"/>
        <v>#REF!</v>
      </c>
      <c r="L109" s="859" t="e">
        <f t="shared" si="53"/>
        <v>#REF!</v>
      </c>
      <c r="M109" s="859">
        <f t="shared" si="54"/>
        <v>0</v>
      </c>
      <c r="N109" s="742" t="e">
        <f t="shared" si="45"/>
        <v>#REF!</v>
      </c>
      <c r="P109" s="741"/>
      <c r="Q109" s="742"/>
      <c r="W109" s="741"/>
      <c r="X109" s="742"/>
      <c r="Y109" s="742"/>
      <c r="Z109" s="742"/>
      <c r="AG109" s="27"/>
      <c r="AH109" s="27"/>
    </row>
    <row r="110" spans="2:34" x14ac:dyDescent="0.3">
      <c r="B110" s="857" t="s">
        <v>29</v>
      </c>
      <c r="C110" s="858" t="e">
        <f t="shared" si="46"/>
        <v>#REF!</v>
      </c>
      <c r="D110" s="859" t="e">
        <f t="shared" si="47"/>
        <v>#REF!</v>
      </c>
      <c r="E110" s="859">
        <f t="shared" si="56"/>
        <v>0</v>
      </c>
      <c r="F110" s="859" t="e">
        <f t="shared" si="55"/>
        <v>#REF!</v>
      </c>
      <c r="G110" s="859">
        <f t="shared" si="48"/>
        <v>0</v>
      </c>
      <c r="H110" s="859" t="e">
        <f t="shared" si="49"/>
        <v>#REF!</v>
      </c>
      <c r="I110" s="859">
        <f t="shared" si="50"/>
        <v>0</v>
      </c>
      <c r="J110" s="859">
        <f t="shared" si="51"/>
        <v>0</v>
      </c>
      <c r="K110" s="859" t="e">
        <f t="shared" si="52"/>
        <v>#REF!</v>
      </c>
      <c r="L110" s="859" t="e">
        <f t="shared" si="53"/>
        <v>#REF!</v>
      </c>
      <c r="M110" s="859">
        <f t="shared" si="54"/>
        <v>0</v>
      </c>
      <c r="N110" s="742" t="e">
        <f t="shared" si="45"/>
        <v>#REF!</v>
      </c>
      <c r="P110" s="741"/>
      <c r="Q110" s="742"/>
      <c r="W110" s="741"/>
      <c r="X110" s="742"/>
      <c r="Y110" s="742"/>
      <c r="Z110" s="742"/>
      <c r="AG110" s="27"/>
      <c r="AH110" s="27"/>
    </row>
    <row r="111" spans="2:34" x14ac:dyDescent="0.3">
      <c r="B111" s="857" t="s">
        <v>60</v>
      </c>
      <c r="C111" s="858" t="e">
        <f t="shared" si="46"/>
        <v>#REF!</v>
      </c>
      <c r="D111" s="859" t="e">
        <f t="shared" si="47"/>
        <v>#REF!</v>
      </c>
      <c r="E111" s="859">
        <f t="shared" si="56"/>
        <v>0</v>
      </c>
      <c r="F111" s="859" t="e">
        <f t="shared" si="55"/>
        <v>#REF!</v>
      </c>
      <c r="G111" s="859">
        <f t="shared" si="48"/>
        <v>0</v>
      </c>
      <c r="H111" s="859" t="e">
        <f t="shared" si="49"/>
        <v>#REF!</v>
      </c>
      <c r="I111" s="859">
        <f t="shared" si="50"/>
        <v>0</v>
      </c>
      <c r="J111" s="859">
        <f t="shared" si="51"/>
        <v>0</v>
      </c>
      <c r="K111" s="859" t="e">
        <f t="shared" si="52"/>
        <v>#REF!</v>
      </c>
      <c r="L111" s="859">
        <f t="shared" si="53"/>
        <v>0</v>
      </c>
      <c r="M111" s="859">
        <f t="shared" si="54"/>
        <v>0</v>
      </c>
      <c r="N111" s="742" t="e">
        <f t="shared" si="45"/>
        <v>#REF!</v>
      </c>
      <c r="P111" s="741"/>
      <c r="Q111" s="742"/>
      <c r="W111" s="741"/>
      <c r="X111" s="742"/>
      <c r="Y111" s="742"/>
      <c r="Z111" s="742"/>
      <c r="AG111" s="27"/>
      <c r="AH111" s="27"/>
    </row>
    <row r="112" spans="2:34" x14ac:dyDescent="0.3">
      <c r="B112" s="857" t="s">
        <v>33</v>
      </c>
      <c r="C112" s="858" t="e">
        <f t="shared" si="46"/>
        <v>#REF!</v>
      </c>
      <c r="D112" s="859" t="e">
        <f t="shared" si="47"/>
        <v>#REF!</v>
      </c>
      <c r="E112" s="859">
        <f t="shared" si="56"/>
        <v>0</v>
      </c>
      <c r="F112" s="859" t="e">
        <f t="shared" si="55"/>
        <v>#REF!</v>
      </c>
      <c r="G112" s="859">
        <f t="shared" si="48"/>
        <v>0</v>
      </c>
      <c r="H112" s="859" t="e">
        <f t="shared" si="49"/>
        <v>#REF!</v>
      </c>
      <c r="I112" s="859">
        <f t="shared" si="50"/>
        <v>0</v>
      </c>
      <c r="J112" s="859">
        <f t="shared" si="51"/>
        <v>0</v>
      </c>
      <c r="K112" s="859">
        <f t="shared" si="52"/>
        <v>0</v>
      </c>
      <c r="L112" s="859">
        <f t="shared" si="53"/>
        <v>0</v>
      </c>
      <c r="M112" s="859" t="e">
        <f t="shared" si="54"/>
        <v>#REF!</v>
      </c>
      <c r="N112" s="742" t="e">
        <f t="shared" si="45"/>
        <v>#REF!</v>
      </c>
      <c r="P112" s="741"/>
      <c r="Q112" s="742"/>
      <c r="W112" s="741"/>
      <c r="X112" s="742"/>
      <c r="Y112" s="742"/>
      <c r="Z112" s="742"/>
      <c r="AG112" s="27"/>
      <c r="AH112" s="27"/>
    </row>
    <row r="113" spans="2:34" x14ac:dyDescent="0.3">
      <c r="B113" s="857" t="s">
        <v>66</v>
      </c>
      <c r="C113" s="858" t="e">
        <f t="shared" si="46"/>
        <v>#REF!</v>
      </c>
      <c r="D113" s="859" t="e">
        <f t="shared" si="47"/>
        <v>#REF!</v>
      </c>
      <c r="E113" s="859" t="e">
        <f t="shared" si="56"/>
        <v>#REF!</v>
      </c>
      <c r="F113" s="859" t="e">
        <f t="shared" si="55"/>
        <v>#REF!</v>
      </c>
      <c r="G113" s="859">
        <f t="shared" si="48"/>
        <v>0</v>
      </c>
      <c r="H113" s="859" t="e">
        <f t="shared" si="49"/>
        <v>#REF!</v>
      </c>
      <c r="I113" s="859">
        <f t="shared" si="50"/>
        <v>0</v>
      </c>
      <c r="J113" s="859">
        <f t="shared" si="51"/>
        <v>0</v>
      </c>
      <c r="K113" s="859">
        <f t="shared" si="52"/>
        <v>0</v>
      </c>
      <c r="L113" s="859">
        <f t="shared" si="53"/>
        <v>0</v>
      </c>
      <c r="M113" s="859">
        <f t="shared" si="54"/>
        <v>0</v>
      </c>
      <c r="N113" s="742" t="e">
        <f t="shared" si="45"/>
        <v>#REF!</v>
      </c>
      <c r="P113" s="741"/>
      <c r="Q113" s="742"/>
      <c r="W113" s="741"/>
      <c r="X113" s="742"/>
      <c r="Y113" s="742"/>
      <c r="Z113" s="742"/>
      <c r="AG113" s="27"/>
      <c r="AH113" s="27"/>
    </row>
    <row r="114" spans="2:34" x14ac:dyDescent="0.3">
      <c r="B114" s="857" t="s">
        <v>73</v>
      </c>
      <c r="C114" s="858" t="e">
        <f t="shared" si="46"/>
        <v>#REF!</v>
      </c>
      <c r="D114" s="859" t="e">
        <f t="shared" si="47"/>
        <v>#REF!</v>
      </c>
      <c r="E114" s="859">
        <f t="shared" si="56"/>
        <v>0</v>
      </c>
      <c r="F114" s="859" t="e">
        <f t="shared" si="55"/>
        <v>#REF!</v>
      </c>
      <c r="G114" s="859">
        <f t="shared" si="48"/>
        <v>0</v>
      </c>
      <c r="H114" s="859" t="e">
        <f t="shared" si="49"/>
        <v>#REF!</v>
      </c>
      <c r="I114" s="859">
        <f t="shared" si="50"/>
        <v>0</v>
      </c>
      <c r="J114" s="859">
        <f t="shared" si="51"/>
        <v>0</v>
      </c>
      <c r="K114" s="859" t="e">
        <f t="shared" si="52"/>
        <v>#REF!</v>
      </c>
      <c r="L114" s="859" t="e">
        <f t="shared" si="53"/>
        <v>#REF!</v>
      </c>
      <c r="M114" s="859">
        <f t="shared" si="54"/>
        <v>0</v>
      </c>
      <c r="N114" s="742" t="e">
        <f t="shared" si="45"/>
        <v>#REF!</v>
      </c>
      <c r="P114" s="741"/>
      <c r="Q114" s="742"/>
      <c r="W114" s="741"/>
      <c r="X114" s="742"/>
      <c r="Y114" s="742"/>
      <c r="Z114" s="742"/>
      <c r="AG114" s="27"/>
      <c r="AH114" s="27"/>
    </row>
    <row r="115" spans="2:34" x14ac:dyDescent="0.3">
      <c r="B115" s="857" t="s">
        <v>74</v>
      </c>
      <c r="C115" s="858" t="e">
        <f t="shared" si="46"/>
        <v>#REF!</v>
      </c>
      <c r="D115" s="859" t="e">
        <f t="shared" si="47"/>
        <v>#REF!</v>
      </c>
      <c r="E115" s="859">
        <f t="shared" si="56"/>
        <v>0</v>
      </c>
      <c r="F115" s="859" t="e">
        <f t="shared" si="55"/>
        <v>#REF!</v>
      </c>
      <c r="G115" s="859">
        <f t="shared" si="48"/>
        <v>0</v>
      </c>
      <c r="H115" s="859" t="e">
        <f t="shared" si="49"/>
        <v>#REF!</v>
      </c>
      <c r="I115" s="859">
        <f t="shared" si="50"/>
        <v>0</v>
      </c>
      <c r="J115" s="859">
        <f t="shared" si="51"/>
        <v>0</v>
      </c>
      <c r="K115" s="859">
        <f t="shared" si="52"/>
        <v>0</v>
      </c>
      <c r="L115" s="859">
        <f t="shared" si="53"/>
        <v>0</v>
      </c>
      <c r="M115" s="859">
        <f t="shared" si="54"/>
        <v>0</v>
      </c>
      <c r="N115" s="742" t="e">
        <f t="shared" si="45"/>
        <v>#REF!</v>
      </c>
      <c r="P115" s="741"/>
      <c r="Q115" s="742"/>
      <c r="W115" s="741"/>
      <c r="X115" s="742"/>
      <c r="Y115" s="742"/>
      <c r="Z115" s="742"/>
      <c r="AG115" s="27"/>
      <c r="AH115" s="27"/>
    </row>
    <row r="116" spans="2:34" x14ac:dyDescent="0.3">
      <c r="B116" s="857" t="s">
        <v>327</v>
      </c>
      <c r="C116" s="858" t="e">
        <f t="shared" si="46"/>
        <v>#REF!</v>
      </c>
      <c r="D116" s="859" t="e">
        <f t="shared" si="47"/>
        <v>#REF!</v>
      </c>
      <c r="E116" s="859" t="e">
        <f t="shared" si="56"/>
        <v>#REF!</v>
      </c>
      <c r="F116" s="859" t="e">
        <f t="shared" si="55"/>
        <v>#REF!</v>
      </c>
      <c r="G116" s="859">
        <f t="shared" si="48"/>
        <v>0</v>
      </c>
      <c r="H116" s="859" t="e">
        <f t="shared" si="49"/>
        <v>#REF!</v>
      </c>
      <c r="I116" s="859">
        <f t="shared" si="50"/>
        <v>0</v>
      </c>
      <c r="J116" s="859">
        <f t="shared" si="51"/>
        <v>0</v>
      </c>
      <c r="K116" s="859" t="e">
        <f t="shared" si="52"/>
        <v>#REF!</v>
      </c>
      <c r="L116" s="859" t="e">
        <f t="shared" si="53"/>
        <v>#REF!</v>
      </c>
      <c r="M116" s="859">
        <f t="shared" si="54"/>
        <v>0</v>
      </c>
      <c r="N116" s="742" t="e">
        <f t="shared" si="45"/>
        <v>#REF!</v>
      </c>
      <c r="P116" s="741"/>
      <c r="Q116" s="742"/>
      <c r="W116" s="741"/>
      <c r="X116" s="742"/>
      <c r="Y116" s="742"/>
      <c r="Z116" s="742"/>
      <c r="AG116" s="27"/>
      <c r="AH116" s="27"/>
    </row>
    <row r="117" spans="2:34" x14ac:dyDescent="0.3">
      <c r="B117" s="857" t="s">
        <v>143</v>
      </c>
      <c r="C117" s="858" t="e">
        <f t="shared" si="46"/>
        <v>#REF!</v>
      </c>
      <c r="D117" s="859" t="e">
        <f t="shared" si="47"/>
        <v>#REF!</v>
      </c>
      <c r="E117" s="859" t="e">
        <f t="shared" si="56"/>
        <v>#REF!</v>
      </c>
      <c r="F117" s="859" t="e">
        <f t="shared" si="55"/>
        <v>#REF!</v>
      </c>
      <c r="G117" s="859">
        <f t="shared" si="48"/>
        <v>0</v>
      </c>
      <c r="H117" s="859" t="e">
        <f t="shared" si="49"/>
        <v>#REF!</v>
      </c>
      <c r="I117" s="859">
        <f t="shared" si="50"/>
        <v>0</v>
      </c>
      <c r="J117" s="859">
        <f t="shared" si="51"/>
        <v>0</v>
      </c>
      <c r="K117" s="859" t="e">
        <f t="shared" si="52"/>
        <v>#REF!</v>
      </c>
      <c r="L117" s="859" t="e">
        <f t="shared" si="53"/>
        <v>#REF!</v>
      </c>
      <c r="M117" s="859">
        <f t="shared" si="54"/>
        <v>0</v>
      </c>
      <c r="N117" s="742" t="e">
        <f t="shared" si="45"/>
        <v>#REF!</v>
      </c>
      <c r="P117" s="741"/>
      <c r="Q117" s="742"/>
      <c r="W117" s="741"/>
      <c r="X117" s="742"/>
      <c r="Y117" s="742"/>
      <c r="Z117" s="742"/>
      <c r="AG117" s="27"/>
      <c r="AH117" s="27"/>
    </row>
    <row r="118" spans="2:34" x14ac:dyDescent="0.3">
      <c r="B118" s="857" t="s">
        <v>76</v>
      </c>
      <c r="C118" s="858" t="e">
        <f t="shared" si="46"/>
        <v>#REF!</v>
      </c>
      <c r="D118" s="859" t="e">
        <f t="shared" si="47"/>
        <v>#REF!</v>
      </c>
      <c r="E118" s="859" t="e">
        <f t="shared" si="56"/>
        <v>#REF!</v>
      </c>
      <c r="F118" s="859" t="e">
        <f t="shared" si="55"/>
        <v>#REF!</v>
      </c>
      <c r="G118" s="859">
        <f t="shared" si="48"/>
        <v>0</v>
      </c>
      <c r="H118" s="859" t="e">
        <f t="shared" si="49"/>
        <v>#REF!</v>
      </c>
      <c r="I118" s="859">
        <f t="shared" si="50"/>
        <v>0</v>
      </c>
      <c r="J118" s="859">
        <f t="shared" si="51"/>
        <v>0</v>
      </c>
      <c r="K118" s="859" t="e">
        <f t="shared" si="52"/>
        <v>#REF!</v>
      </c>
      <c r="L118" s="859">
        <f t="shared" si="53"/>
        <v>0</v>
      </c>
      <c r="M118" s="859">
        <f t="shared" si="54"/>
        <v>0</v>
      </c>
      <c r="N118" s="742" t="e">
        <f t="shared" si="45"/>
        <v>#REF!</v>
      </c>
      <c r="P118" s="741"/>
      <c r="Q118" s="742"/>
      <c r="W118" s="741"/>
      <c r="X118" s="742"/>
      <c r="Y118" s="742"/>
      <c r="Z118" s="742"/>
      <c r="AG118" s="27"/>
      <c r="AH118" s="27"/>
    </row>
    <row r="119" spans="2:34" x14ac:dyDescent="0.3">
      <c r="B119" s="857" t="s">
        <v>309</v>
      </c>
      <c r="C119" s="858" t="e">
        <f t="shared" si="46"/>
        <v>#REF!</v>
      </c>
      <c r="D119" s="859" t="e">
        <f t="shared" si="47"/>
        <v>#REF!</v>
      </c>
      <c r="E119" s="859">
        <f t="shared" si="56"/>
        <v>0</v>
      </c>
      <c r="F119" s="859" t="e">
        <f t="shared" si="55"/>
        <v>#REF!</v>
      </c>
      <c r="G119" s="859">
        <f t="shared" si="48"/>
        <v>0</v>
      </c>
      <c r="H119" s="859" t="e">
        <f t="shared" si="49"/>
        <v>#REF!</v>
      </c>
      <c r="I119" s="859">
        <f t="shared" si="50"/>
        <v>0</v>
      </c>
      <c r="J119" s="859">
        <f t="shared" si="51"/>
        <v>0</v>
      </c>
      <c r="K119" s="859" t="e">
        <f t="shared" si="52"/>
        <v>#REF!</v>
      </c>
      <c r="L119" s="859" t="e">
        <f t="shared" si="53"/>
        <v>#REF!</v>
      </c>
      <c r="M119" s="859">
        <f t="shared" si="54"/>
        <v>0</v>
      </c>
      <c r="N119" s="742" t="e">
        <f t="shared" si="45"/>
        <v>#REF!</v>
      </c>
      <c r="P119" s="741"/>
      <c r="Q119" s="742"/>
      <c r="W119" s="741"/>
      <c r="X119" s="742"/>
      <c r="Y119" s="742"/>
      <c r="Z119" s="742"/>
      <c r="AG119" s="27"/>
      <c r="AH119" s="27"/>
    </row>
    <row r="120" spans="2:34" x14ac:dyDescent="0.3">
      <c r="B120" s="857" t="s">
        <v>95</v>
      </c>
      <c r="C120" s="858" t="e">
        <f t="shared" si="46"/>
        <v>#REF!</v>
      </c>
      <c r="D120" s="859"/>
      <c r="E120" s="859"/>
      <c r="F120" s="859"/>
      <c r="G120" s="859"/>
      <c r="H120" s="859"/>
      <c r="I120" s="859"/>
      <c r="J120" s="859"/>
      <c r="K120" s="859"/>
      <c r="L120" s="859"/>
      <c r="M120" s="859"/>
      <c r="N120" s="742"/>
      <c r="P120" s="741"/>
      <c r="Q120" s="742"/>
      <c r="W120" s="741"/>
      <c r="X120" s="742"/>
      <c r="Y120" s="742"/>
      <c r="Z120" s="742"/>
      <c r="AG120" s="27"/>
      <c r="AH120" s="27"/>
    </row>
    <row r="121" spans="2:34" x14ac:dyDescent="0.3">
      <c r="B121" s="857" t="s">
        <v>119</v>
      </c>
      <c r="C121" s="858" t="e">
        <f t="shared" si="46"/>
        <v>#REF!</v>
      </c>
      <c r="D121" s="859" t="e">
        <f t="shared" si="47"/>
        <v>#REF!</v>
      </c>
      <c r="E121" s="859">
        <f t="shared" si="56"/>
        <v>0</v>
      </c>
      <c r="F121" s="859">
        <f t="shared" si="55"/>
        <v>0</v>
      </c>
      <c r="G121" s="859">
        <f t="shared" si="48"/>
        <v>0</v>
      </c>
      <c r="H121" s="859">
        <f t="shared" si="49"/>
        <v>0</v>
      </c>
      <c r="I121" s="859">
        <f t="shared" si="50"/>
        <v>0</v>
      </c>
      <c r="J121" s="859">
        <f t="shared" si="51"/>
        <v>0</v>
      </c>
      <c r="K121" s="859" t="e">
        <f t="shared" si="52"/>
        <v>#REF!</v>
      </c>
      <c r="L121" s="859" t="e">
        <f t="shared" si="53"/>
        <v>#REF!</v>
      </c>
      <c r="M121" s="859">
        <f t="shared" si="54"/>
        <v>0</v>
      </c>
      <c r="N121" s="742" t="e">
        <f>SUM(E121:M121)</f>
        <v>#REF!</v>
      </c>
      <c r="P121" s="741"/>
      <c r="Q121" s="742"/>
      <c r="W121" s="741"/>
      <c r="X121" s="742"/>
      <c r="Y121" s="742"/>
      <c r="Z121" s="742"/>
      <c r="AG121" s="27"/>
      <c r="AH121" s="27"/>
    </row>
    <row r="122" spans="2:34" x14ac:dyDescent="0.3">
      <c r="B122" s="851" t="s">
        <v>427</v>
      </c>
      <c r="C122" s="852" t="e">
        <f>SUM(C100:C121)</f>
        <v>#REF!</v>
      </c>
      <c r="D122" s="853" t="e">
        <f t="shared" si="47"/>
        <v>#REF!</v>
      </c>
      <c r="E122" s="853" t="e">
        <f>F59</f>
        <v>#REF!</v>
      </c>
      <c r="F122" s="853" t="e">
        <f>H59</f>
        <v>#REF!</v>
      </c>
      <c r="G122" s="853" t="e">
        <f>J59</f>
        <v>#REF!</v>
      </c>
      <c r="H122" s="853" t="e">
        <f>L59</f>
        <v>#REF!</v>
      </c>
      <c r="I122" s="853" t="e">
        <f>N59</f>
        <v>#REF!</v>
      </c>
      <c r="J122" s="853" t="e">
        <f>P59</f>
        <v>#REF!</v>
      </c>
      <c r="K122" s="853" t="e">
        <f>R59</f>
        <v>#REF!</v>
      </c>
      <c r="L122" s="853" t="e">
        <f>T59</f>
        <v>#REF!</v>
      </c>
      <c r="M122" s="853" t="e">
        <f>V59</f>
        <v>#REF!</v>
      </c>
      <c r="N122" s="742" t="e">
        <f>SUM(E122:M122)</f>
        <v>#REF!</v>
      </c>
      <c r="P122" s="741"/>
      <c r="Q122" s="742"/>
      <c r="W122" s="741"/>
      <c r="X122" s="742"/>
      <c r="Y122" s="742"/>
      <c r="Z122" s="742"/>
      <c r="AG122" s="27"/>
      <c r="AH122" s="27"/>
    </row>
    <row r="123" spans="2:34" x14ac:dyDescent="0.3">
      <c r="B123" s="854" t="s">
        <v>428</v>
      </c>
      <c r="C123" s="855" t="e">
        <f>C122-C119</f>
        <v>#REF!</v>
      </c>
      <c r="D123" s="856" t="e">
        <f>D95</f>
        <v>#REF!</v>
      </c>
      <c r="E123" s="856" t="e">
        <f t="shared" ref="E123:M123" si="57">E95/$C$95</f>
        <v>#REF!</v>
      </c>
      <c r="F123" s="856" t="e">
        <f t="shared" si="57"/>
        <v>#REF!</v>
      </c>
      <c r="G123" s="856" t="e">
        <f t="shared" si="57"/>
        <v>#REF!</v>
      </c>
      <c r="H123" s="856" t="e">
        <f t="shared" si="57"/>
        <v>#REF!</v>
      </c>
      <c r="I123" s="856" t="e">
        <f t="shared" si="57"/>
        <v>#REF!</v>
      </c>
      <c r="J123" s="856" t="e">
        <f t="shared" si="57"/>
        <v>#REF!</v>
      </c>
      <c r="K123" s="856" t="e">
        <f t="shared" si="57"/>
        <v>#REF!</v>
      </c>
      <c r="L123" s="856" t="e">
        <f t="shared" si="57"/>
        <v>#REF!</v>
      </c>
      <c r="M123" s="856" t="e">
        <f t="shared" si="57"/>
        <v>#REF!</v>
      </c>
      <c r="Q123" s="741"/>
      <c r="R123" s="742"/>
      <c r="S123" s="741"/>
      <c r="T123" s="742"/>
      <c r="U123" s="741"/>
      <c r="V123" s="742"/>
      <c r="W123" s="741"/>
      <c r="Z123" s="742"/>
      <c r="AH123" s="27"/>
    </row>
    <row r="127" spans="2:34" s="860" customFormat="1" x14ac:dyDescent="0.3">
      <c r="B127" s="860" t="s">
        <v>513</v>
      </c>
      <c r="C127" s="802" t="e">
        <f>+C103/C31*1000</f>
        <v>#REF!</v>
      </c>
      <c r="D127" s="802"/>
      <c r="E127" s="802"/>
      <c r="K127" s="801"/>
      <c r="L127" s="801"/>
      <c r="R127" s="801"/>
      <c r="S127" s="861"/>
      <c r="T127" s="801"/>
      <c r="U127" s="861"/>
      <c r="V127" s="801"/>
      <c r="W127" s="861"/>
      <c r="X127" s="801"/>
      <c r="Y127" s="801"/>
      <c r="Z127" s="801"/>
      <c r="AA127" s="861"/>
      <c r="AB127" s="861"/>
      <c r="AC127" s="861"/>
      <c r="AD127" s="861"/>
      <c r="AE127" s="861"/>
      <c r="AF127" s="861"/>
      <c r="AG127" s="861"/>
      <c r="AH127" s="861"/>
    </row>
    <row r="131" spans="2:13" s="2" customFormat="1" ht="55.2" x14ac:dyDescent="0.3">
      <c r="B131" s="862" t="s">
        <v>144</v>
      </c>
      <c r="C131" s="863" t="s">
        <v>433</v>
      </c>
      <c r="D131" s="863" t="s">
        <v>434</v>
      </c>
      <c r="E131" s="863" t="s">
        <v>494</v>
      </c>
      <c r="F131" s="863" t="s">
        <v>495</v>
      </c>
      <c r="G131" s="863" t="s">
        <v>496</v>
      </c>
      <c r="H131" s="863" t="s">
        <v>497</v>
      </c>
      <c r="I131" s="863" t="s">
        <v>514</v>
      </c>
      <c r="J131" s="864" t="s">
        <v>515</v>
      </c>
      <c r="K131" s="864" t="s">
        <v>516</v>
      </c>
      <c r="L131" s="666"/>
    </row>
    <row r="132" spans="2:13" s="2" customFormat="1" x14ac:dyDescent="0.3">
      <c r="B132" s="865" t="s">
        <v>517</v>
      </c>
      <c r="C132" s="43" t="e">
        <f t="shared" ref="C132:H132" si="58">C122</f>
        <v>#REF!</v>
      </c>
      <c r="D132" s="665" t="e">
        <f t="shared" si="58"/>
        <v>#REF!</v>
      </c>
      <c r="E132" s="665" t="e">
        <f t="shared" si="58"/>
        <v>#REF!</v>
      </c>
      <c r="F132" s="665" t="e">
        <f t="shared" si="58"/>
        <v>#REF!</v>
      </c>
      <c r="G132" s="665" t="e">
        <f t="shared" si="58"/>
        <v>#REF!</v>
      </c>
      <c r="H132" s="665" t="e">
        <f t="shared" si="58"/>
        <v>#REF!</v>
      </c>
      <c r="I132" s="665" t="e">
        <f>J122+K122+L122</f>
        <v>#REF!</v>
      </c>
      <c r="J132" s="866" t="e">
        <f>I122</f>
        <v>#REF!</v>
      </c>
      <c r="K132" s="866" t="e">
        <f>M122</f>
        <v>#REF!</v>
      </c>
      <c r="L132" s="666" t="e">
        <f>SUM(E132:K132)</f>
        <v>#REF!</v>
      </c>
    </row>
    <row r="137" spans="2:13" x14ac:dyDescent="0.3">
      <c r="B137" s="27" t="s">
        <v>518</v>
      </c>
    </row>
    <row r="139" spans="2:13" ht="14.1" customHeight="1" x14ac:dyDescent="0.3">
      <c r="B139" s="3858" t="s">
        <v>336</v>
      </c>
      <c r="C139" s="3858" t="s">
        <v>468</v>
      </c>
      <c r="D139" s="3859" t="s">
        <v>469</v>
      </c>
      <c r="E139" s="3860" t="s">
        <v>493</v>
      </c>
      <c r="F139" s="3861"/>
      <c r="G139" s="3861"/>
      <c r="H139" s="3861"/>
      <c r="I139" s="3861"/>
      <c r="J139" s="3861"/>
      <c r="K139" s="3861"/>
      <c r="L139" s="3861"/>
      <c r="M139" s="3862"/>
    </row>
    <row r="140" spans="2:13" ht="41.4" x14ac:dyDescent="0.3">
      <c r="B140" s="3858"/>
      <c r="C140" s="3858"/>
      <c r="D140" s="3859"/>
      <c r="E140" s="847" t="s">
        <v>436</v>
      </c>
      <c r="F140" s="847" t="s">
        <v>429</v>
      </c>
      <c r="G140" s="847" t="s">
        <v>405</v>
      </c>
      <c r="H140" s="847" t="s">
        <v>504</v>
      </c>
      <c r="I140" s="847" t="s">
        <v>519</v>
      </c>
      <c r="J140" s="847" t="s">
        <v>498</v>
      </c>
      <c r="K140" s="847" t="s">
        <v>500</v>
      </c>
      <c r="L140" s="847" t="s">
        <v>502</v>
      </c>
      <c r="M140" s="847" t="s">
        <v>506</v>
      </c>
    </row>
    <row r="141" spans="2:13" x14ac:dyDescent="0.3">
      <c r="B141" s="848" t="s">
        <v>5</v>
      </c>
      <c r="C141" s="849">
        <v>50543.572282127847</v>
      </c>
      <c r="D141" s="867">
        <v>0.13965192172409785</v>
      </c>
      <c r="E141" s="849">
        <v>0</v>
      </c>
      <c r="F141" s="849">
        <v>0</v>
      </c>
      <c r="G141" s="849">
        <v>5485.4609369999998</v>
      </c>
      <c r="H141" s="849">
        <v>801.16529319999995</v>
      </c>
      <c r="I141" s="849">
        <v>13962.769203767313</v>
      </c>
      <c r="J141" s="849">
        <v>567.60312571213387</v>
      </c>
      <c r="K141" s="849">
        <v>8619.9508487156727</v>
      </c>
      <c r="L141" s="849">
        <v>7612.2660518504063</v>
      </c>
      <c r="M141" s="849">
        <v>13494.35682188232</v>
      </c>
    </row>
    <row r="142" spans="2:13" x14ac:dyDescent="0.3">
      <c r="B142" s="848" t="s">
        <v>8</v>
      </c>
      <c r="C142" s="849">
        <v>23614.520485096858</v>
      </c>
      <c r="D142" s="867">
        <v>0.55321565503789705</v>
      </c>
      <c r="E142" s="849">
        <v>0</v>
      </c>
      <c r="F142" s="849">
        <v>14226.094607878182</v>
      </c>
      <c r="G142" s="849">
        <v>0</v>
      </c>
      <c r="H142" s="849">
        <v>0</v>
      </c>
      <c r="I142" s="849">
        <v>0</v>
      </c>
      <c r="J142" s="849">
        <v>0</v>
      </c>
      <c r="K142" s="849">
        <v>8147.7082470482565</v>
      </c>
      <c r="L142" s="849">
        <v>1240.7176301704185</v>
      </c>
      <c r="M142" s="849">
        <v>0</v>
      </c>
    </row>
    <row r="143" spans="2:13" x14ac:dyDescent="0.3">
      <c r="B143" s="848" t="s">
        <v>304</v>
      </c>
      <c r="C143" s="849">
        <v>10482.478870373721</v>
      </c>
      <c r="D143" s="867">
        <v>0.74099309069708208</v>
      </c>
      <c r="E143" s="849">
        <v>0</v>
      </c>
      <c r="F143" s="849">
        <v>8161.9292668295939</v>
      </c>
      <c r="G143" s="849">
        <v>0</v>
      </c>
      <c r="H143" s="849">
        <v>0</v>
      </c>
      <c r="I143" s="849">
        <v>0</v>
      </c>
      <c r="J143" s="849">
        <v>0</v>
      </c>
      <c r="K143" s="849">
        <v>2029.1797648582831</v>
      </c>
      <c r="L143" s="849">
        <v>291.3698386858444</v>
      </c>
      <c r="M143" s="849">
        <v>0</v>
      </c>
    </row>
    <row r="144" spans="2:13" x14ac:dyDescent="0.3">
      <c r="B144" s="848" t="s">
        <v>14</v>
      </c>
      <c r="C144" s="849">
        <v>23198.24786802048</v>
      </c>
      <c r="D144" s="867">
        <v>0.30924331185759302</v>
      </c>
      <c r="E144" s="849">
        <v>0</v>
      </c>
      <c r="F144" s="849">
        <v>7543.8833854710747</v>
      </c>
      <c r="G144" s="849">
        <v>0</v>
      </c>
      <c r="H144" s="849">
        <v>178.81988791014277</v>
      </c>
      <c r="I144" s="849">
        <v>0</v>
      </c>
      <c r="J144" s="849">
        <v>0</v>
      </c>
      <c r="K144" s="849">
        <v>12892.746823891124</v>
      </c>
      <c r="L144" s="849">
        <v>2582.7977707481377</v>
      </c>
      <c r="M144" s="849">
        <v>0</v>
      </c>
    </row>
    <row r="145" spans="2:13" x14ac:dyDescent="0.3">
      <c r="B145" s="848" t="s">
        <v>17</v>
      </c>
      <c r="C145" s="849">
        <v>941.44353200608009</v>
      </c>
      <c r="D145" s="867">
        <v>0.3128790946944417</v>
      </c>
      <c r="E145" s="849">
        <v>0</v>
      </c>
      <c r="F145" s="849">
        <v>404.08467443192632</v>
      </c>
      <c r="G145" s="849">
        <v>0</v>
      </c>
      <c r="H145" s="849">
        <v>0</v>
      </c>
      <c r="I145" s="849">
        <v>0</v>
      </c>
      <c r="J145" s="849">
        <v>0</v>
      </c>
      <c r="K145" s="849">
        <v>452.70764170033169</v>
      </c>
      <c r="L145" s="849">
        <v>84.651215873821982</v>
      </c>
      <c r="M145" s="849">
        <v>0</v>
      </c>
    </row>
    <row r="146" spans="2:13" x14ac:dyDescent="0.3">
      <c r="B146" s="848" t="s">
        <v>16</v>
      </c>
      <c r="C146" s="849">
        <v>2273.1979081592003</v>
      </c>
      <c r="D146" s="867">
        <v>6.4656930869261817E-2</v>
      </c>
      <c r="E146" s="849">
        <v>0</v>
      </c>
      <c r="F146" s="849">
        <v>537.92416068543753</v>
      </c>
      <c r="G146" s="849">
        <v>0</v>
      </c>
      <c r="H146" s="849">
        <v>0</v>
      </c>
      <c r="I146" s="849">
        <v>0</v>
      </c>
      <c r="J146" s="849">
        <v>0</v>
      </c>
      <c r="K146" s="849">
        <v>1489.2385167248292</v>
      </c>
      <c r="L146" s="849">
        <v>246.03523074893343</v>
      </c>
      <c r="M146" s="849">
        <v>0</v>
      </c>
    </row>
    <row r="147" spans="2:13" x14ac:dyDescent="0.3">
      <c r="B147" s="848" t="s">
        <v>308</v>
      </c>
      <c r="C147" s="849">
        <v>84.252500482032005</v>
      </c>
      <c r="D147" s="867">
        <v>0.73918280933729252</v>
      </c>
      <c r="E147" s="849">
        <v>0</v>
      </c>
      <c r="F147" s="849">
        <v>30.727965200000003</v>
      </c>
      <c r="G147" s="849">
        <v>0</v>
      </c>
      <c r="H147" s="849">
        <v>0.49822400000000006</v>
      </c>
      <c r="I147" s="849">
        <v>0</v>
      </c>
      <c r="J147" s="849">
        <v>0</v>
      </c>
      <c r="K147" s="849">
        <v>50.056758130916052</v>
      </c>
      <c r="L147" s="849">
        <v>2.9695531511159587</v>
      </c>
      <c r="M147" s="849">
        <v>0</v>
      </c>
    </row>
    <row r="148" spans="2:13" x14ac:dyDescent="0.3">
      <c r="B148" s="848" t="s">
        <v>44</v>
      </c>
      <c r="C148" s="849">
        <v>65.660489342563181</v>
      </c>
      <c r="D148" s="867">
        <v>0.98739091221984965</v>
      </c>
      <c r="E148" s="849">
        <v>0</v>
      </c>
      <c r="F148" s="849">
        <v>53.668401834035535</v>
      </c>
      <c r="G148" s="849">
        <v>0</v>
      </c>
      <c r="H148" s="849">
        <v>6.0164625395004805</v>
      </c>
      <c r="I148" s="849">
        <v>0</v>
      </c>
      <c r="J148" s="849">
        <v>0</v>
      </c>
      <c r="K148" s="849">
        <v>5.8230590137052687</v>
      </c>
      <c r="L148" s="849">
        <v>0.15256595532189254</v>
      </c>
      <c r="M148" s="849">
        <v>0</v>
      </c>
    </row>
    <row r="149" spans="2:13" x14ac:dyDescent="0.3">
      <c r="B149" s="848" t="s">
        <v>326</v>
      </c>
      <c r="C149" s="849">
        <v>324.85268170513598</v>
      </c>
      <c r="D149" s="867">
        <v>0.34664943939793119</v>
      </c>
      <c r="E149" s="849">
        <v>0</v>
      </c>
      <c r="F149" s="849">
        <v>112.60999999999997</v>
      </c>
      <c r="G149" s="849">
        <v>0</v>
      </c>
      <c r="H149" s="849">
        <v>0</v>
      </c>
      <c r="I149" s="849">
        <v>0</v>
      </c>
      <c r="J149" s="849">
        <v>0</v>
      </c>
      <c r="K149" s="849">
        <v>188.78888627281782</v>
      </c>
      <c r="L149" s="849">
        <v>23.453795432318202</v>
      </c>
      <c r="M149" s="849">
        <v>0</v>
      </c>
    </row>
    <row r="150" spans="2:13" x14ac:dyDescent="0.3">
      <c r="B150" s="848" t="s">
        <v>25</v>
      </c>
      <c r="C150" s="849">
        <v>6144.7786642196806</v>
      </c>
      <c r="D150" s="867">
        <v>0.18145486777131828</v>
      </c>
      <c r="E150" s="849">
        <v>501.75</v>
      </c>
      <c r="F150" s="849">
        <v>423.7</v>
      </c>
      <c r="G150" s="849">
        <v>0</v>
      </c>
      <c r="H150" s="849">
        <v>189.55</v>
      </c>
      <c r="I150" s="849">
        <v>0</v>
      </c>
      <c r="J150" s="849">
        <v>0</v>
      </c>
      <c r="K150" s="849">
        <v>4156.6304188848935</v>
      </c>
      <c r="L150" s="849">
        <v>873.14824533478748</v>
      </c>
      <c r="M150" s="849">
        <v>0</v>
      </c>
    </row>
    <row r="151" spans="2:13" x14ac:dyDescent="0.3">
      <c r="B151" s="848" t="s">
        <v>29</v>
      </c>
      <c r="C151" s="849">
        <v>4187.8232665836795</v>
      </c>
      <c r="D151" s="867">
        <v>0.65512984320327661</v>
      </c>
      <c r="E151" s="849">
        <v>0</v>
      </c>
      <c r="F151" s="849">
        <v>1097.4271999999999</v>
      </c>
      <c r="G151" s="849">
        <v>0</v>
      </c>
      <c r="H151" s="849">
        <v>1591.2694399999998</v>
      </c>
      <c r="I151" s="849">
        <v>0</v>
      </c>
      <c r="J151" s="849">
        <v>0</v>
      </c>
      <c r="K151" s="849">
        <v>1250.8015789622141</v>
      </c>
      <c r="L151" s="849">
        <v>248.32504762146593</v>
      </c>
      <c r="M151" s="849">
        <v>0</v>
      </c>
    </row>
    <row r="152" spans="2:13" x14ac:dyDescent="0.3">
      <c r="B152" s="848" t="s">
        <v>60</v>
      </c>
      <c r="C152" s="849">
        <v>49.635599999999997</v>
      </c>
      <c r="D152" s="867">
        <v>1</v>
      </c>
      <c r="E152" s="849">
        <v>0</v>
      </c>
      <c r="F152" s="849">
        <v>24.490205039999999</v>
      </c>
      <c r="G152" s="849">
        <v>0</v>
      </c>
      <c r="H152" s="849">
        <v>0.39708479999999996</v>
      </c>
      <c r="I152" s="850">
        <v>0</v>
      </c>
      <c r="J152" s="849">
        <v>0</v>
      </c>
      <c r="K152" s="849">
        <v>24.748310159999999</v>
      </c>
      <c r="L152" s="849">
        <v>0</v>
      </c>
      <c r="M152" s="849">
        <v>0</v>
      </c>
    </row>
    <row r="153" spans="2:13" x14ac:dyDescent="0.3">
      <c r="B153" s="848" t="s">
        <v>33</v>
      </c>
      <c r="C153" s="849">
        <v>153.93299999999999</v>
      </c>
      <c r="D153" s="867">
        <v>1</v>
      </c>
      <c r="E153" s="849">
        <v>0</v>
      </c>
      <c r="F153" s="849">
        <v>2.2632999999999996</v>
      </c>
      <c r="G153" s="849">
        <v>0</v>
      </c>
      <c r="H153" s="849">
        <v>130.601046</v>
      </c>
      <c r="I153" s="849">
        <v>0</v>
      </c>
      <c r="J153" s="849">
        <v>0</v>
      </c>
      <c r="K153" s="849">
        <v>0</v>
      </c>
      <c r="L153" s="849">
        <v>0</v>
      </c>
      <c r="M153" s="849">
        <v>21.068654000000002</v>
      </c>
    </row>
    <row r="154" spans="2:13" x14ac:dyDescent="0.3">
      <c r="B154" s="848" t="s">
        <v>66</v>
      </c>
      <c r="C154" s="849">
        <v>43.265000000000001</v>
      </c>
      <c r="D154" s="867">
        <v>1</v>
      </c>
      <c r="E154" s="849">
        <v>6.5486652320175258</v>
      </c>
      <c r="F154" s="849">
        <v>20.405910148531301</v>
      </c>
      <c r="G154" s="849">
        <v>0</v>
      </c>
      <c r="H154" s="849">
        <v>16.310424619451172</v>
      </c>
      <c r="I154" s="849">
        <v>0</v>
      </c>
      <c r="J154" s="849">
        <v>0</v>
      </c>
      <c r="K154" s="849">
        <v>0</v>
      </c>
      <c r="L154" s="849">
        <v>0</v>
      </c>
      <c r="M154" s="849">
        <v>0</v>
      </c>
    </row>
    <row r="155" spans="2:13" x14ac:dyDescent="0.3">
      <c r="B155" s="848" t="s">
        <v>73</v>
      </c>
      <c r="C155" s="849">
        <v>88.589754672800012</v>
      </c>
      <c r="D155" s="867">
        <v>0.40246188886836326</v>
      </c>
      <c r="E155" s="849">
        <v>0</v>
      </c>
      <c r="F155" s="849">
        <v>30.159718600000001</v>
      </c>
      <c r="G155" s="849">
        <v>0</v>
      </c>
      <c r="H155" s="849">
        <v>5.4835852000000003</v>
      </c>
      <c r="I155" s="849">
        <v>0</v>
      </c>
      <c r="J155" s="849">
        <v>0</v>
      </c>
      <c r="K155" s="849">
        <v>48.050872213143222</v>
      </c>
      <c r="L155" s="849">
        <v>4.8955786596567759</v>
      </c>
      <c r="M155" s="849">
        <v>0</v>
      </c>
    </row>
    <row r="156" spans="2:13" x14ac:dyDescent="0.3">
      <c r="B156" s="848" t="s">
        <v>74</v>
      </c>
      <c r="C156" s="849">
        <v>1.6040000000000001</v>
      </c>
      <c r="D156" s="867">
        <v>1</v>
      </c>
      <c r="E156" s="849">
        <v>0</v>
      </c>
      <c r="F156" s="850">
        <v>0.2644710920770878</v>
      </c>
      <c r="G156" s="849">
        <v>0</v>
      </c>
      <c r="H156" s="849">
        <v>1.3395289079229125</v>
      </c>
      <c r="I156" s="850">
        <v>0</v>
      </c>
      <c r="J156" s="849">
        <v>0</v>
      </c>
      <c r="K156" s="849">
        <v>0</v>
      </c>
      <c r="L156" s="849">
        <v>0</v>
      </c>
      <c r="M156" s="849">
        <v>0</v>
      </c>
    </row>
    <row r="157" spans="2:13" x14ac:dyDescent="0.3">
      <c r="B157" s="848" t="s">
        <v>327</v>
      </c>
      <c r="C157" s="849">
        <v>363.25038987212702</v>
      </c>
      <c r="D157" s="867">
        <v>0.34250696335980357</v>
      </c>
      <c r="E157" s="849">
        <v>55.987104588465144</v>
      </c>
      <c r="F157" s="849">
        <v>47.277999430259449</v>
      </c>
      <c r="G157" s="849">
        <v>0</v>
      </c>
      <c r="H157" s="849">
        <v>21.150683955642389</v>
      </c>
      <c r="I157" s="849">
        <v>0</v>
      </c>
      <c r="J157" s="849">
        <v>0</v>
      </c>
      <c r="K157" s="849">
        <v>236.12650189776002</v>
      </c>
      <c r="L157" s="849">
        <v>2.7081000000000004</v>
      </c>
      <c r="M157" s="849">
        <v>0</v>
      </c>
    </row>
    <row r="158" spans="2:13" x14ac:dyDescent="0.3">
      <c r="B158" s="848" t="s">
        <v>143</v>
      </c>
      <c r="C158" s="849">
        <v>1952.7837354261242</v>
      </c>
      <c r="D158" s="867">
        <v>0.69602762706063293</v>
      </c>
      <c r="E158" s="849">
        <v>3.5338977167812344</v>
      </c>
      <c r="F158" s="849">
        <v>1111.138993641792</v>
      </c>
      <c r="G158" s="849">
        <v>0</v>
      </c>
      <c r="H158" s="849">
        <v>102.75487207256205</v>
      </c>
      <c r="I158" s="849">
        <v>0</v>
      </c>
      <c r="J158" s="849">
        <v>0</v>
      </c>
      <c r="K158" s="849">
        <v>628.40050326966411</v>
      </c>
      <c r="L158" s="849">
        <v>106.95546872532478</v>
      </c>
      <c r="M158" s="849">
        <v>0</v>
      </c>
    </row>
    <row r="159" spans="2:13" x14ac:dyDescent="0.3">
      <c r="B159" s="848" t="s">
        <v>76</v>
      </c>
      <c r="C159" s="849">
        <v>3639.884</v>
      </c>
      <c r="D159" s="867">
        <v>1</v>
      </c>
      <c r="E159" s="849">
        <v>197.4109</v>
      </c>
      <c r="F159" s="849">
        <v>577.85363000000007</v>
      </c>
      <c r="G159" s="849">
        <v>0</v>
      </c>
      <c r="H159" s="849">
        <v>2719.3112000000001</v>
      </c>
      <c r="I159" s="849">
        <v>0</v>
      </c>
      <c r="J159" s="849">
        <v>0</v>
      </c>
      <c r="K159" s="849">
        <v>145.30826999999999</v>
      </c>
      <c r="L159" s="849">
        <v>0</v>
      </c>
      <c r="M159" s="849">
        <v>0</v>
      </c>
    </row>
    <row r="160" spans="2:13" x14ac:dyDescent="0.3">
      <c r="B160" s="848" t="s">
        <v>309</v>
      </c>
      <c r="C160" s="849">
        <v>11746.766009916961</v>
      </c>
      <c r="D160" s="867">
        <v>0.92779186976220729</v>
      </c>
      <c r="E160" s="849">
        <v>0</v>
      </c>
      <c r="F160" s="849">
        <v>8391.8865800000003</v>
      </c>
      <c r="G160" s="849">
        <v>0</v>
      </c>
      <c r="H160" s="849">
        <v>1961.73972</v>
      </c>
      <c r="I160" s="849">
        <v>0</v>
      </c>
      <c r="J160" s="849">
        <v>0</v>
      </c>
      <c r="K160" s="849">
        <v>1240.3436545950676</v>
      </c>
      <c r="L160" s="849">
        <v>152.79605532189254</v>
      </c>
      <c r="M160" s="849">
        <v>0</v>
      </c>
    </row>
    <row r="161" spans="2:13" x14ac:dyDescent="0.3">
      <c r="B161" s="848" t="s">
        <v>95</v>
      </c>
      <c r="C161" s="849">
        <v>0</v>
      </c>
      <c r="D161" s="867"/>
      <c r="E161" s="849"/>
      <c r="F161" s="849"/>
      <c r="G161" s="849"/>
      <c r="H161" s="849"/>
      <c r="I161" s="849"/>
      <c r="J161" s="849"/>
      <c r="K161" s="849"/>
      <c r="L161" s="849"/>
      <c r="M161" s="849"/>
    </row>
    <row r="162" spans="2:13" x14ac:dyDescent="0.3">
      <c r="B162" s="848" t="s">
        <v>119</v>
      </c>
      <c r="C162" s="849">
        <v>14287.640698110081</v>
      </c>
      <c r="D162" s="867">
        <v>0</v>
      </c>
      <c r="E162" s="849">
        <v>0</v>
      </c>
      <c r="F162" s="849">
        <v>0</v>
      </c>
      <c r="G162" s="849">
        <v>0</v>
      </c>
      <c r="H162" s="849">
        <v>0</v>
      </c>
      <c r="I162" s="849">
        <v>0</v>
      </c>
      <c r="J162" s="849">
        <v>0</v>
      </c>
      <c r="K162" s="849">
        <v>11859.122725364521</v>
      </c>
      <c r="L162" s="849">
        <v>2428.5179727455588</v>
      </c>
      <c r="M162" s="849">
        <v>0</v>
      </c>
    </row>
    <row r="163" spans="2:13" x14ac:dyDescent="0.3">
      <c r="B163" s="851" t="s">
        <v>427</v>
      </c>
      <c r="C163" s="852">
        <v>154188.18073611538</v>
      </c>
      <c r="D163" s="853">
        <v>0.36260715935519461</v>
      </c>
      <c r="E163" s="852">
        <v>765.23056753726382</v>
      </c>
      <c r="F163" s="852">
        <v>42797.790470282904</v>
      </c>
      <c r="G163" s="852">
        <v>5485.4609369999998</v>
      </c>
      <c r="H163" s="852">
        <v>7726.4074532052218</v>
      </c>
      <c r="I163" s="852">
        <v>13962.769203767313</v>
      </c>
      <c r="J163" s="852">
        <v>567.60312571213387</v>
      </c>
      <c r="K163" s="852">
        <v>53465.733381703198</v>
      </c>
      <c r="L163" s="852">
        <v>15901.760121025003</v>
      </c>
      <c r="M163" s="852">
        <v>13515.425475882321</v>
      </c>
    </row>
    <row r="166" spans="2:13" ht="14.1" customHeight="1" x14ac:dyDescent="0.3">
      <c r="B166" s="3858" t="s">
        <v>336</v>
      </c>
      <c r="C166" s="3858" t="s">
        <v>468</v>
      </c>
      <c r="D166" s="3859" t="s">
        <v>469</v>
      </c>
      <c r="E166" s="3860" t="s">
        <v>512</v>
      </c>
      <c r="F166" s="3861"/>
      <c r="G166" s="3861"/>
      <c r="H166" s="3861"/>
      <c r="I166" s="3861"/>
      <c r="J166" s="3861"/>
      <c r="K166" s="3861"/>
      <c r="L166" s="3861"/>
      <c r="M166" s="3862"/>
    </row>
    <row r="167" spans="2:13" ht="45" customHeight="1" x14ac:dyDescent="0.3">
      <c r="B167" s="3858"/>
      <c r="C167" s="3858"/>
      <c r="D167" s="3859"/>
      <c r="E167" s="847" t="s">
        <v>436</v>
      </c>
      <c r="F167" s="847" t="s">
        <v>429</v>
      </c>
      <c r="G167" s="847" t="s">
        <v>405</v>
      </c>
      <c r="H167" s="847" t="s">
        <v>504</v>
      </c>
      <c r="I167" s="847" t="s">
        <v>519</v>
      </c>
      <c r="J167" s="847" t="s">
        <v>498</v>
      </c>
      <c r="K167" s="847" t="s">
        <v>500</v>
      </c>
      <c r="L167" s="847" t="s">
        <v>502</v>
      </c>
      <c r="M167" s="847" t="s">
        <v>506</v>
      </c>
    </row>
    <row r="168" spans="2:13" x14ac:dyDescent="0.3">
      <c r="B168" s="857" t="s">
        <v>5</v>
      </c>
      <c r="C168" s="858">
        <v>50543.572282127847</v>
      </c>
      <c r="D168" s="859">
        <v>0.13965192172409785</v>
      </c>
      <c r="E168" s="859">
        <v>0</v>
      </c>
      <c r="F168" s="859">
        <v>0</v>
      </c>
      <c r="G168" s="859">
        <v>0.1085293478343962</v>
      </c>
      <c r="H168" s="859">
        <v>1.585098276647318E-2</v>
      </c>
      <c r="I168" s="859">
        <v>0.27625212412428818</v>
      </c>
      <c r="J168" s="859">
        <v>1.1229976435853104E-2</v>
      </c>
      <c r="K168" s="859">
        <v>0.17054494685496691</v>
      </c>
      <c r="L168" s="859">
        <v>0.15060799441241898</v>
      </c>
      <c r="M168" s="859">
        <v>0.26698462757160341</v>
      </c>
    </row>
    <row r="169" spans="2:13" x14ac:dyDescent="0.3">
      <c r="B169" s="857" t="s">
        <v>8</v>
      </c>
      <c r="C169" s="858">
        <v>23614.520485096858</v>
      </c>
      <c r="D169" s="859">
        <v>0.55321565503789705</v>
      </c>
      <c r="E169" s="859">
        <v>0</v>
      </c>
      <c r="F169" s="859">
        <v>0.60242995901002017</v>
      </c>
      <c r="G169" s="859">
        <v>0</v>
      </c>
      <c r="H169" s="859">
        <v>0</v>
      </c>
      <c r="I169" s="859">
        <v>0</v>
      </c>
      <c r="J169" s="859">
        <v>0</v>
      </c>
      <c r="K169" s="859">
        <v>0.34502958686754964</v>
      </c>
      <c r="L169" s="859">
        <v>5.254045412243015E-2</v>
      </c>
      <c r="M169" s="859">
        <v>0</v>
      </c>
    </row>
    <row r="170" spans="2:13" x14ac:dyDescent="0.3">
      <c r="B170" s="857" t="s">
        <v>304</v>
      </c>
      <c r="C170" s="858">
        <v>10482.478870373721</v>
      </c>
      <c r="D170" s="859">
        <v>0.74099309069708208</v>
      </c>
      <c r="E170" s="859">
        <v>0</v>
      </c>
      <c r="F170" s="859">
        <v>0.7786258734942344</v>
      </c>
      <c r="G170" s="859">
        <v>0</v>
      </c>
      <c r="H170" s="859">
        <v>0</v>
      </c>
      <c r="I170" s="859">
        <v>0</v>
      </c>
      <c r="J170" s="859">
        <v>0</v>
      </c>
      <c r="K170" s="859">
        <v>0.1935782356397861</v>
      </c>
      <c r="L170" s="859">
        <v>2.7795890865979535E-2</v>
      </c>
      <c r="M170" s="859">
        <v>0</v>
      </c>
    </row>
    <row r="171" spans="2:13" x14ac:dyDescent="0.3">
      <c r="B171" s="857" t="s">
        <v>14</v>
      </c>
      <c r="C171" s="858">
        <v>23198.24786802048</v>
      </c>
      <c r="D171" s="859">
        <v>0.30924331185759302</v>
      </c>
      <c r="E171" s="859">
        <v>0</v>
      </c>
      <c r="F171" s="859">
        <v>0.32519194675346824</v>
      </c>
      <c r="G171" s="859">
        <v>0</v>
      </c>
      <c r="H171" s="859">
        <v>7.7083359453474784E-3</v>
      </c>
      <c r="I171" s="859">
        <v>0</v>
      </c>
      <c r="J171" s="859">
        <v>0</v>
      </c>
      <c r="K171" s="859">
        <v>0.55576381876944181</v>
      </c>
      <c r="L171" s="859">
        <v>0.1113358985317424</v>
      </c>
      <c r="M171" s="859">
        <v>0</v>
      </c>
    </row>
    <row r="172" spans="2:13" x14ac:dyDescent="0.3">
      <c r="B172" s="857" t="s">
        <v>17</v>
      </c>
      <c r="C172" s="858">
        <v>941.44353200608009</v>
      </c>
      <c r="D172" s="859">
        <v>0.3128790946944417</v>
      </c>
      <c r="E172" s="859">
        <v>0</v>
      </c>
      <c r="F172" s="859">
        <v>0.42921817474371543</v>
      </c>
      <c r="G172" s="859">
        <v>0</v>
      </c>
      <c r="H172" s="859">
        <v>0</v>
      </c>
      <c r="I172" s="859">
        <v>0</v>
      </c>
      <c r="J172" s="859">
        <v>0</v>
      </c>
      <c r="K172" s="859">
        <v>0.48086542241750513</v>
      </c>
      <c r="L172" s="859">
        <v>8.9916402838779372E-2</v>
      </c>
      <c r="M172" s="859">
        <v>0</v>
      </c>
    </row>
    <row r="173" spans="2:13" x14ac:dyDescent="0.3">
      <c r="B173" s="857" t="s">
        <v>16</v>
      </c>
      <c r="C173" s="858">
        <v>2273.1979081592003</v>
      </c>
      <c r="D173" s="859">
        <v>6.4656930869261817E-2</v>
      </c>
      <c r="E173" s="859">
        <v>0</v>
      </c>
      <c r="F173" s="859">
        <v>0.23663762787862144</v>
      </c>
      <c r="G173" s="859">
        <v>0</v>
      </c>
      <c r="H173" s="859">
        <v>0</v>
      </c>
      <c r="I173" s="859">
        <v>0</v>
      </c>
      <c r="J173" s="859">
        <v>0</v>
      </c>
      <c r="K173" s="859">
        <v>0.65512928345547838</v>
      </c>
      <c r="L173" s="859">
        <v>0.10823308866590013</v>
      </c>
      <c r="M173" s="859">
        <v>0</v>
      </c>
    </row>
    <row r="174" spans="2:13" x14ac:dyDescent="0.3">
      <c r="B174" s="857" t="s">
        <v>308</v>
      </c>
      <c r="C174" s="858">
        <v>84.252500482032005</v>
      </c>
      <c r="D174" s="859">
        <v>0.73918280933729252</v>
      </c>
      <c r="E174" s="859">
        <v>0</v>
      </c>
      <c r="F174" s="859">
        <v>0.36471279812702012</v>
      </c>
      <c r="G174" s="859">
        <v>0</v>
      </c>
      <c r="H174" s="859">
        <v>5.9134624746983401E-3</v>
      </c>
      <c r="I174" s="859">
        <v>0</v>
      </c>
      <c r="J174" s="859">
        <v>0</v>
      </c>
      <c r="K174" s="859">
        <v>0.59412786379665183</v>
      </c>
      <c r="L174" s="859">
        <v>3.5245875601629846E-2</v>
      </c>
      <c r="M174" s="859">
        <v>0</v>
      </c>
    </row>
    <row r="175" spans="2:13" x14ac:dyDescent="0.3">
      <c r="B175" s="857" t="s">
        <v>44</v>
      </c>
      <c r="C175" s="858">
        <v>65.660489342563181</v>
      </c>
      <c r="D175" s="859">
        <v>0.98739091221984965</v>
      </c>
      <c r="E175" s="859">
        <v>0</v>
      </c>
      <c r="F175" s="859">
        <v>0.81736219713559155</v>
      </c>
      <c r="G175" s="859">
        <v>0</v>
      </c>
      <c r="H175" s="859">
        <v>9.1629876654002046E-2</v>
      </c>
      <c r="I175" s="859">
        <v>0</v>
      </c>
      <c r="J175" s="859">
        <v>0</v>
      </c>
      <c r="K175" s="859">
        <v>8.8684368210009357E-2</v>
      </c>
      <c r="L175" s="859">
        <v>2.3235580003969684E-3</v>
      </c>
      <c r="M175" s="859">
        <v>0</v>
      </c>
    </row>
    <row r="176" spans="2:13" x14ac:dyDescent="0.3">
      <c r="B176" s="857" t="s">
        <v>326</v>
      </c>
      <c r="C176" s="858">
        <v>324.85268170513598</v>
      </c>
      <c r="D176" s="859">
        <v>0.34664943939793119</v>
      </c>
      <c r="E176" s="859">
        <v>0</v>
      </c>
      <c r="F176" s="859">
        <v>0.34664943939793119</v>
      </c>
      <c r="G176" s="859">
        <v>0</v>
      </c>
      <c r="H176" s="859">
        <v>0</v>
      </c>
      <c r="I176" s="859">
        <v>0</v>
      </c>
      <c r="J176" s="859">
        <v>0</v>
      </c>
      <c r="K176" s="859">
        <v>0.5811523096619492</v>
      </c>
      <c r="L176" s="859">
        <v>7.2198250940119585E-2</v>
      </c>
      <c r="M176" s="859">
        <v>0</v>
      </c>
    </row>
    <row r="177" spans="2:13" x14ac:dyDescent="0.3">
      <c r="B177" s="857" t="s">
        <v>25</v>
      </c>
      <c r="C177" s="858">
        <v>6144.7786642196806</v>
      </c>
      <c r="D177" s="859">
        <v>0.18145486777131828</v>
      </c>
      <c r="E177" s="859">
        <v>8.165469049709323E-2</v>
      </c>
      <c r="F177" s="859">
        <v>6.8952849753100953E-2</v>
      </c>
      <c r="G177" s="859">
        <v>0</v>
      </c>
      <c r="H177" s="859">
        <v>3.084732752112411E-2</v>
      </c>
      <c r="I177" s="859">
        <v>0</v>
      </c>
      <c r="J177" s="859">
        <v>0</v>
      </c>
      <c r="K177" s="859">
        <v>0.67644916863945981</v>
      </c>
      <c r="L177" s="859">
        <v>0.14209596358922191</v>
      </c>
      <c r="M177" s="859">
        <v>0</v>
      </c>
    </row>
    <row r="178" spans="2:13" x14ac:dyDescent="0.3">
      <c r="B178" s="857" t="s">
        <v>29</v>
      </c>
      <c r="C178" s="858">
        <v>4187.8232665836795</v>
      </c>
      <c r="D178" s="859">
        <v>0.65512984320327661</v>
      </c>
      <c r="E178" s="859">
        <v>0</v>
      </c>
      <c r="F178" s="859">
        <v>0.26205193728131065</v>
      </c>
      <c r="G178" s="859">
        <v>0</v>
      </c>
      <c r="H178" s="859">
        <v>0.37997530905790045</v>
      </c>
      <c r="I178" s="859">
        <v>0</v>
      </c>
      <c r="J178" s="859">
        <v>0</v>
      </c>
      <c r="K178" s="859">
        <v>0.29867582735471698</v>
      </c>
      <c r="L178" s="859">
        <v>5.9296926306071945E-2</v>
      </c>
      <c r="M178" s="859">
        <v>0</v>
      </c>
    </row>
    <row r="179" spans="2:13" x14ac:dyDescent="0.3">
      <c r="B179" s="857" t="s">
        <v>60</v>
      </c>
      <c r="C179" s="858">
        <v>49.635599999999997</v>
      </c>
      <c r="D179" s="859">
        <v>1</v>
      </c>
      <c r="E179" s="859">
        <v>0</v>
      </c>
      <c r="F179" s="859">
        <v>0.49340000000000001</v>
      </c>
      <c r="G179" s="859">
        <v>0</v>
      </c>
      <c r="H179" s="859">
        <v>8.0000000000000002E-3</v>
      </c>
      <c r="I179" s="859">
        <v>0</v>
      </c>
      <c r="J179" s="859">
        <v>0</v>
      </c>
      <c r="K179" s="859">
        <v>0.49859999999999999</v>
      </c>
      <c r="L179" s="859">
        <v>0</v>
      </c>
      <c r="M179" s="859">
        <v>0</v>
      </c>
    </row>
    <row r="180" spans="2:13" x14ac:dyDescent="0.3">
      <c r="B180" s="857" t="s">
        <v>33</v>
      </c>
      <c r="C180" s="858">
        <v>153.93299999999999</v>
      </c>
      <c r="D180" s="859">
        <v>1</v>
      </c>
      <c r="E180" s="859">
        <v>0</v>
      </c>
      <c r="F180" s="859">
        <v>1.4703150071784476E-2</v>
      </c>
      <c r="G180" s="859">
        <v>0</v>
      </c>
      <c r="H180" s="859">
        <v>0.84842786147219895</v>
      </c>
      <c r="I180" s="859">
        <v>0</v>
      </c>
      <c r="J180" s="859">
        <v>0</v>
      </c>
      <c r="K180" s="859">
        <v>0</v>
      </c>
      <c r="L180" s="859">
        <v>0</v>
      </c>
      <c r="M180" s="859">
        <v>0.13686898845601661</v>
      </c>
    </row>
    <row r="181" spans="2:13" x14ac:dyDescent="0.3">
      <c r="B181" s="857" t="s">
        <v>66</v>
      </c>
      <c r="C181" s="858">
        <v>43.265000000000001</v>
      </c>
      <c r="D181" s="859">
        <v>1</v>
      </c>
      <c r="E181" s="859">
        <v>0.15136172962019012</v>
      </c>
      <c r="F181" s="859">
        <v>0.47164937359369702</v>
      </c>
      <c r="G181" s="859">
        <v>0</v>
      </c>
      <c r="H181" s="859">
        <v>0.37698889678611286</v>
      </c>
      <c r="I181" s="859">
        <v>0</v>
      </c>
      <c r="J181" s="859">
        <v>0</v>
      </c>
      <c r="K181" s="859">
        <v>0</v>
      </c>
      <c r="L181" s="859">
        <v>0</v>
      </c>
      <c r="M181" s="859">
        <v>0</v>
      </c>
    </row>
    <row r="182" spans="2:13" x14ac:dyDescent="0.3">
      <c r="B182" s="857" t="s">
        <v>73</v>
      </c>
      <c r="C182" s="858">
        <v>88.589754672800012</v>
      </c>
      <c r="D182" s="859">
        <v>0.40246188886836326</v>
      </c>
      <c r="E182" s="859">
        <v>0</v>
      </c>
      <c r="F182" s="859">
        <v>0.34044251179374846</v>
      </c>
      <c r="G182" s="859">
        <v>0</v>
      </c>
      <c r="H182" s="859">
        <v>6.1898638507954268E-2</v>
      </c>
      <c r="I182" s="859">
        <v>0</v>
      </c>
      <c r="J182" s="859">
        <v>0</v>
      </c>
      <c r="K182" s="859">
        <v>0.54239762137976022</v>
      </c>
      <c r="L182" s="859">
        <v>5.5261228318536935E-2</v>
      </c>
      <c r="M182" s="859">
        <v>0</v>
      </c>
    </row>
    <row r="183" spans="2:13" x14ac:dyDescent="0.3">
      <c r="B183" s="857" t="s">
        <v>74</v>
      </c>
      <c r="C183" s="858">
        <v>1.6040000000000001</v>
      </c>
      <c r="D183" s="859">
        <v>1</v>
      </c>
      <c r="E183" s="859">
        <v>0</v>
      </c>
      <c r="F183" s="859">
        <v>0.16488222698072805</v>
      </c>
      <c r="G183" s="859">
        <v>0</v>
      </c>
      <c r="H183" s="859">
        <v>0.83511777301927204</v>
      </c>
      <c r="I183" s="859">
        <v>0</v>
      </c>
      <c r="J183" s="859">
        <v>0</v>
      </c>
      <c r="K183" s="859">
        <v>0</v>
      </c>
      <c r="L183" s="859">
        <v>0</v>
      </c>
      <c r="M183" s="859">
        <v>0</v>
      </c>
    </row>
    <row r="184" spans="2:13" ht="14.4" customHeight="1" x14ac:dyDescent="0.3">
      <c r="B184" s="857" t="s">
        <v>327</v>
      </c>
      <c r="C184" s="858">
        <v>363.25038987212702</v>
      </c>
      <c r="D184" s="859">
        <v>0.34250696335980357</v>
      </c>
      <c r="E184" s="859">
        <v>0.15412813351191162</v>
      </c>
      <c r="F184" s="859">
        <v>0.13015264607672536</v>
      </c>
      <c r="G184" s="859">
        <v>0</v>
      </c>
      <c r="H184" s="859">
        <v>5.8226183771166617E-2</v>
      </c>
      <c r="I184" s="859">
        <v>0</v>
      </c>
      <c r="J184" s="859">
        <v>0</v>
      </c>
      <c r="K184" s="859">
        <v>0.65003784849586066</v>
      </c>
      <c r="L184" s="859">
        <v>7.4551881443356951E-3</v>
      </c>
      <c r="M184" s="859">
        <v>0</v>
      </c>
    </row>
    <row r="185" spans="2:13" x14ac:dyDescent="0.3">
      <c r="B185" s="857" t="s">
        <v>143</v>
      </c>
      <c r="C185" s="858">
        <v>1952.7837354261242</v>
      </c>
      <c r="D185" s="859">
        <v>0.69602762706063293</v>
      </c>
      <c r="E185" s="859">
        <v>1.8096718303576456E-3</v>
      </c>
      <c r="F185" s="859">
        <v>0.56900258512206747</v>
      </c>
      <c r="G185" s="859">
        <v>0</v>
      </c>
      <c r="H185" s="859">
        <v>5.2619688605783851E-2</v>
      </c>
      <c r="I185" s="859">
        <v>0</v>
      </c>
      <c r="J185" s="859">
        <v>0</v>
      </c>
      <c r="K185" s="859">
        <v>0.32179728449681017</v>
      </c>
      <c r="L185" s="859">
        <v>5.4770769944980945E-2</v>
      </c>
      <c r="M185" s="859">
        <v>0</v>
      </c>
    </row>
    <row r="186" spans="2:13" x14ac:dyDescent="0.3">
      <c r="B186" s="857" t="s">
        <v>76</v>
      </c>
      <c r="C186" s="858">
        <v>3639.884</v>
      </c>
      <c r="D186" s="859">
        <v>1</v>
      </c>
      <c r="E186" s="859">
        <v>5.4235492120078554E-2</v>
      </c>
      <c r="F186" s="859">
        <v>0.15875605651169106</v>
      </c>
      <c r="G186" s="859">
        <v>0</v>
      </c>
      <c r="H186" s="859">
        <v>0.74708732476089901</v>
      </c>
      <c r="I186" s="859">
        <v>0</v>
      </c>
      <c r="J186" s="859">
        <v>0</v>
      </c>
      <c r="K186" s="859">
        <v>3.9921126607331443E-2</v>
      </c>
      <c r="L186" s="859">
        <v>0</v>
      </c>
      <c r="M186" s="859">
        <v>0</v>
      </c>
    </row>
    <row r="187" spans="2:13" x14ac:dyDescent="0.3">
      <c r="B187" s="857" t="s">
        <v>309</v>
      </c>
      <c r="C187" s="858">
        <v>11746.766009916961</v>
      </c>
      <c r="D187" s="859">
        <v>0.92779186976220729</v>
      </c>
      <c r="E187" s="859">
        <v>0</v>
      </c>
      <c r="F187" s="859">
        <v>0.71439973971689963</v>
      </c>
      <c r="G187" s="859">
        <v>0</v>
      </c>
      <c r="H187" s="859">
        <v>0.16700253655719732</v>
      </c>
      <c r="I187" s="859">
        <v>0</v>
      </c>
      <c r="J187" s="859">
        <v>0</v>
      </c>
      <c r="K187" s="859">
        <v>0.10559022402829285</v>
      </c>
      <c r="L187" s="859">
        <v>1.3007499697610191E-2</v>
      </c>
      <c r="M187" s="859">
        <v>0</v>
      </c>
    </row>
    <row r="188" spans="2:13" x14ac:dyDescent="0.3">
      <c r="B188" s="857" t="s">
        <v>95</v>
      </c>
      <c r="C188" s="858">
        <v>0</v>
      </c>
      <c r="D188" s="859"/>
      <c r="E188" s="859"/>
      <c r="F188" s="859"/>
      <c r="G188" s="859"/>
      <c r="H188" s="859"/>
      <c r="I188" s="859"/>
      <c r="J188" s="859"/>
      <c r="K188" s="859"/>
      <c r="L188" s="859"/>
      <c r="M188" s="859"/>
    </row>
    <row r="189" spans="2:13" x14ac:dyDescent="0.3">
      <c r="B189" s="857" t="s">
        <v>119</v>
      </c>
      <c r="C189" s="858">
        <v>14287.640698110081</v>
      </c>
      <c r="D189" s="859">
        <v>0</v>
      </c>
      <c r="E189" s="859">
        <v>0</v>
      </c>
      <c r="F189" s="859">
        <v>0</v>
      </c>
      <c r="G189" s="859">
        <v>0</v>
      </c>
      <c r="H189" s="859">
        <v>0</v>
      </c>
      <c r="I189" s="859">
        <v>0</v>
      </c>
      <c r="J189" s="859">
        <v>0</v>
      </c>
      <c r="K189" s="859">
        <v>0.83002666261989666</v>
      </c>
      <c r="L189" s="859">
        <v>0.16997333738010326</v>
      </c>
      <c r="M189" s="859">
        <v>0</v>
      </c>
    </row>
    <row r="190" spans="2:13" x14ac:dyDescent="0.3">
      <c r="B190" s="851" t="s">
        <v>427</v>
      </c>
      <c r="C190" s="852">
        <v>154188.18073611538</v>
      </c>
      <c r="D190" s="853">
        <v>0.36260715935519461</v>
      </c>
      <c r="E190" s="853">
        <v>4.9629651500131128E-3</v>
      </c>
      <c r="F190" s="853">
        <v>0.27756855464511238</v>
      </c>
      <c r="G190" s="853">
        <v>3.5576403527246135E-2</v>
      </c>
      <c r="H190" s="853">
        <v>5.0110244613551444E-2</v>
      </c>
      <c r="I190" s="853">
        <v>9.0556676504691541E-2</v>
      </c>
      <c r="J190" s="853">
        <v>3.6812362854423681E-3</v>
      </c>
      <c r="K190" s="853">
        <v>0.34675636696957252</v>
      </c>
      <c r="L190" s="853">
        <v>0.10313215996912237</v>
      </c>
      <c r="M190" s="853">
        <v>8.7655392335247995E-2</v>
      </c>
    </row>
  </sheetData>
  <mergeCells count="47">
    <mergeCell ref="Q2:Q3"/>
    <mergeCell ref="B2:B3"/>
    <mergeCell ref="C2:C3"/>
    <mergeCell ref="D2:D3"/>
    <mergeCell ref="E2:E3"/>
    <mergeCell ref="F2:I2"/>
    <mergeCell ref="K2:K3"/>
    <mergeCell ref="L2:L3"/>
    <mergeCell ref="M2:M3"/>
    <mergeCell ref="N2:N3"/>
    <mergeCell ref="O2:O3"/>
    <mergeCell ref="P2:P3"/>
    <mergeCell ref="AG3:AK3"/>
    <mergeCell ref="R2:R3"/>
    <mergeCell ref="S2:S3"/>
    <mergeCell ref="T2:T3"/>
    <mergeCell ref="U2:U3"/>
    <mergeCell ref="V2:V3"/>
    <mergeCell ref="W2:W3"/>
    <mergeCell ref="X2:X3"/>
    <mergeCell ref="Y2:Y3"/>
    <mergeCell ref="Z2:Z3"/>
    <mergeCell ref="AA2:AA3"/>
    <mergeCell ref="AB2:AB3"/>
    <mergeCell ref="AE4:AF4"/>
    <mergeCell ref="AG10:AK10"/>
    <mergeCell ref="AE11:AF11"/>
    <mergeCell ref="B35:B36"/>
    <mergeCell ref="C35:C36"/>
    <mergeCell ref="D35:D36"/>
    <mergeCell ref="E35:V35"/>
    <mergeCell ref="B70:B71"/>
    <mergeCell ref="C70:C71"/>
    <mergeCell ref="D70:D71"/>
    <mergeCell ref="E70:M70"/>
    <mergeCell ref="B98:B99"/>
    <mergeCell ref="C98:C99"/>
    <mergeCell ref="D98:D99"/>
    <mergeCell ref="E98:M98"/>
    <mergeCell ref="B139:B140"/>
    <mergeCell ref="C139:C140"/>
    <mergeCell ref="D139:D140"/>
    <mergeCell ref="E139:M139"/>
    <mergeCell ref="B166:B167"/>
    <mergeCell ref="C166:C167"/>
    <mergeCell ref="D166:D167"/>
    <mergeCell ref="E166:M166"/>
  </mergeCells>
  <pageMargins left="0.7" right="0.7" top="0.75" bottom="0.75" header="0.3" footer="0.3"/>
  <pageSetup paperSize="9" orientation="portrait" horizontalDpi="4294967292"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0BD6-F550-4D44-B0E4-FD540A4B51AF}">
  <sheetPr>
    <tabColor rgb="FFFFC000"/>
  </sheetPr>
  <dimension ref="A1:CB93"/>
  <sheetViews>
    <sheetView topLeftCell="O46" zoomScaleNormal="100" workbookViewId="0">
      <selection activeCell="BL7" sqref="BL7:BU30"/>
    </sheetView>
  </sheetViews>
  <sheetFormatPr baseColWidth="10" defaultColWidth="10.6640625" defaultRowHeight="13.2" x14ac:dyDescent="0.25"/>
  <cols>
    <col min="1" max="1" width="31.109375" style="52" customWidth="1"/>
    <col min="2" max="2" width="17.6640625" style="52" customWidth="1"/>
    <col min="3" max="5" width="11.88671875" style="52" customWidth="1"/>
    <col min="6" max="6" width="14.109375" style="52" customWidth="1"/>
    <col min="7" max="7" width="17" style="52" customWidth="1"/>
    <col min="8" max="8" width="21.109375" style="52" customWidth="1"/>
    <col min="9" max="9" width="13.109375" style="52" customWidth="1"/>
    <col min="10" max="10" width="13.5546875" style="52" customWidth="1"/>
    <col min="11" max="11" width="11.88671875" style="52" customWidth="1"/>
    <col min="12" max="12" width="15" style="52" customWidth="1"/>
    <col min="13" max="15" width="11.88671875" style="52" customWidth="1"/>
    <col min="16" max="16" width="20.88671875" style="52" customWidth="1"/>
    <col min="17" max="17" width="11.88671875" style="52" customWidth="1"/>
    <col min="18" max="18" width="14.5546875" style="52" customWidth="1"/>
    <col min="19" max="19" width="12.5546875" style="52" customWidth="1"/>
    <col min="20" max="20" width="13.44140625" style="52" customWidth="1"/>
    <col min="21" max="21" width="11.6640625" style="52" customWidth="1"/>
    <col min="22" max="24" width="11.88671875" style="52" customWidth="1"/>
    <col min="25" max="25" width="14.44140625" style="52" customWidth="1"/>
    <col min="26" max="26" width="14.88671875" style="52" customWidth="1"/>
    <col min="27" max="28" width="11.88671875" style="52" customWidth="1"/>
    <col min="29" max="29" width="16.109375" style="52" customWidth="1"/>
    <col min="30" max="34" width="11.88671875" style="52" customWidth="1"/>
    <col min="35" max="35" width="11.88671875" style="52" hidden="1" customWidth="1"/>
    <col min="36" max="36" width="11.88671875" style="52" customWidth="1"/>
    <col min="37" max="39" width="10.6640625" style="52"/>
    <col min="40" max="41" width="12.109375" style="52" customWidth="1"/>
    <col min="42" max="42" width="10.6640625" style="52"/>
    <col min="43" max="44" width="12.5546875" style="52" customWidth="1"/>
    <col min="45" max="45" width="12" style="52" customWidth="1"/>
    <col min="46" max="48" width="10.6640625" style="52" customWidth="1"/>
    <col min="49" max="50" width="12" style="52" customWidth="1"/>
    <col min="51" max="52" width="10.6640625" style="52" customWidth="1"/>
    <col min="53" max="53" width="15.109375" style="52" customWidth="1"/>
    <col min="54" max="16384" width="10.6640625" style="52"/>
  </cols>
  <sheetData>
    <row r="1" spans="1:80" ht="40.200000000000003" thickBot="1" x14ac:dyDescent="0.3">
      <c r="A1" s="51" t="s">
        <v>189</v>
      </c>
      <c r="C1" s="3168" t="s">
        <v>150</v>
      </c>
      <c r="D1" s="53">
        <v>1139209</v>
      </c>
      <c r="F1" s="2380" t="s">
        <v>11</v>
      </c>
      <c r="G1" s="2381">
        <v>289691.17121962865</v>
      </c>
      <c r="H1" s="2380" t="s">
        <v>99</v>
      </c>
      <c r="I1" s="2382">
        <v>50324</v>
      </c>
      <c r="J1" s="2383" t="s">
        <v>190</v>
      </c>
      <c r="K1" s="2384">
        <v>340015.17121962865</v>
      </c>
      <c r="M1" s="61"/>
      <c r="N1" s="57" t="s">
        <v>191</v>
      </c>
      <c r="O1" s="3007">
        <v>179238</v>
      </c>
      <c r="P1" s="3008" t="s">
        <v>192</v>
      </c>
      <c r="Q1" s="3007">
        <v>136862</v>
      </c>
      <c r="R1" s="59" t="s">
        <v>124</v>
      </c>
      <c r="S1" s="58">
        <v>41276</v>
      </c>
      <c r="T1" s="61"/>
      <c r="U1" s="61"/>
      <c r="W1" s="2487"/>
      <c r="AC1" s="2627">
        <v>0.25651773951215751</v>
      </c>
    </row>
    <row r="2" spans="1:80" ht="13.8" thickBot="1" x14ac:dyDescent="0.3">
      <c r="A2" s="63" t="s">
        <v>182</v>
      </c>
      <c r="B2" s="61"/>
      <c r="F2" s="268"/>
      <c r="G2" s="2385">
        <v>0.8519948394670489</v>
      </c>
      <c r="H2" s="217"/>
      <c r="I2" s="2385">
        <v>0.14800516053295112</v>
      </c>
      <c r="J2" s="269"/>
      <c r="K2" s="269"/>
      <c r="L2" s="61">
        <v>0</v>
      </c>
    </row>
    <row r="3" spans="1:80" ht="16.5" customHeight="1" thickBot="1" x14ac:dyDescent="0.35">
      <c r="A3" s="52">
        <v>2021</v>
      </c>
      <c r="B3" s="61"/>
      <c r="M3" s="3734" t="s">
        <v>193</v>
      </c>
      <c r="N3" s="3735"/>
      <c r="O3" s="3735"/>
      <c r="P3" s="3735"/>
      <c r="Q3" s="3735"/>
      <c r="R3" s="3736"/>
      <c r="S3" s="3762" t="s">
        <v>194</v>
      </c>
      <c r="T3" s="3763"/>
      <c r="U3" s="3763"/>
      <c r="V3" s="3763"/>
      <c r="W3" s="3763"/>
      <c r="X3" s="3763"/>
      <c r="Y3" s="3763"/>
      <c r="Z3" s="3763"/>
      <c r="AA3" s="3763"/>
      <c r="AB3" s="3764"/>
      <c r="AC3" s="3765" t="s">
        <v>134</v>
      </c>
      <c r="AD3" s="3766"/>
      <c r="AE3" s="3767"/>
      <c r="AF3" s="3765" t="s">
        <v>133</v>
      </c>
      <c r="AG3" s="3766"/>
      <c r="AH3" s="3767"/>
      <c r="AI3" s="2363" t="s">
        <v>162</v>
      </c>
      <c r="AJ3" s="3762" t="s">
        <v>195</v>
      </c>
      <c r="AK3" s="3763"/>
      <c r="AL3" s="3763"/>
      <c r="AM3" s="3763"/>
      <c r="AN3" s="3763"/>
      <c r="AO3" s="3763"/>
      <c r="AP3" s="3763"/>
      <c r="AQ3" s="3763"/>
      <c r="AR3" s="3764"/>
      <c r="AS3" s="3734" t="s">
        <v>196</v>
      </c>
      <c r="AT3" s="3735"/>
      <c r="AU3" s="3735"/>
      <c r="AV3" s="3735"/>
      <c r="AW3" s="3735"/>
      <c r="AX3" s="3735"/>
      <c r="AY3" s="3735"/>
      <c r="AZ3" s="3735"/>
      <c r="BA3" s="3736"/>
    </row>
    <row r="4" spans="1:80" ht="53.4" thickBot="1" x14ac:dyDescent="0.3">
      <c r="A4" s="8" t="s">
        <v>198</v>
      </c>
      <c r="B4" s="270" t="s">
        <v>9</v>
      </c>
      <c r="C4" s="271" t="s">
        <v>199</v>
      </c>
      <c r="D4" s="271" t="s">
        <v>158</v>
      </c>
      <c r="E4" s="272" t="s">
        <v>200</v>
      </c>
      <c r="F4" s="273" t="s">
        <v>201</v>
      </c>
      <c r="G4" s="274" t="s">
        <v>11</v>
      </c>
      <c r="H4" s="274" t="s">
        <v>202</v>
      </c>
      <c r="I4" s="274" t="s">
        <v>99</v>
      </c>
      <c r="J4" s="274" t="s">
        <v>203</v>
      </c>
      <c r="K4" s="275" t="s">
        <v>204</v>
      </c>
      <c r="L4" s="276" t="s">
        <v>205</v>
      </c>
      <c r="M4" s="277" t="s">
        <v>206</v>
      </c>
      <c r="N4" s="278" t="s">
        <v>207</v>
      </c>
      <c r="O4" s="76" t="s">
        <v>140</v>
      </c>
      <c r="P4" s="76" t="s">
        <v>134</v>
      </c>
      <c r="Q4" s="76" t="s">
        <v>133</v>
      </c>
      <c r="R4" s="76" t="s">
        <v>124</v>
      </c>
      <c r="S4" s="280" t="s">
        <v>249</v>
      </c>
      <c r="T4" s="280" t="s">
        <v>250</v>
      </c>
      <c r="U4" s="280" t="s">
        <v>122</v>
      </c>
      <c r="V4" s="3215" t="s">
        <v>251</v>
      </c>
      <c r="W4" s="280" t="s">
        <v>252</v>
      </c>
      <c r="X4" s="3215" t="s">
        <v>253</v>
      </c>
      <c r="Y4" s="280" t="s">
        <v>254</v>
      </c>
      <c r="Z4" s="3215" t="s">
        <v>255</v>
      </c>
      <c r="AA4" s="280" t="s">
        <v>179</v>
      </c>
      <c r="AB4" s="3189" t="s">
        <v>124</v>
      </c>
      <c r="AC4" s="78" t="s">
        <v>218</v>
      </c>
      <c r="AD4" s="282" t="s">
        <v>256</v>
      </c>
      <c r="AE4" s="79" t="s">
        <v>257</v>
      </c>
      <c r="AF4" s="283" t="s">
        <v>209</v>
      </c>
      <c r="AG4" s="284" t="s">
        <v>258</v>
      </c>
      <c r="AH4" s="285" t="s">
        <v>219</v>
      </c>
      <c r="AI4" s="286" t="s">
        <v>124</v>
      </c>
      <c r="AJ4" s="287" t="s">
        <v>220</v>
      </c>
      <c r="AK4" s="89" t="s">
        <v>221</v>
      </c>
      <c r="AL4" s="90" t="s">
        <v>222</v>
      </c>
      <c r="AM4" s="83" t="s">
        <v>223</v>
      </c>
      <c r="AN4" s="84" t="s">
        <v>224</v>
      </c>
      <c r="AO4" s="85" t="s">
        <v>225</v>
      </c>
      <c r="AP4" s="86" t="s">
        <v>226</v>
      </c>
      <c r="AQ4" s="288" t="s">
        <v>227</v>
      </c>
      <c r="AR4" s="289" t="s">
        <v>259</v>
      </c>
      <c r="AS4" s="290" t="s">
        <v>228</v>
      </c>
      <c r="AT4" s="291" t="s">
        <v>229</v>
      </c>
      <c r="AU4" s="292" t="s">
        <v>230</v>
      </c>
      <c r="AV4" s="293" t="s">
        <v>231</v>
      </c>
      <c r="AW4" s="294" t="s">
        <v>232</v>
      </c>
      <c r="AX4" s="295" t="s">
        <v>233</v>
      </c>
      <c r="AY4" s="296" t="s">
        <v>234</v>
      </c>
      <c r="AZ4" s="297" t="s">
        <v>235</v>
      </c>
      <c r="BA4" s="298" t="s">
        <v>260</v>
      </c>
      <c r="BB4" s="52" t="s">
        <v>197</v>
      </c>
    </row>
    <row r="5" spans="1:80" ht="14.4" x14ac:dyDescent="0.3">
      <c r="A5" s="8" t="s">
        <v>113</v>
      </c>
      <c r="B5" s="3006">
        <v>211000.88069762653</v>
      </c>
      <c r="C5" s="3249">
        <v>0.38481263188247611</v>
      </c>
      <c r="D5" s="3258">
        <v>215746.73941047047</v>
      </c>
      <c r="E5" s="3027">
        <v>0.39346788666526999</v>
      </c>
      <c r="F5" s="3164">
        <v>0.99092294229811251</v>
      </c>
      <c r="G5" s="3256">
        <v>287061.62774274073</v>
      </c>
      <c r="H5" s="3024">
        <v>0.99870000000000003</v>
      </c>
      <c r="I5" s="3256">
        <v>50258.578800000003</v>
      </c>
      <c r="J5" s="3025"/>
      <c r="K5" s="3026">
        <v>337320.20654274075</v>
      </c>
      <c r="L5" s="3020">
        <v>548321.08724036731</v>
      </c>
      <c r="M5" s="3104">
        <v>2869.0159119131763</v>
      </c>
      <c r="N5" s="3186">
        <v>162807.71923952558</v>
      </c>
      <c r="O5" s="3031">
        <v>17023.314882793555</v>
      </c>
      <c r="P5" s="3293">
        <v>13212.542896429433</v>
      </c>
      <c r="Q5" s="3293">
        <v>14918.373619229314</v>
      </c>
      <c r="R5" s="3032">
        <v>169.91414773551486</v>
      </c>
      <c r="S5" s="3108">
        <v>1091.2851447205549</v>
      </c>
      <c r="T5" s="3265">
        <v>130686.43553042591</v>
      </c>
      <c r="U5" s="3290">
        <v>4764.2491152379462</v>
      </c>
      <c r="V5" s="3265">
        <v>42011.343001524991</v>
      </c>
      <c r="W5" s="3265">
        <v>6823.8776243494513</v>
      </c>
      <c r="X5" s="3265">
        <v>9763.3805579642976</v>
      </c>
      <c r="Y5" s="3265">
        <v>50015.133364484478</v>
      </c>
      <c r="Z5" s="3265">
        <v>5206.2587405966624</v>
      </c>
      <c r="AA5" s="3265">
        <v>15043.077738709992</v>
      </c>
      <c r="AB5" s="3265">
        <v>41276</v>
      </c>
      <c r="AC5" s="3049">
        <v>140654.08582574752</v>
      </c>
      <c r="AD5" s="3272">
        <v>13212.542896429433</v>
      </c>
      <c r="AE5" s="3051">
        <v>54764.78448997673</v>
      </c>
      <c r="AF5" s="3292">
        <v>89016.660156882455</v>
      </c>
      <c r="AG5" s="3218">
        <v>7212.075051674813</v>
      </c>
      <c r="AH5" s="3121">
        <v>13459.440377730025</v>
      </c>
      <c r="AI5" s="3121">
        <v>41445.914147735515</v>
      </c>
      <c r="AJ5" s="3006">
        <v>2869.0159119131763</v>
      </c>
      <c r="AK5" s="3031">
        <v>167571.96835476352</v>
      </c>
      <c r="AL5" s="3061">
        <v>17023.314882793555</v>
      </c>
      <c r="AM5" s="3063">
        <v>187464.29914947026</v>
      </c>
      <c r="AN5" s="3065">
        <v>208631.41321215368</v>
      </c>
      <c r="AO5" s="3067">
        <v>396095.71236162394</v>
      </c>
      <c r="AP5" s="3272">
        <v>109688.17558628728</v>
      </c>
      <c r="AQ5" s="3273">
        <v>41445.914147735515</v>
      </c>
      <c r="AR5" s="3302">
        <v>1091.2851447205549</v>
      </c>
      <c r="AS5" s="3213">
        <v>5.2323647196437055E-3</v>
      </c>
      <c r="AT5" s="3080">
        <v>0.30560919916126639</v>
      </c>
      <c r="AU5" s="3082">
        <v>3.1046252422043091E-2</v>
      </c>
      <c r="AV5" s="3084">
        <v>0.34188781630295317</v>
      </c>
      <c r="AW5" s="3086">
        <v>0.38049131807454273</v>
      </c>
      <c r="AX5" s="3088">
        <v>0.7223791343774959</v>
      </c>
      <c r="AY5" s="3276">
        <v>0.20004369362910041</v>
      </c>
      <c r="AZ5" s="3303">
        <v>7.5586941870734378E-2</v>
      </c>
      <c r="BA5" s="3219">
        <v>1.9902301226692905E-3</v>
      </c>
      <c r="BB5" s="3220">
        <v>0</v>
      </c>
    </row>
    <row r="6" spans="1:80" ht="14.4" x14ac:dyDescent="0.3">
      <c r="A6" s="8" t="s">
        <v>236</v>
      </c>
      <c r="B6" s="3006">
        <v>304857.84740469896</v>
      </c>
      <c r="C6" s="3249">
        <v>0.47274089409886549</v>
      </c>
      <c r="D6" s="3258">
        <v>309603.70611754293</v>
      </c>
      <c r="E6" s="3027">
        <v>0.4801002634255091</v>
      </c>
      <c r="F6" s="3164">
        <v>1</v>
      </c>
      <c r="G6" s="3256">
        <v>289691.17121962865</v>
      </c>
      <c r="H6" s="3024">
        <v>1</v>
      </c>
      <c r="I6" s="3256">
        <v>50324</v>
      </c>
      <c r="J6" s="3025"/>
      <c r="K6" s="3026">
        <v>340015.17121962865</v>
      </c>
      <c r="L6" s="3020">
        <v>644873.01862432761</v>
      </c>
      <c r="M6" s="3104">
        <v>2869.0159119131763</v>
      </c>
      <c r="N6" s="3186">
        <v>236016.1532710421</v>
      </c>
      <c r="O6" s="3031">
        <v>17023.314882793555</v>
      </c>
      <c r="P6" s="3293">
        <v>13212.542896429433</v>
      </c>
      <c r="Q6" s="3293">
        <v>35566.906294785251</v>
      </c>
      <c r="R6" s="3032">
        <v>169.91414773551486</v>
      </c>
      <c r="S6" s="3188">
        <v>1100.0037890839537</v>
      </c>
      <c r="T6" s="3296">
        <v>132098.36450279606</v>
      </c>
      <c r="U6" s="3296">
        <v>4764.2491152379462</v>
      </c>
      <c r="V6" s="3297">
        <v>42011.343001524991</v>
      </c>
      <c r="W6" s="3296">
        <v>6823.8776243494513</v>
      </c>
      <c r="X6" s="3297">
        <v>9763.3805579642976</v>
      </c>
      <c r="Y6" s="3041">
        <v>50015.133364484478</v>
      </c>
      <c r="Z6" s="3297">
        <v>5569.27644051072</v>
      </c>
      <c r="AA6" s="3296">
        <v>16091.989011166075</v>
      </c>
      <c r="AB6" s="3110">
        <v>41276</v>
      </c>
      <c r="AC6" s="3049">
        <v>141835.43835886708</v>
      </c>
      <c r="AD6" s="3272">
        <v>13212.542896429433</v>
      </c>
      <c r="AE6" s="3051">
        <v>55127.80218989079</v>
      </c>
      <c r="AF6" s="3292">
        <v>110714.10410489448</v>
      </c>
      <c r="AG6" s="3218">
        <v>7212.075051674813</v>
      </c>
      <c r="AH6" s="3121">
        <v>13552.404904764848</v>
      </c>
      <c r="AI6" s="3121">
        <v>41445.914147735515</v>
      </c>
      <c r="AJ6" s="3006">
        <v>2869.0159119131763</v>
      </c>
      <c r="AK6" s="3031">
        <v>240780.40238628004</v>
      </c>
      <c r="AL6" s="3061">
        <v>17023.314882793555</v>
      </c>
      <c r="AM6" s="3063">
        <v>260672.73318098678</v>
      </c>
      <c r="AN6" s="3065">
        <v>210175.78344518729</v>
      </c>
      <c r="AO6" s="3067">
        <v>470848.5166261741</v>
      </c>
      <c r="AP6" s="3272">
        <v>131478.58406133414</v>
      </c>
      <c r="AQ6" s="3273">
        <v>41445.914147735515</v>
      </c>
      <c r="AR6" s="3302">
        <v>1100.0037890839537</v>
      </c>
      <c r="AS6" s="3213">
        <v>4.4489625539513057E-3</v>
      </c>
      <c r="AT6" s="3080">
        <v>0.37337645618965998</v>
      </c>
      <c r="AU6" s="3082">
        <v>2.6397933222742771E-2</v>
      </c>
      <c r="AV6" s="3084">
        <v>0.40422335196635406</v>
      </c>
      <c r="AW6" s="3086">
        <v>0.3259180914306879</v>
      </c>
      <c r="AX6" s="3088">
        <v>0.73014144339704201</v>
      </c>
      <c r="AY6" s="3276">
        <v>0.20388290448530508</v>
      </c>
      <c r="AZ6" s="3303">
        <v>6.4269884071363109E-2</v>
      </c>
      <c r="BA6" s="3219">
        <v>1.7057680462899995E-3</v>
      </c>
      <c r="BB6" s="3220">
        <v>0</v>
      </c>
      <c r="BD6" s="3305" t="s">
        <v>198</v>
      </c>
      <c r="BE6" s="3305" t="s">
        <v>395</v>
      </c>
      <c r="BF6" s="3305" t="s">
        <v>156</v>
      </c>
      <c r="BG6" s="3305" t="s">
        <v>220</v>
      </c>
      <c r="BH6" s="3305" t="s">
        <v>221</v>
      </c>
      <c r="BI6" s="3305" t="s">
        <v>222</v>
      </c>
      <c r="BJ6" s="3305" t="s">
        <v>223</v>
      </c>
      <c r="BK6" s="3305" t="s">
        <v>224</v>
      </c>
      <c r="BL6" s="3305" t="s">
        <v>225</v>
      </c>
      <c r="BM6" s="3305" t="s">
        <v>226</v>
      </c>
      <c r="BN6" s="3305" t="s">
        <v>227</v>
      </c>
      <c r="BO6" s="3305" t="s">
        <v>259</v>
      </c>
      <c r="BP6" s="1"/>
      <c r="BQ6" s="3305" t="s">
        <v>198</v>
      </c>
      <c r="BR6" s="3305" t="s">
        <v>395</v>
      </c>
      <c r="BS6" s="3305" t="s">
        <v>156</v>
      </c>
      <c r="BT6" s="3305" t="s">
        <v>228</v>
      </c>
      <c r="BU6" s="3305" t="s">
        <v>229</v>
      </c>
      <c r="BV6" s="3305" t="s">
        <v>230</v>
      </c>
      <c r="BW6" s="3305" t="s">
        <v>231</v>
      </c>
      <c r="BX6" s="3305" t="s">
        <v>232</v>
      </c>
      <c r="BY6" s="3305" t="s">
        <v>233</v>
      </c>
      <c r="BZ6" s="3305" t="s">
        <v>234</v>
      </c>
      <c r="CA6" s="3305" t="s">
        <v>235</v>
      </c>
      <c r="CB6" s="3305" t="s">
        <v>260</v>
      </c>
    </row>
    <row r="7" spans="1:80" ht="14.4" x14ac:dyDescent="0.3">
      <c r="A7" s="8" t="s">
        <v>14</v>
      </c>
      <c r="B7" s="3006">
        <v>21531.709144902608</v>
      </c>
      <c r="C7" s="3249">
        <v>0.33597984013762711</v>
      </c>
      <c r="D7" s="3258">
        <v>24331.344065024055</v>
      </c>
      <c r="E7" s="3027">
        <v>0.37966521999186892</v>
      </c>
      <c r="F7" s="3164">
        <v>0.12307997910557213</v>
      </c>
      <c r="G7" s="3256">
        <v>35655.183300780613</v>
      </c>
      <c r="H7" s="3024">
        <v>0.1371</v>
      </c>
      <c r="I7" s="3256">
        <v>6899.4204</v>
      </c>
      <c r="J7" s="3025"/>
      <c r="K7" s="3026">
        <v>42554.603700780615</v>
      </c>
      <c r="L7" s="3020">
        <v>64086.31284568322</v>
      </c>
      <c r="M7" s="3104">
        <v>0</v>
      </c>
      <c r="N7" s="3186">
        <v>17150.586041995131</v>
      </c>
      <c r="O7" s="3031">
        <v>0</v>
      </c>
      <c r="P7" s="3293">
        <v>7.1967098317672198</v>
      </c>
      <c r="Q7" s="3293">
        <v>4373.9263930757115</v>
      </c>
      <c r="R7" s="3032">
        <v>0</v>
      </c>
      <c r="S7" s="3109">
        <v>137.67099022645735</v>
      </c>
      <c r="T7" s="3041">
        <v>19495.305858933702</v>
      </c>
      <c r="U7" s="3298">
        <v>2799.6349201214471</v>
      </c>
      <c r="V7" s="3041"/>
      <c r="W7" s="3041"/>
      <c r="X7" s="3041">
        <v>3184.0886918268116</v>
      </c>
      <c r="Y7" s="3041">
        <v>16311.217167106888</v>
      </c>
      <c r="Z7" s="3041"/>
      <c r="AA7" s="3041"/>
      <c r="AB7" s="3314"/>
      <c r="AC7" s="3049">
        <v>18654.043709347992</v>
      </c>
      <c r="AD7" s="3272">
        <v>7.1967098317672198</v>
      </c>
      <c r="AE7" s="3051">
        <v>3184.0886918268116</v>
      </c>
      <c r="AF7" s="3292">
        <v>20685.143560182602</v>
      </c>
      <c r="AG7" s="3301"/>
      <c r="AH7" s="3121">
        <v>1467.9482221510168</v>
      </c>
      <c r="AI7" s="3121">
        <v>0</v>
      </c>
      <c r="AJ7" s="3006">
        <v>0</v>
      </c>
      <c r="AK7" s="3031">
        <v>19950.220962116578</v>
      </c>
      <c r="AL7" s="3061">
        <v>0</v>
      </c>
      <c r="AM7" s="3063">
        <v>19950.220962116578</v>
      </c>
      <c r="AN7" s="3065">
        <v>21845.329111006569</v>
      </c>
      <c r="AO7" s="3067">
        <v>41795.550073123144</v>
      </c>
      <c r="AP7" s="3272">
        <v>22153.091782333617</v>
      </c>
      <c r="AQ7" s="3273">
        <v>0</v>
      </c>
      <c r="AR7" s="3302">
        <v>137.67099022645735</v>
      </c>
      <c r="AS7" s="3213" t="s">
        <v>153</v>
      </c>
      <c r="AT7" s="3080">
        <v>0.31130236826318525</v>
      </c>
      <c r="AU7" s="3082" t="s">
        <v>153</v>
      </c>
      <c r="AV7" s="3084">
        <v>0.31130236826318525</v>
      </c>
      <c r="AW7" s="3086">
        <v>0.34087355226082483</v>
      </c>
      <c r="AX7" s="3088">
        <v>0.65217592052401008</v>
      </c>
      <c r="AY7" s="3276">
        <v>0.3456758674145789</v>
      </c>
      <c r="AZ7" s="3303" t="s">
        <v>153</v>
      </c>
      <c r="BA7" s="3219">
        <v>2.1482120614110304E-3</v>
      </c>
      <c r="BB7" s="3220">
        <v>0</v>
      </c>
      <c r="BD7" s="643" t="s">
        <v>14</v>
      </c>
      <c r="BE7" s="615">
        <v>64086.31284568322</v>
      </c>
      <c r="BF7" s="3306">
        <v>0.33597984013762711</v>
      </c>
      <c r="BG7" s="615">
        <v>0</v>
      </c>
      <c r="BH7" s="615">
        <v>19950.220962116578</v>
      </c>
      <c r="BI7" s="615">
        <v>0</v>
      </c>
      <c r="BJ7" s="615">
        <v>19950.220962116578</v>
      </c>
      <c r="BK7" s="615">
        <v>21845.329111006569</v>
      </c>
      <c r="BL7" s="615">
        <v>41795.550073123144</v>
      </c>
      <c r="BM7" s="615">
        <v>22153.091782333617</v>
      </c>
      <c r="BN7" s="615">
        <v>0</v>
      </c>
      <c r="BO7" s="615">
        <v>137.67099022645735</v>
      </c>
      <c r="BP7" s="1"/>
      <c r="BQ7" s="643" t="s">
        <v>14</v>
      </c>
      <c r="BR7" s="615">
        <v>64086.31284568322</v>
      </c>
      <c r="BS7" s="3309">
        <v>0.33597984013762711</v>
      </c>
      <c r="BT7" s="3309" t="s">
        <v>153</v>
      </c>
      <c r="BU7" s="3309">
        <v>0.31130236826318525</v>
      </c>
      <c r="BV7" s="3309" t="s">
        <v>153</v>
      </c>
      <c r="BW7" s="3309">
        <v>0.31130236826318525</v>
      </c>
      <c r="BX7" s="3309">
        <v>0.34087355226082483</v>
      </c>
      <c r="BY7" s="3309">
        <v>0.65217592052401008</v>
      </c>
      <c r="BZ7" s="3309">
        <v>0.3456758674145789</v>
      </c>
      <c r="CA7" s="3309" t="s">
        <v>153</v>
      </c>
      <c r="CB7" s="3309">
        <v>2.1482120614110304E-3</v>
      </c>
    </row>
    <row r="8" spans="1:80" ht="14.4" x14ac:dyDescent="0.3">
      <c r="A8" s="8" t="s">
        <v>32</v>
      </c>
      <c r="B8" s="3006">
        <v>27781.967676178043</v>
      </c>
      <c r="C8" s="3249">
        <v>0.67102148339133294</v>
      </c>
      <c r="D8" s="3258">
        <v>27781.967676178043</v>
      </c>
      <c r="E8" s="3027">
        <v>0.67102148339133294</v>
      </c>
      <c r="F8" s="3164">
        <v>3.357180593756811E-2</v>
      </c>
      <c r="G8" s="3256">
        <v>9725.45578201219</v>
      </c>
      <c r="H8" s="3024">
        <v>7.7399999999999997E-2</v>
      </c>
      <c r="I8" s="3256">
        <v>3895.0775999999996</v>
      </c>
      <c r="J8" s="3025"/>
      <c r="K8" s="3026">
        <v>13620.533382012189</v>
      </c>
      <c r="L8" s="3020">
        <v>41402.501058190232</v>
      </c>
      <c r="M8" s="3104">
        <v>0</v>
      </c>
      <c r="N8" s="3186">
        <v>26917.948481448904</v>
      </c>
      <c r="O8" s="3031">
        <v>0</v>
      </c>
      <c r="P8" s="3293">
        <v>0</v>
      </c>
      <c r="Q8" s="3293">
        <v>766.78230786251402</v>
      </c>
      <c r="R8" s="3032">
        <v>97.236886866623621</v>
      </c>
      <c r="S8" s="3109">
        <v>44.064617104629242</v>
      </c>
      <c r="T8" s="3041">
        <v>7135.9843288949487</v>
      </c>
      <c r="U8" s="3298"/>
      <c r="V8" s="3041"/>
      <c r="W8" s="3041"/>
      <c r="X8" s="3041"/>
      <c r="Y8" s="3041"/>
      <c r="Z8" s="3041">
        <v>1834.7159583740709</v>
      </c>
      <c r="AA8" s="3041">
        <v>5301.2683705208774</v>
      </c>
      <c r="AB8" s="3314"/>
      <c r="AC8" s="3049">
        <v>0</v>
      </c>
      <c r="AD8" s="3272">
        <v>0</v>
      </c>
      <c r="AE8" s="3051">
        <v>0</v>
      </c>
      <c r="AF8" s="3299">
        <v>7902.766636757462</v>
      </c>
      <c r="AG8" s="3301">
        <v>5970.635441448796</v>
      </c>
      <c r="AH8" s="3121">
        <v>469.84899456381493</v>
      </c>
      <c r="AI8" s="3121">
        <v>97.236886866623621</v>
      </c>
      <c r="AJ8" s="3006">
        <v>0</v>
      </c>
      <c r="AK8" s="3031">
        <v>26917.948481448904</v>
      </c>
      <c r="AL8" s="3061">
        <v>0</v>
      </c>
      <c r="AM8" s="3063">
        <v>26917.948481448904</v>
      </c>
      <c r="AN8" s="3065">
        <v>0</v>
      </c>
      <c r="AO8" s="3067">
        <v>26917.948481448904</v>
      </c>
      <c r="AP8" s="3272">
        <v>14343.251072770074</v>
      </c>
      <c r="AQ8" s="3273">
        <v>97.236886866623621</v>
      </c>
      <c r="AR8" s="3302">
        <v>44.064617104629242</v>
      </c>
      <c r="AS8" s="3213" t="s">
        <v>153</v>
      </c>
      <c r="AT8" s="3080">
        <v>0.65015271525786245</v>
      </c>
      <c r="AU8" s="3082" t="s">
        <v>153</v>
      </c>
      <c r="AV8" s="3084">
        <v>0.65015271525786245</v>
      </c>
      <c r="AW8" s="3086" t="s">
        <v>153</v>
      </c>
      <c r="AX8" s="3088">
        <v>0.65015271525786245</v>
      </c>
      <c r="AY8" s="3276">
        <v>0.34643441111470474</v>
      </c>
      <c r="AZ8" s="3303">
        <v>2.3485751918696767E-3</v>
      </c>
      <c r="BA8" s="3219">
        <v>1.0642984355630465E-3</v>
      </c>
      <c r="BB8" s="3220">
        <v>0</v>
      </c>
      <c r="BD8" s="643" t="s">
        <v>32</v>
      </c>
      <c r="BE8" s="615">
        <v>41402.501058190232</v>
      </c>
      <c r="BF8" s="3306">
        <v>0.67102148339133294</v>
      </c>
      <c r="BG8" s="615">
        <v>0</v>
      </c>
      <c r="BH8" s="615">
        <v>26917.948481448904</v>
      </c>
      <c r="BI8" s="615">
        <v>0</v>
      </c>
      <c r="BJ8" s="615">
        <v>26917.948481448904</v>
      </c>
      <c r="BK8" s="615">
        <v>0</v>
      </c>
      <c r="BL8" s="615">
        <v>26917.948481448904</v>
      </c>
      <c r="BM8" s="615">
        <v>14343.251072770074</v>
      </c>
      <c r="BN8" s="615">
        <v>97.236886866623621</v>
      </c>
      <c r="BO8" s="615">
        <v>44.064617104629242</v>
      </c>
      <c r="BP8" s="1"/>
      <c r="BQ8" s="643" t="s">
        <v>32</v>
      </c>
      <c r="BR8" s="615">
        <v>41402.501058190232</v>
      </c>
      <c r="BS8" s="3309">
        <v>0.67102148339133294</v>
      </c>
      <c r="BT8" s="3309" t="s">
        <v>153</v>
      </c>
      <c r="BU8" s="3309">
        <v>0.65015271525786245</v>
      </c>
      <c r="BV8" s="3309" t="s">
        <v>153</v>
      </c>
      <c r="BW8" s="3309">
        <v>0.65015271525786245</v>
      </c>
      <c r="BX8" s="3309" t="s">
        <v>153</v>
      </c>
      <c r="BY8" s="3309">
        <v>0.65015271525786245</v>
      </c>
      <c r="BZ8" s="3309">
        <v>0.34643441111470474</v>
      </c>
      <c r="CA8" s="3309">
        <v>2.3485751918696767E-3</v>
      </c>
      <c r="CB8" s="3309">
        <v>1.0642984355630465E-3</v>
      </c>
    </row>
    <row r="9" spans="1:80" ht="14.4" x14ac:dyDescent="0.3">
      <c r="A9" s="8" t="s">
        <v>47</v>
      </c>
      <c r="B9" s="3006">
        <v>158.4314815143147</v>
      </c>
      <c r="C9" s="3249">
        <v>0.35182705633705558</v>
      </c>
      <c r="D9" s="3258">
        <v>158.4314815143147</v>
      </c>
      <c r="E9" s="3027">
        <v>0.35182705633705558</v>
      </c>
      <c r="F9" s="3164">
        <v>0</v>
      </c>
      <c r="G9" s="3256">
        <v>0</v>
      </c>
      <c r="H9" s="3024">
        <v>5.8000000000000005E-3</v>
      </c>
      <c r="I9" s="3256">
        <v>291.87920000000003</v>
      </c>
      <c r="J9" s="3025"/>
      <c r="K9" s="3026">
        <v>291.87920000000003</v>
      </c>
      <c r="L9" s="3020">
        <v>450.31068151431475</v>
      </c>
      <c r="M9" s="3104">
        <v>0</v>
      </c>
      <c r="N9" s="3186">
        <v>158.40097038389379</v>
      </c>
      <c r="O9" s="3031">
        <v>0</v>
      </c>
      <c r="P9" s="3293">
        <v>0</v>
      </c>
      <c r="Q9" s="3293">
        <v>3.051113042066882E-2</v>
      </c>
      <c r="R9" s="3032">
        <v>0</v>
      </c>
      <c r="S9" s="3109">
        <v>0.94427617686330567</v>
      </c>
      <c r="T9" s="3041">
        <v>152.91951781279596</v>
      </c>
      <c r="U9" s="3041"/>
      <c r="V9" s="3043"/>
      <c r="W9" s="3043"/>
      <c r="X9" s="3043"/>
      <c r="Y9" s="3043"/>
      <c r="Z9" s="3041">
        <v>39.316773516717035</v>
      </c>
      <c r="AA9" s="3041">
        <v>113.60274429607891</v>
      </c>
      <c r="AB9" s="3110"/>
      <c r="AC9" s="3049">
        <v>127.94684666631376</v>
      </c>
      <c r="AD9" s="3272">
        <v>0</v>
      </c>
      <c r="AE9" s="3051">
        <v>39.316773516717035</v>
      </c>
      <c r="AF9" s="3292">
        <v>113.63325542649957</v>
      </c>
      <c r="AG9" s="3301"/>
      <c r="AH9" s="3121">
        <v>10.068559344027012</v>
      </c>
      <c r="AI9" s="3121">
        <v>0</v>
      </c>
      <c r="AJ9" s="3006">
        <v>0</v>
      </c>
      <c r="AK9" s="3031">
        <v>158.40097038389379</v>
      </c>
      <c r="AL9" s="3061">
        <v>0</v>
      </c>
      <c r="AM9" s="3063">
        <v>158.40097038389379</v>
      </c>
      <c r="AN9" s="3065">
        <v>167.26362018303081</v>
      </c>
      <c r="AO9" s="3067">
        <v>325.66459056692463</v>
      </c>
      <c r="AP9" s="3272">
        <v>123.70181477052658</v>
      </c>
      <c r="AQ9" s="3273">
        <v>0</v>
      </c>
      <c r="AR9" s="3302">
        <v>0.94427617686330567</v>
      </c>
      <c r="AS9" s="3213" t="s">
        <v>153</v>
      </c>
      <c r="AT9" s="3080">
        <v>0.35175930060379534</v>
      </c>
      <c r="AU9" s="3082" t="s">
        <v>153</v>
      </c>
      <c r="AV9" s="3084">
        <v>0.35175930060379534</v>
      </c>
      <c r="AW9" s="3086">
        <v>0.37144048997583845</v>
      </c>
      <c r="AX9" s="3088">
        <v>0.72319979057963391</v>
      </c>
      <c r="AY9" s="3276">
        <v>0.27470326565325826</v>
      </c>
      <c r="AZ9" s="3303" t="s">
        <v>153</v>
      </c>
      <c r="BA9" s="3219">
        <v>2.0969437671073507E-3</v>
      </c>
      <c r="BB9" s="3220">
        <v>0</v>
      </c>
      <c r="BD9" s="643" t="s">
        <v>47</v>
      </c>
      <c r="BE9" s="615">
        <v>450.31068151431475</v>
      </c>
      <c r="BF9" s="3306">
        <v>0.35182705633705558</v>
      </c>
      <c r="BG9" s="615">
        <v>0</v>
      </c>
      <c r="BH9" s="615">
        <v>158.40097038389379</v>
      </c>
      <c r="BI9" s="615">
        <v>0</v>
      </c>
      <c r="BJ9" s="615">
        <v>158.40097038389379</v>
      </c>
      <c r="BK9" s="615">
        <v>167.26362018303081</v>
      </c>
      <c r="BL9" s="615">
        <v>325.66459056692463</v>
      </c>
      <c r="BM9" s="615">
        <v>123.70181477052658</v>
      </c>
      <c r="BN9" s="615">
        <v>0</v>
      </c>
      <c r="BO9" s="615">
        <v>0.94427617686330567</v>
      </c>
      <c r="BP9" s="1"/>
      <c r="BQ9" s="643" t="s">
        <v>47</v>
      </c>
      <c r="BR9" s="615">
        <v>450.31068151431475</v>
      </c>
      <c r="BS9" s="3309">
        <v>0.35182705633705558</v>
      </c>
      <c r="BT9" s="3309" t="s">
        <v>153</v>
      </c>
      <c r="BU9" s="3309">
        <v>0.35175930060379534</v>
      </c>
      <c r="BV9" s="3309" t="s">
        <v>153</v>
      </c>
      <c r="BW9" s="3309">
        <v>0.35175930060379534</v>
      </c>
      <c r="BX9" s="3309">
        <v>0.37144048997583845</v>
      </c>
      <c r="BY9" s="3309">
        <v>0.72319979057963391</v>
      </c>
      <c r="BZ9" s="3309">
        <v>0.27470326565325826</v>
      </c>
      <c r="CA9" s="3309" t="s">
        <v>153</v>
      </c>
      <c r="CB9" s="3309">
        <v>2.0969437671073507E-3</v>
      </c>
    </row>
    <row r="10" spans="1:80" ht="14.4" x14ac:dyDescent="0.3">
      <c r="A10" s="8" t="s">
        <v>1</v>
      </c>
      <c r="B10" s="3006">
        <v>7872.3318294896944</v>
      </c>
      <c r="C10" s="3249">
        <v>1</v>
      </c>
      <c r="D10" s="3258">
        <v>7872.3318294896944</v>
      </c>
      <c r="E10" s="3027">
        <v>1</v>
      </c>
      <c r="F10" s="3164">
        <v>0</v>
      </c>
      <c r="G10" s="3256">
        <v>0</v>
      </c>
      <c r="H10" s="3024">
        <v>0</v>
      </c>
      <c r="I10" s="3256">
        <v>0</v>
      </c>
      <c r="J10" s="3025"/>
      <c r="K10" s="3026">
        <v>0</v>
      </c>
      <c r="L10" s="3020">
        <v>7872.3318294896944</v>
      </c>
      <c r="M10" s="3104">
        <v>8.9888651018383818</v>
      </c>
      <c r="N10" s="3186">
        <v>6490.412716328623</v>
      </c>
      <c r="O10" s="3031">
        <v>0</v>
      </c>
      <c r="P10" s="3293">
        <v>429.13523914491674</v>
      </c>
      <c r="Q10" s="3293">
        <v>943.7950089143153</v>
      </c>
      <c r="R10" s="3032">
        <v>0</v>
      </c>
      <c r="S10" s="3109">
        <v>0</v>
      </c>
      <c r="T10" s="3041">
        <v>0</v>
      </c>
      <c r="U10" s="3041"/>
      <c r="V10" s="3043"/>
      <c r="W10" s="3043"/>
      <c r="X10" s="3043"/>
      <c r="Y10" s="3043"/>
      <c r="Z10" s="3041">
        <v>0</v>
      </c>
      <c r="AA10" s="3298">
        <v>0</v>
      </c>
      <c r="AB10" s="3110"/>
      <c r="AC10" s="3049">
        <v>0</v>
      </c>
      <c r="AD10" s="3272">
        <v>429.13523914491674</v>
      </c>
      <c r="AE10" s="3051">
        <v>0</v>
      </c>
      <c r="AF10" s="3292">
        <v>943.7950089143153</v>
      </c>
      <c r="AG10" s="3301"/>
      <c r="AH10" s="3121">
        <v>0</v>
      </c>
      <c r="AI10" s="3121">
        <v>0</v>
      </c>
      <c r="AJ10" s="3006">
        <v>8.9888651018383818</v>
      </c>
      <c r="AK10" s="3031">
        <v>6490.412716328623</v>
      </c>
      <c r="AL10" s="3061">
        <v>0</v>
      </c>
      <c r="AM10" s="3063">
        <v>6499.4015814304612</v>
      </c>
      <c r="AN10" s="3065">
        <v>429.13523914491674</v>
      </c>
      <c r="AO10" s="3067">
        <v>6928.5368205753775</v>
      </c>
      <c r="AP10" s="3272">
        <v>943.7950089143153</v>
      </c>
      <c r="AQ10" s="3273">
        <v>0</v>
      </c>
      <c r="AR10" s="3302">
        <v>0</v>
      </c>
      <c r="AS10" s="3213">
        <v>1.1418300570316614E-3</v>
      </c>
      <c r="AT10" s="3080">
        <v>0.82445873178460127</v>
      </c>
      <c r="AU10" s="3082" t="s">
        <v>153</v>
      </c>
      <c r="AV10" s="3084">
        <v>0.82560056184163289</v>
      </c>
      <c r="AW10" s="3086">
        <v>5.4511833144199974E-2</v>
      </c>
      <c r="AX10" s="3088">
        <v>0.88011239498583282</v>
      </c>
      <c r="AY10" s="3276">
        <v>0.11988760501416702</v>
      </c>
      <c r="AZ10" s="3303" t="s">
        <v>153</v>
      </c>
      <c r="BA10" s="3219" t="s">
        <v>153</v>
      </c>
      <c r="BB10" s="3220">
        <v>0</v>
      </c>
      <c r="BD10" s="643" t="s">
        <v>1</v>
      </c>
      <c r="BE10" s="615">
        <v>7872.3318294896944</v>
      </c>
      <c r="BF10" s="3306">
        <v>1</v>
      </c>
      <c r="BG10" s="615">
        <v>8.9888651018383818</v>
      </c>
      <c r="BH10" s="615">
        <v>6490.412716328623</v>
      </c>
      <c r="BI10" s="615">
        <v>0</v>
      </c>
      <c r="BJ10" s="615">
        <v>6499.4015814304612</v>
      </c>
      <c r="BK10" s="615">
        <v>429.13523914491674</v>
      </c>
      <c r="BL10" s="615">
        <v>6928.5368205753775</v>
      </c>
      <c r="BM10" s="615">
        <v>943.7950089143153</v>
      </c>
      <c r="BN10" s="615">
        <v>0</v>
      </c>
      <c r="BO10" s="615">
        <v>0</v>
      </c>
      <c r="BP10" s="1"/>
      <c r="BQ10" s="643" t="s">
        <v>1</v>
      </c>
      <c r="BR10" s="615">
        <v>7872.3318294896944</v>
      </c>
      <c r="BS10" s="3309">
        <v>1</v>
      </c>
      <c r="BT10" s="3309">
        <v>1.1418300570316614E-3</v>
      </c>
      <c r="BU10" s="3309">
        <v>0.82445873178460127</v>
      </c>
      <c r="BV10" s="3309" t="s">
        <v>153</v>
      </c>
      <c r="BW10" s="3309">
        <v>0.82560056184163289</v>
      </c>
      <c r="BX10" s="3309">
        <v>5.4511833144199974E-2</v>
      </c>
      <c r="BY10" s="3309">
        <v>0.88011239498583282</v>
      </c>
      <c r="BZ10" s="3309">
        <v>0.11988760501416702</v>
      </c>
      <c r="CA10" s="3309" t="s">
        <v>153</v>
      </c>
      <c r="CB10" s="3309" t="s">
        <v>153</v>
      </c>
    </row>
    <row r="11" spans="1:80" ht="14.4" x14ac:dyDescent="0.3">
      <c r="A11" s="8" t="s">
        <v>5</v>
      </c>
      <c r="B11" s="3006">
        <v>17586.468021638331</v>
      </c>
      <c r="C11" s="3249">
        <v>0.118665582262412</v>
      </c>
      <c r="D11" s="3258">
        <v>17586.468021638331</v>
      </c>
      <c r="E11" s="3027">
        <v>0.118665582262412</v>
      </c>
      <c r="F11" s="3164">
        <v>0.39344776928843073</v>
      </c>
      <c r="G11" s="3256">
        <v>113978.34509891574</v>
      </c>
      <c r="H11" s="3024">
        <v>0.3306</v>
      </c>
      <c r="I11" s="3256">
        <v>16637.114399999999</v>
      </c>
      <c r="J11" s="3024"/>
      <c r="K11" s="3026">
        <v>130615.45949891573</v>
      </c>
      <c r="L11" s="3020">
        <v>148201.92752055408</v>
      </c>
      <c r="M11" s="3104">
        <v>0</v>
      </c>
      <c r="N11" s="3186">
        <v>0</v>
      </c>
      <c r="O11" s="3031">
        <v>17023.314882793555</v>
      </c>
      <c r="P11" s="3293">
        <v>0</v>
      </c>
      <c r="Q11" s="3293">
        <v>563.15313884477735</v>
      </c>
      <c r="R11" s="3032">
        <v>0</v>
      </c>
      <c r="S11" s="3109">
        <v>422.56202817768474</v>
      </c>
      <c r="T11" s="3041">
        <v>27155.231432287641</v>
      </c>
      <c r="U11" s="3041"/>
      <c r="V11" s="3041">
        <v>23360.757407599023</v>
      </c>
      <c r="W11" s="3041">
        <v>3794.4740246886213</v>
      </c>
      <c r="X11" s="3043"/>
      <c r="Y11" s="3043"/>
      <c r="Z11" s="3043"/>
      <c r="AA11" s="3041"/>
      <c r="AB11" s="3110">
        <v>41276</v>
      </c>
      <c r="AC11" s="3049">
        <v>57256.002376181255</v>
      </c>
      <c r="AD11" s="3272">
        <v>0</v>
      </c>
      <c r="AE11" s="3051">
        <v>23360.757407599023</v>
      </c>
      <c r="AF11" s="3292">
        <v>4357.6271635333987</v>
      </c>
      <c r="AG11" s="3301"/>
      <c r="AH11" s="3121">
        <v>4505.6636622691494</v>
      </c>
      <c r="AI11" s="3121">
        <v>41276</v>
      </c>
      <c r="AJ11" s="3006">
        <v>0</v>
      </c>
      <c r="AK11" s="3031">
        <v>0</v>
      </c>
      <c r="AL11" s="3061">
        <v>17023.314882793555</v>
      </c>
      <c r="AM11" s="3063">
        <v>17023.314882793555</v>
      </c>
      <c r="AN11" s="3065">
        <v>80616.759783780275</v>
      </c>
      <c r="AO11" s="3067">
        <v>97640.074666573826</v>
      </c>
      <c r="AP11" s="3272">
        <v>8863.2908258025491</v>
      </c>
      <c r="AQ11" s="3273">
        <v>41276</v>
      </c>
      <c r="AR11" s="3302">
        <v>422.56202817768474</v>
      </c>
      <c r="AS11" s="3213" t="s">
        <v>153</v>
      </c>
      <c r="AT11" s="3080" t="s">
        <v>153</v>
      </c>
      <c r="AU11" s="3082">
        <v>0.11486567798136496</v>
      </c>
      <c r="AV11" s="3084">
        <v>0.11486567798136496</v>
      </c>
      <c r="AW11" s="3086">
        <v>0.54396566314968853</v>
      </c>
      <c r="AX11" s="3088">
        <v>0.65883134113105346</v>
      </c>
      <c r="AY11" s="3276">
        <v>5.9805503032835404E-2</v>
      </c>
      <c r="AZ11" s="3303">
        <v>0.27851189718349273</v>
      </c>
      <c r="BA11" s="3219">
        <v>2.8512586526182647E-3</v>
      </c>
      <c r="BB11" s="3220">
        <v>0</v>
      </c>
      <c r="BD11" s="643" t="s">
        <v>5</v>
      </c>
      <c r="BE11" s="615">
        <v>148201.92752055408</v>
      </c>
      <c r="BF11" s="3306">
        <v>0.118665582262412</v>
      </c>
      <c r="BG11" s="615">
        <v>0</v>
      </c>
      <c r="BH11" s="615">
        <v>0</v>
      </c>
      <c r="BI11" s="615">
        <v>17023.314882793555</v>
      </c>
      <c r="BJ11" s="615">
        <v>17023.314882793555</v>
      </c>
      <c r="BK11" s="615">
        <v>80616.759783780275</v>
      </c>
      <c r="BL11" s="615">
        <v>97640.074666573826</v>
      </c>
      <c r="BM11" s="615">
        <v>8863.2908258025491</v>
      </c>
      <c r="BN11" s="615">
        <v>41276</v>
      </c>
      <c r="BO11" s="615">
        <v>422.56202817768474</v>
      </c>
      <c r="BP11" s="1"/>
      <c r="BQ11" s="643" t="s">
        <v>5</v>
      </c>
      <c r="BR11" s="615">
        <v>148201.92752055408</v>
      </c>
      <c r="BS11" s="3309">
        <v>0.118665582262412</v>
      </c>
      <c r="BT11" s="3309" t="s">
        <v>153</v>
      </c>
      <c r="BU11" s="3309" t="s">
        <v>153</v>
      </c>
      <c r="BV11" s="3309">
        <v>0.11486567798136496</v>
      </c>
      <c r="BW11" s="3309">
        <v>0.11486567798136496</v>
      </c>
      <c r="BX11" s="3309">
        <v>0.54396566314968853</v>
      </c>
      <c r="BY11" s="3309">
        <v>0.65883134113105346</v>
      </c>
      <c r="BZ11" s="3309">
        <v>5.9805503032835404E-2</v>
      </c>
      <c r="CA11" s="3309">
        <v>0.27851189718349273</v>
      </c>
      <c r="CB11" s="3309">
        <v>2.8512586526182647E-3</v>
      </c>
    </row>
    <row r="12" spans="1:80" ht="14.4" x14ac:dyDescent="0.3">
      <c r="A12" s="8" t="s">
        <v>28</v>
      </c>
      <c r="B12" s="3006">
        <v>84495.45093677094</v>
      </c>
      <c r="C12" s="3249">
        <v>0.69748752997606589</v>
      </c>
      <c r="D12" s="3258">
        <v>86460.065131887444</v>
      </c>
      <c r="E12" s="3027">
        <v>0.71370489892452127</v>
      </c>
      <c r="F12" s="3164">
        <v>8.1233790531938063E-2</v>
      </c>
      <c r="G12" s="3256">
        <v>23532.71192180712</v>
      </c>
      <c r="H12" s="3024">
        <v>0.2606</v>
      </c>
      <c r="I12" s="3256">
        <v>13114.4344</v>
      </c>
      <c r="J12" s="3025"/>
      <c r="K12" s="3026">
        <v>36647.146321807122</v>
      </c>
      <c r="L12" s="3020">
        <v>121142.59725857805</v>
      </c>
      <c r="M12" s="3104">
        <v>0</v>
      </c>
      <c r="N12" s="3186">
        <v>80270.678389932393</v>
      </c>
      <c r="O12" s="3031">
        <v>0</v>
      </c>
      <c r="P12" s="3293">
        <v>0</v>
      </c>
      <c r="Q12" s="3293">
        <v>4224.772546838547</v>
      </c>
      <c r="R12" s="3032">
        <v>0</v>
      </c>
      <c r="S12" s="3109">
        <v>118.55941506522623</v>
      </c>
      <c r="T12" s="3041">
        <v>17235.328605691928</v>
      </c>
      <c r="U12" s="3041">
        <v>1964.6141951164993</v>
      </c>
      <c r="V12" s="3041">
        <v>14826.989466165716</v>
      </c>
      <c r="W12" s="3041">
        <v>2408.3391395262124</v>
      </c>
      <c r="X12" s="3043"/>
      <c r="Y12" s="3043"/>
      <c r="Z12" s="3043"/>
      <c r="AA12" s="3041"/>
      <c r="AB12" s="3314"/>
      <c r="AC12" s="3049">
        <v>16064.477397478888</v>
      </c>
      <c r="AD12" s="3272">
        <v>0</v>
      </c>
      <c r="AE12" s="3051">
        <v>14826.989466165716</v>
      </c>
      <c r="AF12" s="3292">
        <v>6633.1116863647594</v>
      </c>
      <c r="AG12" s="3301"/>
      <c r="AH12" s="3121">
        <v>1264.1667084545804</v>
      </c>
      <c r="AI12" s="3121">
        <v>0</v>
      </c>
      <c r="AJ12" s="3006">
        <v>0</v>
      </c>
      <c r="AK12" s="3031">
        <v>82235.292585048897</v>
      </c>
      <c r="AL12" s="3061">
        <v>0</v>
      </c>
      <c r="AM12" s="3063">
        <v>82235.292585048897</v>
      </c>
      <c r="AN12" s="3065">
        <v>30891.466863644604</v>
      </c>
      <c r="AO12" s="3067">
        <v>113126.7594486935</v>
      </c>
      <c r="AP12" s="3272">
        <v>7897.2783948193401</v>
      </c>
      <c r="AQ12" s="3273">
        <v>0</v>
      </c>
      <c r="AR12" s="3302">
        <v>118.55941506522623</v>
      </c>
      <c r="AS12" s="3213" t="s">
        <v>153</v>
      </c>
      <c r="AT12" s="3080">
        <v>0.67883052242571806</v>
      </c>
      <c r="AU12" s="3082" t="s">
        <v>153</v>
      </c>
      <c r="AV12" s="3084">
        <v>0.67883052242571806</v>
      </c>
      <c r="AW12" s="3086">
        <v>0.25500086313740639</v>
      </c>
      <c r="AX12" s="3088">
        <v>0.93383138556312439</v>
      </c>
      <c r="AY12" s="3276">
        <v>6.5189937920537178E-2</v>
      </c>
      <c r="AZ12" s="3303" t="s">
        <v>153</v>
      </c>
      <c r="BA12" s="3219">
        <v>9.7867651633852591E-4</v>
      </c>
      <c r="BB12" s="3220">
        <v>0</v>
      </c>
      <c r="BD12" s="643" t="s">
        <v>28</v>
      </c>
      <c r="BE12" s="615">
        <v>121142.59725857805</v>
      </c>
      <c r="BF12" s="3306">
        <v>0.69748752997606589</v>
      </c>
      <c r="BG12" s="615">
        <v>0</v>
      </c>
      <c r="BH12" s="615">
        <v>82235.292585048897</v>
      </c>
      <c r="BI12" s="615">
        <v>0</v>
      </c>
      <c r="BJ12" s="615">
        <v>82235.292585048897</v>
      </c>
      <c r="BK12" s="615">
        <v>30891.466863644604</v>
      </c>
      <c r="BL12" s="615">
        <v>113126.7594486935</v>
      </c>
      <c r="BM12" s="615">
        <v>7897.2783948193401</v>
      </c>
      <c r="BN12" s="615">
        <v>0</v>
      </c>
      <c r="BO12" s="615">
        <v>118.55941506522623</v>
      </c>
      <c r="BP12" s="1"/>
      <c r="BQ12" s="643" t="s">
        <v>28</v>
      </c>
      <c r="BR12" s="615">
        <v>121142.59725857805</v>
      </c>
      <c r="BS12" s="3309">
        <v>0.69748752997606589</v>
      </c>
      <c r="BT12" s="3309" t="s">
        <v>153</v>
      </c>
      <c r="BU12" s="3309">
        <v>0.67883052242571806</v>
      </c>
      <c r="BV12" s="3309" t="s">
        <v>153</v>
      </c>
      <c r="BW12" s="3309">
        <v>0.67883052242571806</v>
      </c>
      <c r="BX12" s="3309">
        <v>0.25500086313740639</v>
      </c>
      <c r="BY12" s="3309">
        <v>0.93383138556312439</v>
      </c>
      <c r="BZ12" s="3309">
        <v>6.5189937920537178E-2</v>
      </c>
      <c r="CA12" s="3309" t="s">
        <v>153</v>
      </c>
      <c r="CB12" s="3309">
        <v>9.7867651633852591E-4</v>
      </c>
    </row>
    <row r="13" spans="1:80" ht="14.4" x14ac:dyDescent="0.3">
      <c r="A13" s="325" t="s">
        <v>17</v>
      </c>
      <c r="B13" s="3006">
        <v>470</v>
      </c>
      <c r="C13" s="3249">
        <v>0.14233631585995243</v>
      </c>
      <c r="D13" s="3258">
        <v>470</v>
      </c>
      <c r="E13" s="3027">
        <v>0.14233631585995243</v>
      </c>
      <c r="F13" s="3164">
        <v>7.5524957370805331E-3</v>
      </c>
      <c r="G13" s="3256">
        <v>2187.8913357061124</v>
      </c>
      <c r="H13" s="3024">
        <v>1.2800000000000001E-2</v>
      </c>
      <c r="I13" s="3256">
        <v>644.1472</v>
      </c>
      <c r="J13" s="3025"/>
      <c r="K13" s="3026">
        <v>2832.0385357061123</v>
      </c>
      <c r="L13" s="3020">
        <v>3302.0385357061123</v>
      </c>
      <c r="M13" s="3104">
        <v>0</v>
      </c>
      <c r="N13" s="3186">
        <v>446.5</v>
      </c>
      <c r="O13" s="3031">
        <v>0</v>
      </c>
      <c r="P13" s="3293">
        <v>0</v>
      </c>
      <c r="Q13" s="3293">
        <v>23.5</v>
      </c>
      <c r="R13" s="3032">
        <v>0</v>
      </c>
      <c r="S13" s="3109">
        <v>9.1621003525640798</v>
      </c>
      <c r="T13" s="3041">
        <v>1483.7438478227818</v>
      </c>
      <c r="U13" s="3041"/>
      <c r="V13" s="3041"/>
      <c r="W13" s="3041"/>
      <c r="X13" s="3041"/>
      <c r="Y13" s="3041"/>
      <c r="Z13" s="3041">
        <v>381.48185173514293</v>
      </c>
      <c r="AA13" s="3041">
        <v>1102.2619960876386</v>
      </c>
      <c r="AB13" s="3110"/>
      <c r="AC13" s="3049">
        <v>0</v>
      </c>
      <c r="AD13" s="3272">
        <v>0</v>
      </c>
      <c r="AE13" s="3051">
        <v>0</v>
      </c>
      <c r="AF13" s="3299">
        <v>1507.2438478227816</v>
      </c>
      <c r="AG13" s="3301">
        <v>1241.4396102260171</v>
      </c>
      <c r="AH13" s="3121">
        <v>97.692977304749192</v>
      </c>
      <c r="AI13" s="3121">
        <v>0</v>
      </c>
      <c r="AJ13" s="3006">
        <v>0</v>
      </c>
      <c r="AK13" s="3031">
        <v>446.5</v>
      </c>
      <c r="AL13" s="3061">
        <v>0</v>
      </c>
      <c r="AM13" s="3063">
        <v>446.5</v>
      </c>
      <c r="AN13" s="3065">
        <v>0</v>
      </c>
      <c r="AO13" s="3067">
        <v>446.5</v>
      </c>
      <c r="AP13" s="3272">
        <v>2846.3764353535475</v>
      </c>
      <c r="AQ13" s="3273">
        <v>0</v>
      </c>
      <c r="AR13" s="3302">
        <v>9.1621003525640798</v>
      </c>
      <c r="AS13" s="3213" t="s">
        <v>153</v>
      </c>
      <c r="AT13" s="3080">
        <v>0.1352195000669548</v>
      </c>
      <c r="AU13" s="3082" t="s">
        <v>153</v>
      </c>
      <c r="AV13" s="3084">
        <v>0.1352195000669548</v>
      </c>
      <c r="AW13" s="3086" t="s">
        <v>153</v>
      </c>
      <c r="AX13" s="3088">
        <v>0.1352195000669548</v>
      </c>
      <c r="AY13" s="3276">
        <v>0.86200581991235747</v>
      </c>
      <c r="AZ13" s="3303" t="s">
        <v>153</v>
      </c>
      <c r="BA13" s="3219">
        <v>2.774680020687537E-3</v>
      </c>
      <c r="BB13" s="3220">
        <v>0</v>
      </c>
      <c r="BD13" s="643" t="s">
        <v>17</v>
      </c>
      <c r="BE13" s="615">
        <v>3302.0385357061123</v>
      </c>
      <c r="BF13" s="3306">
        <v>0.14233631585995243</v>
      </c>
      <c r="BG13" s="615">
        <v>0</v>
      </c>
      <c r="BH13" s="615">
        <v>446.5</v>
      </c>
      <c r="BI13" s="615">
        <v>0</v>
      </c>
      <c r="BJ13" s="615">
        <v>446.5</v>
      </c>
      <c r="BK13" s="615">
        <v>0</v>
      </c>
      <c r="BL13" s="615">
        <v>446.5</v>
      </c>
      <c r="BM13" s="615">
        <v>2846.3764353535475</v>
      </c>
      <c r="BN13" s="615">
        <v>0</v>
      </c>
      <c r="BO13" s="615">
        <v>9.1621003525640798</v>
      </c>
      <c r="BP13" s="1"/>
      <c r="BQ13" s="643" t="s">
        <v>17</v>
      </c>
      <c r="BR13" s="615">
        <v>3302.0385357061123</v>
      </c>
      <c r="BS13" s="3309">
        <v>0.14233631585995243</v>
      </c>
      <c r="BT13" s="3309" t="s">
        <v>153</v>
      </c>
      <c r="BU13" s="3309">
        <v>0.1352195000669548</v>
      </c>
      <c r="BV13" s="3309" t="s">
        <v>153</v>
      </c>
      <c r="BW13" s="3309">
        <v>0.1352195000669548</v>
      </c>
      <c r="BX13" s="3309" t="s">
        <v>153</v>
      </c>
      <c r="BY13" s="3309">
        <v>0.1352195000669548</v>
      </c>
      <c r="BZ13" s="3309">
        <v>0.86200581991235747</v>
      </c>
      <c r="CA13" s="3309" t="s">
        <v>153</v>
      </c>
      <c r="CB13" s="3309">
        <v>2.774680020687537E-3</v>
      </c>
    </row>
    <row r="14" spans="1:80" ht="14.4" x14ac:dyDescent="0.3">
      <c r="A14" s="325" t="s">
        <v>29</v>
      </c>
      <c r="B14" s="3006">
        <v>28319.036521564722</v>
      </c>
      <c r="C14" s="3249">
        <v>0.78915586269896809</v>
      </c>
      <c r="D14" s="3258">
        <v>28319.036521564722</v>
      </c>
      <c r="E14" s="3027">
        <v>0.78915586269896809</v>
      </c>
      <c r="F14" s="3164">
        <v>2.4971596814255176E-2</v>
      </c>
      <c r="G14" s="3256">
        <v>7234.05112834593</v>
      </c>
      <c r="H14" s="3024">
        <v>6.5999999999999991E-3</v>
      </c>
      <c r="I14" s="3256">
        <v>332.13839999999993</v>
      </c>
      <c r="J14" s="3025"/>
      <c r="K14" s="3026">
        <v>7566.1895283459298</v>
      </c>
      <c r="L14" s="3020">
        <v>35885.226049910649</v>
      </c>
      <c r="M14" s="3104">
        <v>0</v>
      </c>
      <c r="N14" s="3186">
        <v>24637.561773761307</v>
      </c>
      <c r="O14" s="3031">
        <v>0</v>
      </c>
      <c r="P14" s="3293">
        <v>0</v>
      </c>
      <c r="Q14" s="3293">
        <v>3681.4747478034137</v>
      </c>
      <c r="R14" s="3032">
        <v>0</v>
      </c>
      <c r="S14" s="3109">
        <v>24.477840562978354</v>
      </c>
      <c r="T14" s="3041">
        <v>3964.0305110980348</v>
      </c>
      <c r="U14" s="3041"/>
      <c r="V14" s="3041"/>
      <c r="W14" s="3041"/>
      <c r="X14" s="3041">
        <v>647.42891523601156</v>
      </c>
      <c r="Y14" s="3041">
        <v>3316.6015958620228</v>
      </c>
      <c r="Z14" s="3041"/>
      <c r="AA14" s="3041"/>
      <c r="AB14" s="3110"/>
      <c r="AC14" s="3049">
        <v>3316.6806385365776</v>
      </c>
      <c r="AD14" s="3272">
        <v>0</v>
      </c>
      <c r="AE14" s="3051">
        <v>647.42891523601156</v>
      </c>
      <c r="AF14" s="3292">
        <v>6998.0763436654361</v>
      </c>
      <c r="AG14" s="3301"/>
      <c r="AH14" s="3121">
        <v>261.00053814833922</v>
      </c>
      <c r="AI14" s="3121">
        <v>0</v>
      </c>
      <c r="AJ14" s="3006">
        <v>0</v>
      </c>
      <c r="AK14" s="3031">
        <v>24637.561773761307</v>
      </c>
      <c r="AL14" s="3061">
        <v>0</v>
      </c>
      <c r="AM14" s="3063">
        <v>24637.561773761307</v>
      </c>
      <c r="AN14" s="3065">
        <v>3964.1095537725892</v>
      </c>
      <c r="AO14" s="3067">
        <v>28601.671327533895</v>
      </c>
      <c r="AP14" s="3272">
        <v>7259.0768818137749</v>
      </c>
      <c r="AQ14" s="3273">
        <v>0</v>
      </c>
      <c r="AR14" s="3302">
        <v>24.477840562978354</v>
      </c>
      <c r="AS14" s="3213" t="s">
        <v>153</v>
      </c>
      <c r="AT14" s="3080">
        <v>0.68656560054810223</v>
      </c>
      <c r="AU14" s="3082" t="s">
        <v>153</v>
      </c>
      <c r="AV14" s="3084">
        <v>0.68656560054810223</v>
      </c>
      <c r="AW14" s="3086">
        <v>0.11046633921879558</v>
      </c>
      <c r="AX14" s="3088">
        <v>0.79703193976689779</v>
      </c>
      <c r="AY14" s="3276">
        <v>0.20228594552302812</v>
      </c>
      <c r="AZ14" s="3303" t="s">
        <v>153</v>
      </c>
      <c r="BA14" s="3219">
        <v>6.8211471007410026E-4</v>
      </c>
      <c r="BB14" s="3220">
        <v>0</v>
      </c>
      <c r="BD14" s="643" t="s">
        <v>29</v>
      </c>
      <c r="BE14" s="615">
        <v>35885.226049910649</v>
      </c>
      <c r="BF14" s="3306">
        <v>0.78915586269896809</v>
      </c>
      <c r="BG14" s="615">
        <v>0</v>
      </c>
      <c r="BH14" s="615">
        <v>24637.561773761307</v>
      </c>
      <c r="BI14" s="615">
        <v>0</v>
      </c>
      <c r="BJ14" s="615">
        <v>24637.561773761307</v>
      </c>
      <c r="BK14" s="615">
        <v>3964.1095537725892</v>
      </c>
      <c r="BL14" s="615">
        <v>28601.671327533895</v>
      </c>
      <c r="BM14" s="615">
        <v>7259.0768818137749</v>
      </c>
      <c r="BN14" s="615">
        <v>0</v>
      </c>
      <c r="BO14" s="615">
        <v>24.477840562978354</v>
      </c>
      <c r="BP14" s="1"/>
      <c r="BQ14" s="643" t="s">
        <v>29</v>
      </c>
      <c r="BR14" s="615">
        <v>35885.226049910649</v>
      </c>
      <c r="BS14" s="3309">
        <v>0.78915586269896809</v>
      </c>
      <c r="BT14" s="3309" t="s">
        <v>153</v>
      </c>
      <c r="BU14" s="3309">
        <v>0.68656560054810223</v>
      </c>
      <c r="BV14" s="3309" t="s">
        <v>153</v>
      </c>
      <c r="BW14" s="3309">
        <v>0.68656560054810223</v>
      </c>
      <c r="BX14" s="3309">
        <v>0.11046633921879558</v>
      </c>
      <c r="BY14" s="3309">
        <v>0.79703193976689779</v>
      </c>
      <c r="BZ14" s="3309">
        <v>0.20228594552302812</v>
      </c>
      <c r="CA14" s="3309" t="s">
        <v>153</v>
      </c>
      <c r="CB14" s="3309">
        <v>6.8211471007410026E-4</v>
      </c>
    </row>
    <row r="15" spans="1:80" ht="14.4" x14ac:dyDescent="0.3">
      <c r="A15" s="518" t="s">
        <v>308</v>
      </c>
      <c r="B15" s="3006">
        <v>266.93968604697545</v>
      </c>
      <c r="C15" s="3249">
        <v>0.71378706406271697</v>
      </c>
      <c r="D15" s="3258">
        <v>266.93968604697545</v>
      </c>
      <c r="E15" s="3027">
        <v>0.71378706406271697</v>
      </c>
      <c r="F15" s="3164">
        <v>2.9999999999999997E-4</v>
      </c>
      <c r="G15" s="3256">
        <v>86.907351365888587</v>
      </c>
      <c r="H15" s="3024">
        <v>4.0000000000000002E-4</v>
      </c>
      <c r="I15" s="3256">
        <v>20.1296</v>
      </c>
      <c r="J15" s="3025"/>
      <c r="K15" s="3026">
        <v>107.03695136588858</v>
      </c>
      <c r="L15" s="3020">
        <v>373.97663741286402</v>
      </c>
      <c r="M15" s="3104">
        <v>0</v>
      </c>
      <c r="N15" s="3186">
        <v>131.7080410955777</v>
      </c>
      <c r="O15" s="3031">
        <v>0</v>
      </c>
      <c r="P15" s="3293">
        <v>2.1355174883758035</v>
      </c>
      <c r="Q15" s="3293">
        <v>133.09612746302196</v>
      </c>
      <c r="R15" s="3032">
        <v>0</v>
      </c>
      <c r="S15" s="3109">
        <v>0.34628176046420861</v>
      </c>
      <c r="T15" s="3041">
        <v>56.078127495975629</v>
      </c>
      <c r="U15" s="3041"/>
      <c r="V15" s="3043"/>
      <c r="W15" s="3043"/>
      <c r="X15" s="3043"/>
      <c r="Y15" s="3043"/>
      <c r="Z15" s="3041">
        <v>14.418113982676726</v>
      </c>
      <c r="AA15" s="3041">
        <v>41.6600135132989</v>
      </c>
      <c r="AB15" s="3110"/>
      <c r="AC15" s="3049">
        <v>46.920234138099012</v>
      </c>
      <c r="AD15" s="3272">
        <v>2.1355174883758035</v>
      </c>
      <c r="AE15" s="3051">
        <v>14.418113982676726</v>
      </c>
      <c r="AF15" s="3292">
        <v>174.75614097632086</v>
      </c>
      <c r="AG15" s="3301"/>
      <c r="AH15" s="3121">
        <v>3.6923079713497304</v>
      </c>
      <c r="AI15" s="3121">
        <v>0</v>
      </c>
      <c r="AJ15" s="3006">
        <v>0</v>
      </c>
      <c r="AK15" s="3031">
        <v>131.7080410955777</v>
      </c>
      <c r="AL15" s="3061">
        <v>0</v>
      </c>
      <c r="AM15" s="3063">
        <v>131.7080410955777</v>
      </c>
      <c r="AN15" s="3065">
        <v>63.473865609151538</v>
      </c>
      <c r="AO15" s="3067">
        <v>195.18190670472924</v>
      </c>
      <c r="AP15" s="3272">
        <v>178.44844894767058</v>
      </c>
      <c r="AQ15" s="3273">
        <v>0</v>
      </c>
      <c r="AR15" s="3302">
        <v>0.34628176046420861</v>
      </c>
      <c r="AS15" s="3213" t="s">
        <v>153</v>
      </c>
      <c r="AT15" s="3080">
        <v>0.3521825374085446</v>
      </c>
      <c r="AU15" s="3082" t="s">
        <v>153</v>
      </c>
      <c r="AV15" s="3084">
        <v>0.3521825374085446</v>
      </c>
      <c r="AW15" s="3086">
        <v>0.1697268204994245</v>
      </c>
      <c r="AX15" s="3088">
        <v>0.52190935790796911</v>
      </c>
      <c r="AY15" s="3276">
        <v>0.47716469719114152</v>
      </c>
      <c r="AZ15" s="3303" t="s">
        <v>153</v>
      </c>
      <c r="BA15" s="3219">
        <v>9.2594490088940848E-4</v>
      </c>
      <c r="BB15" s="3220">
        <v>0</v>
      </c>
      <c r="BD15" s="643" t="s">
        <v>308</v>
      </c>
      <c r="BE15" s="615">
        <v>373.97663741286402</v>
      </c>
      <c r="BF15" s="3306">
        <v>0.71378706406271697</v>
      </c>
      <c r="BG15" s="615">
        <v>0</v>
      </c>
      <c r="BH15" s="615">
        <v>131.7080410955777</v>
      </c>
      <c r="BI15" s="615">
        <v>0</v>
      </c>
      <c r="BJ15" s="615">
        <v>131.7080410955777</v>
      </c>
      <c r="BK15" s="615">
        <v>63.473865609151538</v>
      </c>
      <c r="BL15" s="615">
        <v>195.18190670472924</v>
      </c>
      <c r="BM15" s="615">
        <v>178.44844894767058</v>
      </c>
      <c r="BN15" s="615">
        <v>0</v>
      </c>
      <c r="BO15" s="615">
        <v>0.34628176046420861</v>
      </c>
      <c r="BP15" s="1"/>
      <c r="BQ15" s="643" t="s">
        <v>308</v>
      </c>
      <c r="BR15" s="615">
        <v>373.97663741286402</v>
      </c>
      <c r="BS15" s="3309">
        <v>0.71378706406271697</v>
      </c>
      <c r="BT15" s="3309" t="s">
        <v>153</v>
      </c>
      <c r="BU15" s="3309">
        <v>0.3521825374085446</v>
      </c>
      <c r="BV15" s="3309" t="s">
        <v>153</v>
      </c>
      <c r="BW15" s="3309">
        <v>0.3521825374085446</v>
      </c>
      <c r="BX15" s="3309">
        <v>0.1697268204994245</v>
      </c>
      <c r="BY15" s="3309">
        <v>0.52190935790796911</v>
      </c>
      <c r="BZ15" s="3309">
        <v>0.47716469719114152</v>
      </c>
      <c r="CA15" s="3309" t="s">
        <v>153</v>
      </c>
      <c r="CB15" s="3309">
        <v>9.2594490088940848E-4</v>
      </c>
    </row>
    <row r="16" spans="1:80" ht="14.4" x14ac:dyDescent="0.3">
      <c r="A16" s="2110" t="s">
        <v>60</v>
      </c>
      <c r="B16" s="3006">
        <v>129.72110023670538</v>
      </c>
      <c r="C16" s="3249">
        <v>1</v>
      </c>
      <c r="D16" s="3258">
        <v>129.72110023670538</v>
      </c>
      <c r="E16" s="3027"/>
      <c r="F16" s="3164">
        <v>0</v>
      </c>
      <c r="G16" s="3256">
        <v>0</v>
      </c>
      <c r="H16" s="3024">
        <v>0</v>
      </c>
      <c r="I16" s="3256">
        <v>0</v>
      </c>
      <c r="J16" s="3025"/>
      <c r="K16" s="3026">
        <v>0</v>
      </c>
      <c r="L16" s="3020">
        <v>129.72110023670538</v>
      </c>
      <c r="M16" s="3104">
        <v>0</v>
      </c>
      <c r="N16" s="3186">
        <v>64.004390856790437</v>
      </c>
      <c r="O16" s="3031">
        <v>0</v>
      </c>
      <c r="P16" s="3293">
        <v>1.0377688018936431</v>
      </c>
      <c r="Q16" s="3293">
        <v>64.678940578021297</v>
      </c>
      <c r="R16" s="3032">
        <v>0</v>
      </c>
      <c r="S16" s="3109">
        <v>0</v>
      </c>
      <c r="T16" s="3041">
        <v>0</v>
      </c>
      <c r="U16" s="3041"/>
      <c r="V16" s="3043"/>
      <c r="W16" s="3043"/>
      <c r="X16" s="3043"/>
      <c r="Y16" s="3043"/>
      <c r="Z16" s="3041">
        <v>0</v>
      </c>
      <c r="AA16" s="3041">
        <v>0</v>
      </c>
      <c r="AB16" s="3110"/>
      <c r="AC16" s="3049">
        <v>0</v>
      </c>
      <c r="AD16" s="3272">
        <v>1.0377688018936431</v>
      </c>
      <c r="AE16" s="3051">
        <v>0</v>
      </c>
      <c r="AF16" s="3292">
        <v>64.678940578021297</v>
      </c>
      <c r="AG16" s="3301"/>
      <c r="AH16" s="3121">
        <v>0</v>
      </c>
      <c r="AI16" s="3121">
        <v>0</v>
      </c>
      <c r="AJ16" s="3006">
        <v>0</v>
      </c>
      <c r="AK16" s="3031">
        <v>64.004390856790437</v>
      </c>
      <c r="AL16" s="3061">
        <v>0</v>
      </c>
      <c r="AM16" s="3063">
        <v>64.004390856790437</v>
      </c>
      <c r="AN16" s="3065">
        <v>1.0377688018936431</v>
      </c>
      <c r="AO16" s="3067">
        <v>65.042159658684085</v>
      </c>
      <c r="AP16" s="3272">
        <v>64.678940578021297</v>
      </c>
      <c r="AQ16" s="3273">
        <v>0</v>
      </c>
      <c r="AR16" s="3302">
        <v>0</v>
      </c>
      <c r="AS16" s="3213" t="s">
        <v>153</v>
      </c>
      <c r="AT16" s="3080">
        <v>0.49340000000000001</v>
      </c>
      <c r="AU16" s="3082" t="s">
        <v>153</v>
      </c>
      <c r="AV16" s="3084">
        <v>0.49340000000000001</v>
      </c>
      <c r="AW16" s="3086">
        <v>8.0000000000000002E-3</v>
      </c>
      <c r="AX16" s="3088">
        <v>0.50140000000000007</v>
      </c>
      <c r="AY16" s="3276">
        <v>0.49859999999999993</v>
      </c>
      <c r="AZ16" s="3303" t="s">
        <v>153</v>
      </c>
      <c r="BA16" s="3219" t="s">
        <v>153</v>
      </c>
      <c r="BB16" s="3220">
        <v>0</v>
      </c>
      <c r="BD16" s="643" t="s">
        <v>60</v>
      </c>
      <c r="BE16" s="615">
        <v>129.72110023670538</v>
      </c>
      <c r="BF16" s="3306">
        <v>1</v>
      </c>
      <c r="BG16" s="615">
        <v>0</v>
      </c>
      <c r="BH16" s="615">
        <v>64.004390856790437</v>
      </c>
      <c r="BI16" s="615">
        <v>0</v>
      </c>
      <c r="BJ16" s="615">
        <v>64.004390856790437</v>
      </c>
      <c r="BK16" s="615">
        <v>1.0377688018936431</v>
      </c>
      <c r="BL16" s="615">
        <v>65.042159658684085</v>
      </c>
      <c r="BM16" s="615">
        <v>64.678940578021297</v>
      </c>
      <c r="BN16" s="615">
        <v>0</v>
      </c>
      <c r="BO16" s="615">
        <v>0</v>
      </c>
      <c r="BP16" s="1"/>
      <c r="BQ16" s="643" t="s">
        <v>60</v>
      </c>
      <c r="BR16" s="615">
        <v>129.72110023670538</v>
      </c>
      <c r="BS16" s="3309">
        <v>1</v>
      </c>
      <c r="BT16" s="3309" t="s">
        <v>153</v>
      </c>
      <c r="BU16" s="3309">
        <v>0.49340000000000001</v>
      </c>
      <c r="BV16" s="3309" t="s">
        <v>153</v>
      </c>
      <c r="BW16" s="3309">
        <v>0.49340000000000001</v>
      </c>
      <c r="BX16" s="3309">
        <v>8.0000000000000002E-3</v>
      </c>
      <c r="BY16" s="3309">
        <v>0.50140000000000007</v>
      </c>
      <c r="BZ16" s="3309">
        <v>0.49859999999999993</v>
      </c>
      <c r="CA16" s="3309" t="s">
        <v>153</v>
      </c>
      <c r="CB16" s="3309" t="s">
        <v>153</v>
      </c>
    </row>
    <row r="17" spans="1:80" ht="14.4" x14ac:dyDescent="0.3">
      <c r="A17" s="8" t="s">
        <v>57</v>
      </c>
      <c r="B17" s="3006">
        <v>4799.1732493668142</v>
      </c>
      <c r="C17" s="3249">
        <v>0.13764047616568262</v>
      </c>
      <c r="D17" s="3258">
        <v>4799.1732493668142</v>
      </c>
      <c r="E17" s="3027">
        <v>0.13764047616568262</v>
      </c>
      <c r="F17" s="3164">
        <v>0.10033731800972184</v>
      </c>
      <c r="G17" s="3256">
        <v>29066.835171272662</v>
      </c>
      <c r="H17" s="3024">
        <v>1.9900000000000001E-2</v>
      </c>
      <c r="I17" s="3256">
        <v>1001.4476000000001</v>
      </c>
      <c r="J17" s="3025"/>
      <c r="K17" s="3026">
        <v>30068.282771272661</v>
      </c>
      <c r="L17" s="3020">
        <v>34867.456020639474</v>
      </c>
      <c r="M17" s="3104">
        <v>2845.9097368745206</v>
      </c>
      <c r="N17" s="3186">
        <v>1075.0148078581665</v>
      </c>
      <c r="O17" s="3031">
        <v>0</v>
      </c>
      <c r="P17" s="3293">
        <v>878.24870463412697</v>
      </c>
      <c r="Q17" s="3293">
        <v>0</v>
      </c>
      <c r="R17" s="3032">
        <v>0</v>
      </c>
      <c r="S17" s="3109">
        <v>97.275732906291864</v>
      </c>
      <c r="T17" s="3041">
        <v>15753.185916782746</v>
      </c>
      <c r="U17" s="3041"/>
      <c r="V17" s="3043"/>
      <c r="W17" s="3043"/>
      <c r="X17" s="3041">
        <v>2572.9035235878473</v>
      </c>
      <c r="Y17" s="3041">
        <v>13180.282393194899</v>
      </c>
      <c r="Z17" s="3043"/>
      <c r="AA17" s="3041"/>
      <c r="AB17" s="3314"/>
      <c r="AC17" s="3049">
        <v>13180.596511349169</v>
      </c>
      <c r="AD17" s="3272">
        <v>878.24870463412697</v>
      </c>
      <c r="AE17" s="3051">
        <v>2572.9035235878473</v>
      </c>
      <c r="AF17" s="3292">
        <v>13180.282393194899</v>
      </c>
      <c r="AG17" s="3301"/>
      <c r="AH17" s="3121">
        <v>1037.2246102344523</v>
      </c>
      <c r="AI17" s="3121">
        <v>0</v>
      </c>
      <c r="AJ17" s="3006">
        <v>2845.9097368745206</v>
      </c>
      <c r="AK17" s="3031">
        <v>1075.0148078581665</v>
      </c>
      <c r="AL17" s="3061">
        <v>0</v>
      </c>
      <c r="AM17" s="3063">
        <v>3920.9245447326871</v>
      </c>
      <c r="AN17" s="3065">
        <v>16631.748739571143</v>
      </c>
      <c r="AO17" s="3067">
        <v>20552.67328430383</v>
      </c>
      <c r="AP17" s="3272">
        <v>14217.507003429351</v>
      </c>
      <c r="AQ17" s="3273">
        <v>0</v>
      </c>
      <c r="AR17" s="3302">
        <v>97.275732906291864</v>
      </c>
      <c r="AS17" s="3213">
        <v>8.1620802366249787E-2</v>
      </c>
      <c r="AT17" s="3080">
        <v>3.0831466661112906E-2</v>
      </c>
      <c r="AU17" s="3082" t="s">
        <v>153</v>
      </c>
      <c r="AV17" s="3084">
        <v>0.11245226902736269</v>
      </c>
      <c r="AW17" s="3086">
        <v>0.47699920320330025</v>
      </c>
      <c r="AX17" s="3088">
        <v>0.58945147223066297</v>
      </c>
      <c r="AY17" s="3276">
        <v>0.40775865595165378</v>
      </c>
      <c r="AZ17" s="3303" t="s">
        <v>153</v>
      </c>
      <c r="BA17" s="3219">
        <v>2.7898718176832395E-3</v>
      </c>
      <c r="BB17" s="3220">
        <v>0</v>
      </c>
      <c r="BD17" s="643" t="s">
        <v>57</v>
      </c>
      <c r="BE17" s="615">
        <v>34867.456020639474</v>
      </c>
      <c r="BF17" s="3306">
        <v>0.13764047616568262</v>
      </c>
      <c r="BG17" s="615">
        <v>2845.9097368745206</v>
      </c>
      <c r="BH17" s="615">
        <v>1075.0148078581665</v>
      </c>
      <c r="BI17" s="615">
        <v>0</v>
      </c>
      <c r="BJ17" s="615">
        <v>3920.9245447326871</v>
      </c>
      <c r="BK17" s="615">
        <v>16631.748739571143</v>
      </c>
      <c r="BL17" s="615">
        <v>20552.67328430383</v>
      </c>
      <c r="BM17" s="615">
        <v>14217.507003429351</v>
      </c>
      <c r="BN17" s="615">
        <v>0</v>
      </c>
      <c r="BO17" s="615">
        <v>97.275732906291864</v>
      </c>
      <c r="BP17" s="1"/>
      <c r="BQ17" s="643" t="s">
        <v>57</v>
      </c>
      <c r="BR17" s="615">
        <v>34867.456020639474</v>
      </c>
      <c r="BS17" s="3309">
        <v>0.13764047616568262</v>
      </c>
      <c r="BT17" s="3309">
        <v>8.1620802366249787E-2</v>
      </c>
      <c r="BU17" s="3309">
        <v>3.0831466661112906E-2</v>
      </c>
      <c r="BV17" s="3309" t="s">
        <v>153</v>
      </c>
      <c r="BW17" s="3309">
        <v>0.11245226902736269</v>
      </c>
      <c r="BX17" s="3309">
        <v>0.47699920320330025</v>
      </c>
      <c r="BY17" s="3309">
        <v>0.58945147223066297</v>
      </c>
      <c r="BZ17" s="3309">
        <v>0.40775865595165378</v>
      </c>
      <c r="CA17" s="3309" t="s">
        <v>153</v>
      </c>
      <c r="CB17" s="3309">
        <v>2.7898718176832395E-3</v>
      </c>
    </row>
    <row r="18" spans="1:80" ht="14.4" x14ac:dyDescent="0.3">
      <c r="A18" s="8" t="s">
        <v>35</v>
      </c>
      <c r="B18" s="3006">
        <v>18.390402394029394</v>
      </c>
      <c r="C18" s="3249">
        <v>1</v>
      </c>
      <c r="D18" s="3258">
        <v>0</v>
      </c>
      <c r="E18" s="3027">
        <v>0</v>
      </c>
      <c r="F18" s="3164">
        <v>0</v>
      </c>
      <c r="G18" s="3256">
        <v>0</v>
      </c>
      <c r="H18" s="3024">
        <v>0</v>
      </c>
      <c r="I18" s="3256">
        <v>0</v>
      </c>
      <c r="J18" s="3025"/>
      <c r="K18" s="3026">
        <v>0</v>
      </c>
      <c r="L18" s="3020">
        <v>18.390402394029394</v>
      </c>
      <c r="M18" s="3104">
        <v>0</v>
      </c>
      <c r="N18" s="3186">
        <v>15.264033987044396</v>
      </c>
      <c r="O18" s="3031">
        <v>0</v>
      </c>
      <c r="P18" s="3293">
        <v>1.2873281675820576</v>
      </c>
      <c r="Q18" s="3293">
        <v>1.8390402394029395</v>
      </c>
      <c r="R18" s="3032">
        <v>0</v>
      </c>
      <c r="S18" s="3109">
        <v>0</v>
      </c>
      <c r="T18" s="3041">
        <v>0</v>
      </c>
      <c r="U18" s="3041"/>
      <c r="V18" s="3043"/>
      <c r="W18" s="3043"/>
      <c r="X18" s="3043"/>
      <c r="Y18" s="3043"/>
      <c r="Z18" s="3041">
        <v>0</v>
      </c>
      <c r="AA18" s="3041">
        <v>0</v>
      </c>
      <c r="AB18" s="3110"/>
      <c r="AC18" s="3049">
        <v>0</v>
      </c>
      <c r="AD18" s="3272">
        <v>1.2873281675820576</v>
      </c>
      <c r="AE18" s="3051">
        <v>0</v>
      </c>
      <c r="AF18" s="3292">
        <v>1.8390402394029395</v>
      </c>
      <c r="AG18" s="3301"/>
      <c r="AH18" s="3121">
        <v>0</v>
      </c>
      <c r="AI18" s="3121">
        <v>0</v>
      </c>
      <c r="AJ18" s="3006">
        <v>0</v>
      </c>
      <c r="AK18" s="3031">
        <v>15.264033987044396</v>
      </c>
      <c r="AL18" s="3061">
        <v>0</v>
      </c>
      <c r="AM18" s="3063">
        <v>15.264033987044396</v>
      </c>
      <c r="AN18" s="3065">
        <v>1.2873281675820576</v>
      </c>
      <c r="AO18" s="3067">
        <v>16.551362154626453</v>
      </c>
      <c r="AP18" s="3272">
        <v>1.8390402394029395</v>
      </c>
      <c r="AQ18" s="3273">
        <v>0</v>
      </c>
      <c r="AR18" s="3302">
        <v>0</v>
      </c>
      <c r="AS18" s="3213" t="s">
        <v>153</v>
      </c>
      <c r="AT18" s="3080">
        <v>0.83</v>
      </c>
      <c r="AU18" s="3082" t="s">
        <v>153</v>
      </c>
      <c r="AV18" s="3084">
        <v>0.83</v>
      </c>
      <c r="AW18" s="3086">
        <v>7.0000000000000007E-2</v>
      </c>
      <c r="AX18" s="3088">
        <v>0.89999999999999991</v>
      </c>
      <c r="AY18" s="3276">
        <v>0.1</v>
      </c>
      <c r="AZ18" s="3303" t="s">
        <v>153</v>
      </c>
      <c r="BA18" s="3219" t="s">
        <v>153</v>
      </c>
      <c r="BB18" s="3220">
        <v>0</v>
      </c>
      <c r="BD18" s="643" t="s">
        <v>35</v>
      </c>
      <c r="BE18" s="615">
        <v>18.390402394029394</v>
      </c>
      <c r="BF18" s="3306">
        <v>1</v>
      </c>
      <c r="BG18" s="615">
        <v>0</v>
      </c>
      <c r="BH18" s="615">
        <v>15.264033987044396</v>
      </c>
      <c r="BI18" s="615">
        <v>0</v>
      </c>
      <c r="BJ18" s="615">
        <v>15.264033987044396</v>
      </c>
      <c r="BK18" s="615">
        <v>1.2873281675820576</v>
      </c>
      <c r="BL18" s="615">
        <v>16.551362154626453</v>
      </c>
      <c r="BM18" s="615">
        <v>1.8390402394029395</v>
      </c>
      <c r="BN18" s="615">
        <v>0</v>
      </c>
      <c r="BO18" s="615">
        <v>0</v>
      </c>
      <c r="BP18" s="1"/>
      <c r="BQ18" s="643" t="s">
        <v>35</v>
      </c>
      <c r="BR18" s="615">
        <v>18.390402394029394</v>
      </c>
      <c r="BS18" s="3309">
        <v>1</v>
      </c>
      <c r="BT18" s="3309" t="s">
        <v>153</v>
      </c>
      <c r="BU18" s="3309">
        <v>0.83</v>
      </c>
      <c r="BV18" s="3309" t="s">
        <v>153</v>
      </c>
      <c r="BW18" s="3309">
        <v>0.83</v>
      </c>
      <c r="BX18" s="3309">
        <v>7.0000000000000007E-2</v>
      </c>
      <c r="BY18" s="3309">
        <v>0.89999999999999991</v>
      </c>
      <c r="BZ18" s="3309">
        <v>0.1</v>
      </c>
      <c r="CA18" s="3309" t="s">
        <v>153</v>
      </c>
      <c r="CB18" s="3309" t="s">
        <v>153</v>
      </c>
    </row>
    <row r="19" spans="1:80" ht="14.4" x14ac:dyDescent="0.3">
      <c r="A19" s="8" t="s">
        <v>67</v>
      </c>
      <c r="B19" s="3006">
        <v>0</v>
      </c>
      <c r="C19" s="3027">
        <v>0</v>
      </c>
      <c r="D19" s="3258">
        <v>0</v>
      </c>
      <c r="E19" s="3027" t="s">
        <v>153</v>
      </c>
      <c r="F19" s="3164">
        <v>0</v>
      </c>
      <c r="G19" s="3256">
        <v>0</v>
      </c>
      <c r="H19" s="3024">
        <v>0</v>
      </c>
      <c r="I19" s="3256">
        <v>0</v>
      </c>
      <c r="J19" s="3025"/>
      <c r="K19" s="3026">
        <v>0</v>
      </c>
      <c r="L19" s="3020">
        <v>0</v>
      </c>
      <c r="M19" s="3104">
        <v>0</v>
      </c>
      <c r="N19" s="3186">
        <v>0</v>
      </c>
      <c r="O19" s="3031">
        <v>0</v>
      </c>
      <c r="P19" s="3293">
        <v>0</v>
      </c>
      <c r="Q19" s="3293">
        <v>0</v>
      </c>
      <c r="R19" s="3032">
        <v>0</v>
      </c>
      <c r="S19" s="3109">
        <v>0</v>
      </c>
      <c r="T19" s="3041">
        <v>0</v>
      </c>
      <c r="U19" s="3041"/>
      <c r="V19" s="3043"/>
      <c r="W19" s="3043"/>
      <c r="X19" s="3043"/>
      <c r="Y19" s="3043"/>
      <c r="Z19" s="3041">
        <v>0</v>
      </c>
      <c r="AA19" s="3041">
        <v>0</v>
      </c>
      <c r="AB19" s="3110"/>
      <c r="AC19" s="3049">
        <v>0</v>
      </c>
      <c r="AD19" s="3272">
        <v>0</v>
      </c>
      <c r="AE19" s="3051">
        <v>0</v>
      </c>
      <c r="AF19" s="3292">
        <v>0</v>
      </c>
      <c r="AG19" s="3301"/>
      <c r="AH19" s="3121">
        <v>0</v>
      </c>
      <c r="AI19" s="3121">
        <v>0</v>
      </c>
      <c r="AJ19" s="3006">
        <v>0</v>
      </c>
      <c r="AK19" s="3031">
        <v>0</v>
      </c>
      <c r="AL19" s="3061">
        <v>0</v>
      </c>
      <c r="AM19" s="3063">
        <v>0</v>
      </c>
      <c r="AN19" s="3065">
        <v>0</v>
      </c>
      <c r="AO19" s="3067">
        <v>0</v>
      </c>
      <c r="AP19" s="3272">
        <v>0</v>
      </c>
      <c r="AQ19" s="3273">
        <v>0</v>
      </c>
      <c r="AR19" s="3302">
        <v>0</v>
      </c>
      <c r="AS19" s="3213" t="s">
        <v>153</v>
      </c>
      <c r="AT19" s="3080" t="s">
        <v>153</v>
      </c>
      <c r="AU19" s="3082" t="s">
        <v>153</v>
      </c>
      <c r="AV19" s="3084" t="s">
        <v>153</v>
      </c>
      <c r="AW19" s="3086" t="s">
        <v>153</v>
      </c>
      <c r="AX19" s="3088" t="s">
        <v>153</v>
      </c>
      <c r="AY19" s="3276" t="s">
        <v>153</v>
      </c>
      <c r="AZ19" s="3303" t="s">
        <v>153</v>
      </c>
      <c r="BA19" s="3219" t="s">
        <v>153</v>
      </c>
      <c r="BB19" s="3220">
        <v>0</v>
      </c>
      <c r="BD19" s="643" t="s">
        <v>67</v>
      </c>
      <c r="BE19" s="615">
        <v>0</v>
      </c>
      <c r="BF19" s="3306">
        <v>0</v>
      </c>
      <c r="BG19" s="615">
        <v>0</v>
      </c>
      <c r="BH19" s="615">
        <v>0</v>
      </c>
      <c r="BI19" s="615">
        <v>0</v>
      </c>
      <c r="BJ19" s="615">
        <v>0</v>
      </c>
      <c r="BK19" s="615">
        <v>0</v>
      </c>
      <c r="BL19" s="615">
        <v>0</v>
      </c>
      <c r="BM19" s="615">
        <v>0</v>
      </c>
      <c r="BN19" s="615">
        <v>0</v>
      </c>
      <c r="BO19" s="615">
        <v>0</v>
      </c>
      <c r="BP19" s="1"/>
      <c r="BQ19" s="643" t="s">
        <v>67</v>
      </c>
      <c r="BR19" s="615">
        <v>0</v>
      </c>
      <c r="BS19" s="3309">
        <v>0</v>
      </c>
      <c r="BT19" s="3309" t="s">
        <v>153</v>
      </c>
      <c r="BU19" s="3309" t="s">
        <v>153</v>
      </c>
      <c r="BV19" s="3309" t="s">
        <v>153</v>
      </c>
      <c r="BW19" s="3309" t="s">
        <v>153</v>
      </c>
      <c r="BX19" s="3309" t="s">
        <v>153</v>
      </c>
      <c r="BY19" s="3309" t="s">
        <v>153</v>
      </c>
      <c r="BZ19" s="3309" t="s">
        <v>153</v>
      </c>
      <c r="CA19" s="3309" t="s">
        <v>153</v>
      </c>
      <c r="CB19" s="3309" t="s">
        <v>153</v>
      </c>
    </row>
    <row r="20" spans="1:80" ht="14.4" x14ac:dyDescent="0.3">
      <c r="A20" s="8" t="s">
        <v>76</v>
      </c>
      <c r="B20" s="3006">
        <v>14117.309936817439</v>
      </c>
      <c r="C20" s="3249">
        <v>1</v>
      </c>
      <c r="D20" s="3258">
        <v>14117.309936817439</v>
      </c>
      <c r="E20" s="3027">
        <v>1</v>
      </c>
      <c r="F20" s="3164">
        <v>0</v>
      </c>
      <c r="G20" s="3256">
        <v>0</v>
      </c>
      <c r="H20" s="3024">
        <v>0</v>
      </c>
      <c r="I20" s="3256">
        <v>0</v>
      </c>
      <c r="J20" s="3025"/>
      <c r="K20" s="3026">
        <v>0</v>
      </c>
      <c r="L20" s="3020">
        <v>14117.309936817439</v>
      </c>
      <c r="M20" s="3104">
        <v>14.117309936817438</v>
      </c>
      <c r="N20" s="3186">
        <v>2696.4061979321309</v>
      </c>
      <c r="O20" s="3031">
        <v>0</v>
      </c>
      <c r="P20" s="3293">
        <v>11406.786428948491</v>
      </c>
      <c r="Q20" s="3293">
        <v>0</v>
      </c>
      <c r="R20" s="3032">
        <v>0</v>
      </c>
      <c r="S20" s="3109">
        <v>0</v>
      </c>
      <c r="T20" s="3041">
        <v>0</v>
      </c>
      <c r="U20" s="3041"/>
      <c r="V20" s="3043"/>
      <c r="W20" s="3043"/>
      <c r="X20" s="3043"/>
      <c r="Y20" s="3043"/>
      <c r="Z20" s="3041">
        <v>0</v>
      </c>
      <c r="AA20" s="3041">
        <v>0</v>
      </c>
      <c r="AB20" s="3110"/>
      <c r="AC20" s="3049">
        <v>0</v>
      </c>
      <c r="AD20" s="3272">
        <v>11406.786428948491</v>
      </c>
      <c r="AE20" s="3051">
        <v>0</v>
      </c>
      <c r="AF20" s="3292">
        <v>0</v>
      </c>
      <c r="AG20" s="3301"/>
      <c r="AH20" s="3121">
        <v>0</v>
      </c>
      <c r="AI20" s="3121">
        <v>0</v>
      </c>
      <c r="AJ20" s="3006">
        <v>14.117309936817438</v>
      </c>
      <c r="AK20" s="3031">
        <v>2696.4061979321309</v>
      </c>
      <c r="AL20" s="3061">
        <v>0</v>
      </c>
      <c r="AM20" s="3063">
        <v>2710.5235078689484</v>
      </c>
      <c r="AN20" s="3065">
        <v>11406.786428948491</v>
      </c>
      <c r="AO20" s="3067">
        <v>14117.309936817441</v>
      </c>
      <c r="AP20" s="3272">
        <v>0</v>
      </c>
      <c r="AQ20" s="3273">
        <v>0</v>
      </c>
      <c r="AR20" s="3302">
        <v>0</v>
      </c>
      <c r="AS20" s="3213">
        <v>1E-3</v>
      </c>
      <c r="AT20" s="3080">
        <v>0.191</v>
      </c>
      <c r="AU20" s="3082" t="s">
        <v>153</v>
      </c>
      <c r="AV20" s="3084">
        <v>0.192</v>
      </c>
      <c r="AW20" s="3086">
        <v>0.80800000000000005</v>
      </c>
      <c r="AX20" s="3088">
        <v>1.0000000000000002</v>
      </c>
      <c r="AY20" s="3276" t="s">
        <v>153</v>
      </c>
      <c r="AZ20" s="3303" t="s">
        <v>153</v>
      </c>
      <c r="BA20" s="3219" t="s">
        <v>153</v>
      </c>
      <c r="BB20" s="3220">
        <v>0</v>
      </c>
      <c r="BD20" s="643" t="s">
        <v>76</v>
      </c>
      <c r="BE20" s="615">
        <v>14117.309936817439</v>
      </c>
      <c r="BF20" s="3306">
        <v>1</v>
      </c>
      <c r="BG20" s="615">
        <v>14.117309936817438</v>
      </c>
      <c r="BH20" s="615">
        <v>2696.4061979321309</v>
      </c>
      <c r="BI20" s="615">
        <v>0</v>
      </c>
      <c r="BJ20" s="615">
        <v>2710.5235078689484</v>
      </c>
      <c r="BK20" s="615">
        <v>11406.786428948491</v>
      </c>
      <c r="BL20" s="615">
        <v>14117.309936817441</v>
      </c>
      <c r="BM20" s="615">
        <v>0</v>
      </c>
      <c r="BN20" s="615">
        <v>0</v>
      </c>
      <c r="BO20" s="615">
        <v>0</v>
      </c>
      <c r="BP20" s="1"/>
      <c r="BQ20" s="643" t="s">
        <v>76</v>
      </c>
      <c r="BR20" s="615">
        <v>14117.309936817439</v>
      </c>
      <c r="BS20" s="3309">
        <v>1</v>
      </c>
      <c r="BT20" s="3309">
        <v>1E-3</v>
      </c>
      <c r="BU20" s="3309">
        <v>0.191</v>
      </c>
      <c r="BV20" s="3309" t="s">
        <v>153</v>
      </c>
      <c r="BW20" s="3309">
        <v>0.192</v>
      </c>
      <c r="BX20" s="3309">
        <v>0.80800000000000005</v>
      </c>
      <c r="BY20" s="3309">
        <v>1.0000000000000002</v>
      </c>
      <c r="BZ20" s="3309" t="s">
        <v>153</v>
      </c>
      <c r="CA20" s="3309" t="s">
        <v>153</v>
      </c>
      <c r="CB20" s="3309" t="s">
        <v>153</v>
      </c>
    </row>
    <row r="21" spans="1:80" ht="14.4" x14ac:dyDescent="0.3">
      <c r="A21" s="8" t="s">
        <v>62</v>
      </c>
      <c r="B21" s="3006">
        <v>534.39162403596504</v>
      </c>
      <c r="C21" s="3249">
        <v>1</v>
      </c>
      <c r="D21" s="3258">
        <v>534.39162403596504</v>
      </c>
      <c r="E21" s="3027">
        <v>1</v>
      </c>
      <c r="F21" s="3164">
        <v>0</v>
      </c>
      <c r="G21" s="3256">
        <v>0</v>
      </c>
      <c r="H21" s="3024">
        <v>0</v>
      </c>
      <c r="I21" s="3256">
        <v>0</v>
      </c>
      <c r="J21" s="3025"/>
      <c r="K21" s="3026">
        <v>0</v>
      </c>
      <c r="L21" s="3020">
        <v>534.39162403596504</v>
      </c>
      <c r="M21" s="3104">
        <v>0</v>
      </c>
      <c r="N21" s="3186">
        <v>13.89418222493509</v>
      </c>
      <c r="O21" s="3031">
        <v>0</v>
      </c>
      <c r="P21" s="3293">
        <v>447.82018094213868</v>
      </c>
      <c r="Q21" s="3293">
        <v>0</v>
      </c>
      <c r="R21" s="3032">
        <v>72.677260868891253</v>
      </c>
      <c r="S21" s="3109">
        <v>0</v>
      </c>
      <c r="T21" s="3041">
        <v>0</v>
      </c>
      <c r="U21" s="3041"/>
      <c r="V21" s="3043"/>
      <c r="W21" s="3043"/>
      <c r="X21" s="3043"/>
      <c r="Y21" s="3043"/>
      <c r="Z21" s="3041">
        <v>0</v>
      </c>
      <c r="AA21" s="3041">
        <v>0</v>
      </c>
      <c r="AB21" s="3110"/>
      <c r="AC21" s="3049">
        <v>0</v>
      </c>
      <c r="AD21" s="3272">
        <v>447.82018094213868</v>
      </c>
      <c r="AE21" s="3051">
        <v>0</v>
      </c>
      <c r="AF21" s="3292">
        <v>0</v>
      </c>
      <c r="AG21" s="3301"/>
      <c r="AH21" s="3121">
        <v>0</v>
      </c>
      <c r="AI21" s="3121">
        <v>72.677260868891253</v>
      </c>
      <c r="AJ21" s="3006">
        <v>0</v>
      </c>
      <c r="AK21" s="3031">
        <v>13.89418222493509</v>
      </c>
      <c r="AL21" s="3061">
        <v>0</v>
      </c>
      <c r="AM21" s="3063">
        <v>13.89418222493509</v>
      </c>
      <c r="AN21" s="3065">
        <v>447.82018094213868</v>
      </c>
      <c r="AO21" s="3067">
        <v>461.71436316707377</v>
      </c>
      <c r="AP21" s="3272">
        <v>0</v>
      </c>
      <c r="AQ21" s="3273">
        <v>72.677260868891253</v>
      </c>
      <c r="AR21" s="3302">
        <v>0</v>
      </c>
      <c r="AS21" s="3213" t="s">
        <v>153</v>
      </c>
      <c r="AT21" s="3080">
        <v>2.5999999999999999E-2</v>
      </c>
      <c r="AU21" s="3082" t="s">
        <v>153</v>
      </c>
      <c r="AV21" s="3084">
        <v>2.5999999999999999E-2</v>
      </c>
      <c r="AW21" s="3086">
        <v>0.83799999999999997</v>
      </c>
      <c r="AX21" s="3088">
        <v>0.86399999999999999</v>
      </c>
      <c r="AY21" s="3276" t="s">
        <v>153</v>
      </c>
      <c r="AZ21" s="3303">
        <v>0.13600000000000001</v>
      </c>
      <c r="BA21" s="3219" t="s">
        <v>153</v>
      </c>
      <c r="BB21" s="3220">
        <v>0</v>
      </c>
      <c r="BD21" s="643" t="s">
        <v>62</v>
      </c>
      <c r="BE21" s="615">
        <v>534.39162403596504</v>
      </c>
      <c r="BF21" s="3306">
        <v>1</v>
      </c>
      <c r="BG21" s="615">
        <v>0</v>
      </c>
      <c r="BH21" s="615">
        <v>13.89418222493509</v>
      </c>
      <c r="BI21" s="615">
        <v>0</v>
      </c>
      <c r="BJ21" s="615">
        <v>13.89418222493509</v>
      </c>
      <c r="BK21" s="615">
        <v>447.82018094213868</v>
      </c>
      <c r="BL21" s="615">
        <v>461.71436316707377</v>
      </c>
      <c r="BM21" s="615">
        <v>0</v>
      </c>
      <c r="BN21" s="615">
        <v>72.677260868891253</v>
      </c>
      <c r="BO21" s="615">
        <v>0</v>
      </c>
      <c r="BP21" s="1"/>
      <c r="BQ21" s="643" t="s">
        <v>62</v>
      </c>
      <c r="BR21" s="615">
        <v>534.39162403596504</v>
      </c>
      <c r="BS21" s="3309">
        <v>1</v>
      </c>
      <c r="BT21" s="3309" t="s">
        <v>153</v>
      </c>
      <c r="BU21" s="3309">
        <v>2.5999999999999999E-2</v>
      </c>
      <c r="BV21" s="3309" t="s">
        <v>153</v>
      </c>
      <c r="BW21" s="3309">
        <v>2.5999999999999999E-2</v>
      </c>
      <c r="BX21" s="3309">
        <v>0.83799999999999997</v>
      </c>
      <c r="BY21" s="3309">
        <v>0.86399999999999999</v>
      </c>
      <c r="BZ21" s="3309" t="s">
        <v>153</v>
      </c>
      <c r="CA21" s="3309">
        <v>0.13600000000000001</v>
      </c>
      <c r="CB21" s="3309" t="s">
        <v>153</v>
      </c>
    </row>
    <row r="22" spans="1:80" ht="14.4" x14ac:dyDescent="0.3">
      <c r="A22" s="8" t="s">
        <v>16</v>
      </c>
      <c r="B22" s="3006">
        <v>2717</v>
      </c>
      <c r="C22" s="3249">
        <v>0.13596753979150469</v>
      </c>
      <c r="D22" s="3258">
        <v>2717</v>
      </c>
      <c r="E22" s="3027">
        <v>0.13596753979150469</v>
      </c>
      <c r="F22" s="3164">
        <v>5.0219737621608876E-2</v>
      </c>
      <c r="G22" s="3256">
        <v>14548.214609946324</v>
      </c>
      <c r="H22" s="3024">
        <v>5.4000000000000006E-2</v>
      </c>
      <c r="I22" s="3256">
        <v>2717.4960000000001</v>
      </c>
      <c r="J22" s="3025"/>
      <c r="K22" s="3026">
        <v>17265.710609946324</v>
      </c>
      <c r="L22" s="3020">
        <v>19982.710609946324</v>
      </c>
      <c r="M22" s="3104">
        <v>0</v>
      </c>
      <c r="N22" s="3186">
        <v>2581.15</v>
      </c>
      <c r="O22" s="3031">
        <v>0</v>
      </c>
      <c r="P22" s="3293">
        <v>0</v>
      </c>
      <c r="Q22" s="3293">
        <v>135.85</v>
      </c>
      <c r="R22" s="3032">
        <v>0</v>
      </c>
      <c r="S22" s="3109">
        <v>55.857351964745433</v>
      </c>
      <c r="T22" s="3041">
        <v>9045.7426948143839</v>
      </c>
      <c r="U22" s="3041"/>
      <c r="V22" s="3043"/>
      <c r="W22" s="3043"/>
      <c r="X22" s="3041">
        <v>1477.4042137192109</v>
      </c>
      <c r="Y22" s="3041">
        <v>7568.338481095172</v>
      </c>
      <c r="Z22" s="3041"/>
      <c r="AA22" s="3041"/>
      <c r="AB22" s="3314"/>
      <c r="AC22" s="3049">
        <v>7568.5188529903762</v>
      </c>
      <c r="AD22" s="3272">
        <v>0</v>
      </c>
      <c r="AE22" s="3051">
        <v>1477.4042137192109</v>
      </c>
      <c r="AF22" s="3292">
        <v>7704.1884810951724</v>
      </c>
      <c r="AG22" s="3301"/>
      <c r="AH22" s="3121">
        <v>595.59171017681751</v>
      </c>
      <c r="AI22" s="3121">
        <v>0</v>
      </c>
      <c r="AJ22" s="3006">
        <v>0</v>
      </c>
      <c r="AK22" s="3031">
        <v>2581.15</v>
      </c>
      <c r="AL22" s="3061">
        <v>0</v>
      </c>
      <c r="AM22" s="3063">
        <v>2581.15</v>
      </c>
      <c r="AN22" s="3065">
        <v>9045.9230667095871</v>
      </c>
      <c r="AO22" s="3067">
        <v>11627.073066709587</v>
      </c>
      <c r="AP22" s="3272">
        <v>8299.7801912719897</v>
      </c>
      <c r="AQ22" s="3273">
        <v>0</v>
      </c>
      <c r="AR22" s="3302">
        <v>55.857351964745433</v>
      </c>
      <c r="AS22" s="3213" t="s">
        <v>153</v>
      </c>
      <c r="AT22" s="3080">
        <v>0.12916916280192947</v>
      </c>
      <c r="AU22" s="3082" t="s">
        <v>153</v>
      </c>
      <c r="AV22" s="3084">
        <v>0.12916916280192947</v>
      </c>
      <c r="AW22" s="3086">
        <v>0.45268748786298346</v>
      </c>
      <c r="AX22" s="3088">
        <v>0.58185665066491288</v>
      </c>
      <c r="AY22" s="3276">
        <v>0.41534806529904922</v>
      </c>
      <c r="AZ22" s="3303" t="s">
        <v>153</v>
      </c>
      <c r="BA22" s="3219">
        <v>2.7952840360377651E-3</v>
      </c>
      <c r="BB22" s="3220">
        <v>0</v>
      </c>
      <c r="BD22" s="643" t="s">
        <v>16</v>
      </c>
      <c r="BE22" s="615">
        <v>19982.710609946324</v>
      </c>
      <c r="BF22" s="3306">
        <v>0.13596753979150469</v>
      </c>
      <c r="BG22" s="615">
        <v>0</v>
      </c>
      <c r="BH22" s="615">
        <v>2581.15</v>
      </c>
      <c r="BI22" s="615">
        <v>0</v>
      </c>
      <c r="BJ22" s="615">
        <v>2581.15</v>
      </c>
      <c r="BK22" s="615">
        <v>9045.9230667095871</v>
      </c>
      <c r="BL22" s="615">
        <v>11627.073066709587</v>
      </c>
      <c r="BM22" s="615">
        <v>8299.7801912719897</v>
      </c>
      <c r="BN22" s="615">
        <v>0</v>
      </c>
      <c r="BO22" s="615">
        <v>55.857351964745433</v>
      </c>
      <c r="BP22" s="1"/>
      <c r="BQ22" s="643" t="s">
        <v>16</v>
      </c>
      <c r="BR22" s="615">
        <v>19982.710609946324</v>
      </c>
      <c r="BS22" s="3309">
        <v>0.13596753979150469</v>
      </c>
      <c r="BT22" s="3309" t="s">
        <v>153</v>
      </c>
      <c r="BU22" s="3309">
        <v>0.12916916280192947</v>
      </c>
      <c r="BV22" s="3309" t="s">
        <v>153</v>
      </c>
      <c r="BW22" s="3309">
        <v>0.12916916280192947</v>
      </c>
      <c r="BX22" s="3309">
        <v>0.45268748786298346</v>
      </c>
      <c r="BY22" s="3309">
        <v>0.58185665066491288</v>
      </c>
      <c r="BZ22" s="3309">
        <v>0.41534806529904922</v>
      </c>
      <c r="CA22" s="3309" t="s">
        <v>153</v>
      </c>
      <c r="CB22" s="3309">
        <v>2.7952840360377651E-3</v>
      </c>
    </row>
    <row r="23" spans="1:80" ht="14.4" x14ac:dyDescent="0.3">
      <c r="A23" s="8" t="s">
        <v>95</v>
      </c>
      <c r="B23" s="3006">
        <v>0</v>
      </c>
      <c r="C23" s="3249">
        <v>0</v>
      </c>
      <c r="D23" s="3258">
        <v>0</v>
      </c>
      <c r="E23" s="3027" t="s">
        <v>153</v>
      </c>
      <c r="F23" s="3164">
        <v>0</v>
      </c>
      <c r="G23" s="3256">
        <v>0</v>
      </c>
      <c r="H23" s="3024">
        <v>0</v>
      </c>
      <c r="I23" s="3256">
        <v>0</v>
      </c>
      <c r="J23" s="3025"/>
      <c r="K23" s="3026">
        <v>0</v>
      </c>
      <c r="L23" s="3020">
        <v>0</v>
      </c>
      <c r="M23" s="3104">
        <v>0</v>
      </c>
      <c r="N23" s="3186">
        <v>0</v>
      </c>
      <c r="O23" s="3031">
        <v>0</v>
      </c>
      <c r="P23" s="3293">
        <v>0</v>
      </c>
      <c r="Q23" s="3293">
        <v>0</v>
      </c>
      <c r="R23" s="3032">
        <v>0</v>
      </c>
      <c r="S23" s="3109">
        <v>0</v>
      </c>
      <c r="T23" s="3041">
        <v>0</v>
      </c>
      <c r="U23" s="3041"/>
      <c r="V23" s="3043"/>
      <c r="W23" s="3043"/>
      <c r="X23" s="3043"/>
      <c r="Y23" s="3043"/>
      <c r="Z23" s="3041">
        <v>0</v>
      </c>
      <c r="AA23" s="3041">
        <v>0</v>
      </c>
      <c r="AB23" s="3110"/>
      <c r="AC23" s="3049">
        <v>0</v>
      </c>
      <c r="AD23" s="3272">
        <v>0</v>
      </c>
      <c r="AE23" s="3051">
        <v>0</v>
      </c>
      <c r="AF23" s="3292">
        <v>0</v>
      </c>
      <c r="AG23" s="3301"/>
      <c r="AH23" s="3121">
        <v>0</v>
      </c>
      <c r="AI23" s="3121">
        <v>0</v>
      </c>
      <c r="AJ23" s="3006">
        <v>0</v>
      </c>
      <c r="AK23" s="3031">
        <v>0</v>
      </c>
      <c r="AL23" s="3061">
        <v>0</v>
      </c>
      <c r="AM23" s="3063">
        <v>0</v>
      </c>
      <c r="AN23" s="3065">
        <v>0</v>
      </c>
      <c r="AO23" s="3067">
        <v>0</v>
      </c>
      <c r="AP23" s="3272">
        <v>0</v>
      </c>
      <c r="AQ23" s="3273">
        <v>0</v>
      </c>
      <c r="AR23" s="3302">
        <v>0</v>
      </c>
      <c r="AS23" s="3213" t="s">
        <v>153</v>
      </c>
      <c r="AT23" s="3080" t="s">
        <v>153</v>
      </c>
      <c r="AU23" s="3082" t="s">
        <v>153</v>
      </c>
      <c r="AV23" s="3084" t="s">
        <v>153</v>
      </c>
      <c r="AW23" s="3086" t="s">
        <v>153</v>
      </c>
      <c r="AX23" s="3088" t="s">
        <v>153</v>
      </c>
      <c r="AY23" s="3276" t="s">
        <v>153</v>
      </c>
      <c r="AZ23" s="3303" t="s">
        <v>153</v>
      </c>
      <c r="BA23" s="3219" t="s">
        <v>153</v>
      </c>
      <c r="BB23" s="3220">
        <v>0</v>
      </c>
      <c r="BD23" s="643" t="s">
        <v>95</v>
      </c>
      <c r="BE23" s="615">
        <v>0</v>
      </c>
      <c r="BF23" s="3306">
        <v>0</v>
      </c>
      <c r="BG23" s="615">
        <v>0</v>
      </c>
      <c r="BH23" s="615">
        <v>0</v>
      </c>
      <c r="BI23" s="615">
        <v>0</v>
      </c>
      <c r="BJ23" s="615">
        <v>0</v>
      </c>
      <c r="BK23" s="615">
        <v>0</v>
      </c>
      <c r="BL23" s="615">
        <v>0</v>
      </c>
      <c r="BM23" s="615">
        <v>0</v>
      </c>
      <c r="BN23" s="615">
        <v>0</v>
      </c>
      <c r="BO23" s="615">
        <v>0</v>
      </c>
      <c r="BP23" s="1"/>
      <c r="BQ23" s="643" t="s">
        <v>95</v>
      </c>
      <c r="BR23" s="615">
        <v>0</v>
      </c>
      <c r="BS23" s="3309">
        <v>0</v>
      </c>
      <c r="BT23" s="3309" t="s">
        <v>153</v>
      </c>
      <c r="BU23" s="3309" t="s">
        <v>153</v>
      </c>
      <c r="BV23" s="3309" t="s">
        <v>153</v>
      </c>
      <c r="BW23" s="3309" t="s">
        <v>153</v>
      </c>
      <c r="BX23" s="3309" t="s">
        <v>153</v>
      </c>
      <c r="BY23" s="3309" t="s">
        <v>153</v>
      </c>
      <c r="BZ23" s="3309" t="s">
        <v>153</v>
      </c>
      <c r="CA23" s="3309" t="s">
        <v>153</v>
      </c>
      <c r="CB23" s="3309" t="s">
        <v>153</v>
      </c>
    </row>
    <row r="24" spans="1:80" ht="14.4" x14ac:dyDescent="0.3">
      <c r="A24" s="8" t="s">
        <v>74</v>
      </c>
      <c r="B24" s="3006">
        <v>1.1702786142461499</v>
      </c>
      <c r="C24" s="3249">
        <v>1</v>
      </c>
      <c r="D24" s="3258">
        <v>1.1702786142461499</v>
      </c>
      <c r="E24" s="3027">
        <v>1</v>
      </c>
      <c r="F24" s="3164">
        <v>0</v>
      </c>
      <c r="G24" s="3256">
        <v>0</v>
      </c>
      <c r="H24" s="3024">
        <v>0</v>
      </c>
      <c r="I24" s="3256">
        <v>0</v>
      </c>
      <c r="J24" s="3025"/>
      <c r="K24" s="3026">
        <v>0</v>
      </c>
      <c r="L24" s="3020">
        <v>1.1702786142461499</v>
      </c>
      <c r="M24" s="3104">
        <v>0</v>
      </c>
      <c r="N24" s="3186">
        <v>0.19295814410482556</v>
      </c>
      <c r="O24" s="3031">
        <v>0</v>
      </c>
      <c r="P24" s="3293">
        <v>0.97732047014132439</v>
      </c>
      <c r="Q24" s="3293">
        <v>0</v>
      </c>
      <c r="R24" s="3032">
        <v>0</v>
      </c>
      <c r="S24" s="3109">
        <v>0</v>
      </c>
      <c r="T24" s="3041">
        <v>0</v>
      </c>
      <c r="U24" s="3041"/>
      <c r="V24" s="3043"/>
      <c r="W24" s="3043"/>
      <c r="X24" s="3041">
        <v>0</v>
      </c>
      <c r="Y24" s="3041">
        <v>0</v>
      </c>
      <c r="Z24" s="3041"/>
      <c r="AA24" s="3041"/>
      <c r="AB24" s="3110"/>
      <c r="AC24" s="3049">
        <v>0</v>
      </c>
      <c r="AD24" s="3272">
        <v>0.97732047014132439</v>
      </c>
      <c r="AE24" s="3051">
        <v>0</v>
      </c>
      <c r="AF24" s="3292">
        <v>0</v>
      </c>
      <c r="AG24" s="3301"/>
      <c r="AH24" s="3121">
        <v>0</v>
      </c>
      <c r="AI24" s="3121">
        <v>0</v>
      </c>
      <c r="AJ24" s="3006">
        <v>0</v>
      </c>
      <c r="AK24" s="3031">
        <v>0.19295814410482556</v>
      </c>
      <c r="AL24" s="3061">
        <v>0</v>
      </c>
      <c r="AM24" s="3063">
        <v>0.19295814410482556</v>
      </c>
      <c r="AN24" s="3065">
        <v>0.97732047014132439</v>
      </c>
      <c r="AO24" s="3067">
        <v>1.1702786142461499</v>
      </c>
      <c r="AP24" s="3272">
        <v>0</v>
      </c>
      <c r="AQ24" s="3273">
        <v>0</v>
      </c>
      <c r="AR24" s="3302">
        <v>0</v>
      </c>
      <c r="AS24" s="3213" t="s">
        <v>153</v>
      </c>
      <c r="AT24" s="3080">
        <v>0.16488222698072805</v>
      </c>
      <c r="AU24" s="3082" t="s">
        <v>153</v>
      </c>
      <c r="AV24" s="3084">
        <v>0.16488222698072805</v>
      </c>
      <c r="AW24" s="3086">
        <v>0.83511777301927204</v>
      </c>
      <c r="AX24" s="3088">
        <v>1</v>
      </c>
      <c r="AY24" s="3276" t="s">
        <v>153</v>
      </c>
      <c r="AZ24" s="3303" t="s">
        <v>153</v>
      </c>
      <c r="BA24" s="3219" t="s">
        <v>153</v>
      </c>
      <c r="BB24" s="3220">
        <v>0</v>
      </c>
      <c r="BD24" s="643" t="s">
        <v>74</v>
      </c>
      <c r="BE24" s="615">
        <v>1.1702786142461499</v>
      </c>
      <c r="BF24" s="3306">
        <v>1</v>
      </c>
      <c r="BG24" s="615">
        <v>0</v>
      </c>
      <c r="BH24" s="615">
        <v>0.19295814410482556</v>
      </c>
      <c r="BI24" s="615">
        <v>0</v>
      </c>
      <c r="BJ24" s="615">
        <v>0.19295814410482556</v>
      </c>
      <c r="BK24" s="615">
        <v>0.97732047014132439</v>
      </c>
      <c r="BL24" s="615">
        <v>1.1702786142461499</v>
      </c>
      <c r="BM24" s="615">
        <v>0</v>
      </c>
      <c r="BN24" s="615">
        <v>0</v>
      </c>
      <c r="BO24" s="615">
        <v>0</v>
      </c>
      <c r="BP24" s="1"/>
      <c r="BQ24" s="643" t="s">
        <v>74</v>
      </c>
      <c r="BR24" s="615">
        <v>1.1702786142461499</v>
      </c>
      <c r="BS24" s="3309">
        <v>1</v>
      </c>
      <c r="BT24" s="3309" t="s">
        <v>153</v>
      </c>
      <c r="BU24" s="3309">
        <v>0.16488222698072805</v>
      </c>
      <c r="BV24" s="3309" t="s">
        <v>153</v>
      </c>
      <c r="BW24" s="3309">
        <v>0.16488222698072805</v>
      </c>
      <c r="BX24" s="3309">
        <v>0.83511777301927204</v>
      </c>
      <c r="BY24" s="3309">
        <v>1</v>
      </c>
      <c r="BZ24" s="3309" t="s">
        <v>153</v>
      </c>
      <c r="CA24" s="3309" t="s">
        <v>153</v>
      </c>
      <c r="CB24" s="3309" t="s">
        <v>153</v>
      </c>
    </row>
    <row r="25" spans="1:80" ht="14.4" x14ac:dyDescent="0.3">
      <c r="A25" s="8" t="s">
        <v>73</v>
      </c>
      <c r="B25" s="3006">
        <v>120.75700000000001</v>
      </c>
      <c r="C25" s="3249">
        <v>0.57138679721132102</v>
      </c>
      <c r="D25" s="3258">
        <v>120.75700000000001</v>
      </c>
      <c r="E25" s="3027">
        <v>0.57138679721132102</v>
      </c>
      <c r="F25" s="3164">
        <v>0</v>
      </c>
      <c r="G25" s="3256">
        <v>0</v>
      </c>
      <c r="H25" s="3024">
        <v>1.8E-3</v>
      </c>
      <c r="I25" s="3256">
        <v>90.583199999999991</v>
      </c>
      <c r="J25" s="3025"/>
      <c r="K25" s="3026">
        <v>90.583199999999991</v>
      </c>
      <c r="L25" s="3020">
        <v>211.34019999999998</v>
      </c>
      <c r="M25" s="3104">
        <v>0</v>
      </c>
      <c r="N25" s="3186">
        <v>82.718545000000006</v>
      </c>
      <c r="O25" s="3031">
        <v>0</v>
      </c>
      <c r="P25" s="3293">
        <v>37.917698000000001</v>
      </c>
      <c r="Q25" s="3293">
        <v>0.120757</v>
      </c>
      <c r="R25" s="3032">
        <v>0</v>
      </c>
      <c r="S25" s="3109">
        <v>0.29305122730240513</v>
      </c>
      <c r="T25" s="3041">
        <v>47.457781390178042</v>
      </c>
      <c r="U25" s="3041"/>
      <c r="V25" s="3043"/>
      <c r="W25" s="3043"/>
      <c r="X25" s="3043"/>
      <c r="Y25" s="3043"/>
      <c r="Z25" s="3041">
        <v>12.20175729829149</v>
      </c>
      <c r="AA25" s="3041">
        <v>35.256024091886545</v>
      </c>
      <c r="AB25" s="3110"/>
      <c r="AC25" s="3049">
        <v>39.707642068855989</v>
      </c>
      <c r="AD25" s="3272">
        <v>37.917698000000001</v>
      </c>
      <c r="AE25" s="3051">
        <v>12.20175729829149</v>
      </c>
      <c r="AF25" s="3292">
        <v>35.376781091886542</v>
      </c>
      <c r="AG25" s="3301"/>
      <c r="AH25" s="3121">
        <v>3.1247253136635549</v>
      </c>
      <c r="AI25" s="3121">
        <v>0</v>
      </c>
      <c r="AJ25" s="3006">
        <v>0</v>
      </c>
      <c r="AK25" s="3031">
        <v>82.718545000000006</v>
      </c>
      <c r="AL25" s="3061">
        <v>0</v>
      </c>
      <c r="AM25" s="3063">
        <v>82.718545000000006</v>
      </c>
      <c r="AN25" s="3065">
        <v>89.827097367147474</v>
      </c>
      <c r="AO25" s="3067">
        <v>172.54564236714748</v>
      </c>
      <c r="AP25" s="3272">
        <v>38.501506405550096</v>
      </c>
      <c r="AQ25" s="3273">
        <v>0</v>
      </c>
      <c r="AR25" s="3302">
        <v>0.29305122730240513</v>
      </c>
      <c r="AS25" s="3213" t="s">
        <v>153</v>
      </c>
      <c r="AT25" s="3080">
        <v>0.39139995608975486</v>
      </c>
      <c r="AU25" s="3082" t="s">
        <v>153</v>
      </c>
      <c r="AV25" s="3084">
        <v>0.39139995608975486</v>
      </c>
      <c r="AW25" s="3086">
        <v>0.42503554632364066</v>
      </c>
      <c r="AX25" s="3088">
        <v>0.81643550241339558</v>
      </c>
      <c r="AY25" s="3276">
        <v>0.18217786490951604</v>
      </c>
      <c r="AZ25" s="3303" t="s">
        <v>153</v>
      </c>
      <c r="BA25" s="3219">
        <v>1.3866326770884344E-3</v>
      </c>
      <c r="BB25" s="3220">
        <v>0</v>
      </c>
      <c r="BD25" s="643" t="s">
        <v>73</v>
      </c>
      <c r="BE25" s="615">
        <v>211.34019999999998</v>
      </c>
      <c r="BF25" s="3306">
        <v>0.57138679721132102</v>
      </c>
      <c r="BG25" s="615">
        <v>0</v>
      </c>
      <c r="BH25" s="615">
        <v>82.718545000000006</v>
      </c>
      <c r="BI25" s="615">
        <v>0</v>
      </c>
      <c r="BJ25" s="615">
        <v>82.718545000000006</v>
      </c>
      <c r="BK25" s="615">
        <v>89.827097367147474</v>
      </c>
      <c r="BL25" s="615">
        <v>172.54564236714748</v>
      </c>
      <c r="BM25" s="615">
        <v>38.501506405550096</v>
      </c>
      <c r="BN25" s="615">
        <v>0</v>
      </c>
      <c r="BO25" s="615">
        <v>0.29305122730240513</v>
      </c>
      <c r="BP25" s="1"/>
      <c r="BQ25" s="643" t="s">
        <v>73</v>
      </c>
      <c r="BR25" s="615">
        <v>211.34019999999998</v>
      </c>
      <c r="BS25" s="3309">
        <v>0.57138679721132102</v>
      </c>
      <c r="BT25" s="3309" t="s">
        <v>153</v>
      </c>
      <c r="BU25" s="3309">
        <v>0.39139995608975486</v>
      </c>
      <c r="BV25" s="3309" t="s">
        <v>153</v>
      </c>
      <c r="BW25" s="3309">
        <v>0.39139995608975486</v>
      </c>
      <c r="BX25" s="3309">
        <v>0.42503554632364066</v>
      </c>
      <c r="BY25" s="3309">
        <v>0.81643550241339558</v>
      </c>
      <c r="BZ25" s="3309">
        <v>0.18217786490951604</v>
      </c>
      <c r="CA25" s="3309" t="s">
        <v>153</v>
      </c>
      <c r="CB25" s="3309">
        <v>1.3866326770884344E-3</v>
      </c>
    </row>
    <row r="26" spans="1:80" ht="14.4" x14ac:dyDescent="0.3">
      <c r="A26" s="8" t="s">
        <v>44</v>
      </c>
      <c r="B26" s="3006">
        <v>80.631808055710067</v>
      </c>
      <c r="C26" s="3249">
        <v>1</v>
      </c>
      <c r="D26" s="3258">
        <v>80.631808055710067</v>
      </c>
      <c r="E26" s="3027">
        <v>1</v>
      </c>
      <c r="F26" s="3164">
        <v>0</v>
      </c>
      <c r="G26" s="3256">
        <v>0</v>
      </c>
      <c r="H26" s="3024">
        <v>0</v>
      </c>
      <c r="I26" s="3256">
        <v>0</v>
      </c>
      <c r="J26" s="3025"/>
      <c r="K26" s="3026">
        <v>0</v>
      </c>
      <c r="L26" s="3020">
        <v>80.631808055710067</v>
      </c>
      <c r="M26" s="3104">
        <v>0</v>
      </c>
      <c r="N26" s="3186">
        <v>75.277708576541755</v>
      </c>
      <c r="O26" s="3031">
        <v>0</v>
      </c>
      <c r="P26" s="3293">
        <v>0</v>
      </c>
      <c r="Q26" s="3293">
        <v>5.3540994791683216</v>
      </c>
      <c r="R26" s="3032">
        <v>0</v>
      </c>
      <c r="S26" s="3109">
        <v>0</v>
      </c>
      <c r="T26" s="3041">
        <v>0</v>
      </c>
      <c r="U26" s="3041"/>
      <c r="V26" s="3043"/>
      <c r="W26" s="3043"/>
      <c r="X26" s="3043"/>
      <c r="Y26" s="3043"/>
      <c r="Z26" s="3041">
        <v>0</v>
      </c>
      <c r="AA26" s="3041">
        <v>0</v>
      </c>
      <c r="AB26" s="3110"/>
      <c r="AC26" s="3049">
        <v>0</v>
      </c>
      <c r="AD26" s="3272">
        <v>0</v>
      </c>
      <c r="AE26" s="3051">
        <v>0</v>
      </c>
      <c r="AF26" s="3292">
        <v>5.3540994791683216</v>
      </c>
      <c r="AG26" s="3301"/>
      <c r="AH26" s="3121">
        <v>0</v>
      </c>
      <c r="AI26" s="3121">
        <v>0</v>
      </c>
      <c r="AJ26" s="3006">
        <v>0</v>
      </c>
      <c r="AK26" s="3031">
        <v>75.277708576541755</v>
      </c>
      <c r="AL26" s="3061">
        <v>0</v>
      </c>
      <c r="AM26" s="3063">
        <v>75.277708576541755</v>
      </c>
      <c r="AN26" s="3065">
        <v>0</v>
      </c>
      <c r="AO26" s="3067">
        <v>75.277708576541755</v>
      </c>
      <c r="AP26" s="3272">
        <v>5.3540994791683216</v>
      </c>
      <c r="AQ26" s="3273">
        <v>0</v>
      </c>
      <c r="AR26" s="3302">
        <v>0</v>
      </c>
      <c r="AS26" s="3213" t="s">
        <v>153</v>
      </c>
      <c r="AT26" s="3080">
        <v>0.93359817163632175</v>
      </c>
      <c r="AU26" s="3082" t="s">
        <v>153</v>
      </c>
      <c r="AV26" s="3084">
        <v>0.93359817163632175</v>
      </c>
      <c r="AW26" s="3086" t="s">
        <v>153</v>
      </c>
      <c r="AX26" s="3088">
        <v>0.93359817163632175</v>
      </c>
      <c r="AY26" s="3276">
        <v>6.6401828363678403E-2</v>
      </c>
      <c r="AZ26" s="3303" t="s">
        <v>153</v>
      </c>
      <c r="BA26" s="3219" t="s">
        <v>153</v>
      </c>
      <c r="BB26" s="3220">
        <v>0</v>
      </c>
      <c r="BD26" s="643" t="s">
        <v>44</v>
      </c>
      <c r="BE26" s="615">
        <v>80.631808055710067</v>
      </c>
      <c r="BF26" s="3306">
        <v>1</v>
      </c>
      <c r="BG26" s="615">
        <v>0</v>
      </c>
      <c r="BH26" s="615">
        <v>75.277708576541755</v>
      </c>
      <c r="BI26" s="615">
        <v>0</v>
      </c>
      <c r="BJ26" s="615">
        <v>75.277708576541755</v>
      </c>
      <c r="BK26" s="615">
        <v>0</v>
      </c>
      <c r="BL26" s="615">
        <v>75.277708576541755</v>
      </c>
      <c r="BM26" s="615">
        <v>5.3540994791683216</v>
      </c>
      <c r="BN26" s="615">
        <v>0</v>
      </c>
      <c r="BO26" s="615">
        <v>0</v>
      </c>
      <c r="BP26" s="1"/>
      <c r="BQ26" s="643" t="s">
        <v>44</v>
      </c>
      <c r="BR26" s="615">
        <v>80.631808055710067</v>
      </c>
      <c r="BS26" s="3309">
        <v>1</v>
      </c>
      <c r="BT26" s="3309" t="s">
        <v>153</v>
      </c>
      <c r="BU26" s="3309">
        <v>0.93359817163632175</v>
      </c>
      <c r="BV26" s="3309" t="s">
        <v>153</v>
      </c>
      <c r="BW26" s="3309">
        <v>0.93359817163632175</v>
      </c>
      <c r="BX26" s="3309" t="s">
        <v>153</v>
      </c>
      <c r="BY26" s="3309">
        <v>0.93359817163632175</v>
      </c>
      <c r="BZ26" s="3309">
        <v>6.6401828363678403E-2</v>
      </c>
      <c r="CA26" s="3309" t="s">
        <v>153</v>
      </c>
      <c r="CB26" s="3309" t="s">
        <v>153</v>
      </c>
    </row>
    <row r="27" spans="1:80" ht="14.4" x14ac:dyDescent="0.3">
      <c r="A27" s="8" t="s">
        <v>119</v>
      </c>
      <c r="B27" s="3006">
        <v>0</v>
      </c>
      <c r="C27" s="3249">
        <v>0</v>
      </c>
      <c r="D27" s="3258">
        <v>0</v>
      </c>
      <c r="E27" s="3027">
        <v>0</v>
      </c>
      <c r="F27" s="3164">
        <v>0.1762084492519371</v>
      </c>
      <c r="G27" s="3256">
        <v>51046.032042588158</v>
      </c>
      <c r="H27" s="3024">
        <v>9.1700000000000004E-2</v>
      </c>
      <c r="I27" s="3256">
        <v>4614.7107999999998</v>
      </c>
      <c r="J27" s="3025"/>
      <c r="K27" s="3166">
        <v>55660.742842588159</v>
      </c>
      <c r="L27" s="3167">
        <v>55660.742842588159</v>
      </c>
      <c r="M27" s="3203">
        <v>0</v>
      </c>
      <c r="N27" s="3204">
        <v>0</v>
      </c>
      <c r="O27" s="3294">
        <v>0</v>
      </c>
      <c r="P27" s="3295">
        <v>0</v>
      </c>
      <c r="Q27" s="3295">
        <v>0</v>
      </c>
      <c r="R27" s="3205">
        <v>0</v>
      </c>
      <c r="S27" s="3109">
        <v>180.07145919534776</v>
      </c>
      <c r="T27" s="3296">
        <v>29161.426907400779</v>
      </c>
      <c r="U27" s="3041"/>
      <c r="V27" s="3043">
        <v>3823.5961277602437</v>
      </c>
      <c r="W27" s="3043">
        <v>621.06446013461755</v>
      </c>
      <c r="X27" s="3043">
        <v>1881.5552135944163</v>
      </c>
      <c r="Y27" s="3043">
        <v>9638.6937272254945</v>
      </c>
      <c r="Z27" s="3041">
        <v>2924.1242856897634</v>
      </c>
      <c r="AA27" s="3041">
        <v>8449.0285902002106</v>
      </c>
      <c r="AB27" s="3110"/>
      <c r="AC27" s="3217">
        <v>24399.19161699</v>
      </c>
      <c r="AD27" s="3272">
        <v>0</v>
      </c>
      <c r="AE27" s="3216">
        <v>8629.2756270444224</v>
      </c>
      <c r="AF27" s="3300">
        <v>18708.786777560323</v>
      </c>
      <c r="AG27" s="3514"/>
      <c r="AH27" s="3121">
        <v>3743.4173617980632</v>
      </c>
      <c r="AI27" s="3121">
        <v>0</v>
      </c>
      <c r="AJ27" s="3006">
        <v>0</v>
      </c>
      <c r="AK27" s="3031">
        <v>0</v>
      </c>
      <c r="AL27" s="3061">
        <v>0</v>
      </c>
      <c r="AM27" s="3063">
        <v>0</v>
      </c>
      <c r="AN27" s="3065">
        <v>33028.467244034422</v>
      </c>
      <c r="AO27" s="3067">
        <v>33028.467244034422</v>
      </c>
      <c r="AP27" s="3272">
        <v>22452.204139358386</v>
      </c>
      <c r="AQ27" s="3273">
        <v>0</v>
      </c>
      <c r="AR27" s="3302">
        <v>180.07145919534776</v>
      </c>
      <c r="AS27" s="3213" t="s">
        <v>153</v>
      </c>
      <c r="AT27" s="3080" t="s">
        <v>153</v>
      </c>
      <c r="AU27" s="3082" t="s">
        <v>153</v>
      </c>
      <c r="AV27" s="3084" t="s">
        <v>153</v>
      </c>
      <c r="AW27" s="3086">
        <v>0.59338890494941587</v>
      </c>
      <c r="AX27" s="3088">
        <v>0.59338890494941587</v>
      </c>
      <c r="AY27" s="3276">
        <v>0.40337593414544493</v>
      </c>
      <c r="AZ27" s="3303" t="s">
        <v>153</v>
      </c>
      <c r="BA27" s="3219">
        <v>3.2351609051392001E-3</v>
      </c>
      <c r="BB27" s="3220">
        <v>0</v>
      </c>
      <c r="BD27" s="643" t="s">
        <v>119</v>
      </c>
      <c r="BE27" s="615">
        <v>55660.742842588159</v>
      </c>
      <c r="BF27" s="3306">
        <v>0</v>
      </c>
      <c r="BG27" s="615">
        <v>0</v>
      </c>
      <c r="BH27" s="615">
        <v>0</v>
      </c>
      <c r="BI27" s="615">
        <v>0</v>
      </c>
      <c r="BJ27" s="615">
        <v>0</v>
      </c>
      <c r="BK27" s="615">
        <v>33028.467244034422</v>
      </c>
      <c r="BL27" s="615">
        <v>33028.467244034422</v>
      </c>
      <c r="BM27" s="615">
        <v>22452.204139358386</v>
      </c>
      <c r="BN27" s="615">
        <v>0</v>
      </c>
      <c r="BO27" s="615">
        <v>180.07145919534776</v>
      </c>
      <c r="BP27" s="1"/>
      <c r="BQ27" s="643" t="s">
        <v>119</v>
      </c>
      <c r="BR27" s="615">
        <v>55660.742842588159</v>
      </c>
      <c r="BS27" s="3309">
        <v>0</v>
      </c>
      <c r="BT27" s="3309" t="s">
        <v>153</v>
      </c>
      <c r="BU27" s="3309" t="s">
        <v>153</v>
      </c>
      <c r="BV27" s="3309" t="s">
        <v>153</v>
      </c>
      <c r="BW27" s="3309" t="s">
        <v>153</v>
      </c>
      <c r="BX27" s="3309">
        <v>0.59338890494941587</v>
      </c>
      <c r="BY27" s="3309">
        <v>0.59338890494941587</v>
      </c>
      <c r="BZ27" s="3309">
        <v>0.40337593414544493</v>
      </c>
      <c r="CA27" s="3309" t="s">
        <v>153</v>
      </c>
      <c r="CB27" s="3309">
        <v>3.2351609051392001E-3</v>
      </c>
    </row>
    <row r="28" spans="1:80" ht="14.4" x14ac:dyDescent="0.3">
      <c r="A28" s="154" t="s">
        <v>82</v>
      </c>
      <c r="B28" s="3006">
        <v>93856.966707072454</v>
      </c>
      <c r="C28" s="3249">
        <v>0.97208792575913572</v>
      </c>
      <c r="D28" s="3258">
        <v>93856.966707072454</v>
      </c>
      <c r="E28" s="3027">
        <v>0.97208792575913572</v>
      </c>
      <c r="F28" s="3164">
        <v>9.0770577018874504E-3</v>
      </c>
      <c r="G28" s="3256">
        <v>2629.5434768879263</v>
      </c>
      <c r="H28" s="3024">
        <v>1.2999999999999999E-3</v>
      </c>
      <c r="I28" s="3256">
        <v>65.421199999999999</v>
      </c>
      <c r="J28" s="3025"/>
      <c r="K28" s="3026">
        <v>2694.9646768879265</v>
      </c>
      <c r="L28" s="3020">
        <v>96551.931383960386</v>
      </c>
      <c r="M28" s="3104">
        <v>0</v>
      </c>
      <c r="N28" s="3186">
        <v>73208.434031516517</v>
      </c>
      <c r="O28" s="3031">
        <v>0</v>
      </c>
      <c r="P28" s="3293">
        <v>0</v>
      </c>
      <c r="Q28" s="3293">
        <v>20648.53267555594</v>
      </c>
      <c r="R28" s="3032">
        <v>0</v>
      </c>
      <c r="S28" s="3109">
        <v>8.7186443633989157</v>
      </c>
      <c r="T28" s="3041">
        <v>1411.9289723701418</v>
      </c>
      <c r="U28" s="3041"/>
      <c r="V28" s="3041"/>
      <c r="W28" s="3041"/>
      <c r="X28" s="3043"/>
      <c r="Y28" s="3043"/>
      <c r="Z28" s="3041">
        <v>363.01769991405723</v>
      </c>
      <c r="AA28" s="3041">
        <v>1048.9112724560844</v>
      </c>
      <c r="AB28" s="3110"/>
      <c r="AC28" s="3049">
        <v>1181.3525331195622</v>
      </c>
      <c r="AD28" s="3272">
        <v>0</v>
      </c>
      <c r="AE28" s="3051">
        <v>363.01769991405723</v>
      </c>
      <c r="AF28" s="3292">
        <v>21697.443948012024</v>
      </c>
      <c r="AG28" s="3301"/>
      <c r="AH28" s="3121">
        <v>92.964527034823533</v>
      </c>
      <c r="AI28" s="3121">
        <v>0</v>
      </c>
      <c r="AJ28" s="3006">
        <v>0</v>
      </c>
      <c r="AK28" s="3031">
        <v>73208.434031516517</v>
      </c>
      <c r="AL28" s="3061">
        <v>0</v>
      </c>
      <c r="AM28" s="3063">
        <v>73208.434031516517</v>
      </c>
      <c r="AN28" s="3065">
        <v>1544.3702330336193</v>
      </c>
      <c r="AO28" s="3067">
        <v>74752.804264550141</v>
      </c>
      <c r="AP28" s="3272">
        <v>21790.408475046846</v>
      </c>
      <c r="AQ28" s="3273">
        <v>0</v>
      </c>
      <c r="AR28" s="3302">
        <v>8.7186443633989157</v>
      </c>
      <c r="AS28" s="3213" t="s">
        <v>153</v>
      </c>
      <c r="AT28" s="3080">
        <v>0.75822858209212596</v>
      </c>
      <c r="AU28" s="3082" t="s">
        <v>153</v>
      </c>
      <c r="AV28" s="3084">
        <v>0.75822858209212596</v>
      </c>
      <c r="AW28" s="3086">
        <v>1.599522879446176E-2</v>
      </c>
      <c r="AX28" s="3088">
        <v>0.77422381088658776</v>
      </c>
      <c r="AY28" s="3276">
        <v>0.2256858890620469</v>
      </c>
      <c r="AZ28" s="3303" t="s">
        <v>153</v>
      </c>
      <c r="BA28" s="3219">
        <v>9.0300051365386702E-5</v>
      </c>
      <c r="BB28" s="3220">
        <v>0</v>
      </c>
      <c r="BD28" s="3305" t="s">
        <v>1473</v>
      </c>
      <c r="BE28" s="3307">
        <v>548321.08724036731</v>
      </c>
      <c r="BF28" s="3308">
        <v>0.38481263188247611</v>
      </c>
      <c r="BG28" s="3307">
        <v>2869.0159119131763</v>
      </c>
      <c r="BH28" s="3307">
        <v>167571.96835476352</v>
      </c>
      <c r="BI28" s="3307">
        <v>17023.314882793555</v>
      </c>
      <c r="BJ28" s="3307">
        <v>187464.29914947026</v>
      </c>
      <c r="BK28" s="3307">
        <v>208631.41321215368</v>
      </c>
      <c r="BL28" s="3307">
        <v>396095.71236162394</v>
      </c>
      <c r="BM28" s="3307">
        <v>109688.17558628728</v>
      </c>
      <c r="BN28" s="3307">
        <v>41445.914147735515</v>
      </c>
      <c r="BO28" s="3307">
        <v>1091.2851447205549</v>
      </c>
      <c r="BP28" s="1"/>
      <c r="BQ28" s="3305" t="s">
        <v>1473</v>
      </c>
      <c r="BR28" s="3307">
        <v>548321.08724036731</v>
      </c>
      <c r="BS28" s="3310">
        <v>0.38481263188247611</v>
      </c>
      <c r="BT28" s="3310">
        <v>5.2323647196437055E-3</v>
      </c>
      <c r="BU28" s="3310">
        <v>0.30560919916126639</v>
      </c>
      <c r="BV28" s="3310">
        <v>3.1046252422043091E-2</v>
      </c>
      <c r="BW28" s="3310">
        <v>0.34188781630295317</v>
      </c>
      <c r="BX28" s="3310">
        <v>0.38049131807454273</v>
      </c>
      <c r="BY28" s="3310">
        <v>0.7223791343774959</v>
      </c>
      <c r="BZ28" s="3310">
        <v>0.20004369362910041</v>
      </c>
      <c r="CA28" s="3310">
        <v>7.5586941870734378E-2</v>
      </c>
      <c r="CB28" s="3310">
        <v>1.9902301226692905E-3</v>
      </c>
    </row>
    <row r="29" spans="1:80" ht="16.5" customHeight="1" x14ac:dyDescent="0.3">
      <c r="A29" s="155" t="s">
        <v>20</v>
      </c>
      <c r="B29" s="3006">
        <v>5463.4633724884079</v>
      </c>
      <c r="C29" s="3249">
        <v>0.19202642587440694</v>
      </c>
      <c r="D29" s="3258">
        <v>5463.4633724884079</v>
      </c>
      <c r="E29" s="3027">
        <v>0.19202642587440694</v>
      </c>
      <c r="F29" s="3164">
        <v>6.9246320076639736E-2</v>
      </c>
      <c r="G29" s="3256">
        <v>20060.04756565105</v>
      </c>
      <c r="H29" s="3024">
        <v>0</v>
      </c>
      <c r="I29" s="3256">
        <v>2928.1115279357819</v>
      </c>
      <c r="J29" s="3256"/>
      <c r="K29" s="3026">
        <v>22988.15909358683</v>
      </c>
      <c r="L29" s="3020">
        <v>28451.622466075238</v>
      </c>
      <c r="M29" s="3104">
        <v>0</v>
      </c>
      <c r="N29" s="3186">
        <v>0</v>
      </c>
      <c r="O29" s="3031">
        <v>5288.5125783099138</v>
      </c>
      <c r="P29" s="3293">
        <v>0</v>
      </c>
      <c r="Q29" s="3293">
        <v>174.95079417849431</v>
      </c>
      <c r="R29" s="3032">
        <v>0</v>
      </c>
      <c r="S29" s="3109">
        <v>74.370393580692294</v>
      </c>
      <c r="T29" s="3041">
        <v>4119.6966232770501</v>
      </c>
      <c r="U29" s="3041"/>
      <c r="V29" s="3041">
        <v>3544.0402579243469</v>
      </c>
      <c r="W29" s="3041">
        <v>575.65636535270346</v>
      </c>
      <c r="X29" s="3043"/>
      <c r="Y29" s="3043"/>
      <c r="Z29" s="3043"/>
      <c r="AA29" s="3043"/>
      <c r="AB29" s="3110">
        <v>7924.1153509750993</v>
      </c>
      <c r="AC29" s="3049">
        <v>10076.985501837678</v>
      </c>
      <c r="AD29" s="3272">
        <v>0</v>
      </c>
      <c r="AE29" s="3051">
        <v>3544.0402579243469</v>
      </c>
      <c r="AF29" s="3292">
        <v>750.60715953119779</v>
      </c>
      <c r="AG29" s="3301"/>
      <c r="AH29" s="3121">
        <v>792.99122391630908</v>
      </c>
      <c r="AI29" s="3121">
        <v>7924.1153509750993</v>
      </c>
      <c r="AJ29" s="3006">
        <v>0</v>
      </c>
      <c r="AK29" s="3031">
        <v>0</v>
      </c>
      <c r="AL29" s="3061">
        <v>5288.5125783099138</v>
      </c>
      <c r="AM29" s="3063">
        <v>5288.5125783099138</v>
      </c>
      <c r="AN29" s="3065">
        <v>13621.025759762026</v>
      </c>
      <c r="AO29" s="3067">
        <v>18909.53833807194</v>
      </c>
      <c r="AP29" s="3272">
        <v>1543.5983834475069</v>
      </c>
      <c r="AQ29" s="3273">
        <v>7924.1153509750993</v>
      </c>
      <c r="AR29" s="3302">
        <v>74.370393580692294</v>
      </c>
      <c r="AS29" s="3213" t="s">
        <v>153</v>
      </c>
      <c r="AT29" s="3080" t="s">
        <v>153</v>
      </c>
      <c r="AU29" s="3082">
        <v>0.18587736374668121</v>
      </c>
      <c r="AV29" s="3084">
        <v>0.18587736374668121</v>
      </c>
      <c r="AW29" s="3086">
        <v>0.47874337486388624</v>
      </c>
      <c r="AX29" s="3088">
        <v>0.66462073861056747</v>
      </c>
      <c r="AY29" s="3276">
        <v>5.4253439686543073E-2</v>
      </c>
      <c r="AZ29" s="3303">
        <v>0.27851189718349278</v>
      </c>
      <c r="BA29" s="340"/>
      <c r="BB29" s="3220">
        <v>0</v>
      </c>
      <c r="BD29" s="643" t="s">
        <v>39</v>
      </c>
      <c r="BE29" s="615">
        <v>96551.931383960386</v>
      </c>
      <c r="BF29" s="3306">
        <v>0.97208792575913572</v>
      </c>
      <c r="BG29" s="615">
        <v>0</v>
      </c>
      <c r="BH29" s="615">
        <v>73208.434031516517</v>
      </c>
      <c r="BI29" s="615">
        <v>0</v>
      </c>
      <c r="BJ29" s="615">
        <v>73208.434031516517</v>
      </c>
      <c r="BK29" s="615">
        <v>1544.3702330336193</v>
      </c>
      <c r="BL29" s="615">
        <v>74752.804264550141</v>
      </c>
      <c r="BM29" s="615">
        <v>21790.408475046846</v>
      </c>
      <c r="BN29" s="615">
        <v>0</v>
      </c>
      <c r="BO29" s="615">
        <v>8.7186443633989157</v>
      </c>
      <c r="BQ29" s="643" t="s">
        <v>39</v>
      </c>
      <c r="BR29" s="615">
        <v>96551.931383960386</v>
      </c>
      <c r="BS29" s="3309">
        <v>0.97208792575913572</v>
      </c>
      <c r="BT29" s="3309">
        <v>0</v>
      </c>
      <c r="BU29" s="3309">
        <v>0.1335138037458409</v>
      </c>
      <c r="BV29" s="3309">
        <v>0</v>
      </c>
      <c r="BW29" s="3309">
        <v>0.1335138037458409</v>
      </c>
      <c r="BX29" s="3309">
        <v>2.8165435708596307E-3</v>
      </c>
      <c r="BY29" s="3309">
        <v>0.13633034731670055</v>
      </c>
      <c r="BZ29" s="3309">
        <v>3.9740234293587536E-2</v>
      </c>
      <c r="CA29" s="3309">
        <v>0</v>
      </c>
      <c r="CB29" s="3309">
        <v>1.5900618389999886E-5</v>
      </c>
    </row>
    <row r="30" spans="1:80" ht="14.4" x14ac:dyDescent="0.3">
      <c r="A30" s="155" t="s">
        <v>24</v>
      </c>
      <c r="B30" s="3006">
        <v>12123.004649149923</v>
      </c>
      <c r="C30" s="3249">
        <v>0.10123568907515285</v>
      </c>
      <c r="D30" s="3258">
        <v>12123.004649149923</v>
      </c>
      <c r="E30" s="3027">
        <v>0.10123568907515285</v>
      </c>
      <c r="F30" s="3164">
        <v>0.324201449211791</v>
      </c>
      <c r="G30" s="3256">
        <v>93918.297533264689</v>
      </c>
      <c r="H30" s="3024">
        <v>0</v>
      </c>
      <c r="I30" s="3256">
        <v>13709.002872064217</v>
      </c>
      <c r="J30" s="3256"/>
      <c r="K30" s="3026">
        <v>107627.3004053289</v>
      </c>
      <c r="L30" s="3020">
        <v>119750.30505447883</v>
      </c>
      <c r="M30" s="3104">
        <v>0</v>
      </c>
      <c r="N30" s="3186">
        <v>0</v>
      </c>
      <c r="O30" s="3031">
        <v>11734.802304483643</v>
      </c>
      <c r="P30" s="3293">
        <v>0</v>
      </c>
      <c r="Q30" s="3293">
        <v>388.20234466628301</v>
      </c>
      <c r="R30" s="3032">
        <v>0</v>
      </c>
      <c r="S30" s="3109">
        <v>348.1916345969924</v>
      </c>
      <c r="T30" s="3041">
        <v>23035.534809010587</v>
      </c>
      <c r="U30" s="3043"/>
      <c r="V30" s="3041">
        <v>19816.717149674671</v>
      </c>
      <c r="W30" s="3041">
        <v>3218.8176593359171</v>
      </c>
      <c r="X30" s="3043"/>
      <c r="Y30" s="3043"/>
      <c r="Z30" s="3043"/>
      <c r="AA30" s="3043"/>
      <c r="AB30" s="3110">
        <v>33351.884649024898</v>
      </c>
      <c r="AC30" s="3049">
        <v>47179.016874343579</v>
      </c>
      <c r="AD30" s="3272">
        <v>0</v>
      </c>
      <c r="AE30" s="3051">
        <v>19816.717149674671</v>
      </c>
      <c r="AF30" s="3292">
        <v>3607.0200040022</v>
      </c>
      <c r="AG30" s="3301"/>
      <c r="AH30" s="3121">
        <v>3712.6724383528403</v>
      </c>
      <c r="AI30" s="3121">
        <v>33351.884649024898</v>
      </c>
      <c r="AJ30" s="3006">
        <v>0</v>
      </c>
      <c r="AK30" s="3031">
        <v>0</v>
      </c>
      <c r="AL30" s="3061">
        <v>11734.802304483643</v>
      </c>
      <c r="AM30" s="3063">
        <v>11734.802304483643</v>
      </c>
      <c r="AN30" s="3065">
        <v>66995.734024018253</v>
      </c>
      <c r="AO30" s="3067">
        <v>78730.536328501898</v>
      </c>
      <c r="AP30" s="3272">
        <v>7319.6924423550408</v>
      </c>
      <c r="AQ30" s="3273">
        <v>33351.884649024898</v>
      </c>
      <c r="AR30" s="3302">
        <v>348.1916345969924</v>
      </c>
      <c r="AS30" s="3213" t="s">
        <v>153</v>
      </c>
      <c r="AT30" s="3080" t="s">
        <v>153</v>
      </c>
      <c r="AU30" s="3082">
        <v>9.7993924100193724E-2</v>
      </c>
      <c r="AV30" s="3084">
        <v>9.7993924100193724E-2</v>
      </c>
      <c r="AW30" s="3086">
        <v>0.55946190695330111</v>
      </c>
      <c r="AX30" s="3088">
        <v>0.65745583105349481</v>
      </c>
      <c r="AY30" s="3276">
        <v>6.1124624601374022E-2</v>
      </c>
      <c r="AZ30" s="3303">
        <v>0.27851189718349273</v>
      </c>
      <c r="BA30" s="340"/>
      <c r="BB30" s="3220">
        <v>0</v>
      </c>
      <c r="BD30" s="643" t="s">
        <v>1474</v>
      </c>
      <c r="BE30" s="615">
        <v>644873.01862432761</v>
      </c>
      <c r="BF30" s="3306">
        <v>0.47274089409886549</v>
      </c>
      <c r="BG30" s="615">
        <v>2869.0159119131763</v>
      </c>
      <c r="BH30" s="615">
        <v>240780.40238628004</v>
      </c>
      <c r="BI30" s="615">
        <v>17023.314882793555</v>
      </c>
      <c r="BJ30" s="615">
        <v>260672.73318098678</v>
      </c>
      <c r="BK30" s="615">
        <v>210175.78344518729</v>
      </c>
      <c r="BL30" s="615">
        <v>470848.5166261741</v>
      </c>
      <c r="BM30" s="615">
        <v>131478.58406133414</v>
      </c>
      <c r="BN30" s="615">
        <v>41445.914147735515</v>
      </c>
      <c r="BO30" s="615">
        <v>1100.0037890839537</v>
      </c>
      <c r="BQ30" s="643" t="s">
        <v>1474</v>
      </c>
      <c r="BR30" s="615">
        <v>644873.01862432761</v>
      </c>
      <c r="BS30" s="3309">
        <v>0.47274089409886549</v>
      </c>
      <c r="BT30" s="3309">
        <v>4.4489625539513057E-3</v>
      </c>
      <c r="BU30" s="3309">
        <v>0.37337645618965998</v>
      </c>
      <c r="BV30" s="3309">
        <v>2.6397933222742771E-2</v>
      </c>
      <c r="BW30" s="3309">
        <v>0.40422335196635406</v>
      </c>
      <c r="BX30" s="3309">
        <v>0.3259180914306879</v>
      </c>
      <c r="BY30" s="3309">
        <v>0.73014144339704201</v>
      </c>
      <c r="BZ30" s="3309">
        <v>0.20388290448530508</v>
      </c>
      <c r="CA30" s="3309">
        <v>6.4269884071363109E-2</v>
      </c>
      <c r="CB30" s="3309">
        <v>1.7057680462899995E-3</v>
      </c>
    </row>
    <row r="31" spans="1:80" ht="14.4" x14ac:dyDescent="0.3">
      <c r="A31" s="155" t="s">
        <v>238</v>
      </c>
      <c r="B31" s="3006">
        <v>0</v>
      </c>
      <c r="C31" s="3249" t="s">
        <v>153</v>
      </c>
      <c r="D31" s="3258"/>
      <c r="E31" s="3027" t="s">
        <v>153</v>
      </c>
      <c r="F31" s="3164">
        <v>0</v>
      </c>
      <c r="G31" s="3256">
        <v>0</v>
      </c>
      <c r="H31" s="3024">
        <v>0</v>
      </c>
      <c r="I31" s="3256">
        <v>0</v>
      </c>
      <c r="J31" s="3025"/>
      <c r="K31" s="3026">
        <v>0</v>
      </c>
      <c r="L31" s="3020">
        <v>0</v>
      </c>
      <c r="M31" s="3104">
        <v>0</v>
      </c>
      <c r="N31" s="3186">
        <v>0</v>
      </c>
      <c r="O31" s="3124">
        <v>0</v>
      </c>
      <c r="P31" s="3187">
        <v>0</v>
      </c>
      <c r="Q31" s="3187">
        <v>0</v>
      </c>
      <c r="R31" s="3032">
        <v>0</v>
      </c>
      <c r="S31" s="3109">
        <v>0</v>
      </c>
      <c r="T31" s="3038">
        <v>0</v>
      </c>
      <c r="U31" s="3042"/>
      <c r="V31" s="3042"/>
      <c r="W31" s="3038"/>
      <c r="X31" s="3042"/>
      <c r="Y31" s="3042"/>
      <c r="Z31" s="3042"/>
      <c r="AA31" s="3042"/>
      <c r="AB31" s="3314"/>
      <c r="AC31" s="3049"/>
      <c r="AD31" s="3050"/>
      <c r="AE31" s="3051"/>
      <c r="AF31" s="3052"/>
      <c r="AG31" s="3211"/>
      <c r="AH31" s="3121"/>
      <c r="AI31" s="3059"/>
      <c r="AJ31" s="3006">
        <v>0</v>
      </c>
      <c r="AK31" s="3124">
        <v>0</v>
      </c>
      <c r="AL31" s="3126">
        <v>0</v>
      </c>
      <c r="AM31" s="3128">
        <v>0</v>
      </c>
      <c r="AN31" s="3130">
        <v>0</v>
      </c>
      <c r="AO31" s="3132">
        <v>0</v>
      </c>
      <c r="AP31" s="3050">
        <v>0</v>
      </c>
      <c r="AQ31" s="3135">
        <v>0</v>
      </c>
      <c r="AR31" s="3212">
        <v>0</v>
      </c>
      <c r="AS31" s="3213" t="s">
        <v>153</v>
      </c>
      <c r="AT31" s="3138" t="s">
        <v>153</v>
      </c>
      <c r="AU31" s="3143" t="s">
        <v>153</v>
      </c>
      <c r="AV31" s="3146" t="s">
        <v>153</v>
      </c>
      <c r="AW31" s="3149" t="s">
        <v>153</v>
      </c>
      <c r="AX31" s="3152" t="s">
        <v>153</v>
      </c>
      <c r="AY31" s="3155" t="s">
        <v>153</v>
      </c>
      <c r="AZ31" s="3214" t="s">
        <v>153</v>
      </c>
      <c r="BA31" s="340"/>
      <c r="BB31" s="3220">
        <v>0</v>
      </c>
    </row>
    <row r="32" spans="1:80" ht="14.4" x14ac:dyDescent="0.3">
      <c r="A32" s="155" t="s">
        <v>239</v>
      </c>
      <c r="B32" s="3006"/>
      <c r="C32" s="3249"/>
      <c r="D32" s="3258"/>
      <c r="E32" s="3027"/>
      <c r="F32" s="3164"/>
      <c r="G32" s="3256"/>
      <c r="H32" s="3024"/>
      <c r="I32" s="3256"/>
      <c r="J32" s="3025"/>
      <c r="K32" s="3026"/>
      <c r="L32" s="3020"/>
      <c r="M32" s="3104"/>
      <c r="N32" s="3186"/>
      <c r="O32" s="3124"/>
      <c r="P32" s="3187"/>
      <c r="Q32" s="3187"/>
      <c r="R32" s="3032"/>
      <c r="S32" s="3109"/>
      <c r="T32" s="3038"/>
      <c r="U32" s="3042"/>
      <c r="V32" s="3042"/>
      <c r="W32" s="3042"/>
      <c r="X32" s="3042"/>
      <c r="Y32" s="3042"/>
      <c r="Z32" s="3042"/>
      <c r="AA32" s="3042"/>
      <c r="AB32" s="3314"/>
      <c r="AC32" s="3049"/>
      <c r="AD32" s="3050"/>
      <c r="AE32" s="3051"/>
      <c r="AF32" s="3052"/>
      <c r="AG32" s="3211"/>
      <c r="AH32" s="3121"/>
      <c r="AI32" s="3059"/>
      <c r="AJ32" s="3006"/>
      <c r="AK32" s="3124"/>
      <c r="AL32" s="3126"/>
      <c r="AM32" s="3128"/>
      <c r="AN32" s="3130"/>
      <c r="AO32" s="3132"/>
      <c r="AP32" s="3050"/>
      <c r="AQ32" s="3135"/>
      <c r="AR32" s="3212"/>
      <c r="AS32" s="3213"/>
      <c r="AT32" s="3138"/>
      <c r="AU32" s="3143"/>
      <c r="AV32" s="3146"/>
      <c r="AW32" s="3149"/>
      <c r="AX32" s="3152"/>
      <c r="AY32" s="3155"/>
      <c r="AZ32" s="3214"/>
      <c r="BA32" s="340"/>
      <c r="BB32" s="3220"/>
    </row>
    <row r="33" spans="1:54" ht="27" x14ac:dyDescent="0.3">
      <c r="A33" s="155" t="s">
        <v>240</v>
      </c>
      <c r="B33" s="3006"/>
      <c r="C33" s="3249"/>
      <c r="D33" s="3258"/>
      <c r="E33" s="3027"/>
      <c r="F33" s="3164"/>
      <c r="G33" s="3256"/>
      <c r="H33" s="3024"/>
      <c r="I33" s="3256"/>
      <c r="J33" s="3025"/>
      <c r="K33" s="3026"/>
      <c r="L33" s="3020"/>
      <c r="M33" s="3104"/>
      <c r="N33" s="3186"/>
      <c r="O33" s="3124"/>
      <c r="P33" s="3187"/>
      <c r="Q33" s="3187"/>
      <c r="R33" s="3032"/>
      <c r="S33" s="3109"/>
      <c r="T33" s="3038"/>
      <c r="U33" s="3042"/>
      <c r="V33" s="3042"/>
      <c r="W33" s="3042"/>
      <c r="X33" s="3042"/>
      <c r="Y33" s="3042"/>
      <c r="Z33" s="3042"/>
      <c r="AA33" s="3042"/>
      <c r="AB33" s="3314"/>
      <c r="AC33" s="3049"/>
      <c r="AD33" s="3050"/>
      <c r="AE33" s="3051"/>
      <c r="AF33" s="3052"/>
      <c r="AG33" s="3211"/>
      <c r="AH33" s="3121"/>
      <c r="AI33" s="3059"/>
      <c r="AJ33" s="3006"/>
      <c r="AK33" s="3124"/>
      <c r="AL33" s="3126"/>
      <c r="AM33" s="3128"/>
      <c r="AN33" s="3130"/>
      <c r="AO33" s="3132"/>
      <c r="AP33" s="3050"/>
      <c r="AQ33" s="3135"/>
      <c r="AR33" s="3212"/>
      <c r="AS33" s="3213"/>
      <c r="AT33" s="3138"/>
      <c r="AU33" s="3143"/>
      <c r="AV33" s="3146"/>
      <c r="AW33" s="3149"/>
      <c r="AX33" s="3152"/>
      <c r="AY33" s="3155"/>
      <c r="AZ33" s="3214"/>
      <c r="BA33" s="340"/>
      <c r="BB33" s="3220"/>
    </row>
    <row r="34" spans="1:54" ht="14.4" x14ac:dyDescent="0.3">
      <c r="A34" s="341" t="s">
        <v>241</v>
      </c>
      <c r="B34" s="3006">
        <v>3374.174</v>
      </c>
      <c r="C34" s="3249">
        <v>0.40542176162607652</v>
      </c>
      <c r="D34" s="3258">
        <v>4105.2458152663148</v>
      </c>
      <c r="E34" s="3027">
        <v>0.49326323726439358</v>
      </c>
      <c r="F34" s="3164">
        <v>1.4858255900480915E-2</v>
      </c>
      <c r="G34" s="3256">
        <v>4304.3055540912756</v>
      </c>
      <c r="H34" s="3024">
        <v>0</v>
      </c>
      <c r="I34" s="3256">
        <v>644.1472</v>
      </c>
      <c r="J34" s="3025"/>
      <c r="K34" s="3026">
        <v>4948.4527540912759</v>
      </c>
      <c r="L34" s="3020">
        <v>8322.6267540912759</v>
      </c>
      <c r="M34" s="3104">
        <v>0</v>
      </c>
      <c r="N34" s="3186">
        <v>2527.5</v>
      </c>
      <c r="O34" s="3124">
        <v>0</v>
      </c>
      <c r="P34" s="3187">
        <v>0</v>
      </c>
      <c r="Q34" s="3187">
        <v>846.67399999999975</v>
      </c>
      <c r="R34" s="3032">
        <v>0</v>
      </c>
      <c r="S34" s="3109">
        <v>16.009040890964499</v>
      </c>
      <c r="T34" s="3038">
        <v>1861.4904813106243</v>
      </c>
      <c r="U34" s="3038">
        <v>731.07181526631484</v>
      </c>
      <c r="V34" s="3353">
        <v>0</v>
      </c>
      <c r="W34" s="3353">
        <v>0</v>
      </c>
      <c r="X34" s="3038">
        <v>0</v>
      </c>
      <c r="Y34" s="3038">
        <v>0</v>
      </c>
      <c r="Z34" s="3038">
        <v>381.48185173514293</v>
      </c>
      <c r="AA34" s="3038">
        <v>1480.0086295754811</v>
      </c>
      <c r="AB34" s="3110">
        <v>0</v>
      </c>
      <c r="AC34" s="3049">
        <v>0</v>
      </c>
      <c r="AD34" s="3050">
        <v>0</v>
      </c>
      <c r="AE34" s="3051">
        <v>0</v>
      </c>
      <c r="AF34" s="3055">
        <v>2708.1644813106241</v>
      </c>
      <c r="AG34" s="3211">
        <v>2169.1813797050777</v>
      </c>
      <c r="AH34" s="3121">
        <v>170.70003691829325</v>
      </c>
      <c r="AI34" s="3059">
        <v>0</v>
      </c>
      <c r="AJ34" s="3006">
        <v>0</v>
      </c>
      <c r="AK34" s="3124">
        <v>3258.5718152663148</v>
      </c>
      <c r="AL34" s="3126">
        <v>0</v>
      </c>
      <c r="AM34" s="3128">
        <v>3258.5718152663148</v>
      </c>
      <c r="AN34" s="3130">
        <v>0</v>
      </c>
      <c r="AO34" s="3132">
        <v>3258.5718152663148</v>
      </c>
      <c r="AP34" s="3050">
        <v>5048.0458979339946</v>
      </c>
      <c r="AQ34" s="3135">
        <v>0</v>
      </c>
      <c r="AR34" s="3212">
        <v>16.009040890964499</v>
      </c>
      <c r="AS34" s="3213" t="s">
        <v>153</v>
      </c>
      <c r="AT34" s="3138">
        <v>0.39153165359295378</v>
      </c>
      <c r="AU34" s="3143" t="s">
        <v>153</v>
      </c>
      <c r="AV34" s="3146">
        <v>0.39153165359295378</v>
      </c>
      <c r="AW34" s="3149" t="s">
        <v>153</v>
      </c>
      <c r="AX34" s="3152">
        <v>0.39153165359295378</v>
      </c>
      <c r="AY34" s="3155">
        <v>0.60654479013521212</v>
      </c>
      <c r="AZ34" s="3214" t="s">
        <v>153</v>
      </c>
      <c r="BA34" s="340"/>
      <c r="BB34" s="3221">
        <v>0.44144001299991942</v>
      </c>
    </row>
    <row r="35" spans="1:54" ht="14.4" x14ac:dyDescent="0.3">
      <c r="A35" s="155" t="s">
        <v>149</v>
      </c>
      <c r="B35" s="3006">
        <v>15248.563999999998</v>
      </c>
      <c r="C35" s="3249">
        <v>0.23686061276713991</v>
      </c>
      <c r="D35" s="3258">
        <v>15248.563999999998</v>
      </c>
      <c r="E35" s="3027">
        <v>0.23686061276713991</v>
      </c>
      <c r="F35" s="3164">
        <v>0.16021107899684936</v>
      </c>
      <c r="G35" s="3256">
        <v>46411.735116957745</v>
      </c>
      <c r="H35" s="3024">
        <v>0</v>
      </c>
      <c r="I35" s="3256">
        <v>2717.4960000000001</v>
      </c>
      <c r="J35" s="3025"/>
      <c r="K35" s="3026">
        <v>49129.231116957744</v>
      </c>
      <c r="L35" s="3020">
        <v>64377.795116957743</v>
      </c>
      <c r="M35" s="3104">
        <v>0</v>
      </c>
      <c r="N35" s="3186">
        <v>12672.958999999999</v>
      </c>
      <c r="O35" s="3124">
        <v>0</v>
      </c>
      <c r="P35" s="3187">
        <v>4.0076958312244031</v>
      </c>
      <c r="Q35" s="3187">
        <v>2571.5973041687744</v>
      </c>
      <c r="R35" s="3032">
        <v>0</v>
      </c>
      <c r="S35" s="3109">
        <v>158.94096780912994</v>
      </c>
      <c r="T35" s="3038">
        <v>25739.478294166172</v>
      </c>
      <c r="U35" s="3038">
        <v>0</v>
      </c>
      <c r="V35" s="3353">
        <v>0</v>
      </c>
      <c r="W35" s="3353">
        <v>0</v>
      </c>
      <c r="X35" s="3353">
        <v>4203.9238759836935</v>
      </c>
      <c r="Y35" s="3353">
        <v>21535.554418182473</v>
      </c>
      <c r="Z35" s="3042">
        <v>0</v>
      </c>
      <c r="AA35" s="3042">
        <v>0</v>
      </c>
      <c r="AB35" s="3314">
        <v>0</v>
      </c>
      <c r="AC35" s="3049">
        <v>21536.067662770358</v>
      </c>
      <c r="AD35" s="3050">
        <v>4.0076958312244031</v>
      </c>
      <c r="AE35" s="3051">
        <v>4203.9238759836935</v>
      </c>
      <c r="AF35" s="3052">
        <v>24107.151722351249</v>
      </c>
      <c r="AG35" s="3211">
        <v>0</v>
      </c>
      <c r="AH35" s="3121">
        <v>1694.7441922120777</v>
      </c>
      <c r="AI35" s="3059">
        <v>0</v>
      </c>
      <c r="AJ35" s="3006">
        <v>0</v>
      </c>
      <c r="AK35" s="3124">
        <v>12672.958999999999</v>
      </c>
      <c r="AL35" s="3126">
        <v>0</v>
      </c>
      <c r="AM35" s="3128">
        <v>12672.958999999999</v>
      </c>
      <c r="AN35" s="3130">
        <v>25743.999234585277</v>
      </c>
      <c r="AO35" s="3132">
        <v>38416.958234585276</v>
      </c>
      <c r="AP35" s="3050">
        <v>25801.895914563327</v>
      </c>
      <c r="AQ35" s="3135">
        <v>0</v>
      </c>
      <c r="AR35" s="3212">
        <v>158.94096780912994</v>
      </c>
      <c r="AS35" s="3213" t="s">
        <v>153</v>
      </c>
      <c r="AT35" s="3138">
        <v>0.1968529518132226</v>
      </c>
      <c r="AU35" s="3143" t="s">
        <v>153</v>
      </c>
      <c r="AV35" s="3146">
        <v>0.1968529518132226</v>
      </c>
      <c r="AW35" s="3149">
        <v>0.39988942131079686</v>
      </c>
      <c r="AX35" s="3152">
        <v>0.59674237312401945</v>
      </c>
      <c r="AY35" s="3155">
        <v>0.40078874816523274</v>
      </c>
      <c r="AZ35" s="3214" t="s">
        <v>153</v>
      </c>
      <c r="BA35" s="340"/>
      <c r="BB35" s="3221">
        <v>0</v>
      </c>
    </row>
    <row r="36" spans="1:54" ht="14.4" x14ac:dyDescent="0.3">
      <c r="A36" s="155" t="s">
        <v>242</v>
      </c>
      <c r="B36" s="3006">
        <v>101204.57497345537</v>
      </c>
      <c r="C36" s="3249">
        <v>0.58170433737421756</v>
      </c>
      <c r="D36" s="3258">
        <v>114593.9825358536</v>
      </c>
      <c r="E36" s="3027">
        <v>0.65866406430317381</v>
      </c>
      <c r="F36" s="3164">
        <v>0</v>
      </c>
      <c r="G36" s="3256">
        <v>56734.5590765261</v>
      </c>
      <c r="H36" s="3024">
        <v>0</v>
      </c>
      <c r="I36" s="3256">
        <v>16040.27176</v>
      </c>
      <c r="J36" s="3025"/>
      <c r="K36" s="3026">
        <v>72774.830836526104</v>
      </c>
      <c r="L36" s="3020">
        <v>173979.40580998146</v>
      </c>
      <c r="M36" s="3104">
        <v>0</v>
      </c>
      <c r="N36" s="3186">
        <v>91917.470345986716</v>
      </c>
      <c r="O36" s="3124">
        <v>0</v>
      </c>
      <c r="P36" s="3187">
        <v>7.1967098317672198</v>
      </c>
      <c r="Q36" s="3187">
        <v>9182.6710307702706</v>
      </c>
      <c r="R36" s="3032">
        <v>97.236886866623621</v>
      </c>
      <c r="S36" s="3109">
        <v>235.43828760044792</v>
      </c>
      <c r="T36" s="3038">
        <v>34542.251835076131</v>
      </c>
      <c r="U36" s="3038">
        <v>3585.480598168047</v>
      </c>
      <c r="V36" s="3353">
        <v>5930.7957864662867</v>
      </c>
      <c r="W36" s="3353">
        <v>963.33565581048504</v>
      </c>
      <c r="X36" s="3038">
        <v>3350.1634167161119</v>
      </c>
      <c r="Y36" s="3038">
        <v>17161.972647188297</v>
      </c>
      <c r="Z36" s="3353">
        <v>1834.7159583740709</v>
      </c>
      <c r="AA36" s="3353">
        <v>5301.2683705208774</v>
      </c>
      <c r="AB36" s="3314">
        <v>0</v>
      </c>
      <c r="AC36" s="3049">
        <v>25930.610423991173</v>
      </c>
      <c r="AD36" s="3050">
        <v>7.1967098317672198</v>
      </c>
      <c r="AE36" s="3051">
        <v>11115.675161556468</v>
      </c>
      <c r="AF36" s="3052">
        <v>32609.24770428993</v>
      </c>
      <c r="AG36" s="3211">
        <v>5970.635441448796</v>
      </c>
      <c r="AH36" s="3121">
        <v>2510.4142502415039</v>
      </c>
      <c r="AI36" s="3059">
        <v>97.236886866623621</v>
      </c>
      <c r="AJ36" s="3006">
        <v>0</v>
      </c>
      <c r="AK36" s="3124">
        <v>95502.950944154756</v>
      </c>
      <c r="AL36" s="3126">
        <v>0</v>
      </c>
      <c r="AM36" s="3128">
        <v>95502.950944154756</v>
      </c>
      <c r="AN36" s="3130">
        <v>37053.482295379406</v>
      </c>
      <c r="AO36" s="3132">
        <v>132556.43323953415</v>
      </c>
      <c r="AP36" s="3050">
        <v>41090.297395980233</v>
      </c>
      <c r="AQ36" s="3135">
        <v>97.236886866623621</v>
      </c>
      <c r="AR36" s="3212">
        <v>235.43828760044792</v>
      </c>
      <c r="AS36" s="3213" t="s">
        <v>153</v>
      </c>
      <c r="AT36" s="3138">
        <v>0.54893250439343444</v>
      </c>
      <c r="AU36" s="3143" t="s">
        <v>153</v>
      </c>
      <c r="AV36" s="3146">
        <v>0.54893250439343444</v>
      </c>
      <c r="AW36" s="3149">
        <v>0.21297625499335734</v>
      </c>
      <c r="AX36" s="3152">
        <v>0.7619087593867917</v>
      </c>
      <c r="AY36" s="3155">
        <v>0.23617908800573006</v>
      </c>
      <c r="AZ36" s="3214">
        <v>5.5889883296201604E-4</v>
      </c>
      <c r="BA36" s="340"/>
      <c r="BB36" s="3221">
        <v>0</v>
      </c>
    </row>
    <row r="37" spans="1:54" ht="14.4" x14ac:dyDescent="0.3">
      <c r="A37" s="155" t="s">
        <v>174</v>
      </c>
      <c r="B37" s="3006">
        <v>12531.563999999998</v>
      </c>
      <c r="C37" s="3249">
        <v>0.28227368275469461</v>
      </c>
      <c r="D37" s="3258">
        <v>12531.563999999998</v>
      </c>
      <c r="E37" s="3027">
        <v>0.28227368275469461</v>
      </c>
      <c r="F37" s="3164">
        <v>0.10999134137524048</v>
      </c>
      <c r="G37" s="3256">
        <v>31863.520507011417</v>
      </c>
      <c r="H37" s="3024">
        <v>0</v>
      </c>
      <c r="I37" s="3256">
        <v>0</v>
      </c>
      <c r="J37" s="3025"/>
      <c r="K37" s="3026">
        <v>31863.520507011417</v>
      </c>
      <c r="L37" s="3020">
        <v>44395.084507011416</v>
      </c>
      <c r="M37" s="3104">
        <v>0</v>
      </c>
      <c r="N37" s="3186">
        <v>10091.808999999999</v>
      </c>
      <c r="O37" s="3124">
        <v>0</v>
      </c>
      <c r="P37" s="3187">
        <v>4.0076958312244031</v>
      </c>
      <c r="Q37" s="3187">
        <v>2435.7473041687745</v>
      </c>
      <c r="R37" s="3032">
        <v>0</v>
      </c>
      <c r="S37" s="3109">
        <v>103.08361584438451</v>
      </c>
      <c r="T37" s="3038">
        <v>16693.735599351789</v>
      </c>
      <c r="U37" s="3038">
        <v>0</v>
      </c>
      <c r="V37" s="3353"/>
      <c r="W37" s="3353"/>
      <c r="X37" s="3038">
        <v>2726.519662264483</v>
      </c>
      <c r="Y37" s="3038">
        <v>13967.215937087303</v>
      </c>
      <c r="Z37" s="3042"/>
      <c r="AA37" s="3042"/>
      <c r="AB37" s="3314"/>
      <c r="AC37" s="3049">
        <v>13967.548809779983</v>
      </c>
      <c r="AD37" s="3050">
        <v>4.0076958312244031</v>
      </c>
      <c r="AE37" s="3051">
        <v>2726.519662264483</v>
      </c>
      <c r="AF37" s="3052">
        <v>16402.963241256079</v>
      </c>
      <c r="AG37" s="3211"/>
      <c r="AH37" s="3121">
        <v>1099.1524820352602</v>
      </c>
      <c r="AI37" s="3059"/>
      <c r="AJ37" s="3006">
        <v>0</v>
      </c>
      <c r="AK37" s="3124">
        <v>10091.808999999999</v>
      </c>
      <c r="AL37" s="3126">
        <v>0</v>
      </c>
      <c r="AM37" s="3128">
        <v>10091.808999999999</v>
      </c>
      <c r="AN37" s="3130">
        <v>16698.07616787569</v>
      </c>
      <c r="AO37" s="3132">
        <v>26789.885167875691</v>
      </c>
      <c r="AP37" s="3050">
        <v>17502.115723291339</v>
      </c>
      <c r="AQ37" s="3135">
        <v>0</v>
      </c>
      <c r="AR37" s="3212">
        <v>103.08361584438451</v>
      </c>
      <c r="AS37" s="3213" t="s">
        <v>153</v>
      </c>
      <c r="AT37" s="3138">
        <v>0.22731816173040909</v>
      </c>
      <c r="AU37" s="3143" t="s">
        <v>153</v>
      </c>
      <c r="AV37" s="3146">
        <v>0.22731816173040909</v>
      </c>
      <c r="AW37" s="3149">
        <v>0.37612443704749621</v>
      </c>
      <c r="AX37" s="3152">
        <v>0.60344259877790529</v>
      </c>
      <c r="AY37" s="3155">
        <v>0.39423544109995312</v>
      </c>
      <c r="AZ37" s="3214" t="s">
        <v>153</v>
      </c>
      <c r="BA37" s="340"/>
      <c r="BB37" s="3221">
        <v>0</v>
      </c>
    </row>
    <row r="38" spans="1:54" ht="14.4" x14ac:dyDescent="0.3">
      <c r="A38" s="155" t="s">
        <v>243</v>
      </c>
      <c r="B38" s="3006">
        <v>18092.717777666352</v>
      </c>
      <c r="C38" s="3249">
        <v>0.90312076820566367</v>
      </c>
      <c r="D38" s="3258">
        <v>18092.717777666352</v>
      </c>
      <c r="E38" s="3027">
        <v>0.90312076820566367</v>
      </c>
      <c r="F38" s="3164">
        <v>6.699669916895773E-3</v>
      </c>
      <c r="G38" s="3256">
        <v>1940.8352250104485</v>
      </c>
      <c r="H38" s="3024">
        <v>0</v>
      </c>
      <c r="I38" s="3256">
        <v>0</v>
      </c>
      <c r="J38" s="3025"/>
      <c r="K38" s="3026">
        <v>1940.8352250104485</v>
      </c>
      <c r="L38" s="3020">
        <v>20033.553002676799</v>
      </c>
      <c r="M38" s="3104">
        <v>0</v>
      </c>
      <c r="N38" s="3186">
        <v>15740.664466569726</v>
      </c>
      <c r="O38" s="3124">
        <v>0</v>
      </c>
      <c r="P38" s="3187">
        <v>0</v>
      </c>
      <c r="Q38" s="3187">
        <v>2352.0533110966257</v>
      </c>
      <c r="R38" s="3032">
        <v>0</v>
      </c>
      <c r="S38" s="3109">
        <v>6.2789142432708447</v>
      </c>
      <c r="T38" s="3038">
        <v>1016.8302049707107</v>
      </c>
      <c r="U38" s="3042"/>
      <c r="V38" s="3038"/>
      <c r="W38" s="3038"/>
      <c r="X38" s="3038">
        <v>166.07472488930031</v>
      </c>
      <c r="Y38" s="3038">
        <v>850.75548008141038</v>
      </c>
      <c r="Z38" s="3042"/>
      <c r="AA38" s="3042"/>
      <c r="AB38" s="3314"/>
      <c r="AC38" s="3049">
        <v>850.77575565162715</v>
      </c>
      <c r="AD38" s="3050">
        <v>0</v>
      </c>
      <c r="AE38" s="3051">
        <v>166.07472488930031</v>
      </c>
      <c r="AF38" s="3052">
        <v>3202.8087911780362</v>
      </c>
      <c r="AG38" s="3211"/>
      <c r="AH38" s="3121">
        <v>66.950350144839774</v>
      </c>
      <c r="AI38" s="3059">
        <v>0</v>
      </c>
      <c r="AJ38" s="3006">
        <v>0</v>
      </c>
      <c r="AK38" s="3124">
        <v>15740.664466569726</v>
      </c>
      <c r="AL38" s="3126">
        <v>0</v>
      </c>
      <c r="AM38" s="3128">
        <v>15740.664466569726</v>
      </c>
      <c r="AN38" s="3130">
        <v>1016.8504805409275</v>
      </c>
      <c r="AO38" s="3132">
        <v>16757.514947110652</v>
      </c>
      <c r="AP38" s="3050">
        <v>3269.7591413228761</v>
      </c>
      <c r="AQ38" s="3135">
        <v>0</v>
      </c>
      <c r="AR38" s="3212">
        <v>6.2789142432708447</v>
      </c>
      <c r="AS38" s="3213"/>
      <c r="AT38" s="3138">
        <v>0.78571506833892746</v>
      </c>
      <c r="AU38" s="3143" t="s">
        <v>153</v>
      </c>
      <c r="AV38" s="3146">
        <v>0.78571506833892746</v>
      </c>
      <c r="AW38" s="3149">
        <v>5.0757370916934212E-2</v>
      </c>
      <c r="AX38" s="3152">
        <v>0.83647243925586157</v>
      </c>
      <c r="AY38" s="3155">
        <v>0.16321414084091745</v>
      </c>
      <c r="AZ38" s="3214" t="s">
        <v>153</v>
      </c>
      <c r="BA38" s="340"/>
      <c r="BB38" s="3221">
        <v>0</v>
      </c>
    </row>
    <row r="39" spans="1:54" ht="14.4" x14ac:dyDescent="0.3">
      <c r="A39" s="155" t="s">
        <v>244</v>
      </c>
      <c r="B39" s="3006">
        <v>2309.9138497453146</v>
      </c>
      <c r="C39" s="3249">
        <v>0.63506090626733036</v>
      </c>
      <c r="D39" s="3258">
        <v>3005.3552897583127</v>
      </c>
      <c r="E39" s="3027">
        <v>0.82625750487606497</v>
      </c>
      <c r="F39" s="3164">
        <v>4.5821102400788391E-3</v>
      </c>
      <c r="G39" s="3256">
        <v>1327.3968821058927</v>
      </c>
      <c r="H39" s="3024">
        <v>0</v>
      </c>
      <c r="I39" s="3256">
        <v>0</v>
      </c>
      <c r="J39" s="3025"/>
      <c r="K39" s="3026">
        <v>1327.3968821058927</v>
      </c>
      <c r="L39" s="3020">
        <v>3637.3107318512075</v>
      </c>
      <c r="M39" s="3104">
        <v>0</v>
      </c>
      <c r="N39" s="3186">
        <v>1655.18</v>
      </c>
      <c r="O39" s="3124">
        <v>0</v>
      </c>
      <c r="P39" s="3187">
        <v>0</v>
      </c>
      <c r="Q39" s="3187">
        <v>654.7338497453145</v>
      </c>
      <c r="R39" s="3032">
        <v>0</v>
      </c>
      <c r="S39" s="3109">
        <v>4.2943424985926519</v>
      </c>
      <c r="T39" s="3038">
        <v>-1.0658141036401503E-14</v>
      </c>
      <c r="U39" s="3038">
        <v>695.44144001299799</v>
      </c>
      <c r="V39" s="3038"/>
      <c r="W39" s="3038"/>
      <c r="X39" s="3038"/>
      <c r="Y39" s="3038"/>
      <c r="Z39" s="3038"/>
      <c r="AA39" s="3038"/>
      <c r="AB39" s="3110"/>
      <c r="AC39" s="3049"/>
      <c r="AD39" s="3050"/>
      <c r="AE39" s="3051"/>
      <c r="AF39" s="3055">
        <v>654.7338497453145</v>
      </c>
      <c r="AG39" s="3211">
        <v>581.87169671612639</v>
      </c>
      <c r="AH39" s="3121">
        <v>45.78940287817565</v>
      </c>
      <c r="AI39" s="3059"/>
      <c r="AJ39" s="3006">
        <v>0</v>
      </c>
      <c r="AK39" s="3124">
        <v>2350.6214400129979</v>
      </c>
      <c r="AL39" s="3126">
        <v>0</v>
      </c>
      <c r="AM39" s="3128">
        <v>2350.6214400129979</v>
      </c>
      <c r="AN39" s="3130">
        <v>0</v>
      </c>
      <c r="AO39" s="3132">
        <v>2350.6214400129979</v>
      </c>
      <c r="AP39" s="3050">
        <v>1282.3949493396167</v>
      </c>
      <c r="AQ39" s="3135">
        <v>0</v>
      </c>
      <c r="AR39" s="3212">
        <v>4.2943424985926519</v>
      </c>
      <c r="AS39" s="3213" t="s">
        <v>153</v>
      </c>
      <c r="AT39" s="3138">
        <v>0.64625257870576547</v>
      </c>
      <c r="AU39" s="3143" t="s">
        <v>153</v>
      </c>
      <c r="AV39" s="3146">
        <v>0.64625257870576547</v>
      </c>
      <c r="AW39" s="3149" t="s">
        <v>153</v>
      </c>
      <c r="AX39" s="3152">
        <v>0.64625257870576547</v>
      </c>
      <c r="AY39" s="3155">
        <v>0.35256678460543361</v>
      </c>
      <c r="AZ39" s="3214" t="s">
        <v>153</v>
      </c>
      <c r="BA39" s="340"/>
      <c r="BB39" s="3221">
        <v>0.44144001299764568</v>
      </c>
    </row>
    <row r="40" spans="1:54" ht="14.4" x14ac:dyDescent="0.3">
      <c r="A40" s="155" t="s">
        <v>245</v>
      </c>
      <c r="B40" s="3006">
        <v>594.26015025468519</v>
      </c>
      <c r="C40" s="3249">
        <v>0.429602994366451</v>
      </c>
      <c r="D40" s="3258">
        <v>629.89052550800204</v>
      </c>
      <c r="E40" s="3027">
        <v>0.45536093201827749</v>
      </c>
      <c r="F40" s="3164">
        <v>2.7236499233215436E-3</v>
      </c>
      <c r="G40" s="3256">
        <v>789.01733627926978</v>
      </c>
      <c r="H40" s="3024">
        <v>0</v>
      </c>
      <c r="I40" s="3256">
        <v>0</v>
      </c>
      <c r="J40" s="3025"/>
      <c r="K40" s="3026">
        <v>789.01733627926978</v>
      </c>
      <c r="L40" s="3020">
        <v>1383.277486533955</v>
      </c>
      <c r="M40" s="3104">
        <v>0</v>
      </c>
      <c r="N40" s="3186">
        <v>425.82</v>
      </c>
      <c r="O40" s="3124">
        <v>0</v>
      </c>
      <c r="P40" s="3187">
        <v>0</v>
      </c>
      <c r="Q40" s="3187">
        <v>168.44015025468519</v>
      </c>
      <c r="R40" s="3032">
        <v>0</v>
      </c>
      <c r="S40" s="3109">
        <v>2.552598039807763</v>
      </c>
      <c r="T40" s="3038">
        <v>377.74663348784253</v>
      </c>
      <c r="U40" s="3038">
        <v>35.630375253316807</v>
      </c>
      <c r="V40" s="3353"/>
      <c r="W40" s="3353"/>
      <c r="X40" s="3038"/>
      <c r="Y40" s="3038"/>
      <c r="Z40" s="3042"/>
      <c r="AA40" s="3038">
        <v>377.74663348784253</v>
      </c>
      <c r="AB40" s="3314"/>
      <c r="AC40" s="3049"/>
      <c r="AD40" s="3050"/>
      <c r="AE40" s="3051"/>
      <c r="AF40" s="3055">
        <v>546.18678374252772</v>
      </c>
      <c r="AG40" s="3211">
        <v>345.87007276293429</v>
      </c>
      <c r="AH40" s="3121">
        <v>27.217656735368411</v>
      </c>
      <c r="AI40" s="3059"/>
      <c r="AJ40" s="3006">
        <v>0</v>
      </c>
      <c r="AK40" s="3124">
        <v>461.45037525331679</v>
      </c>
      <c r="AL40" s="3126">
        <v>0</v>
      </c>
      <c r="AM40" s="3128">
        <v>461.45037525331679</v>
      </c>
      <c r="AN40" s="3130">
        <v>0</v>
      </c>
      <c r="AO40" s="3132">
        <v>461.45037525331679</v>
      </c>
      <c r="AP40" s="3050">
        <v>919.27451324083052</v>
      </c>
      <c r="AQ40" s="3135">
        <v>0</v>
      </c>
      <c r="AR40" s="3212">
        <v>2.552598039807763</v>
      </c>
      <c r="AS40" s="3213" t="s">
        <v>153</v>
      </c>
      <c r="AT40" s="3138">
        <v>0.33359205202534009</v>
      </c>
      <c r="AU40" s="3143" t="s">
        <v>153</v>
      </c>
      <c r="AV40" s="3146">
        <v>0.33359205202534009</v>
      </c>
      <c r="AW40" s="3149" t="s">
        <v>153</v>
      </c>
      <c r="AX40" s="3152">
        <v>0.33359205202534009</v>
      </c>
      <c r="AY40" s="3155">
        <v>0.66456262188162585</v>
      </c>
      <c r="AZ40" s="3214" t="s">
        <v>153</v>
      </c>
      <c r="BA40" s="340"/>
      <c r="BB40" s="3221">
        <v>0</v>
      </c>
    </row>
    <row r="41" spans="1:54" ht="14.4" x14ac:dyDescent="0.3">
      <c r="A41" s="155" t="s">
        <v>246</v>
      </c>
      <c r="B41" s="3006">
        <v>37493.821574708374</v>
      </c>
      <c r="C41" s="3249">
        <v>0.71892415692442213</v>
      </c>
      <c r="D41" s="3258">
        <v>44387.95301698515</v>
      </c>
      <c r="E41" s="3027">
        <v>0.85111547343210814</v>
      </c>
      <c r="F41" s="3164">
        <v>5.1437720214439986E-2</v>
      </c>
      <c r="G41" s="3256">
        <v>9413.0847687228488</v>
      </c>
      <c r="H41" s="3024">
        <v>0</v>
      </c>
      <c r="I41" s="3256">
        <v>5245.77376</v>
      </c>
      <c r="J41" s="3025"/>
      <c r="K41" s="3026">
        <v>14658.858528722849</v>
      </c>
      <c r="L41" s="3020">
        <v>52152.680103431223</v>
      </c>
      <c r="M41" s="3104">
        <v>0</v>
      </c>
      <c r="N41" s="3186">
        <v>34244.45135597296</v>
      </c>
      <c r="O41" s="3124">
        <v>0</v>
      </c>
      <c r="P41" s="3187">
        <v>2.5616695734597164</v>
      </c>
      <c r="Q41" s="3187">
        <v>3246.8085491619595</v>
      </c>
      <c r="R41" s="3032">
        <v>0</v>
      </c>
      <c r="S41" s="3109">
        <v>47.42376602609049</v>
      </c>
      <c r="T41" s="3038">
        <v>6894.1314422767718</v>
      </c>
      <c r="U41" s="3038">
        <v>785.8456780465998</v>
      </c>
      <c r="V41" s="3353">
        <v>5930.7957864662867</v>
      </c>
      <c r="W41" s="3353">
        <v>963.33565581048504</v>
      </c>
      <c r="X41" s="3038"/>
      <c r="Y41" s="3038"/>
      <c r="Z41" s="3042"/>
      <c r="AA41" s="3042"/>
      <c r="AB41" s="3314"/>
      <c r="AC41" s="3049">
        <v>6425.7909589915553</v>
      </c>
      <c r="AD41" s="3050">
        <v>2.5616695734597164</v>
      </c>
      <c r="AE41" s="3051">
        <v>5930.7957864662867</v>
      </c>
      <c r="AF41" s="3052">
        <v>4210.1442049724446</v>
      </c>
      <c r="AG41" s="3211"/>
      <c r="AH41" s="3121">
        <v>505.66668338183217</v>
      </c>
      <c r="AI41" s="3059"/>
      <c r="AJ41" s="3006">
        <v>0</v>
      </c>
      <c r="AK41" s="3124">
        <v>35030.297034019561</v>
      </c>
      <c r="AL41" s="3126">
        <v>0</v>
      </c>
      <c r="AM41" s="3128">
        <v>35030.297034019561</v>
      </c>
      <c r="AN41" s="3130">
        <v>12359.148415031301</v>
      </c>
      <c r="AO41" s="3132">
        <v>47389.445449050865</v>
      </c>
      <c r="AP41" s="3050">
        <v>4715.8108883542773</v>
      </c>
      <c r="AQ41" s="3135">
        <v>0</v>
      </c>
      <c r="AR41" s="3212">
        <v>47.42376602609049</v>
      </c>
      <c r="AS41" s="3213" t="s">
        <v>153</v>
      </c>
      <c r="AT41" s="3138">
        <v>0.67168737952768898</v>
      </c>
      <c r="AU41" s="3143" t="s">
        <v>153</v>
      </c>
      <c r="AV41" s="3146">
        <v>0.67168737952768898</v>
      </c>
      <c r="AW41" s="3149">
        <v>0.23698012049467365</v>
      </c>
      <c r="AX41" s="3152">
        <v>0.90866750002236274</v>
      </c>
      <c r="AY41" s="3155">
        <v>9.0423174398740341E-2</v>
      </c>
      <c r="AZ41" s="3214" t="s">
        <v>153</v>
      </c>
      <c r="BA41" s="340"/>
      <c r="BB41" s="3221">
        <v>0</v>
      </c>
    </row>
    <row r="42" spans="1:54" ht="14.4" x14ac:dyDescent="0.3">
      <c r="A42" s="155" t="s">
        <v>247</v>
      </c>
      <c r="B42" s="3006">
        <v>2904.174</v>
      </c>
      <c r="C42" s="3249">
        <v>0.57845293692182298</v>
      </c>
      <c r="D42" s="3258">
        <v>3635.2458152663148</v>
      </c>
      <c r="E42" s="3027">
        <v>0.72406771022451355</v>
      </c>
      <c r="F42" s="3164">
        <v>7.3057601634003823E-3</v>
      </c>
      <c r="G42" s="3256">
        <v>2116.4142183851627</v>
      </c>
      <c r="H42" s="3024">
        <v>0</v>
      </c>
      <c r="I42" s="3256">
        <v>0</v>
      </c>
      <c r="J42" s="3025"/>
      <c r="K42" s="3026">
        <v>2116.4142183851627</v>
      </c>
      <c r="L42" s="3020">
        <v>5020.5882183851627</v>
      </c>
      <c r="M42" s="3104">
        <v>0</v>
      </c>
      <c r="N42" s="3186">
        <v>2081</v>
      </c>
      <c r="O42" s="3124">
        <v>0</v>
      </c>
      <c r="P42" s="3187">
        <v>0</v>
      </c>
      <c r="Q42" s="3187">
        <v>823.17399999999975</v>
      </c>
      <c r="R42" s="3032">
        <v>0</v>
      </c>
      <c r="S42" s="3109">
        <v>6.8469405384004149</v>
      </c>
      <c r="T42" s="3038">
        <v>377.74663348784253</v>
      </c>
      <c r="U42" s="3038">
        <v>731.07181526631484</v>
      </c>
      <c r="V42" s="3353">
        <v>0</v>
      </c>
      <c r="W42" s="3353">
        <v>0</v>
      </c>
      <c r="X42" s="3038">
        <v>0</v>
      </c>
      <c r="Y42" s="3038">
        <v>0</v>
      </c>
      <c r="Z42" s="3042">
        <v>0</v>
      </c>
      <c r="AA42" s="3038">
        <v>377.74663348784253</v>
      </c>
      <c r="AB42" s="3314">
        <v>0</v>
      </c>
      <c r="AC42" s="3049">
        <v>0</v>
      </c>
      <c r="AD42" s="3050">
        <v>0</v>
      </c>
      <c r="AE42" s="3051">
        <v>0</v>
      </c>
      <c r="AF42" s="3052">
        <v>1200.9206334878422</v>
      </c>
      <c r="AG42" s="3211">
        <v>927.74176947906062</v>
      </c>
      <c r="AH42" s="3121">
        <v>73.007059613544058</v>
      </c>
      <c r="AI42" s="3059">
        <v>0</v>
      </c>
      <c r="AJ42" s="3006">
        <v>0</v>
      </c>
      <c r="AK42" s="3124">
        <v>2812.0718152663148</v>
      </c>
      <c r="AL42" s="3126">
        <v>0</v>
      </c>
      <c r="AM42" s="3128">
        <v>2812.0718152663148</v>
      </c>
      <c r="AN42" s="3130">
        <v>0</v>
      </c>
      <c r="AO42" s="3132">
        <v>2812.0718152663148</v>
      </c>
      <c r="AP42" s="3050">
        <v>2201.6694625804471</v>
      </c>
      <c r="AQ42" s="3135">
        <v>0</v>
      </c>
      <c r="AR42" s="3212">
        <v>6.8469405384004149</v>
      </c>
      <c r="AS42" s="3213" t="s">
        <v>153</v>
      </c>
      <c r="AT42" s="3138">
        <v>0.56010803773323559</v>
      </c>
      <c r="AU42" s="3143" t="s">
        <v>153</v>
      </c>
      <c r="AV42" s="3146">
        <v>0.56010803773323559</v>
      </c>
      <c r="AW42" s="3149" t="s">
        <v>153</v>
      </c>
      <c r="AX42" s="3152">
        <v>0.56010803773323559</v>
      </c>
      <c r="AY42" s="3155">
        <v>0.43852818968861756</v>
      </c>
      <c r="AZ42" s="3214" t="s">
        <v>153</v>
      </c>
      <c r="BA42" s="340"/>
      <c r="BB42" s="3221">
        <v>0.44144001299900992</v>
      </c>
    </row>
    <row r="43" spans="1:54" ht="14.4" x14ac:dyDescent="0.3">
      <c r="A43" s="155" t="s">
        <v>178</v>
      </c>
      <c r="B43" s="3006">
        <v>0</v>
      </c>
      <c r="C43" s="3249"/>
      <c r="D43" s="3258">
        <v>0</v>
      </c>
      <c r="E43" s="3027"/>
      <c r="F43" s="3164">
        <v>0</v>
      </c>
      <c r="G43" s="3256">
        <v>0</v>
      </c>
      <c r="H43" s="3024">
        <v>0</v>
      </c>
      <c r="I43" s="3256">
        <v>0</v>
      </c>
      <c r="J43" s="3025"/>
      <c r="K43" s="3026">
        <v>0</v>
      </c>
      <c r="L43" s="3020">
        <v>0</v>
      </c>
      <c r="M43" s="3104">
        <v>0</v>
      </c>
      <c r="N43" s="3186">
        <v>0</v>
      </c>
      <c r="O43" s="3124">
        <v>0</v>
      </c>
      <c r="P43" s="3187">
        <v>0</v>
      </c>
      <c r="Q43" s="3187">
        <v>0</v>
      </c>
      <c r="R43" s="3032">
        <v>0</v>
      </c>
      <c r="S43" s="3109">
        <v>0</v>
      </c>
      <c r="T43" s="3038">
        <v>0</v>
      </c>
      <c r="U43" s="3313"/>
      <c r="V43" s="3354"/>
      <c r="W43" s="3354"/>
      <c r="X43" s="3355"/>
      <c r="Y43" s="3355"/>
      <c r="Z43" s="3042"/>
      <c r="AA43" s="3042"/>
      <c r="AB43" s="3314"/>
      <c r="AC43" s="3049"/>
      <c r="AD43" s="3050"/>
      <c r="AE43" s="3051"/>
      <c r="AF43" s="3052"/>
      <c r="AG43" s="3211"/>
      <c r="AH43" s="3121"/>
      <c r="AI43" s="3059"/>
      <c r="AJ43" s="3006">
        <v>0</v>
      </c>
      <c r="AK43" s="3124">
        <v>0</v>
      </c>
      <c r="AL43" s="3126">
        <v>0</v>
      </c>
      <c r="AM43" s="3128">
        <v>0</v>
      </c>
      <c r="AN43" s="3130">
        <v>0</v>
      </c>
      <c r="AO43" s="3132">
        <v>0</v>
      </c>
      <c r="AP43" s="3050">
        <v>0</v>
      </c>
      <c r="AQ43" s="3135">
        <v>0</v>
      </c>
      <c r="AR43" s="3212">
        <v>0</v>
      </c>
      <c r="AS43" s="3213" t="s">
        <v>153</v>
      </c>
      <c r="AT43" s="3138" t="s">
        <v>153</v>
      </c>
      <c r="AU43" s="3143" t="s">
        <v>153</v>
      </c>
      <c r="AV43" s="3146" t="s">
        <v>153</v>
      </c>
      <c r="AW43" s="3149" t="s">
        <v>153</v>
      </c>
      <c r="AX43" s="3152" t="s">
        <v>153</v>
      </c>
      <c r="AY43" s="3155" t="s">
        <v>153</v>
      </c>
      <c r="AZ43" s="3214" t="s">
        <v>153</v>
      </c>
      <c r="BA43" s="340"/>
      <c r="BB43" s="3221">
        <v>0</v>
      </c>
    </row>
    <row r="44" spans="1:54" ht="15" thickBot="1" x14ac:dyDescent="0.35">
      <c r="A44" s="155" t="s">
        <v>65</v>
      </c>
      <c r="B44" s="3006">
        <v>0</v>
      </c>
      <c r="C44" s="3249" t="s">
        <v>153</v>
      </c>
      <c r="D44" s="3258">
        <v>0</v>
      </c>
      <c r="E44" s="3027" t="s">
        <v>153</v>
      </c>
      <c r="F44" s="3164">
        <v>0</v>
      </c>
      <c r="G44" s="3256">
        <v>0</v>
      </c>
      <c r="H44" s="3024">
        <v>0</v>
      </c>
      <c r="I44" s="3256">
        <v>0</v>
      </c>
      <c r="J44" s="3025"/>
      <c r="K44" s="3026">
        <v>0</v>
      </c>
      <c r="L44" s="3022">
        <v>0</v>
      </c>
      <c r="M44" s="3347">
        <v>0</v>
      </c>
      <c r="N44" s="3356">
        <v>0</v>
      </c>
      <c r="O44" s="3315">
        <v>0</v>
      </c>
      <c r="P44" s="3357">
        <v>0</v>
      </c>
      <c r="Q44" s="3357">
        <v>0</v>
      </c>
      <c r="R44" s="3348">
        <v>0</v>
      </c>
      <c r="S44" s="3109">
        <v>0</v>
      </c>
      <c r="T44" s="3114"/>
      <c r="U44" s="3317"/>
      <c r="V44" s="3317"/>
      <c r="W44" s="3317"/>
      <c r="X44" s="3317"/>
      <c r="Y44" s="3317"/>
      <c r="Z44" s="3317"/>
      <c r="AA44" s="3317"/>
      <c r="AB44" s="3318"/>
      <c r="AC44" s="3117"/>
      <c r="AD44" s="3358"/>
      <c r="AE44" s="3069"/>
      <c r="AF44" s="3319"/>
      <c r="AG44" s="3359"/>
      <c r="AH44" s="3360"/>
      <c r="AI44" s="3361"/>
      <c r="AJ44" s="3006">
        <v>0</v>
      </c>
      <c r="AK44" s="3124">
        <v>0</v>
      </c>
      <c r="AL44" s="3126">
        <v>0</v>
      </c>
      <c r="AM44" s="3128">
        <v>0</v>
      </c>
      <c r="AN44" s="3130">
        <v>0</v>
      </c>
      <c r="AO44" s="3132">
        <v>0</v>
      </c>
      <c r="AP44" s="3050">
        <v>0</v>
      </c>
      <c r="AQ44" s="3135">
        <v>0</v>
      </c>
      <c r="AR44" s="3212">
        <v>0</v>
      </c>
      <c r="AS44" s="3323" t="s">
        <v>153</v>
      </c>
      <c r="AT44" s="3324" t="s">
        <v>153</v>
      </c>
      <c r="AU44" s="3325" t="s">
        <v>153</v>
      </c>
      <c r="AV44" s="3326" t="s">
        <v>153</v>
      </c>
      <c r="AW44" s="3327" t="s">
        <v>153</v>
      </c>
      <c r="AX44" s="3328" t="s">
        <v>153</v>
      </c>
      <c r="AY44" s="3329" t="s">
        <v>153</v>
      </c>
      <c r="AZ44" s="3362" t="s">
        <v>153</v>
      </c>
      <c r="BA44" s="367"/>
      <c r="BB44" s="3221">
        <v>0</v>
      </c>
    </row>
    <row r="45" spans="1:54" x14ac:dyDescent="0.25">
      <c r="V45" s="61"/>
      <c r="W45" s="61"/>
      <c r="X45" s="61"/>
      <c r="Y45" s="61"/>
      <c r="BB45" s="2487"/>
    </row>
    <row r="46" spans="1:54" x14ac:dyDescent="0.25">
      <c r="A46" s="1" t="s">
        <v>1470</v>
      </c>
      <c r="B46" s="512">
        <f>+B11-B29-B30</f>
        <v>0</v>
      </c>
      <c r="C46" s="512">
        <f t="shared" ref="C46:AU46" si="0">+C11-C29-C30</f>
        <v>-0.17459653268714778</v>
      </c>
      <c r="D46" s="512">
        <f t="shared" si="0"/>
        <v>0</v>
      </c>
      <c r="E46" s="512">
        <f t="shared" si="0"/>
        <v>-0.17459653268714778</v>
      </c>
      <c r="F46" s="3208">
        <f t="shared" si="0"/>
        <v>0</v>
      </c>
      <c r="G46" s="512">
        <f>+G11-G29-G30</f>
        <v>0</v>
      </c>
      <c r="H46" s="512">
        <f t="shared" si="0"/>
        <v>0.3306</v>
      </c>
      <c r="I46" s="512">
        <f>+I11-I29-I30</f>
        <v>0</v>
      </c>
      <c r="J46" s="512">
        <f t="shared" si="0"/>
        <v>0</v>
      </c>
      <c r="K46" s="512">
        <f t="shared" si="0"/>
        <v>0</v>
      </c>
      <c r="L46" s="512">
        <f t="shared" si="0"/>
        <v>0</v>
      </c>
      <c r="M46" s="512">
        <f t="shared" si="0"/>
        <v>0</v>
      </c>
      <c r="N46" s="512">
        <v>0</v>
      </c>
      <c r="O46" s="512">
        <v>0</v>
      </c>
      <c r="P46" s="512">
        <v>0</v>
      </c>
      <c r="Q46" s="512">
        <v>0</v>
      </c>
      <c r="R46" s="512">
        <v>0</v>
      </c>
      <c r="S46" s="512">
        <v>0</v>
      </c>
      <c r="T46" s="512">
        <v>0</v>
      </c>
      <c r="U46" s="512">
        <v>0</v>
      </c>
      <c r="V46" s="512">
        <v>0</v>
      </c>
      <c r="W46" s="512">
        <v>0</v>
      </c>
      <c r="X46" s="512">
        <v>0</v>
      </c>
      <c r="Y46" s="512">
        <v>0</v>
      </c>
      <c r="Z46" s="512">
        <v>0</v>
      </c>
      <c r="AA46" s="512">
        <v>0</v>
      </c>
      <c r="AB46" s="512">
        <v>0</v>
      </c>
      <c r="AC46" s="512">
        <v>0</v>
      </c>
      <c r="AD46" s="512">
        <v>0</v>
      </c>
      <c r="AE46" s="512">
        <v>0</v>
      </c>
      <c r="AF46" s="512">
        <v>0</v>
      </c>
      <c r="AG46" s="512">
        <v>0</v>
      </c>
      <c r="AH46" s="512">
        <v>0</v>
      </c>
      <c r="AI46" s="512">
        <v>0</v>
      </c>
      <c r="AJ46" s="512">
        <v>0</v>
      </c>
      <c r="AK46" s="512">
        <v>0</v>
      </c>
      <c r="AL46" s="512">
        <v>0</v>
      </c>
      <c r="AM46" s="512">
        <v>0</v>
      </c>
      <c r="AN46" s="512">
        <v>0</v>
      </c>
      <c r="AO46" s="512">
        <v>0</v>
      </c>
      <c r="AP46" s="512">
        <v>0</v>
      </c>
      <c r="AQ46" s="512">
        <v>0</v>
      </c>
      <c r="AR46" s="512">
        <v>0</v>
      </c>
      <c r="AS46" s="512" t="e">
        <f>+AS11-AS29-AS30</f>
        <v>#VALUE!</v>
      </c>
      <c r="AT46" s="512" t="e">
        <f t="shared" si="0"/>
        <v>#VALUE!</v>
      </c>
      <c r="AU46" s="512">
        <f t="shared" si="0"/>
        <v>-0.16900560986550997</v>
      </c>
      <c r="AV46" s="1" t="s">
        <v>1470</v>
      </c>
      <c r="AW46" s="512">
        <f>+AW11-AW29-AW30</f>
        <v>-0.49423961866749883</v>
      </c>
      <c r="AX46" s="512">
        <f>+AX11-AX29-AX30</f>
        <v>-0.66324522853300882</v>
      </c>
      <c r="AY46" s="512">
        <f t="shared" ref="AY46:BA46" si="1">+AY11-AY29-AY30</f>
        <v>-5.5572561255081691E-2</v>
      </c>
      <c r="AZ46" s="512">
        <f t="shared" si="1"/>
        <v>-0.27851189718349278</v>
      </c>
      <c r="BA46" s="512">
        <f t="shared" si="1"/>
        <v>2.8512586526182647E-3</v>
      </c>
    </row>
    <row r="47" spans="1:54" x14ac:dyDescent="0.25">
      <c r="M47" s="61"/>
      <c r="V47" s="314"/>
      <c r="W47" s="314"/>
    </row>
    <row r="48" spans="1:54" x14ac:dyDescent="0.25">
      <c r="B48" s="61"/>
      <c r="C48" s="61"/>
      <c r="T48" s="314"/>
      <c r="U48" s="314"/>
    </row>
    <row r="49" spans="1:31" x14ac:dyDescent="0.25">
      <c r="A49" s="65" t="s">
        <v>182</v>
      </c>
      <c r="B49" s="61"/>
    </row>
    <row r="50" spans="1:31" x14ac:dyDescent="0.25">
      <c r="A50" s="52" t="s">
        <v>248</v>
      </c>
    </row>
    <row r="51" spans="1:31" x14ac:dyDescent="0.25">
      <c r="A51" s="52" t="s">
        <v>114</v>
      </c>
    </row>
    <row r="52" spans="1:31" x14ac:dyDescent="0.25">
      <c r="A52" s="52" t="s">
        <v>151</v>
      </c>
      <c r="B52" s="61"/>
    </row>
    <row r="53" spans="1:31" ht="13.8" thickBot="1" x14ac:dyDescent="0.3"/>
    <row r="54" spans="1:31" ht="15" customHeight="1" thickBot="1" x14ac:dyDescent="0.3">
      <c r="F54" s="3749" t="s">
        <v>1613</v>
      </c>
      <c r="G54" s="3750"/>
      <c r="H54" s="3750"/>
      <c r="I54" s="3750"/>
      <c r="J54" s="3750"/>
      <c r="K54" s="3750"/>
      <c r="L54" s="3750"/>
      <c r="M54" s="3750"/>
      <c r="N54" s="3751"/>
      <c r="Y54" s="3760">
        <v>2021</v>
      </c>
      <c r="Z54" s="3761"/>
    </row>
    <row r="55" spans="1:31" ht="24.6" thickBot="1" x14ac:dyDescent="0.35">
      <c r="U55" s="3752" t="s">
        <v>1612</v>
      </c>
      <c r="V55" s="3753"/>
      <c r="W55" s="3754"/>
      <c r="Y55" s="3368" t="s">
        <v>1337</v>
      </c>
      <c r="Z55" s="3369" t="s">
        <v>1338</v>
      </c>
    </row>
    <row r="56" spans="1:31" ht="29.4" thickBot="1" x14ac:dyDescent="0.35">
      <c r="B56" s="3748"/>
      <c r="C56" s="3748"/>
      <c r="D56" s="3161"/>
      <c r="E56" s="3161"/>
      <c r="R56" s="15"/>
      <c r="S56" s="28">
        <v>2015</v>
      </c>
      <c r="T56" s="29" t="s">
        <v>135</v>
      </c>
      <c r="U56" s="29">
        <v>6587</v>
      </c>
      <c r="V56" s="2406" t="s">
        <v>63</v>
      </c>
      <c r="W56" s="2406" t="s">
        <v>114</v>
      </c>
      <c r="X56" s="16"/>
      <c r="Y56" s="3370" t="s">
        <v>164</v>
      </c>
      <c r="Z56" s="3371">
        <v>1384.9667723985751</v>
      </c>
      <c r="AA56" s="61"/>
      <c r="AC56" s="2488"/>
      <c r="AD56" s="2488" t="s">
        <v>1610</v>
      </c>
      <c r="AE56" s="2488" t="s">
        <v>1611</v>
      </c>
    </row>
    <row r="57" spans="1:31" ht="40.799999999999997" thickBot="1" x14ac:dyDescent="0.35">
      <c r="B57" s="3178"/>
      <c r="C57" s="3179"/>
      <c r="D57" s="3161"/>
      <c r="E57" s="3161"/>
      <c r="G57" s="2396" t="s">
        <v>261</v>
      </c>
      <c r="H57" s="2400">
        <v>179238</v>
      </c>
      <c r="I57" s="61"/>
      <c r="K57" s="2396" t="s">
        <v>262</v>
      </c>
      <c r="L57" s="3176">
        <v>149048.17121962865</v>
      </c>
      <c r="R57" s="15" t="s">
        <v>129</v>
      </c>
      <c r="S57" s="16">
        <v>806.71570127655548</v>
      </c>
      <c r="T57" s="16" t="s">
        <v>129</v>
      </c>
      <c r="U57" s="2408">
        <v>536.91384503472466</v>
      </c>
      <c r="V57" s="33">
        <v>457.44782520799623</v>
      </c>
      <c r="W57" s="33">
        <v>79.46601982672847</v>
      </c>
      <c r="X57" s="16"/>
      <c r="Y57" s="3370" t="s">
        <v>127</v>
      </c>
      <c r="Z57" s="3371">
        <v>1191.3743629102858</v>
      </c>
      <c r="AC57" s="2489" t="s">
        <v>138</v>
      </c>
      <c r="AD57" s="3169">
        <v>15181</v>
      </c>
      <c r="AE57" s="3172">
        <v>11729</v>
      </c>
    </row>
    <row r="58" spans="1:31" ht="15" thickBot="1" x14ac:dyDescent="0.35">
      <c r="B58" s="3180"/>
      <c r="C58" s="3181"/>
      <c r="D58" s="3161"/>
      <c r="E58" s="3161"/>
      <c r="G58" s="2397" t="s">
        <v>263</v>
      </c>
      <c r="H58" s="3176">
        <v>178138</v>
      </c>
      <c r="I58" s="3162">
        <f>H58/H57</f>
        <v>0.99386290853502046</v>
      </c>
      <c r="L58" s="61"/>
      <c r="R58" s="15" t="s">
        <v>14</v>
      </c>
      <c r="S58" s="16">
        <v>4206.4652807715147</v>
      </c>
      <c r="T58" s="16" t="s">
        <v>14</v>
      </c>
      <c r="U58" s="2408">
        <v>2799.6349201214471</v>
      </c>
      <c r="V58" s="33">
        <v>2385.2745043352165</v>
      </c>
      <c r="W58" s="33">
        <v>414.36041578623059</v>
      </c>
      <c r="X58" s="31"/>
      <c r="Y58" s="3370" t="s">
        <v>165</v>
      </c>
      <c r="Z58" s="3371">
        <v>298.02132526652832</v>
      </c>
      <c r="AC58" s="2489" t="s">
        <v>169</v>
      </c>
      <c r="AD58" s="3169">
        <v>145170</v>
      </c>
      <c r="AE58" s="3173">
        <v>149047</v>
      </c>
    </row>
    <row r="59" spans="1:31" ht="15" thickBot="1" x14ac:dyDescent="0.35">
      <c r="B59" s="3180"/>
      <c r="C59" s="3181"/>
      <c r="D59" s="3161"/>
      <c r="E59" s="3161"/>
      <c r="H59" s="314"/>
      <c r="L59" s="61"/>
      <c r="N59" s="368" t="s">
        <v>121</v>
      </c>
      <c r="R59" s="15" t="s">
        <v>130</v>
      </c>
      <c r="S59" s="16">
        <v>2951.8425214920294</v>
      </c>
      <c r="T59" s="16" t="s">
        <v>130</v>
      </c>
      <c r="U59" s="2408">
        <v>1964.6141951164993</v>
      </c>
      <c r="V59" s="33">
        <v>1673.8411557829672</v>
      </c>
      <c r="W59" s="33">
        <v>290.77303933353204</v>
      </c>
      <c r="X59" s="32"/>
      <c r="Y59" s="3370" t="s">
        <v>166</v>
      </c>
      <c r="Z59" s="3371">
        <v>572.60143967285069</v>
      </c>
      <c r="AC59" s="2489" t="s">
        <v>157</v>
      </c>
      <c r="AD59" s="3169">
        <v>178354</v>
      </c>
      <c r="AE59" s="3173">
        <v>179238</v>
      </c>
    </row>
    <row r="60" spans="1:31" ht="28.2" thickBot="1" x14ac:dyDescent="0.35">
      <c r="B60" s="3180"/>
      <c r="C60" s="3181"/>
      <c r="D60" s="3161"/>
      <c r="E60" s="3161"/>
      <c r="K60" s="2499" t="s">
        <v>138</v>
      </c>
      <c r="L60" s="2500">
        <v>11729</v>
      </c>
      <c r="M60" s="3230">
        <v>3.4495638414888798</v>
      </c>
      <c r="N60" s="3233">
        <v>3.4495638414888799E-2</v>
      </c>
      <c r="R60" s="15" t="s">
        <v>128</v>
      </c>
      <c r="S60" s="16">
        <v>1931.9764964599017</v>
      </c>
      <c r="T60" s="16" t="s">
        <v>128</v>
      </c>
      <c r="U60" s="2408">
        <v>1285.8370397273286</v>
      </c>
      <c r="V60" s="33">
        <v>1095.5265222432706</v>
      </c>
      <c r="W60" s="33">
        <v>190.31051748405793</v>
      </c>
      <c r="X60" s="33"/>
      <c r="Y60" s="3370" t="s">
        <v>167</v>
      </c>
      <c r="Z60" s="3371">
        <v>268.85311259548848</v>
      </c>
      <c r="AC60" s="2491" t="s">
        <v>160</v>
      </c>
      <c r="AD60" s="3170">
        <v>6642</v>
      </c>
      <c r="AE60" s="3174">
        <v>6587</v>
      </c>
    </row>
    <row r="61" spans="1:31" ht="28.2" thickBot="1" x14ac:dyDescent="0.35">
      <c r="B61" s="3180"/>
      <c r="C61" s="3182"/>
      <c r="D61" s="3161"/>
      <c r="E61" s="3161"/>
      <c r="F61" s="3755" t="s">
        <v>1614</v>
      </c>
      <c r="G61" s="369" t="s">
        <v>160</v>
      </c>
      <c r="H61" s="2398">
        <v>6587</v>
      </c>
      <c r="I61" s="3757">
        <v>179238</v>
      </c>
      <c r="J61" s="2401">
        <v>3.6750019527109205E-2</v>
      </c>
      <c r="K61" s="2499" t="s">
        <v>169</v>
      </c>
      <c r="L61" s="2500">
        <v>149047</v>
      </c>
      <c r="M61" s="3230">
        <v>43.83554794802567</v>
      </c>
      <c r="N61" s="3233">
        <v>0.43835547948025672</v>
      </c>
      <c r="R61" s="15"/>
      <c r="S61" s="16">
        <v>9897.0000000000018</v>
      </c>
      <c r="T61" s="16"/>
      <c r="U61" s="16"/>
      <c r="V61" s="34"/>
      <c r="W61" s="16"/>
      <c r="X61" s="35"/>
      <c r="Y61" s="3370" t="s">
        <v>168</v>
      </c>
      <c r="Z61" s="3371">
        <v>2432.6723829853572</v>
      </c>
      <c r="AA61" s="2402"/>
      <c r="AB61" s="485"/>
      <c r="AC61" s="2491" t="s">
        <v>134</v>
      </c>
      <c r="AD61" s="3170">
        <v>67340</v>
      </c>
      <c r="AE61" s="3174">
        <v>57344</v>
      </c>
    </row>
    <row r="62" spans="1:31" ht="27" thickBot="1" x14ac:dyDescent="0.35">
      <c r="B62" s="3183"/>
      <c r="C62" s="3184"/>
      <c r="D62" s="3161"/>
      <c r="E62" s="3161"/>
      <c r="F62" s="3756"/>
      <c r="G62" s="369" t="s">
        <v>264</v>
      </c>
      <c r="H62" s="2398">
        <v>57344</v>
      </c>
      <c r="I62" s="3758"/>
      <c r="J62" s="2401">
        <v>0.31993215724344171</v>
      </c>
      <c r="K62" s="2499" t="s">
        <v>157</v>
      </c>
      <c r="L62" s="2500">
        <v>179238</v>
      </c>
      <c r="M62" s="3230">
        <v>52.714888210485448</v>
      </c>
      <c r="N62" s="3233">
        <v>0.52714888210485444</v>
      </c>
      <c r="R62" s="15"/>
      <c r="S62" s="16"/>
      <c r="T62" s="16"/>
      <c r="U62" s="16"/>
      <c r="V62" s="34"/>
      <c r="W62" s="16"/>
      <c r="X62" s="35"/>
      <c r="Y62" s="3370" t="s">
        <v>132</v>
      </c>
      <c r="Z62" s="3371">
        <v>397.5526670823989</v>
      </c>
      <c r="AA62" s="2402"/>
      <c r="AB62" s="485"/>
      <c r="AC62" s="2491" t="s">
        <v>133</v>
      </c>
      <c r="AD62" s="3170">
        <v>64888</v>
      </c>
      <c r="AE62" s="3174">
        <v>72931</v>
      </c>
    </row>
    <row r="63" spans="1:31" ht="28.2" thickBot="1" x14ac:dyDescent="0.35">
      <c r="B63" s="3183"/>
      <c r="C63" s="3184"/>
      <c r="D63" s="3161"/>
      <c r="E63" s="3161"/>
      <c r="F63" s="3756"/>
      <c r="G63" s="369" t="s">
        <v>133</v>
      </c>
      <c r="H63" s="2398">
        <v>72931</v>
      </c>
      <c r="I63" s="3758"/>
      <c r="J63" s="2401">
        <v>0.40689474330220154</v>
      </c>
      <c r="K63" s="2503" t="s">
        <v>125</v>
      </c>
      <c r="L63" s="2500">
        <v>340014</v>
      </c>
      <c r="M63" s="3231">
        <v>100</v>
      </c>
      <c r="N63" s="3234">
        <v>1</v>
      </c>
      <c r="R63" s="3237" t="s">
        <v>121</v>
      </c>
      <c r="S63" s="36"/>
      <c r="T63" s="29" t="s">
        <v>134</v>
      </c>
      <c r="U63" s="29">
        <v>57344</v>
      </c>
      <c r="V63" s="2406" t="s">
        <v>63</v>
      </c>
      <c r="W63" s="2406" t="s">
        <v>114</v>
      </c>
      <c r="X63" s="16"/>
      <c r="Y63" s="3370" t="s">
        <v>171</v>
      </c>
      <c r="Z63" s="3371">
        <v>40.957937088514988</v>
      </c>
      <c r="AC63" s="2491" t="s">
        <v>1467</v>
      </c>
      <c r="AD63" s="3170">
        <v>1089</v>
      </c>
      <c r="AE63" s="3174">
        <v>1100</v>
      </c>
    </row>
    <row r="64" spans="1:31" ht="28.2" thickBot="1" x14ac:dyDescent="0.35">
      <c r="B64" s="3183"/>
      <c r="C64" s="3184"/>
      <c r="D64" s="3161"/>
      <c r="E64" s="3161"/>
      <c r="F64" s="3756"/>
      <c r="G64" s="369" t="s">
        <v>265</v>
      </c>
      <c r="H64" s="2398">
        <v>1100</v>
      </c>
      <c r="I64" s="3758"/>
      <c r="J64" s="2401">
        <v>6.1370914649795244E-3</v>
      </c>
      <c r="R64" s="3236">
        <v>86.026729198938142</v>
      </c>
      <c r="S64" s="16">
        <v>49002</v>
      </c>
      <c r="T64" s="16" t="s">
        <v>170</v>
      </c>
      <c r="U64" s="2408">
        <v>42011.343001524983</v>
      </c>
      <c r="V64" s="33">
        <v>35793.447436379407</v>
      </c>
      <c r="W64" s="33">
        <v>6217.8955651455781</v>
      </c>
      <c r="X64" s="16"/>
      <c r="Y64" s="3370" t="s">
        <v>173</v>
      </c>
      <c r="Z64" s="3371">
        <v>6587</v>
      </c>
      <c r="AC64" s="2491" t="s">
        <v>1468</v>
      </c>
      <c r="AD64" s="3170">
        <v>38395</v>
      </c>
      <c r="AE64" s="3174">
        <v>41276</v>
      </c>
    </row>
    <row r="65" spans="2:35" ht="15" thickBot="1" x14ac:dyDescent="0.35">
      <c r="B65" s="3180"/>
      <c r="C65" s="3182"/>
      <c r="D65" s="3161"/>
      <c r="E65" s="3161"/>
      <c r="F65" s="3756"/>
      <c r="G65" s="369" t="s">
        <v>266</v>
      </c>
      <c r="H65" s="2398">
        <v>41276</v>
      </c>
      <c r="I65" s="3759"/>
      <c r="J65" s="2401">
        <v>0.23028598846226805</v>
      </c>
      <c r="R65" s="3236">
        <v>16.332591624191966</v>
      </c>
      <c r="S65" s="16">
        <v>11388</v>
      </c>
      <c r="T65" s="16" t="s">
        <v>172</v>
      </c>
      <c r="U65" s="2408">
        <v>9763.3805579642976</v>
      </c>
      <c r="V65" s="33">
        <v>8318.3498511384987</v>
      </c>
      <c r="W65" s="33">
        <v>1445.0307068257998</v>
      </c>
      <c r="X65" s="16"/>
      <c r="Y65" s="15" t="s">
        <v>174</v>
      </c>
      <c r="Z65" s="16">
        <v>1799.2067378608174</v>
      </c>
      <c r="AC65" s="2493" t="s">
        <v>125</v>
      </c>
      <c r="AD65" s="3171">
        <v>338705</v>
      </c>
      <c r="AE65" s="3175">
        <v>340014</v>
      </c>
    </row>
    <row r="66" spans="2:35" ht="14.4" x14ac:dyDescent="0.3">
      <c r="B66" s="3183"/>
      <c r="C66" s="3184"/>
      <c r="D66" s="3161"/>
      <c r="E66" s="3161"/>
      <c r="R66" s="3236">
        <v>25.710762157155518</v>
      </c>
      <c r="S66" s="16">
        <v>6496</v>
      </c>
      <c r="T66" s="16" t="s">
        <v>139</v>
      </c>
      <c r="U66" s="2408">
        <v>5569.27644051072</v>
      </c>
      <c r="V66" s="33">
        <v>4744.9947868805484</v>
      </c>
      <c r="W66" s="33">
        <v>824.28165363017172</v>
      </c>
      <c r="X66" s="16"/>
    </row>
    <row r="67" spans="2:35" ht="27" x14ac:dyDescent="0.3">
      <c r="B67" s="3183"/>
      <c r="C67" s="3184"/>
      <c r="D67" s="3161"/>
      <c r="E67" s="3161"/>
      <c r="G67" s="267" t="s">
        <v>267</v>
      </c>
      <c r="H67" s="2399">
        <v>136862</v>
      </c>
      <c r="R67" s="3229"/>
      <c r="S67" s="16">
        <v>66886</v>
      </c>
      <c r="T67" s="16"/>
      <c r="U67" s="31"/>
      <c r="V67" s="36"/>
      <c r="W67" s="16"/>
      <c r="X67" s="16"/>
    </row>
    <row r="68" spans="2:35" ht="27" x14ac:dyDescent="0.3">
      <c r="B68" s="3183"/>
      <c r="C68" s="3184"/>
      <c r="D68" s="3161"/>
      <c r="E68" s="3161"/>
      <c r="G68" s="3242" t="s">
        <v>1320</v>
      </c>
      <c r="H68" s="3193">
        <v>0</v>
      </c>
      <c r="R68" s="3229"/>
      <c r="S68" s="16"/>
      <c r="T68" s="16"/>
      <c r="U68" s="31"/>
      <c r="V68" s="36"/>
      <c r="W68" s="16"/>
      <c r="X68" s="16"/>
      <c r="AC68" s="2769" t="s">
        <v>1513</v>
      </c>
      <c r="AD68" s="2769">
        <v>2021</v>
      </c>
    </row>
    <row r="69" spans="2:35" ht="14.4" x14ac:dyDescent="0.3">
      <c r="B69" s="3185"/>
      <c r="C69" s="3181"/>
      <c r="D69" s="3161"/>
      <c r="E69" s="3161"/>
      <c r="I69" s="61"/>
      <c r="R69" s="3237" t="s">
        <v>121</v>
      </c>
      <c r="S69" s="16"/>
      <c r="T69" s="29" t="s">
        <v>138</v>
      </c>
      <c r="U69" s="30">
        <v>72931</v>
      </c>
      <c r="V69" s="2406" t="s">
        <v>63</v>
      </c>
      <c r="W69" s="2406" t="s">
        <v>114</v>
      </c>
      <c r="X69" s="16"/>
      <c r="AC69" s="2770" t="s">
        <v>1514</v>
      </c>
      <c r="AD69" s="3363">
        <v>285364</v>
      </c>
    </row>
    <row r="70" spans="2:35" ht="14.4" x14ac:dyDescent="0.3">
      <c r="B70" s="3183"/>
      <c r="C70" s="3184"/>
      <c r="D70" s="3161"/>
      <c r="E70" s="3161"/>
      <c r="J70" s="368" t="s">
        <v>121</v>
      </c>
      <c r="R70" s="3236">
        <v>13.97327080106186</v>
      </c>
      <c r="S70" s="16">
        <v>5807</v>
      </c>
      <c r="T70" s="16" t="s">
        <v>170</v>
      </c>
      <c r="U70" s="2408">
        <v>6823.8776243494513</v>
      </c>
      <c r="V70" s="33">
        <v>5813.9085211003976</v>
      </c>
      <c r="W70" s="33">
        <v>1009.9691032490537</v>
      </c>
      <c r="X70" s="16"/>
      <c r="AC70" s="2770" t="s">
        <v>1515</v>
      </c>
      <c r="AD70" s="3363">
        <v>17586</v>
      </c>
    </row>
    <row r="71" spans="2:35" ht="14.4" x14ac:dyDescent="0.3">
      <c r="B71" s="3183"/>
      <c r="C71" s="3184"/>
      <c r="D71" s="3161"/>
      <c r="E71" s="3161"/>
      <c r="H71" s="2495" t="s">
        <v>1469</v>
      </c>
      <c r="I71" s="2496">
        <v>179238</v>
      </c>
      <c r="J71" s="2397"/>
      <c r="R71" s="3236">
        <v>83.667408375808023</v>
      </c>
      <c r="S71" s="16">
        <v>42562</v>
      </c>
      <c r="T71" s="16" t="s">
        <v>172</v>
      </c>
      <c r="U71" s="2408">
        <v>50015.133364484478</v>
      </c>
      <c r="V71" s="33">
        <v>42612.635521796998</v>
      </c>
      <c r="W71" s="33">
        <v>7402.497842687485</v>
      </c>
      <c r="X71" s="16"/>
      <c r="AB71" s="3747" t="s">
        <v>1516</v>
      </c>
      <c r="AC71" s="2770" t="s">
        <v>1517</v>
      </c>
      <c r="AD71" s="3363">
        <v>6587</v>
      </c>
    </row>
    <row r="72" spans="2:35" ht="14.4" x14ac:dyDescent="0.3">
      <c r="B72" s="3185"/>
      <c r="C72" s="3181"/>
      <c r="D72" s="3018"/>
      <c r="E72" s="3161"/>
      <c r="F72" s="2487"/>
      <c r="H72" s="2495" t="s">
        <v>263</v>
      </c>
      <c r="I72" s="2496">
        <v>178138</v>
      </c>
      <c r="J72" s="2397"/>
      <c r="R72" s="3236">
        <v>74.289237842844472</v>
      </c>
      <c r="S72" s="16">
        <v>13694</v>
      </c>
      <c r="T72" s="16" t="s">
        <v>139</v>
      </c>
      <c r="U72" s="2408">
        <v>16091.989011166073</v>
      </c>
      <c r="V72" s="33">
        <v>13710.291594273955</v>
      </c>
      <c r="W72" s="33">
        <v>2381.6974168921201</v>
      </c>
      <c r="X72" s="16"/>
      <c r="AB72" s="3747"/>
      <c r="AC72" s="2770" t="s">
        <v>1518</v>
      </c>
      <c r="AD72" s="3363">
        <v>57344</v>
      </c>
    </row>
    <row r="73" spans="2:35" ht="14.4" x14ac:dyDescent="0.3">
      <c r="B73" s="3161"/>
      <c r="C73" s="3161"/>
      <c r="D73" s="3161"/>
      <c r="E73" s="3161"/>
      <c r="H73" s="2497" t="s">
        <v>160</v>
      </c>
      <c r="I73" s="2498">
        <v>6587</v>
      </c>
      <c r="J73" s="3232">
        <v>3.6750019527109205E-2</v>
      </c>
      <c r="R73" s="3235"/>
      <c r="S73" s="16">
        <v>62063</v>
      </c>
      <c r="T73" s="16"/>
      <c r="U73" s="16"/>
      <c r="V73" s="36"/>
      <c r="W73" s="16"/>
      <c r="X73" s="16"/>
      <c r="AB73" s="3747"/>
      <c r="AC73" s="2770" t="s">
        <v>1519</v>
      </c>
      <c r="AD73" s="3363">
        <v>72931</v>
      </c>
    </row>
    <row r="74" spans="2:35" ht="14.4" x14ac:dyDescent="0.3">
      <c r="B74" s="2991"/>
      <c r="C74" s="3184"/>
      <c r="D74" s="3161"/>
      <c r="E74" s="3161"/>
      <c r="H74" s="2497" t="s">
        <v>264</v>
      </c>
      <c r="I74" s="2498">
        <v>57344</v>
      </c>
      <c r="J74" s="3232">
        <v>0.31993215724344171</v>
      </c>
      <c r="R74" s="15"/>
      <c r="S74" s="16"/>
      <c r="T74" s="16"/>
      <c r="U74" s="16"/>
      <c r="V74" s="16"/>
      <c r="W74" s="16"/>
      <c r="X74" s="16"/>
      <c r="AB74" s="3747"/>
      <c r="AC74" s="2770" t="s">
        <v>1520</v>
      </c>
      <c r="AD74" s="3363">
        <v>1100</v>
      </c>
    </row>
    <row r="75" spans="2:35" ht="14.4" x14ac:dyDescent="0.3">
      <c r="B75" s="2991"/>
      <c r="C75" s="3184"/>
      <c r="D75" s="3184"/>
      <c r="E75" s="3161"/>
      <c r="H75" s="2497" t="s">
        <v>133</v>
      </c>
      <c r="I75" s="2498">
        <v>72931</v>
      </c>
      <c r="J75" s="3232">
        <v>0.40689474330220154</v>
      </c>
      <c r="R75" s="15"/>
      <c r="S75" s="16"/>
      <c r="T75" s="16"/>
      <c r="U75" s="16"/>
      <c r="V75" s="16"/>
      <c r="W75" s="16"/>
      <c r="X75" s="16"/>
      <c r="AB75" s="3747"/>
      <c r="AC75" s="2770" t="s">
        <v>1511</v>
      </c>
      <c r="AD75" s="3363">
        <v>41276</v>
      </c>
    </row>
    <row r="76" spans="2:35" ht="26.4" x14ac:dyDescent="0.3">
      <c r="B76" s="2991"/>
      <c r="C76" s="3184"/>
      <c r="D76" s="3184"/>
      <c r="E76" s="3161"/>
      <c r="H76" s="2497" t="s">
        <v>265</v>
      </c>
      <c r="I76" s="2496">
        <v>1100</v>
      </c>
      <c r="J76" s="3232">
        <v>6.1370914649795244E-3</v>
      </c>
      <c r="AC76" s="2770" t="s">
        <v>1518</v>
      </c>
      <c r="AD76" s="3363">
        <v>149047</v>
      </c>
    </row>
    <row r="77" spans="2:35" ht="14.4" x14ac:dyDescent="0.3">
      <c r="B77" s="2991"/>
      <c r="C77" s="3184"/>
      <c r="D77" s="3184"/>
      <c r="E77" s="3161"/>
      <c r="H77" s="2495" t="s">
        <v>266</v>
      </c>
      <c r="I77" s="2496">
        <v>41276</v>
      </c>
      <c r="J77" s="3232">
        <v>0.23028598846226805</v>
      </c>
      <c r="AC77" s="2770" t="s">
        <v>1519</v>
      </c>
      <c r="AD77" s="3363">
        <v>11729</v>
      </c>
    </row>
    <row r="78" spans="2:35" ht="14.4" x14ac:dyDescent="0.3">
      <c r="B78" s="3180"/>
      <c r="C78" s="3181"/>
      <c r="D78" s="3181"/>
      <c r="E78" s="3161"/>
      <c r="AC78" s="2771" t="s">
        <v>389</v>
      </c>
      <c r="AD78" s="2772">
        <v>642966</v>
      </c>
    </row>
    <row r="79" spans="2:35" ht="14.4" x14ac:dyDescent="0.3">
      <c r="B79" s="2991"/>
      <c r="C79" s="3184"/>
      <c r="D79" s="3184"/>
      <c r="E79" s="3018"/>
      <c r="AC79" s="2365"/>
      <c r="AD79" s="2766"/>
    </row>
    <row r="80" spans="2:35" ht="13.8" x14ac:dyDescent="0.3">
      <c r="AC80" s="2365"/>
      <c r="AD80" s="2365"/>
      <c r="AE80" s="2766"/>
      <c r="AF80" s="2766"/>
      <c r="AG80" s="2766"/>
      <c r="AH80" s="2766"/>
      <c r="AI80" s="2766"/>
    </row>
    <row r="81" spans="29:35" ht="13.8" x14ac:dyDescent="0.3">
      <c r="AC81" s="2365"/>
      <c r="AD81" s="2365"/>
      <c r="AE81" s="2365"/>
      <c r="AF81" s="2365"/>
      <c r="AG81" s="2365"/>
      <c r="AH81" s="2365"/>
      <c r="AI81" s="2365"/>
    </row>
    <row r="82" spans="29:35" ht="14.4" x14ac:dyDescent="0.3">
      <c r="AC82" s="2769" t="s">
        <v>1504</v>
      </c>
      <c r="AD82" s="2769">
        <v>2021</v>
      </c>
      <c r="AE82" s="2365"/>
      <c r="AF82" s="2365"/>
      <c r="AG82" s="2365"/>
      <c r="AH82" s="2365"/>
      <c r="AI82" s="2365"/>
    </row>
    <row r="83" spans="29:35" ht="14.4" x14ac:dyDescent="0.3">
      <c r="AC83" s="2770" t="s">
        <v>1505</v>
      </c>
      <c r="AD83" s="2768">
        <v>291952</v>
      </c>
    </row>
    <row r="84" spans="29:35" ht="14.4" x14ac:dyDescent="0.3">
      <c r="AC84" s="2770" t="s">
        <v>1506</v>
      </c>
      <c r="AD84" s="2768">
        <v>17586</v>
      </c>
    </row>
    <row r="85" spans="29:35" ht="14.4" x14ac:dyDescent="0.3">
      <c r="AC85" s="2770" t="s">
        <v>1507</v>
      </c>
      <c r="AD85" s="2768">
        <v>206391</v>
      </c>
    </row>
    <row r="86" spans="29:35" ht="14.4" x14ac:dyDescent="0.3">
      <c r="AC86" s="2770" t="s">
        <v>1508</v>
      </c>
      <c r="AD86" s="2768">
        <v>72931</v>
      </c>
    </row>
    <row r="87" spans="29:35" ht="14.4" x14ac:dyDescent="0.3">
      <c r="AC87" s="2770" t="s">
        <v>1509</v>
      </c>
      <c r="AD87" s="2768">
        <v>11729</v>
      </c>
    </row>
    <row r="88" spans="29:35" ht="14.4" x14ac:dyDescent="0.3">
      <c r="AC88" s="2771" t="s">
        <v>389</v>
      </c>
      <c r="AD88" s="2772">
        <v>600589</v>
      </c>
    </row>
    <row r="89" spans="29:35" ht="14.4" x14ac:dyDescent="0.3">
      <c r="AC89" s="2743"/>
      <c r="AD89" s="2767"/>
    </row>
    <row r="90" spans="29:35" ht="14.4" x14ac:dyDescent="0.3">
      <c r="AC90" s="2770" t="s">
        <v>1510</v>
      </c>
      <c r="AD90" s="2768">
        <v>1100</v>
      </c>
    </row>
    <row r="91" spans="29:35" ht="14.4" x14ac:dyDescent="0.3">
      <c r="AC91" s="2770" t="s">
        <v>1511</v>
      </c>
      <c r="AD91" s="2768">
        <v>41276</v>
      </c>
    </row>
    <row r="92" spans="29:35" ht="14.4" x14ac:dyDescent="0.3">
      <c r="AC92" s="2743"/>
      <c r="AD92" s="2767"/>
    </row>
    <row r="93" spans="29:35" ht="14.4" x14ac:dyDescent="0.3">
      <c r="AC93" s="2771" t="s">
        <v>389</v>
      </c>
      <c r="AD93" s="2772">
        <v>642966</v>
      </c>
    </row>
  </sheetData>
  <autoFilter ref="A4:BB48" xr:uid="{00000000-0009-0000-0000-000008000000}"/>
  <mergeCells count="13">
    <mergeCell ref="AS3:BA3"/>
    <mergeCell ref="M3:R3"/>
    <mergeCell ref="S3:AB3"/>
    <mergeCell ref="AC3:AE3"/>
    <mergeCell ref="AF3:AH3"/>
    <mergeCell ref="AJ3:AR3"/>
    <mergeCell ref="AB71:AB75"/>
    <mergeCell ref="B56:C56"/>
    <mergeCell ref="F54:N54"/>
    <mergeCell ref="U55:W55"/>
    <mergeCell ref="F61:F65"/>
    <mergeCell ref="I61:I65"/>
    <mergeCell ref="Y54:Z54"/>
  </mergeCells>
  <phoneticPr fontId="154" type="noConversion"/>
  <pageMargins left="0.7" right="0.7" top="0.75" bottom="0.75" header="0.3" footer="0.3"/>
  <pageSetup paperSize="9" orientation="portrait" r:id="rId1"/>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45">
    <tabColor theme="7" tint="0.39997558519241921"/>
  </sheetPr>
  <dimension ref="B1:AO193"/>
  <sheetViews>
    <sheetView workbookViewId="0"/>
  </sheetViews>
  <sheetFormatPr baseColWidth="10" defaultColWidth="11.44140625" defaultRowHeight="13.8" x14ac:dyDescent="0.3"/>
  <cols>
    <col min="1" max="1" width="3.109375" style="27" customWidth="1"/>
    <col min="2" max="2" width="26.44140625" style="27" customWidth="1"/>
    <col min="3" max="3" width="13.5546875" style="740" customWidth="1"/>
    <col min="4" max="4" width="11.88671875" style="740" customWidth="1"/>
    <col min="5" max="5" width="13.5546875" style="740" customWidth="1"/>
    <col min="6" max="6" width="9.88671875" style="27" customWidth="1"/>
    <col min="7" max="7" width="12.109375" style="27" customWidth="1"/>
    <col min="8" max="8" width="13.88671875" style="27" customWidth="1"/>
    <col min="9" max="9" width="12.88671875" style="27" customWidth="1"/>
    <col min="10" max="10" width="14.44140625" style="27" customWidth="1"/>
    <col min="11" max="12" width="15.88671875" style="741" customWidth="1"/>
    <col min="13" max="13" width="13.109375" style="27" customWidth="1"/>
    <col min="14" max="14" width="12.88671875" style="27" customWidth="1"/>
    <col min="15" max="15" width="12.109375" style="27" customWidth="1"/>
    <col min="16" max="16" width="9.5546875" style="27" customWidth="1"/>
    <col min="17" max="17" width="15.88671875" style="27" customWidth="1"/>
    <col min="18" max="18" width="15.88671875" style="741" customWidth="1"/>
    <col min="19" max="19" width="15.88671875" style="742" customWidth="1"/>
    <col min="20" max="20" width="15.88671875" style="741" customWidth="1"/>
    <col min="21" max="21" width="15.88671875" style="742" customWidth="1"/>
    <col min="22" max="22" width="15.88671875" style="741" customWidth="1"/>
    <col min="23" max="23" width="15.88671875" style="742" customWidth="1"/>
    <col min="24" max="25" width="15.88671875" style="741" customWidth="1"/>
    <col min="26" max="33" width="15.88671875" style="742" customWidth="1"/>
    <col min="34" max="16384" width="11.44140625" style="27"/>
  </cols>
  <sheetData>
    <row r="1" spans="2:33" ht="14.4" thickBot="1" x14ac:dyDescent="0.35">
      <c r="K1" s="868">
        <f>K9-Q5</f>
        <v>-844.03890061855782</v>
      </c>
      <c r="Q1" s="740"/>
    </row>
    <row r="2" spans="2:33" s="744" customFormat="1" ht="19.350000000000001" customHeight="1" x14ac:dyDescent="0.3">
      <c r="B2" s="3890" t="s">
        <v>336</v>
      </c>
      <c r="C2" s="3879" t="s">
        <v>458</v>
      </c>
      <c r="D2" s="3879" t="s">
        <v>459</v>
      </c>
      <c r="E2" s="3879" t="s">
        <v>460</v>
      </c>
      <c r="F2" s="3898" t="s">
        <v>461</v>
      </c>
      <c r="G2" s="3899"/>
      <c r="H2" s="3899"/>
      <c r="I2" s="3899"/>
      <c r="J2" s="3900"/>
      <c r="K2" s="869">
        <f>K10-Q6</f>
        <v>-303.22058301888501</v>
      </c>
      <c r="L2" s="3890" t="s">
        <v>336</v>
      </c>
      <c r="M2" s="3884" t="s">
        <v>462</v>
      </c>
      <c r="N2" s="3884" t="s">
        <v>463</v>
      </c>
      <c r="O2" s="3891" t="s">
        <v>464</v>
      </c>
      <c r="P2" s="3886" t="s">
        <v>465</v>
      </c>
      <c r="Q2" s="3886" t="s">
        <v>466</v>
      </c>
      <c r="R2" s="3891" t="s">
        <v>467</v>
      </c>
      <c r="S2" s="3896" t="s">
        <v>468</v>
      </c>
      <c r="T2" s="3897" t="s">
        <v>469</v>
      </c>
      <c r="U2" s="3877" t="s">
        <v>520</v>
      </c>
      <c r="V2" s="3878" t="s">
        <v>521</v>
      </c>
      <c r="W2" s="3878" t="s">
        <v>522</v>
      </c>
      <c r="X2" s="3878" t="s">
        <v>172</v>
      </c>
      <c r="Y2" s="3878" t="s">
        <v>474</v>
      </c>
      <c r="Z2" s="3878" t="s">
        <v>523</v>
      </c>
      <c r="AA2" s="3878" t="s">
        <v>524</v>
      </c>
      <c r="AB2" s="3878" t="s">
        <v>478</v>
      </c>
    </row>
    <row r="3" spans="2:33" s="744" customFormat="1" ht="58.35" customHeight="1" thickBot="1" x14ac:dyDescent="0.35">
      <c r="B3" s="3865"/>
      <c r="C3" s="3880"/>
      <c r="D3" s="3880"/>
      <c r="E3" s="3880"/>
      <c r="F3" s="745" t="s">
        <v>15</v>
      </c>
      <c r="G3" s="745" t="s">
        <v>157</v>
      </c>
      <c r="H3" s="745" t="s">
        <v>435</v>
      </c>
      <c r="I3" s="745" t="s">
        <v>116</v>
      </c>
      <c r="J3" s="746" t="s">
        <v>125</v>
      </c>
      <c r="K3" s="743"/>
      <c r="L3" s="3865"/>
      <c r="M3" s="3885"/>
      <c r="N3" s="3885"/>
      <c r="O3" s="3867"/>
      <c r="P3" s="3887"/>
      <c r="Q3" s="3887"/>
      <c r="R3" s="3867"/>
      <c r="S3" s="3874"/>
      <c r="T3" s="3876"/>
      <c r="U3" s="3877"/>
      <c r="V3" s="3878"/>
      <c r="W3" s="3878"/>
      <c r="X3" s="3878"/>
      <c r="Y3" s="3878"/>
      <c r="Z3" s="3878"/>
      <c r="AA3" s="3878"/>
      <c r="AB3" s="3878"/>
    </row>
    <row r="4" spans="2:33" x14ac:dyDescent="0.3">
      <c r="B4" s="2598" t="s">
        <v>6</v>
      </c>
      <c r="C4" s="2592">
        <f>SUM(C5:C6)</f>
        <v>304590.00000000006</v>
      </c>
      <c r="D4" s="2592">
        <f>SUM(D5:D6)</f>
        <v>47826</v>
      </c>
      <c r="E4" s="2592">
        <f>SUM(E5:E6)</f>
        <v>352416.00000000006</v>
      </c>
      <c r="F4" s="2592"/>
      <c r="G4" s="2592">
        <f>SUM(G5:G6)</f>
        <v>177242.16249195527</v>
      </c>
      <c r="H4" s="2592">
        <f>SUM(H5:H6)</f>
        <v>161637</v>
      </c>
      <c r="I4" s="2592">
        <f>SUM(I5:I6)</f>
        <v>11571</v>
      </c>
      <c r="J4" s="2593">
        <f>SUM(J5:J6)</f>
        <v>350450.16249195527</v>
      </c>
      <c r="K4" s="750"/>
      <c r="L4" s="2599" t="s">
        <v>5</v>
      </c>
      <c r="M4" s="2600" t="e">
        <f>#REF!</f>
        <v>#REF!</v>
      </c>
      <c r="N4" s="2600" t="e">
        <f>#REF!</f>
        <v>#REF!</v>
      </c>
      <c r="O4" s="2601" t="e">
        <f>$C$4*M4</f>
        <v>#REF!</v>
      </c>
      <c r="P4" s="2601" t="e">
        <f>$D$4*N4</f>
        <v>#REF!</v>
      </c>
      <c r="Q4" s="2601" t="e">
        <f>O4+P4</f>
        <v>#REF!</v>
      </c>
      <c r="R4" s="2601">
        <f>F8</f>
        <v>10729.300592</v>
      </c>
      <c r="S4" s="2601" t="e">
        <f>Q4+R4</f>
        <v>#REF!</v>
      </c>
      <c r="T4" s="2602" t="e">
        <f>R4/S4</f>
        <v>#REF!</v>
      </c>
      <c r="U4" s="740">
        <v>65102.420457449254</v>
      </c>
      <c r="V4" s="740">
        <v>27635.420457449254</v>
      </c>
      <c r="W4" s="740">
        <v>27635.420457449254</v>
      </c>
      <c r="X4" s="27"/>
      <c r="Y4" s="27"/>
      <c r="Z4" s="741">
        <v>0.75415315625028301</v>
      </c>
      <c r="AA4" s="741">
        <v>0</v>
      </c>
      <c r="AB4" s="741">
        <v>0</v>
      </c>
      <c r="AC4" s="27" t="s">
        <v>5</v>
      </c>
      <c r="AD4" s="27"/>
      <c r="AE4" s="27">
        <v>44873.486278745651</v>
      </c>
      <c r="AF4" s="27"/>
      <c r="AG4" s="27"/>
    </row>
    <row r="5" spans="2:33" x14ac:dyDescent="0.3">
      <c r="B5" s="756" t="s">
        <v>484</v>
      </c>
      <c r="C5" s="757">
        <v>300030.00000000006</v>
      </c>
      <c r="D5" s="757">
        <v>47826</v>
      </c>
      <c r="E5" s="757">
        <v>347856.00000000006</v>
      </c>
      <c r="F5" s="536"/>
      <c r="G5" s="757">
        <v>177242.16249195527</v>
      </c>
      <c r="H5" s="757">
        <v>161637</v>
      </c>
      <c r="I5" s="757">
        <v>7336.6722458741615</v>
      </c>
      <c r="J5" s="758">
        <f>SUM(F5:I5)</f>
        <v>346215.83473782946</v>
      </c>
      <c r="K5" s="759"/>
      <c r="L5" s="756" t="s">
        <v>8</v>
      </c>
      <c r="M5" s="2600">
        <v>0.18330000000000002</v>
      </c>
      <c r="N5" s="2600">
        <v>0.2606</v>
      </c>
      <c r="O5" s="2601">
        <f t="shared" ref="O5:O24" si="0">$C$4*M5</f>
        <v>55831.347000000016</v>
      </c>
      <c r="P5" s="2601">
        <f t="shared" ref="P5:P25" si="1">$D$4*N5</f>
        <v>12463.455599999999</v>
      </c>
      <c r="Q5" s="2601">
        <f t="shared" ref="Q5:Q25" si="2">O5+P5</f>
        <v>68294.80260000001</v>
      </c>
      <c r="R5" s="2601">
        <f t="shared" ref="R5:R25" si="3">F9</f>
        <v>89551</v>
      </c>
      <c r="S5" s="2601">
        <f t="shared" ref="S5:S24" si="4">Q5+R5</f>
        <v>157845.8026</v>
      </c>
      <c r="T5" s="2602">
        <f t="shared" ref="T5:T25" si="5">R5/S5</f>
        <v>0.56733215913845281</v>
      </c>
      <c r="U5" s="740">
        <v>33584.638701865602</v>
      </c>
      <c r="V5" s="740">
        <v>31043.495094397473</v>
      </c>
      <c r="W5" s="740">
        <v>9008.8874373224608</v>
      </c>
      <c r="X5" s="740">
        <v>22034.607657075012</v>
      </c>
      <c r="Y5" s="27"/>
      <c r="Z5" s="741">
        <v>0.24584684374971694</v>
      </c>
      <c r="AA5" s="741">
        <v>0.3131738961232623</v>
      </c>
      <c r="AB5" s="741">
        <v>0</v>
      </c>
      <c r="AC5" s="27" t="s">
        <v>8</v>
      </c>
      <c r="AD5" s="27"/>
      <c r="AE5" s="27">
        <v>21670.300382494454</v>
      </c>
      <c r="AF5" s="27"/>
      <c r="AG5" s="27"/>
    </row>
    <row r="6" spans="2:33" ht="28.2" thickBot="1" x14ac:dyDescent="0.35">
      <c r="B6" s="760" t="s">
        <v>485</v>
      </c>
      <c r="C6" s="761">
        <v>4560</v>
      </c>
      <c r="D6" s="761"/>
      <c r="E6" s="761">
        <v>4560</v>
      </c>
      <c r="F6" s="762"/>
      <c r="G6" s="762"/>
      <c r="H6" s="870"/>
      <c r="I6" s="761">
        <v>4234.3277541258376</v>
      </c>
      <c r="J6" s="763">
        <f>SUM(F6:I6)</f>
        <v>4234.3277541258376</v>
      </c>
      <c r="K6" s="759"/>
      <c r="L6" s="756" t="s">
        <v>304</v>
      </c>
      <c r="M6" s="2600">
        <v>4.2199999999999994E-2</v>
      </c>
      <c r="N6" s="2600">
        <v>7.7399999999999997E-2</v>
      </c>
      <c r="O6" s="2601">
        <f t="shared" si="0"/>
        <v>12853.698</v>
      </c>
      <c r="P6" s="2601">
        <f t="shared" si="1"/>
        <v>3701.7323999999999</v>
      </c>
      <c r="Q6" s="2601">
        <f t="shared" si="2"/>
        <v>16555.430400000001</v>
      </c>
      <c r="R6" s="2601">
        <f t="shared" si="3"/>
        <v>26480</v>
      </c>
      <c r="S6" s="2601">
        <f t="shared" si="4"/>
        <v>43035.430399999997</v>
      </c>
      <c r="T6" s="2602">
        <f t="shared" si="5"/>
        <v>0.61530696344563574</v>
      </c>
      <c r="U6" s="740">
        <v>7978.7717948264253</v>
      </c>
      <c r="V6" s="740">
        <v>7978.7717948264253</v>
      </c>
      <c r="W6" s="27"/>
      <c r="X6" s="27"/>
      <c r="Y6" s="740">
        <v>7978.7717948264253</v>
      </c>
      <c r="Z6" s="741">
        <v>0</v>
      </c>
      <c r="AA6" s="741">
        <v>0</v>
      </c>
      <c r="AB6" s="741">
        <v>0.32873711837062053</v>
      </c>
      <c r="AC6" s="27" t="s">
        <v>304</v>
      </c>
      <c r="AD6" s="27"/>
      <c r="AE6" s="27">
        <v>5023.8351093581259</v>
      </c>
      <c r="AF6" s="27"/>
      <c r="AG6" s="27"/>
    </row>
    <row r="7" spans="2:33" x14ac:dyDescent="0.3">
      <c r="B7" s="2603" t="s">
        <v>9</v>
      </c>
      <c r="C7" s="2594">
        <f>SUM(C8:C29)</f>
        <v>187766.61192878784</v>
      </c>
      <c r="D7" s="2594">
        <f>SUM(D8:D29)</f>
        <v>106679.46609840202</v>
      </c>
      <c r="E7" s="2594">
        <f>SUM(E8:E29)</f>
        <v>294446.07802718988</v>
      </c>
      <c r="F7" s="2594">
        <f>SUM(F8:F29)</f>
        <v>294446.07802718988</v>
      </c>
      <c r="G7" s="2594"/>
      <c r="H7" s="2594"/>
      <c r="I7" s="2594"/>
      <c r="J7" s="2595">
        <f>SUM(J8:J29)</f>
        <v>294446.07802718988</v>
      </c>
      <c r="K7" s="767" t="s">
        <v>487</v>
      </c>
      <c r="L7" s="756" t="s">
        <v>14</v>
      </c>
      <c r="M7" s="2600">
        <v>0.1409</v>
      </c>
      <c r="N7" s="2600">
        <v>0.1371</v>
      </c>
      <c r="O7" s="2601">
        <f t="shared" si="0"/>
        <v>42916.731000000007</v>
      </c>
      <c r="P7" s="2601">
        <f t="shared" si="1"/>
        <v>6556.9445999999998</v>
      </c>
      <c r="Q7" s="2601">
        <f t="shared" si="2"/>
        <v>49473.67560000001</v>
      </c>
      <c r="R7" s="2601">
        <f t="shared" si="3"/>
        <v>18100.000000000004</v>
      </c>
      <c r="S7" s="2601">
        <f>Q7+R7</f>
        <v>67573.675600000017</v>
      </c>
      <c r="T7" s="2602">
        <f t="shared" si="5"/>
        <v>0.26785578613693167</v>
      </c>
      <c r="U7" s="740">
        <v>24919.534909800288</v>
      </c>
      <c r="V7" s="740">
        <v>21298.328060030326</v>
      </c>
      <c r="W7" s="27"/>
      <c r="X7" s="740">
        <v>21298.328060030326</v>
      </c>
      <c r="Y7" s="27"/>
      <c r="Z7" s="741">
        <v>0</v>
      </c>
      <c r="AA7" s="741">
        <v>0.30270928728469682</v>
      </c>
      <c r="AB7" s="741">
        <v>0</v>
      </c>
      <c r="AC7" s="27" t="s">
        <v>14</v>
      </c>
      <c r="AD7" s="27"/>
      <c r="AE7" s="27">
        <v>13967.417161625595</v>
      </c>
      <c r="AF7" s="27"/>
      <c r="AG7" s="27"/>
    </row>
    <row r="8" spans="2:33" ht="27.6" x14ac:dyDescent="0.3">
      <c r="B8" s="2599" t="s">
        <v>5</v>
      </c>
      <c r="C8" s="2601">
        <v>9799.3005919999996</v>
      </c>
      <c r="D8" s="2601">
        <v>930</v>
      </c>
      <c r="E8" s="2601">
        <f>C8+D8</f>
        <v>10729.300592</v>
      </c>
      <c r="F8" s="2601">
        <f t="shared" ref="F8:F28" si="6">E8</f>
        <v>10729.300592</v>
      </c>
      <c r="G8" s="2596">
        <v>65102.420457449254</v>
      </c>
      <c r="H8" s="2596">
        <v>59086.457323633906</v>
      </c>
      <c r="I8" s="2596">
        <v>3994.3222773896205</v>
      </c>
      <c r="J8" s="2597">
        <f>F8</f>
        <v>10729.300592</v>
      </c>
      <c r="K8" s="772">
        <f>SUM(G8:I8)</f>
        <v>128183.20005847279</v>
      </c>
      <c r="L8" s="756" t="s">
        <v>17</v>
      </c>
      <c r="M8" s="2600">
        <v>2.35E-2</v>
      </c>
      <c r="N8" s="2600">
        <v>1.2800000000000001E-2</v>
      </c>
      <c r="O8" s="2601">
        <f t="shared" si="0"/>
        <v>7157.8650000000016</v>
      </c>
      <c r="P8" s="2601">
        <f t="shared" si="1"/>
        <v>612.17280000000005</v>
      </c>
      <c r="Q8" s="2601">
        <f t="shared" si="2"/>
        <v>7770.0378000000019</v>
      </c>
      <c r="R8" s="2601">
        <f t="shared" si="3"/>
        <v>514</v>
      </c>
      <c r="S8" s="2601">
        <f t="shared" si="4"/>
        <v>8284.0378000000019</v>
      </c>
      <c r="T8" s="2602">
        <f t="shared" si="5"/>
        <v>6.2047037013761561E-2</v>
      </c>
      <c r="U8" s="740">
        <v>4013.4597914863666</v>
      </c>
      <c r="V8" s="740">
        <v>3318.9849228518055</v>
      </c>
      <c r="W8" s="27"/>
      <c r="X8" s="27"/>
      <c r="Y8" s="740">
        <v>3318.9849228518055</v>
      </c>
      <c r="Z8" s="741">
        <v>0</v>
      </c>
      <c r="AA8" s="741">
        <v>0</v>
      </c>
      <c r="AB8" s="741">
        <v>0.13674705424728528</v>
      </c>
      <c r="AC8" s="27" t="s">
        <v>17</v>
      </c>
      <c r="AD8" s="27"/>
      <c r="AE8" s="27">
        <v>3038.1734624805413</v>
      </c>
      <c r="AF8" s="27"/>
      <c r="AG8" s="27"/>
    </row>
    <row r="9" spans="2:33" ht="27.6" x14ac:dyDescent="0.3">
      <c r="B9" s="756" t="s">
        <v>8</v>
      </c>
      <c r="C9" s="2601">
        <v>22968.000000000004</v>
      </c>
      <c r="D9" s="2601">
        <v>66583</v>
      </c>
      <c r="E9" s="2601">
        <f t="shared" ref="E9:E27" si="7">C9+D9</f>
        <v>89551</v>
      </c>
      <c r="F9" s="2601">
        <f t="shared" si="6"/>
        <v>89551</v>
      </c>
      <c r="G9" s="2596">
        <v>33584.638701865602</v>
      </c>
      <c r="H9" s="2596">
        <v>31178.035932909774</v>
      </c>
      <c r="I9" s="2596">
        <v>2688.0890646060725</v>
      </c>
      <c r="J9" s="2597">
        <f t="shared" ref="J9:J29" si="8">F9</f>
        <v>89551</v>
      </c>
      <c r="K9" s="772">
        <f t="shared" ref="K9:K29" si="9">SUM(G9:I9)</f>
        <v>67450.763699381452</v>
      </c>
      <c r="L9" s="756" t="s">
        <v>16</v>
      </c>
      <c r="M9" s="2600">
        <v>3.15E-2</v>
      </c>
      <c r="N9" s="2600">
        <v>5.4000000000000006E-2</v>
      </c>
      <c r="O9" s="2601">
        <f t="shared" si="0"/>
        <v>9594.5850000000028</v>
      </c>
      <c r="P9" s="2601">
        <f t="shared" si="1"/>
        <v>2582.6040000000003</v>
      </c>
      <c r="Q9" s="2601">
        <f t="shared" si="2"/>
        <v>12177.189000000002</v>
      </c>
      <c r="R9" s="2601">
        <f t="shared" si="3"/>
        <v>2262</v>
      </c>
      <c r="S9" s="2601">
        <f t="shared" si="4"/>
        <v>14439.189000000002</v>
      </c>
      <c r="T9" s="2602">
        <f t="shared" si="5"/>
        <v>0.15665699784108372</v>
      </c>
      <c r="U9" s="740">
        <v>5902.1886894478148</v>
      </c>
      <c r="V9" s="740">
        <v>4239.0140153204675</v>
      </c>
      <c r="W9" s="27"/>
      <c r="X9" s="740">
        <v>4239.0140153204675</v>
      </c>
      <c r="Y9" s="27"/>
      <c r="Z9" s="741">
        <v>0</v>
      </c>
      <c r="AA9" s="741">
        <v>6.0248340045790078E-2</v>
      </c>
      <c r="AB9" s="741">
        <v>0</v>
      </c>
      <c r="AC9" s="27" t="s">
        <v>16</v>
      </c>
      <c r="AD9" s="27"/>
      <c r="AE9" s="27">
        <v>4163.5333278949174</v>
      </c>
      <c r="AF9" s="27"/>
      <c r="AG9" s="27"/>
    </row>
    <row r="10" spans="2:33" ht="27.6" x14ac:dyDescent="0.3">
      <c r="B10" s="756" t="s">
        <v>304</v>
      </c>
      <c r="C10" s="2601">
        <v>14487.999999999998</v>
      </c>
      <c r="D10" s="2601">
        <v>11992</v>
      </c>
      <c r="E10" s="2601">
        <f t="shared" si="7"/>
        <v>26480</v>
      </c>
      <c r="F10" s="2601">
        <f t="shared" si="6"/>
        <v>26480</v>
      </c>
      <c r="G10" s="2596">
        <v>7978.7717948264253</v>
      </c>
      <c r="H10" s="2596">
        <v>7526.890959099921</v>
      </c>
      <c r="I10" s="2596">
        <v>746.54706305477032</v>
      </c>
      <c r="J10" s="2597">
        <f t="shared" si="8"/>
        <v>26480</v>
      </c>
      <c r="K10" s="772">
        <f t="shared" si="9"/>
        <v>16252.209816981116</v>
      </c>
      <c r="L10" s="756" t="s">
        <v>308</v>
      </c>
      <c r="M10" s="2600">
        <v>2.9999999999999997E-4</v>
      </c>
      <c r="N10" s="2600">
        <v>4.0000000000000002E-4</v>
      </c>
      <c r="O10" s="2601">
        <f t="shared" si="0"/>
        <v>91.37700000000001</v>
      </c>
      <c r="P10" s="2601">
        <f t="shared" si="1"/>
        <v>19.130400000000002</v>
      </c>
      <c r="Q10" s="2601">
        <f t="shared" si="2"/>
        <v>110.50740000000002</v>
      </c>
      <c r="R10" s="2601">
        <f t="shared" si="3"/>
        <v>214.84205</v>
      </c>
      <c r="S10" s="2601">
        <f t="shared" si="4"/>
        <v>325.34945000000005</v>
      </c>
      <c r="T10" s="2602">
        <f t="shared" si="5"/>
        <v>0.66034244102763962</v>
      </c>
      <c r="U10" s="740">
        <v>54.590695729592014</v>
      </c>
      <c r="V10" s="740">
        <v>54.590695729592014</v>
      </c>
      <c r="W10" s="27"/>
      <c r="X10" s="27"/>
      <c r="Y10" s="740">
        <v>54.590695729592014</v>
      </c>
      <c r="Z10" s="741">
        <v>0</v>
      </c>
      <c r="AA10" s="741">
        <v>0</v>
      </c>
      <c r="AB10" s="741">
        <v>2.2492168551091923E-3</v>
      </c>
      <c r="AC10" s="27" t="s">
        <v>308</v>
      </c>
      <c r="AD10" s="27"/>
      <c r="AE10" s="27">
        <v>85.034314104021561</v>
      </c>
      <c r="AF10" s="27"/>
      <c r="AG10" s="27"/>
    </row>
    <row r="11" spans="2:33" x14ac:dyDescent="0.3">
      <c r="B11" s="756" t="s">
        <v>14</v>
      </c>
      <c r="C11" s="2601">
        <v>17195.000000000004</v>
      </c>
      <c r="D11" s="2601">
        <v>905</v>
      </c>
      <c r="E11" s="2601">
        <f t="shared" si="7"/>
        <v>18100.000000000004</v>
      </c>
      <c r="F11" s="2601">
        <f t="shared" si="6"/>
        <v>18100.000000000004</v>
      </c>
      <c r="G11" s="2596">
        <v>24919.534909800288</v>
      </c>
      <c r="H11" s="2596">
        <v>22698.457949869895</v>
      </c>
      <c r="I11" s="2596">
        <v>1602.4745454656781</v>
      </c>
      <c r="J11" s="2597">
        <f t="shared" si="8"/>
        <v>18100.000000000004</v>
      </c>
      <c r="K11" s="772">
        <f t="shared" si="9"/>
        <v>49220.46740513586</v>
      </c>
      <c r="L11" s="756" t="s">
        <v>44</v>
      </c>
      <c r="M11" s="2600">
        <v>0</v>
      </c>
      <c r="N11" s="2600">
        <v>0</v>
      </c>
      <c r="O11" s="2601">
        <f t="shared" si="0"/>
        <v>0</v>
      </c>
      <c r="P11" s="2601">
        <f t="shared" si="1"/>
        <v>0</v>
      </c>
      <c r="Q11" s="2601">
        <f t="shared" si="2"/>
        <v>0</v>
      </c>
      <c r="R11" s="2601">
        <f t="shared" si="3"/>
        <v>546.40638518982428</v>
      </c>
      <c r="S11" s="2601">
        <f t="shared" si="4"/>
        <v>546.40638518982428</v>
      </c>
      <c r="T11" s="2602">
        <f t="shared" si="5"/>
        <v>1</v>
      </c>
      <c r="U11" s="740">
        <v>0</v>
      </c>
      <c r="V11" s="740">
        <v>0</v>
      </c>
      <c r="W11" s="27"/>
      <c r="X11" s="27"/>
      <c r="Y11" s="740">
        <v>0</v>
      </c>
      <c r="Z11" s="741">
        <v>0</v>
      </c>
      <c r="AA11" s="741">
        <v>0</v>
      </c>
      <c r="AB11" s="741">
        <v>0</v>
      </c>
      <c r="AC11" s="27" t="s">
        <v>44</v>
      </c>
      <c r="AD11" s="27"/>
      <c r="AE11" s="27">
        <v>0</v>
      </c>
      <c r="AF11" s="27"/>
      <c r="AG11" s="27"/>
    </row>
    <row r="12" spans="2:33" ht="27.6" x14ac:dyDescent="0.3">
      <c r="B12" s="756" t="s">
        <v>17</v>
      </c>
      <c r="C12" s="2601">
        <v>407</v>
      </c>
      <c r="D12" s="2601">
        <v>107</v>
      </c>
      <c r="E12" s="2601">
        <f t="shared" si="7"/>
        <v>514</v>
      </c>
      <c r="F12" s="2601">
        <f t="shared" si="6"/>
        <v>514</v>
      </c>
      <c r="G12" s="2596">
        <v>4013.4597914863666</v>
      </c>
      <c r="H12" s="2596">
        <v>3583.9194351599676</v>
      </c>
      <c r="I12" s="2596">
        <v>193.41610696914645</v>
      </c>
      <c r="J12" s="2597">
        <f t="shared" si="8"/>
        <v>514</v>
      </c>
      <c r="K12" s="772">
        <f t="shared" si="9"/>
        <v>7790.7953336154806</v>
      </c>
      <c r="L12" s="756" t="s">
        <v>326</v>
      </c>
      <c r="M12" s="2600">
        <v>2.7000000000000001E-3</v>
      </c>
      <c r="N12" s="2600">
        <v>5.8000000000000005E-3</v>
      </c>
      <c r="O12" s="2601">
        <f t="shared" si="0"/>
        <v>822.39300000000026</v>
      </c>
      <c r="P12" s="2601">
        <f>$D$4*N12</f>
        <v>277.39080000000001</v>
      </c>
      <c r="Q12" s="2601">
        <f t="shared" si="2"/>
        <v>1099.7838000000002</v>
      </c>
      <c r="R12" s="2601">
        <f t="shared" si="3"/>
        <v>111.82900000000001</v>
      </c>
      <c r="S12" s="2601">
        <f t="shared" si="4"/>
        <v>1211.6128000000001</v>
      </c>
      <c r="T12" s="2602">
        <f t="shared" si="5"/>
        <v>9.2297638321417533E-2</v>
      </c>
      <c r="U12" s="740">
        <v>522.5132951704478</v>
      </c>
      <c r="V12" s="740">
        <v>522.5132951704478</v>
      </c>
      <c r="W12" s="27"/>
      <c r="X12" s="27"/>
      <c r="Y12" s="740">
        <v>522.5132951704478</v>
      </c>
      <c r="Z12" s="741">
        <v>0</v>
      </c>
      <c r="AA12" s="741">
        <v>0</v>
      </c>
      <c r="AB12" s="741">
        <v>2.1528315307382126E-2</v>
      </c>
      <c r="AC12" s="27" t="s">
        <v>326</v>
      </c>
      <c r="AD12" s="27"/>
      <c r="AE12" s="27">
        <v>617.85581946168509</v>
      </c>
      <c r="AF12" s="27"/>
      <c r="AG12" s="27"/>
    </row>
    <row r="13" spans="2:33" x14ac:dyDescent="0.3">
      <c r="B13" s="756" t="s">
        <v>16</v>
      </c>
      <c r="C13" s="2601">
        <v>906</v>
      </c>
      <c r="D13" s="2601">
        <v>1356</v>
      </c>
      <c r="E13" s="2601">
        <f t="shared" si="7"/>
        <v>2262</v>
      </c>
      <c r="F13" s="2601">
        <f t="shared" si="6"/>
        <v>2262</v>
      </c>
      <c r="G13" s="2596">
        <v>5902.1886894478148</v>
      </c>
      <c r="H13" s="2596">
        <v>5542.7221784019384</v>
      </c>
      <c r="I13" s="2596">
        <v>529.56162553216859</v>
      </c>
      <c r="J13" s="2597">
        <f t="shared" si="8"/>
        <v>2262</v>
      </c>
      <c r="K13" s="772">
        <f t="shared" si="9"/>
        <v>11974.472493381923</v>
      </c>
      <c r="L13" s="756" t="s">
        <v>25</v>
      </c>
      <c r="M13" s="2600">
        <v>5.0599999999999999E-2</v>
      </c>
      <c r="N13" s="2600">
        <v>1.9900000000000001E-2</v>
      </c>
      <c r="O13" s="2601">
        <f t="shared" si="0"/>
        <v>15412.254000000003</v>
      </c>
      <c r="P13" s="2601">
        <f t="shared" si="1"/>
        <v>951.73740000000009</v>
      </c>
      <c r="Q13" s="2601">
        <f t="shared" si="2"/>
        <v>16363.991400000003</v>
      </c>
      <c r="R13" s="2601">
        <f t="shared" si="3"/>
        <v>4881.2809200000002</v>
      </c>
      <c r="S13" s="2601">
        <f t="shared" si="4"/>
        <v>21245.272320000004</v>
      </c>
      <c r="T13" s="2602">
        <f t="shared" si="5"/>
        <v>0.22975845385633539</v>
      </c>
      <c r="U13" s="740">
        <v>8533.1129986172673</v>
      </c>
      <c r="V13" s="740">
        <v>8533.1129986172673</v>
      </c>
      <c r="W13" s="27"/>
      <c r="X13" s="740">
        <v>8533.1129986172673</v>
      </c>
      <c r="Y13" s="27"/>
      <c r="Z13" s="741">
        <v>0</v>
      </c>
      <c r="AA13" s="741">
        <v>0.12127959278544126</v>
      </c>
      <c r="AB13" s="741">
        <v>0</v>
      </c>
      <c r="AC13" s="27" t="s">
        <v>25</v>
      </c>
      <c r="AD13" s="27"/>
      <c r="AE13" s="27">
        <v>5031.4978996256332</v>
      </c>
      <c r="AF13" s="27"/>
      <c r="AG13" s="27"/>
    </row>
    <row r="14" spans="2:33" x14ac:dyDescent="0.3">
      <c r="B14" s="756" t="s">
        <v>308</v>
      </c>
      <c r="C14" s="2601">
        <v>18.913049999999998</v>
      </c>
      <c r="D14" s="2601">
        <v>195.929</v>
      </c>
      <c r="E14" s="2601">
        <f t="shared" si="7"/>
        <v>214.84205</v>
      </c>
      <c r="F14" s="2601">
        <f t="shared" si="6"/>
        <v>214.84205</v>
      </c>
      <c r="G14" s="2596">
        <v>54.590695729592014</v>
      </c>
      <c r="H14" s="2596">
        <v>50.496240792897503</v>
      </c>
      <c r="I14" s="2596">
        <v>4.2049672245874161</v>
      </c>
      <c r="J14" s="2597">
        <f t="shared" si="8"/>
        <v>214.84205</v>
      </c>
      <c r="K14" s="772">
        <f t="shared" si="9"/>
        <v>109.29190374707693</v>
      </c>
      <c r="L14" s="756" t="s">
        <v>29</v>
      </c>
      <c r="M14" s="2600">
        <v>1.44E-2</v>
      </c>
      <c r="N14" s="2600">
        <v>6.5999999999999991E-3</v>
      </c>
      <c r="O14" s="2601">
        <f t="shared" si="0"/>
        <v>4386.0960000000005</v>
      </c>
      <c r="P14" s="2601">
        <f t="shared" si="1"/>
        <v>315.65159999999997</v>
      </c>
      <c r="Q14" s="2601">
        <f t="shared" si="2"/>
        <v>4701.7476000000006</v>
      </c>
      <c r="R14" s="2601">
        <f t="shared" si="3"/>
        <v>9909.6730000000007</v>
      </c>
      <c r="S14" s="2601">
        <f t="shared" si="4"/>
        <v>14611.420600000001</v>
      </c>
      <c r="T14" s="2602">
        <f t="shared" si="5"/>
        <v>0.67821420457912218</v>
      </c>
      <c r="U14" s="740">
        <v>2441.6794752877313</v>
      </c>
      <c r="V14" s="740">
        <v>2441.6794752877313</v>
      </c>
      <c r="W14" s="27"/>
      <c r="X14" s="740">
        <v>2441.6794752877313</v>
      </c>
      <c r="Y14" s="27"/>
      <c r="Z14" s="741">
        <v>0</v>
      </c>
      <c r="AA14" s="741">
        <v>3.4703149076245811E-2</v>
      </c>
      <c r="AB14" s="741">
        <v>0</v>
      </c>
      <c r="AC14" s="27" t="s">
        <v>29</v>
      </c>
      <c r="AD14" s="27"/>
      <c r="AE14" s="27">
        <v>913.68052435128629</v>
      </c>
      <c r="AF14" s="27"/>
      <c r="AG14" s="27"/>
    </row>
    <row r="15" spans="2:33" x14ac:dyDescent="0.3">
      <c r="B15" s="756" t="s">
        <v>44</v>
      </c>
      <c r="C15" s="2601">
        <v>176.86928678782525</v>
      </c>
      <c r="D15" s="2601">
        <v>369.537098401999</v>
      </c>
      <c r="E15" s="2601">
        <f t="shared" si="7"/>
        <v>546.40638518982428</v>
      </c>
      <c r="F15" s="2601">
        <f t="shared" si="6"/>
        <v>546.40638518982428</v>
      </c>
      <c r="G15" s="2596">
        <v>0</v>
      </c>
      <c r="H15" s="2596">
        <v>0</v>
      </c>
      <c r="I15" s="2596">
        <v>0</v>
      </c>
      <c r="J15" s="2597">
        <f t="shared" si="8"/>
        <v>546.40638518982428</v>
      </c>
      <c r="K15" s="772">
        <f t="shared" si="9"/>
        <v>0</v>
      </c>
      <c r="L15" s="756" t="s">
        <v>60</v>
      </c>
      <c r="M15" s="2600">
        <v>0</v>
      </c>
      <c r="N15" s="2600">
        <v>0</v>
      </c>
      <c r="O15" s="2601">
        <f t="shared" si="0"/>
        <v>0</v>
      </c>
      <c r="P15" s="2601">
        <f t="shared" si="1"/>
        <v>0</v>
      </c>
      <c r="Q15" s="2601">
        <f t="shared" si="2"/>
        <v>0</v>
      </c>
      <c r="R15" s="2601">
        <f t="shared" si="3"/>
        <v>145.12295</v>
      </c>
      <c r="S15" s="2601">
        <f t="shared" si="4"/>
        <v>145.12295</v>
      </c>
      <c r="T15" s="2602">
        <f t="shared" si="5"/>
        <v>1</v>
      </c>
      <c r="U15" s="740">
        <v>0</v>
      </c>
      <c r="V15" s="740">
        <v>0</v>
      </c>
      <c r="W15" s="27"/>
      <c r="X15" s="27"/>
      <c r="Y15" s="740">
        <v>0</v>
      </c>
      <c r="Z15" s="741">
        <v>0</v>
      </c>
      <c r="AA15" s="741">
        <v>0</v>
      </c>
      <c r="AB15" s="741">
        <v>0</v>
      </c>
      <c r="AC15" s="27" t="s">
        <v>60</v>
      </c>
      <c r="AD15" s="27"/>
      <c r="AE15" s="27">
        <v>0</v>
      </c>
      <c r="AF15" s="27"/>
      <c r="AG15" s="27"/>
    </row>
    <row r="16" spans="2:33" x14ac:dyDescent="0.3">
      <c r="B16" s="756" t="s">
        <v>326</v>
      </c>
      <c r="C16" s="2601">
        <v>111.82900000000001</v>
      </c>
      <c r="D16" s="2601">
        <v>0</v>
      </c>
      <c r="E16" s="2601">
        <f t="shared" si="7"/>
        <v>111.82900000000001</v>
      </c>
      <c r="F16" s="2601">
        <f t="shared" si="6"/>
        <v>111.82900000000001</v>
      </c>
      <c r="G16" s="2596">
        <v>522.5132951704478</v>
      </c>
      <c r="H16" s="2596">
        <v>498.57926457982262</v>
      </c>
      <c r="I16" s="2596">
        <v>53.985383962209895</v>
      </c>
      <c r="J16" s="2597">
        <f t="shared" si="8"/>
        <v>111.82900000000001</v>
      </c>
      <c r="K16" s="772">
        <f t="shared" si="9"/>
        <v>1075.0779437124804</v>
      </c>
      <c r="L16" s="756" t="s">
        <v>33</v>
      </c>
      <c r="M16" s="2600">
        <v>0</v>
      </c>
      <c r="N16" s="2600">
        <v>0</v>
      </c>
      <c r="O16" s="2601">
        <f t="shared" si="0"/>
        <v>0</v>
      </c>
      <c r="P16" s="2601">
        <f t="shared" si="1"/>
        <v>0</v>
      </c>
      <c r="Q16" s="2601">
        <f t="shared" si="2"/>
        <v>0</v>
      </c>
      <c r="R16" s="2601">
        <f t="shared" si="3"/>
        <v>1732.3403000000001</v>
      </c>
      <c r="S16" s="2601">
        <f t="shared" si="4"/>
        <v>1732.3403000000001</v>
      </c>
      <c r="T16" s="2602">
        <f t="shared" si="5"/>
        <v>1</v>
      </c>
      <c r="U16" s="740">
        <v>0</v>
      </c>
      <c r="V16" s="740">
        <v>0</v>
      </c>
      <c r="W16" s="27"/>
      <c r="X16" s="27"/>
      <c r="Y16" s="740">
        <v>0</v>
      </c>
      <c r="Z16" s="741">
        <v>0</v>
      </c>
      <c r="AA16" s="741">
        <v>0</v>
      </c>
      <c r="AB16" s="741">
        <v>0</v>
      </c>
      <c r="AC16" s="27" t="s">
        <v>33</v>
      </c>
      <c r="AD16" s="27"/>
      <c r="AE16" s="27">
        <v>0</v>
      </c>
      <c r="AF16" s="27"/>
      <c r="AG16" s="27"/>
    </row>
    <row r="17" spans="2:41" ht="27.6" x14ac:dyDescent="0.3">
      <c r="B17" s="756" t="s">
        <v>25</v>
      </c>
      <c r="C17" s="2601">
        <v>3879.9485879764907</v>
      </c>
      <c r="D17" s="2601">
        <v>1001.3323320235097</v>
      </c>
      <c r="E17" s="2601">
        <f t="shared" si="7"/>
        <v>4881.2809200000002</v>
      </c>
      <c r="F17" s="2601">
        <f t="shared" si="6"/>
        <v>4881.2809200000002</v>
      </c>
      <c r="G17" s="2596">
        <v>8533.1129986172673</v>
      </c>
      <c r="H17" s="2596">
        <v>7563.2539765804677</v>
      </c>
      <c r="I17" s="2596">
        <v>360.2567620516632</v>
      </c>
      <c r="J17" s="2597">
        <f t="shared" si="8"/>
        <v>4881.2809200000002</v>
      </c>
      <c r="K17" s="772">
        <f t="shared" si="9"/>
        <v>16456.6237372494</v>
      </c>
      <c r="L17" s="756" t="s">
        <v>66</v>
      </c>
      <c r="M17" s="2600">
        <v>0</v>
      </c>
      <c r="N17" s="2600">
        <v>0</v>
      </c>
      <c r="O17" s="2601">
        <f t="shared" si="0"/>
        <v>0</v>
      </c>
      <c r="P17" s="2601">
        <f t="shared" si="1"/>
        <v>0</v>
      </c>
      <c r="Q17" s="2601">
        <f t="shared" si="2"/>
        <v>0</v>
      </c>
      <c r="R17" s="2601">
        <f t="shared" si="3"/>
        <v>38.457999999999998</v>
      </c>
      <c r="S17" s="2601">
        <f t="shared" si="4"/>
        <v>38.457999999999998</v>
      </c>
      <c r="T17" s="2602">
        <f t="shared" si="5"/>
        <v>1</v>
      </c>
      <c r="U17" s="740">
        <v>0</v>
      </c>
      <c r="V17" s="740">
        <v>0</v>
      </c>
      <c r="W17" s="27"/>
      <c r="X17" s="740">
        <v>0</v>
      </c>
      <c r="Y17" s="27"/>
      <c r="Z17" s="741">
        <v>0</v>
      </c>
      <c r="AA17" s="741">
        <v>0</v>
      </c>
      <c r="AB17" s="741">
        <v>0</v>
      </c>
      <c r="AC17" s="27" t="s">
        <v>66</v>
      </c>
      <c r="AD17" s="27"/>
      <c r="AE17" s="27">
        <v>0</v>
      </c>
      <c r="AF17" s="27"/>
      <c r="AG17" s="27"/>
    </row>
    <row r="18" spans="2:41" x14ac:dyDescent="0.3">
      <c r="B18" s="756" t="s">
        <v>29</v>
      </c>
      <c r="C18" s="2601">
        <v>4117.7983904569664</v>
      </c>
      <c r="D18" s="2601">
        <v>5791.8746095430342</v>
      </c>
      <c r="E18" s="2601">
        <f t="shared" si="7"/>
        <v>9909.6730000000007</v>
      </c>
      <c r="F18" s="2601">
        <f t="shared" si="6"/>
        <v>9909.6730000000007</v>
      </c>
      <c r="G18" s="2596">
        <v>2441.6794752877313</v>
      </c>
      <c r="H18" s="2596">
        <v>2171.171818153995</v>
      </c>
      <c r="I18" s="2596">
        <v>109.39635648218152</v>
      </c>
      <c r="J18" s="2597">
        <f t="shared" si="8"/>
        <v>9909.6730000000007</v>
      </c>
      <c r="K18" s="772">
        <f t="shared" si="9"/>
        <v>4722.2476499239083</v>
      </c>
      <c r="L18" s="756" t="s">
        <v>73</v>
      </c>
      <c r="M18" s="2600">
        <v>1.1999999999999999E-3</v>
      </c>
      <c r="N18" s="2600">
        <v>1.8E-3</v>
      </c>
      <c r="O18" s="2601">
        <f t="shared" si="0"/>
        <v>365.50800000000004</v>
      </c>
      <c r="P18" s="2601">
        <f t="shared" si="1"/>
        <v>86.086799999999997</v>
      </c>
      <c r="Q18" s="2601">
        <f t="shared" si="2"/>
        <v>451.59480000000002</v>
      </c>
      <c r="R18" s="2601">
        <f t="shared" si="3"/>
        <v>133.214</v>
      </c>
      <c r="S18" s="2601">
        <f t="shared" si="4"/>
        <v>584.80880000000002</v>
      </c>
      <c r="T18" s="2602">
        <f t="shared" si="5"/>
        <v>0.22779068988017964</v>
      </c>
      <c r="U18" s="740">
        <v>221.19887688237893</v>
      </c>
      <c r="V18" s="740">
        <v>221.19887688237893</v>
      </c>
      <c r="W18" s="27"/>
      <c r="X18" s="27"/>
      <c r="Y18" s="740">
        <v>221.19887688237893</v>
      </c>
      <c r="Z18" s="741">
        <v>0</v>
      </c>
      <c r="AA18" s="741">
        <v>0</v>
      </c>
      <c r="AB18" s="741">
        <v>9.1137186578367137E-3</v>
      </c>
      <c r="AC18" s="27" t="s">
        <v>73</v>
      </c>
      <c r="AD18" s="27"/>
      <c r="AE18" s="27">
        <v>171.8780178180815</v>
      </c>
      <c r="AF18" s="27"/>
      <c r="AG18" s="27"/>
    </row>
    <row r="19" spans="2:41" x14ac:dyDescent="0.3">
      <c r="B19" s="756" t="s">
        <v>60</v>
      </c>
      <c r="C19" s="2601">
        <v>145.12295</v>
      </c>
      <c r="D19" s="2601">
        <v>0</v>
      </c>
      <c r="E19" s="2601">
        <f t="shared" si="7"/>
        <v>145.12295</v>
      </c>
      <c r="F19" s="2601">
        <f t="shared" si="6"/>
        <v>145.12295</v>
      </c>
      <c r="G19" s="2596">
        <v>0</v>
      </c>
      <c r="H19" s="2596">
        <v>0</v>
      </c>
      <c r="I19" s="2596">
        <v>0</v>
      </c>
      <c r="J19" s="2597">
        <f t="shared" si="8"/>
        <v>145.12295</v>
      </c>
      <c r="K19" s="772">
        <f t="shared" si="9"/>
        <v>0</v>
      </c>
      <c r="L19" s="756" t="s">
        <v>74</v>
      </c>
      <c r="M19" s="2600">
        <v>0</v>
      </c>
      <c r="N19" s="2600">
        <v>0</v>
      </c>
      <c r="O19" s="2601">
        <f t="shared" si="0"/>
        <v>0</v>
      </c>
      <c r="P19" s="2601">
        <f t="shared" si="1"/>
        <v>0</v>
      </c>
      <c r="Q19" s="2601">
        <f t="shared" si="2"/>
        <v>0</v>
      </c>
      <c r="R19" s="2601">
        <f t="shared" si="3"/>
        <v>0.58699999999999997</v>
      </c>
      <c r="S19" s="2601">
        <f t="shared" si="4"/>
        <v>0.58699999999999997</v>
      </c>
      <c r="T19" s="2602">
        <f t="shared" si="5"/>
        <v>1</v>
      </c>
      <c r="U19" s="740">
        <v>0</v>
      </c>
      <c r="V19" s="740">
        <v>0</v>
      </c>
      <c r="W19" s="27"/>
      <c r="X19" s="740">
        <v>0</v>
      </c>
      <c r="Y19" s="740"/>
      <c r="Z19" s="741">
        <v>0</v>
      </c>
      <c r="AA19" s="741">
        <v>0</v>
      </c>
      <c r="AB19" s="741">
        <v>0</v>
      </c>
      <c r="AC19" s="27" t="s">
        <v>74</v>
      </c>
      <c r="AD19" s="27"/>
      <c r="AE19" s="27">
        <v>0</v>
      </c>
      <c r="AF19" s="27"/>
      <c r="AG19" s="27"/>
    </row>
    <row r="20" spans="2:41" ht="27.6" x14ac:dyDescent="0.3">
      <c r="B20" s="756" t="s">
        <v>33</v>
      </c>
      <c r="C20" s="2601">
        <v>631.34030000000007</v>
      </c>
      <c r="D20" s="2601">
        <v>1101</v>
      </c>
      <c r="E20" s="2601">
        <f t="shared" si="7"/>
        <v>1732.3403000000001</v>
      </c>
      <c r="F20" s="2601">
        <f t="shared" si="6"/>
        <v>1732.3403000000001</v>
      </c>
      <c r="G20" s="2596">
        <v>0</v>
      </c>
      <c r="H20" s="2596">
        <v>0</v>
      </c>
      <c r="I20" s="2596">
        <v>0</v>
      </c>
      <c r="J20" s="2597">
        <f t="shared" si="8"/>
        <v>1732.3403000000001</v>
      </c>
      <c r="K20" s="772">
        <f t="shared" si="9"/>
        <v>0</v>
      </c>
      <c r="L20" s="756" t="s">
        <v>327</v>
      </c>
      <c r="M20" s="2600">
        <v>2.4900000000000002E-2</v>
      </c>
      <c r="N20" s="2600">
        <v>1.5300000000000001E-2</v>
      </c>
      <c r="O20" s="2601">
        <f t="shared" si="0"/>
        <v>7584.291000000002</v>
      </c>
      <c r="P20" s="2601">
        <f t="shared" si="1"/>
        <v>731.73780000000011</v>
      </c>
      <c r="Q20" s="2601">
        <f t="shared" si="2"/>
        <v>8316.0288000000019</v>
      </c>
      <c r="R20" s="2601">
        <f t="shared" si="3"/>
        <v>20124.323829999998</v>
      </c>
      <c r="S20" s="2601">
        <f t="shared" si="4"/>
        <v>28440.352630000001</v>
      </c>
      <c r="T20" s="2602">
        <f t="shared" si="5"/>
        <v>0.70759754957370224</v>
      </c>
      <c r="U20" s="740">
        <v>4277.1973357771649</v>
      </c>
      <c r="V20" s="740">
        <v>4277.1973357771649</v>
      </c>
      <c r="W20" s="27"/>
      <c r="X20" s="27"/>
      <c r="Y20" s="740">
        <v>4277.1973357771649</v>
      </c>
      <c r="Z20" s="741">
        <v>0</v>
      </c>
      <c r="AA20" s="741">
        <v>0</v>
      </c>
      <c r="AB20" s="741">
        <v>0.17622681322676795</v>
      </c>
      <c r="AC20" s="27" t="s">
        <v>327</v>
      </c>
      <c r="AD20" s="27"/>
      <c r="AE20" s="27">
        <v>1504.386752702668</v>
      </c>
      <c r="AF20" s="27"/>
      <c r="AG20" s="27"/>
    </row>
    <row r="21" spans="2:41" x14ac:dyDescent="0.3">
      <c r="B21" s="756" t="s">
        <v>66</v>
      </c>
      <c r="C21" s="2601">
        <v>30.766400000000001</v>
      </c>
      <c r="D21" s="2601">
        <v>7.6916000000000002</v>
      </c>
      <c r="E21" s="2601">
        <f t="shared" si="7"/>
        <v>38.457999999999998</v>
      </c>
      <c r="F21" s="2601">
        <f t="shared" si="6"/>
        <v>38.457999999999998</v>
      </c>
      <c r="G21" s="2596">
        <v>0</v>
      </c>
      <c r="H21" s="2596">
        <v>0</v>
      </c>
      <c r="I21" s="2596">
        <v>0</v>
      </c>
      <c r="J21" s="2597">
        <f t="shared" si="8"/>
        <v>38.457999999999998</v>
      </c>
      <c r="K21" s="772">
        <f t="shared" si="9"/>
        <v>0</v>
      </c>
      <c r="L21" s="756" t="s">
        <v>143</v>
      </c>
      <c r="M21" s="2600">
        <v>2.0000000000000018E-3</v>
      </c>
      <c r="N21" s="2600">
        <v>9.0000000000000084E-4</v>
      </c>
      <c r="O21" s="2601">
        <f t="shared" si="0"/>
        <v>609.18000000000063</v>
      </c>
      <c r="P21" s="2601">
        <f t="shared" si="1"/>
        <v>43.043400000000041</v>
      </c>
      <c r="Q21" s="2601">
        <f t="shared" si="2"/>
        <v>652.22340000000065</v>
      </c>
      <c r="R21" s="2601">
        <f t="shared" si="3"/>
        <v>13904.760882704779</v>
      </c>
      <c r="S21" s="2601">
        <f t="shared" si="4"/>
        <v>14556.98428270478</v>
      </c>
      <c r="T21" s="2602">
        <f t="shared" si="5"/>
        <v>0.95519515667988253</v>
      </c>
      <c r="U21" s="740">
        <v>338.88580818185102</v>
      </c>
      <c r="V21" s="740">
        <v>338.88580818185102</v>
      </c>
      <c r="W21" s="27"/>
      <c r="X21" s="27"/>
      <c r="Y21" s="740">
        <v>338.88580818185102</v>
      </c>
      <c r="Z21" s="741">
        <v>0</v>
      </c>
      <c r="AA21" s="741">
        <v>0</v>
      </c>
      <c r="AB21" s="741">
        <v>1.3962593103695117E-2</v>
      </c>
      <c r="AC21" s="27" t="s">
        <v>143</v>
      </c>
      <c r="AD21" s="27"/>
      <c r="AE21" s="27">
        <v>523.77455730747158</v>
      </c>
      <c r="AF21" s="27"/>
      <c r="AG21" s="27"/>
    </row>
    <row r="22" spans="2:41" x14ac:dyDescent="0.3">
      <c r="B22" s="756" t="s">
        <v>73</v>
      </c>
      <c r="C22" s="2601">
        <v>133.214</v>
      </c>
      <c r="D22" s="2601"/>
      <c r="E22" s="2601">
        <f t="shared" si="7"/>
        <v>133.214</v>
      </c>
      <c r="F22" s="2601">
        <f t="shared" si="6"/>
        <v>133.214</v>
      </c>
      <c r="G22" s="2596">
        <v>221.19887688237893</v>
      </c>
      <c r="H22" s="2596">
        <v>205.99524475738502</v>
      </c>
      <c r="I22" s="2596">
        <v>18.287203347524496</v>
      </c>
      <c r="J22" s="2597">
        <f t="shared" si="8"/>
        <v>133.214</v>
      </c>
      <c r="K22" s="772">
        <f t="shared" si="9"/>
        <v>445.48132498728842</v>
      </c>
      <c r="L22" s="756" t="s">
        <v>76</v>
      </c>
      <c r="M22" s="2600">
        <v>0</v>
      </c>
      <c r="N22" s="2600">
        <v>0</v>
      </c>
      <c r="O22" s="2601">
        <f t="shared" si="0"/>
        <v>0</v>
      </c>
      <c r="P22" s="2601">
        <f t="shared" si="1"/>
        <v>0</v>
      </c>
      <c r="Q22" s="2601">
        <f t="shared" si="2"/>
        <v>0</v>
      </c>
      <c r="R22" s="2601">
        <f t="shared" si="3"/>
        <v>2973.2391172952202</v>
      </c>
      <c r="S22" s="2601">
        <f t="shared" si="4"/>
        <v>2973.2391172952202</v>
      </c>
      <c r="T22" s="2602">
        <f t="shared" si="5"/>
        <v>1</v>
      </c>
      <c r="U22" s="740">
        <v>0</v>
      </c>
      <c r="V22" s="740">
        <v>0</v>
      </c>
      <c r="W22" s="27"/>
      <c r="X22" s="27"/>
      <c r="Y22" s="740">
        <v>0</v>
      </c>
      <c r="Z22" s="741">
        <v>0</v>
      </c>
      <c r="AA22" s="741">
        <v>0</v>
      </c>
      <c r="AB22" s="741">
        <v>0</v>
      </c>
      <c r="AC22" s="27" t="s">
        <v>76</v>
      </c>
      <c r="AD22" s="27"/>
      <c r="AE22" s="27">
        <v>0</v>
      </c>
      <c r="AF22" s="27"/>
      <c r="AG22" s="27"/>
    </row>
    <row r="23" spans="2:41" x14ac:dyDescent="0.3">
      <c r="B23" s="756" t="s">
        <v>74</v>
      </c>
      <c r="C23" s="2601">
        <v>0.58699999999999997</v>
      </c>
      <c r="D23" s="2601"/>
      <c r="E23" s="2601">
        <f t="shared" si="7"/>
        <v>0.58699999999999997</v>
      </c>
      <c r="F23" s="2601">
        <f t="shared" si="6"/>
        <v>0.58699999999999997</v>
      </c>
      <c r="G23" s="2596">
        <v>0</v>
      </c>
      <c r="H23" s="2596">
        <v>0</v>
      </c>
      <c r="I23" s="2596">
        <v>0</v>
      </c>
      <c r="J23" s="2597">
        <f t="shared" si="8"/>
        <v>0.58699999999999997</v>
      </c>
      <c r="K23" s="772">
        <f t="shared" si="9"/>
        <v>0</v>
      </c>
      <c r="L23" s="756" t="s">
        <v>309</v>
      </c>
      <c r="M23" s="2600">
        <v>2.8000000000000004E-3</v>
      </c>
      <c r="N23" s="2600">
        <v>1.2999999999999999E-3</v>
      </c>
      <c r="O23" s="2601">
        <f t="shared" si="0"/>
        <v>852.85200000000032</v>
      </c>
      <c r="P23" s="2601">
        <f t="shared" si="1"/>
        <v>62.1738</v>
      </c>
      <c r="Q23" s="2601">
        <f t="shared" si="2"/>
        <v>915.02580000000034</v>
      </c>
      <c r="R23" s="2601">
        <f t="shared" si="3"/>
        <v>92081.999999999985</v>
      </c>
      <c r="S23" s="2601">
        <f t="shared" si="4"/>
        <v>92997.025799999989</v>
      </c>
      <c r="T23" s="2602">
        <f t="shared" si="5"/>
        <v>0.99016069823600739</v>
      </c>
      <c r="U23" s="740">
        <v>475.00735024739322</v>
      </c>
      <c r="V23" s="740">
        <v>475.00735024739322</v>
      </c>
      <c r="W23" s="27"/>
      <c r="X23" s="27"/>
      <c r="Y23" s="740">
        <v>475.00735024739322</v>
      </c>
      <c r="Z23" s="741">
        <v>0</v>
      </c>
      <c r="AA23" s="741">
        <v>0</v>
      </c>
      <c r="AB23" s="741">
        <v>1.9571000592653136E-2</v>
      </c>
      <c r="AC23" s="27" t="s">
        <v>309</v>
      </c>
      <c r="AD23" s="27"/>
      <c r="AE23" s="27">
        <v>406.18872414221465</v>
      </c>
      <c r="AF23" s="27"/>
      <c r="AG23" s="27"/>
    </row>
    <row r="24" spans="2:41" ht="27.6" x14ac:dyDescent="0.3">
      <c r="B24" s="756" t="s">
        <v>327</v>
      </c>
      <c r="C24" s="2601">
        <v>5081.2223715665423</v>
      </c>
      <c r="D24" s="2601">
        <v>15043.101458433455</v>
      </c>
      <c r="E24" s="2601">
        <f t="shared" si="7"/>
        <v>20124.323829999998</v>
      </c>
      <c r="F24" s="2601">
        <f t="shared" si="6"/>
        <v>20124.323829999998</v>
      </c>
      <c r="G24" s="2596">
        <v>4277.1973357771649</v>
      </c>
      <c r="H24" s="2596">
        <v>3832.2677838818404</v>
      </c>
      <c r="I24" s="2596">
        <v>217.68584643960804</v>
      </c>
      <c r="J24" s="2597">
        <f t="shared" si="8"/>
        <v>20124.323829999998</v>
      </c>
      <c r="K24" s="772">
        <f t="shared" si="9"/>
        <v>8327.1509660986139</v>
      </c>
      <c r="L24" s="756" t="s">
        <v>95</v>
      </c>
      <c r="M24" s="2600">
        <v>0</v>
      </c>
      <c r="N24" s="2600">
        <v>0</v>
      </c>
      <c r="O24" s="2601">
        <f t="shared" si="0"/>
        <v>0</v>
      </c>
      <c r="P24" s="2601">
        <f t="shared" si="1"/>
        <v>0</v>
      </c>
      <c r="Q24" s="2601">
        <f t="shared" si="2"/>
        <v>0</v>
      </c>
      <c r="R24" s="2601">
        <f t="shared" si="3"/>
        <v>11.7</v>
      </c>
      <c r="S24" s="2601">
        <f t="shared" si="4"/>
        <v>11.7</v>
      </c>
      <c r="T24" s="2602">
        <f t="shared" si="5"/>
        <v>1</v>
      </c>
      <c r="U24" s="740">
        <v>0</v>
      </c>
      <c r="V24" s="740">
        <v>0</v>
      </c>
      <c r="W24" s="27"/>
      <c r="X24" s="27"/>
      <c r="Y24" s="740">
        <v>0</v>
      </c>
      <c r="Z24" s="741">
        <v>0</v>
      </c>
      <c r="AA24" s="741">
        <v>0</v>
      </c>
      <c r="AB24" s="741">
        <v>0</v>
      </c>
      <c r="AC24" s="27" t="s">
        <v>95</v>
      </c>
      <c r="AD24" s="27"/>
      <c r="AE24" s="27">
        <v>0</v>
      </c>
      <c r="AF24" s="27"/>
      <c r="AG24" s="27"/>
    </row>
    <row r="25" spans="2:41" x14ac:dyDescent="0.3">
      <c r="B25" s="756" t="s">
        <v>143</v>
      </c>
      <c r="C25" s="2601">
        <v>12998.279553608321</v>
      </c>
      <c r="D25" s="2601">
        <v>906.48132909645835</v>
      </c>
      <c r="E25" s="2601">
        <f t="shared" si="7"/>
        <v>13904.760882704779</v>
      </c>
      <c r="F25" s="2601">
        <f t="shared" si="6"/>
        <v>13904.760882704779</v>
      </c>
      <c r="G25" s="2596">
        <v>338.88580818185102</v>
      </c>
      <c r="H25" s="2596">
        <v>301.21745127812773</v>
      </c>
      <c r="I25" s="2596">
        <v>15.071660529538434</v>
      </c>
      <c r="J25" s="2597">
        <f t="shared" si="8"/>
        <v>13904.760882704779</v>
      </c>
      <c r="K25" s="772">
        <f t="shared" si="9"/>
        <v>655.17491998951721</v>
      </c>
      <c r="L25" s="2604" t="s">
        <v>119</v>
      </c>
      <c r="M25" s="2600">
        <v>0.10929999999999999</v>
      </c>
      <c r="N25" s="2600">
        <v>7.5700000000000003E-2</v>
      </c>
      <c r="O25" s="2601">
        <f>$C$4*M25</f>
        <v>33291.687000000005</v>
      </c>
      <c r="P25" s="2601">
        <f t="shared" si="1"/>
        <v>3620.4282000000003</v>
      </c>
      <c r="Q25" s="2601">
        <f t="shared" si="2"/>
        <v>36912.115200000007</v>
      </c>
      <c r="R25" s="2601">
        <f t="shared" si="3"/>
        <v>0</v>
      </c>
      <c r="S25" s="2601">
        <f>Q25+R25</f>
        <v>36912.115200000007</v>
      </c>
      <c r="T25" s="2602">
        <f t="shared" si="5"/>
        <v>0</v>
      </c>
      <c r="U25" s="740">
        <v>18896.104574416884</v>
      </c>
      <c r="V25" s="740">
        <v>18896.104574416884</v>
      </c>
      <c r="W25" s="740"/>
      <c r="X25" s="740">
        <v>11812.275354961712</v>
      </c>
      <c r="Y25" s="740">
        <v>7083.8292194551723</v>
      </c>
      <c r="Z25" s="741">
        <v>0</v>
      </c>
      <c r="AA25" s="741">
        <v>0.16788573468456366</v>
      </c>
      <c r="AB25" s="741">
        <v>0.29186416963864997</v>
      </c>
      <c r="AC25" s="27" t="s">
        <v>119</v>
      </c>
      <c r="AD25" s="27"/>
      <c r="AE25" s="27">
        <v>11087.061335558512</v>
      </c>
      <c r="AF25" s="27"/>
      <c r="AG25" s="27"/>
    </row>
    <row r="26" spans="2:41" ht="14.4" thickBot="1" x14ac:dyDescent="0.35">
      <c r="B26" s="756" t="s">
        <v>76</v>
      </c>
      <c r="C26" s="2601">
        <v>2583.7204463916787</v>
      </c>
      <c r="D26" s="2601">
        <v>389.51867090354165</v>
      </c>
      <c r="E26" s="2601">
        <f t="shared" si="7"/>
        <v>2973.2391172952202</v>
      </c>
      <c r="F26" s="2601">
        <f t="shared" si="6"/>
        <v>2973.2391172952202</v>
      </c>
      <c r="G26" s="2596">
        <v>0</v>
      </c>
      <c r="H26" s="2596">
        <v>0</v>
      </c>
      <c r="I26" s="2596">
        <v>0</v>
      </c>
      <c r="J26" s="2597">
        <f t="shared" si="8"/>
        <v>2973.2391172952202</v>
      </c>
      <c r="K26" s="772">
        <f t="shared" si="9"/>
        <v>0</v>
      </c>
      <c r="L26" s="774" t="s">
        <v>125</v>
      </c>
      <c r="M26" s="775" t="e">
        <f>SUM(M4:M25)</f>
        <v>#REF!</v>
      </c>
      <c r="N26" s="775" t="e">
        <f t="shared" ref="N26:S26" si="10">SUM(N4:N25)</f>
        <v>#REF!</v>
      </c>
      <c r="O26" s="776" t="e">
        <f t="shared" si="10"/>
        <v>#REF!</v>
      </c>
      <c r="P26" s="776" t="e">
        <f t="shared" si="10"/>
        <v>#REF!</v>
      </c>
      <c r="Q26" s="776" t="e">
        <f t="shared" si="10"/>
        <v>#REF!</v>
      </c>
      <c r="R26" s="776">
        <f t="shared" si="10"/>
        <v>294446.07802718988</v>
      </c>
      <c r="S26" s="776" t="e">
        <f t="shared" si="10"/>
        <v>#REF!</v>
      </c>
      <c r="T26" s="777" t="e">
        <f>R26/S26</f>
        <v>#REF!</v>
      </c>
      <c r="U26" s="778">
        <v>177261.30475518643</v>
      </c>
      <c r="V26" s="778">
        <v>131274.30475518646</v>
      </c>
      <c r="W26" s="778">
        <v>36644.307894771715</v>
      </c>
      <c r="X26" s="871">
        <v>70359.017561292523</v>
      </c>
      <c r="Y26" s="871">
        <v>24270.979299122231</v>
      </c>
      <c r="Z26" s="779">
        <v>1</v>
      </c>
      <c r="AA26" s="779">
        <v>0.99999999999999989</v>
      </c>
      <c r="AB26" s="779">
        <v>1</v>
      </c>
      <c r="AC26" s="27" t="s">
        <v>125</v>
      </c>
      <c r="AD26" s="27"/>
      <c r="AE26" s="27"/>
      <c r="AF26" s="27"/>
      <c r="AG26" s="27"/>
    </row>
    <row r="27" spans="2:41" x14ac:dyDescent="0.3">
      <c r="B27" s="756" t="s">
        <v>309</v>
      </c>
      <c r="C27" s="2601">
        <v>92081.999999999985</v>
      </c>
      <c r="D27" s="2601"/>
      <c r="E27" s="2601">
        <f t="shared" si="7"/>
        <v>92081.999999999985</v>
      </c>
      <c r="F27" s="2601">
        <f t="shared" si="6"/>
        <v>92081.999999999985</v>
      </c>
      <c r="G27" s="2596">
        <v>475.00735024739322</v>
      </c>
      <c r="H27" s="2596">
        <v>422.50648810653757</v>
      </c>
      <c r="I27" s="2596">
        <v>21.393791631188755</v>
      </c>
      <c r="J27" s="2597">
        <f t="shared" si="8"/>
        <v>92081.999999999985</v>
      </c>
      <c r="K27" s="780">
        <f t="shared" si="9"/>
        <v>918.90762998511957</v>
      </c>
      <c r="L27" s="781"/>
      <c r="M27" s="782"/>
      <c r="N27" s="782"/>
      <c r="O27" s="783"/>
      <c r="P27" s="783"/>
      <c r="Q27" s="783"/>
      <c r="R27" s="783"/>
      <c r="S27" s="783"/>
      <c r="T27" s="782"/>
      <c r="V27" s="742"/>
      <c r="W27" s="872">
        <v>36644.307894771715</v>
      </c>
      <c r="X27" s="872">
        <v>70359.017561292523</v>
      </c>
      <c r="Y27" s="872">
        <v>24251.674543935762</v>
      </c>
      <c r="Z27" s="740"/>
      <c r="AA27" s="740"/>
      <c r="AB27" s="27"/>
      <c r="AC27" s="27"/>
      <c r="AD27" s="27"/>
      <c r="AE27" s="27"/>
      <c r="AF27" s="27"/>
      <c r="AG27" s="27"/>
    </row>
    <row r="28" spans="2:41" x14ac:dyDescent="0.3">
      <c r="B28" s="756" t="s">
        <v>95</v>
      </c>
      <c r="C28" s="2601">
        <v>11.7</v>
      </c>
      <c r="D28" s="2601"/>
      <c r="E28" s="2601">
        <f>C28+D28</f>
        <v>11.7</v>
      </c>
      <c r="F28" s="2601">
        <f t="shared" si="6"/>
        <v>11.7</v>
      </c>
      <c r="G28" s="2596">
        <v>0</v>
      </c>
      <c r="H28" s="2596">
        <v>0</v>
      </c>
      <c r="I28" s="2596">
        <v>0</v>
      </c>
      <c r="J28" s="2597">
        <f t="shared" si="8"/>
        <v>11.7</v>
      </c>
      <c r="K28" s="780">
        <f t="shared" si="9"/>
        <v>0</v>
      </c>
      <c r="L28" s="784" t="s">
        <v>42</v>
      </c>
      <c r="M28" s="785">
        <f t="shared" ref="M28:S28" si="11">M10+M15</f>
        <v>2.9999999999999997E-4</v>
      </c>
      <c r="N28" s="785">
        <f t="shared" si="11"/>
        <v>4.0000000000000002E-4</v>
      </c>
      <c r="O28" s="786">
        <f t="shared" si="11"/>
        <v>91.37700000000001</v>
      </c>
      <c r="P28" s="786">
        <f t="shared" si="11"/>
        <v>19.130400000000002</v>
      </c>
      <c r="Q28" s="786">
        <f t="shared" si="11"/>
        <v>110.50740000000002</v>
      </c>
      <c r="R28" s="786">
        <f t="shared" si="11"/>
        <v>359.96500000000003</v>
      </c>
      <c r="S28" s="786">
        <f t="shared" si="11"/>
        <v>470.47240000000005</v>
      </c>
      <c r="T28" s="785">
        <f>R28/S28</f>
        <v>0.76511395780071267</v>
      </c>
      <c r="V28" s="742"/>
      <c r="W28" s="873">
        <v>9008.8874373224608</v>
      </c>
      <c r="X28" s="872">
        <v>11812.275354961712</v>
      </c>
      <c r="Y28" s="872">
        <v>-19.304755186469265</v>
      </c>
      <c r="Z28" s="27"/>
      <c r="AA28" s="27"/>
      <c r="AB28" s="27"/>
      <c r="AC28" s="27"/>
      <c r="AD28" s="27"/>
      <c r="AE28" s="27"/>
      <c r="AF28" s="27"/>
      <c r="AG28" s="27"/>
    </row>
    <row r="29" spans="2:41" ht="27.6" x14ac:dyDescent="0.3">
      <c r="B29" s="2604" t="s">
        <v>119</v>
      </c>
      <c r="C29" s="2605"/>
      <c r="D29" s="2605"/>
      <c r="E29" s="2601"/>
      <c r="F29" s="2605"/>
      <c r="G29" s="2596">
        <v>18896.104574416884</v>
      </c>
      <c r="H29" s="2596">
        <v>16993.196793586441</v>
      </c>
      <c r="I29" s="2596">
        <v>1018.198112538628</v>
      </c>
      <c r="J29" s="2597">
        <f t="shared" si="8"/>
        <v>0</v>
      </c>
      <c r="K29" s="780">
        <f t="shared" si="9"/>
        <v>36907.499480541956</v>
      </c>
      <c r="L29" s="788"/>
      <c r="M29" s="779"/>
      <c r="N29" s="779"/>
      <c r="O29" s="778"/>
      <c r="P29" s="778"/>
      <c r="Q29" s="778"/>
      <c r="R29" s="778"/>
      <c r="S29" s="778"/>
      <c r="T29" s="779"/>
      <c r="U29" s="789" t="s">
        <v>489</v>
      </c>
      <c r="V29" s="742"/>
      <c r="X29" s="873">
        <v>131274.30475518646</v>
      </c>
      <c r="Y29" s="27"/>
      <c r="Z29" s="27"/>
      <c r="AA29" s="27"/>
      <c r="AB29" s="27"/>
      <c r="AC29" s="27"/>
      <c r="AD29" s="27"/>
      <c r="AE29" s="27"/>
      <c r="AF29" s="27"/>
      <c r="AG29" s="27"/>
    </row>
    <row r="30" spans="2:41" s="788" customFormat="1" ht="14.4" thickBot="1" x14ac:dyDescent="0.35">
      <c r="B30" s="774" t="s">
        <v>125</v>
      </c>
      <c r="C30" s="776">
        <f>C4+C7</f>
        <v>492356.6119287879</v>
      </c>
      <c r="D30" s="776">
        <f>D4+D7</f>
        <v>154505.46609840202</v>
      </c>
      <c r="E30" s="776">
        <f>E4+E7</f>
        <v>646862.07802718994</v>
      </c>
      <c r="F30" s="776">
        <f>F4+F7</f>
        <v>294446.07802718988</v>
      </c>
      <c r="G30" s="776">
        <f>G4</f>
        <v>177242.16249195527</v>
      </c>
      <c r="H30" s="776">
        <f>H4</f>
        <v>161637</v>
      </c>
      <c r="I30" s="776">
        <f>I4</f>
        <v>11571</v>
      </c>
      <c r="J30" s="790">
        <f>J4+J7</f>
        <v>644896.24051914515</v>
      </c>
      <c r="K30" s="778"/>
      <c r="L30" s="791" t="s">
        <v>118</v>
      </c>
      <c r="M30" s="792">
        <v>3.2656885565445652E-2</v>
      </c>
      <c r="N30" s="792">
        <v>8.6482895908570473E-3</v>
      </c>
      <c r="O30" s="793" t="e">
        <f>$O$26*M30</f>
        <v>#REF!</v>
      </c>
      <c r="P30" s="793" t="e">
        <f>$P$26*N30</f>
        <v>#REF!</v>
      </c>
      <c r="Q30" s="793" t="e">
        <f>P30+O30</f>
        <v>#REF!</v>
      </c>
      <c r="R30" s="793">
        <v>4455.9390000000003</v>
      </c>
      <c r="S30" s="793" t="e">
        <f>Q30+R30</f>
        <v>#REF!</v>
      </c>
      <c r="T30" s="792" t="e">
        <f>R30/S30</f>
        <v>#REF!</v>
      </c>
      <c r="U30" s="794">
        <v>8.0524928432624807E-2</v>
      </c>
      <c r="V30" s="742"/>
      <c r="W30" s="874"/>
    </row>
    <row r="31" spans="2:41" ht="41.4" x14ac:dyDescent="0.3">
      <c r="B31" s="795" t="s">
        <v>490</v>
      </c>
      <c r="C31" s="796">
        <v>1149628</v>
      </c>
      <c r="D31" s="796"/>
      <c r="E31" s="796"/>
      <c r="F31" s="795"/>
      <c r="G31" s="875">
        <f>SUM(G8:G29)</f>
        <v>177261.30475518643</v>
      </c>
      <c r="H31" s="795"/>
      <c r="I31" s="795"/>
      <c r="J31" s="797">
        <f>J30*1000/C31</f>
        <v>560.96079820528473</v>
      </c>
      <c r="K31" s="798" t="s">
        <v>491</v>
      </c>
      <c r="L31" s="799" t="s">
        <v>438</v>
      </c>
      <c r="M31" s="799">
        <v>0.33784311443455434</v>
      </c>
      <c r="N31" s="799">
        <v>0.32195171040914294</v>
      </c>
      <c r="O31" s="800" t="e">
        <f>$O$26*M31</f>
        <v>#REF!</v>
      </c>
      <c r="P31" s="800" t="e">
        <f>$P$26*N31</f>
        <v>#REF!</v>
      </c>
      <c r="Q31" s="800" t="e">
        <f>P31+O31</f>
        <v>#REF!</v>
      </c>
      <c r="R31" s="800">
        <v>6273.3615920000002</v>
      </c>
      <c r="S31" s="800" t="e">
        <f>Q31+R31</f>
        <v>#REF!</v>
      </c>
      <c r="T31" s="799" t="e">
        <f>R31/S31</f>
        <v>#REF!</v>
      </c>
      <c r="U31" s="794">
        <v>0.91947507156737518</v>
      </c>
      <c r="W31" s="741"/>
      <c r="Z31" s="741"/>
      <c r="AA31" s="741"/>
      <c r="AB31" s="741"/>
      <c r="AC31" s="741"/>
      <c r="AD31" s="741"/>
      <c r="AE31" s="741"/>
      <c r="AF31" s="741"/>
      <c r="AG31" s="741"/>
      <c r="AH31" s="741"/>
      <c r="AI31" s="741"/>
      <c r="AJ31" s="741"/>
      <c r="AK31" s="741"/>
      <c r="AL31" s="741"/>
      <c r="AM31" s="741"/>
      <c r="AN31" s="741"/>
      <c r="AO31" s="741"/>
    </row>
    <row r="32" spans="2:41" x14ac:dyDescent="0.3">
      <c r="F32" s="740"/>
      <c r="G32" s="740"/>
      <c r="H32" s="740"/>
      <c r="I32" s="740"/>
      <c r="J32" s="740"/>
      <c r="L32" s="801" t="s">
        <v>492</v>
      </c>
      <c r="M32" s="801">
        <v>0.3705</v>
      </c>
      <c r="N32" s="801">
        <v>0.3306</v>
      </c>
      <c r="O32" s="802" t="e">
        <f t="shared" ref="O32:S32" si="12">SUM(O30:O31)</f>
        <v>#REF!</v>
      </c>
      <c r="P32" s="802" t="e">
        <f t="shared" si="12"/>
        <v>#REF!</v>
      </c>
      <c r="Q32" s="802" t="e">
        <f t="shared" si="12"/>
        <v>#REF!</v>
      </c>
      <c r="R32" s="802">
        <f t="shared" si="12"/>
        <v>10729.300592</v>
      </c>
      <c r="S32" s="802" t="e">
        <f t="shared" si="12"/>
        <v>#REF!</v>
      </c>
      <c r="T32" s="801" t="e">
        <f>R32/S32</f>
        <v>#REF!</v>
      </c>
      <c r="AH32" s="742"/>
      <c r="AI32" s="742"/>
      <c r="AJ32" s="742"/>
      <c r="AK32" s="742"/>
      <c r="AL32" s="742"/>
      <c r="AM32" s="742"/>
      <c r="AN32" s="742"/>
      <c r="AO32" s="31"/>
    </row>
    <row r="33" spans="2:35" x14ac:dyDescent="0.3">
      <c r="F33" s="740"/>
      <c r="G33" s="740"/>
      <c r="H33" s="740"/>
      <c r="I33" s="740"/>
      <c r="J33" s="740"/>
      <c r="U33" s="741"/>
    </row>
    <row r="34" spans="2:35" ht="14.4" thickBot="1" x14ac:dyDescent="0.35">
      <c r="B34" s="27" t="s">
        <v>125</v>
      </c>
    </row>
    <row r="35" spans="2:35" ht="19.350000000000001" customHeight="1" x14ac:dyDescent="0.3">
      <c r="B35" s="3890" t="s">
        <v>336</v>
      </c>
      <c r="C35" s="3891" t="s">
        <v>468</v>
      </c>
      <c r="D35" s="3892" t="s">
        <v>469</v>
      </c>
      <c r="E35" s="3893" t="s">
        <v>493</v>
      </c>
      <c r="F35" s="3894"/>
      <c r="G35" s="3894"/>
      <c r="H35" s="3894"/>
      <c r="I35" s="3894"/>
      <c r="J35" s="3894"/>
      <c r="K35" s="3894"/>
      <c r="L35" s="3894"/>
      <c r="M35" s="3894"/>
      <c r="N35" s="3894"/>
      <c r="O35" s="3894"/>
      <c r="P35" s="3894"/>
      <c r="Q35" s="3894"/>
      <c r="R35" s="3894"/>
      <c r="S35" s="3894"/>
      <c r="T35" s="3894"/>
      <c r="U35" s="3894"/>
      <c r="V35" s="3894"/>
      <c r="W35" s="3894"/>
      <c r="X35" s="3894"/>
      <c r="Y35" s="3894"/>
      <c r="Z35" s="3894"/>
      <c r="AA35" s="3894"/>
      <c r="AB35" s="3895"/>
      <c r="AH35" s="742"/>
    </row>
    <row r="36" spans="2:35" ht="97.2" thickBot="1" x14ac:dyDescent="0.35">
      <c r="B36" s="3865"/>
      <c r="C36" s="3867"/>
      <c r="D36" s="3869"/>
      <c r="E36" s="803" t="s">
        <v>436</v>
      </c>
      <c r="F36" s="803" t="s">
        <v>494</v>
      </c>
      <c r="G36" s="803" t="s">
        <v>429</v>
      </c>
      <c r="H36" s="803" t="s">
        <v>495</v>
      </c>
      <c r="I36" s="803" t="s">
        <v>405</v>
      </c>
      <c r="J36" s="803" t="s">
        <v>496</v>
      </c>
      <c r="K36" s="803" t="s">
        <v>519</v>
      </c>
      <c r="L36" s="803" t="s">
        <v>525</v>
      </c>
      <c r="M36" s="803" t="s">
        <v>502</v>
      </c>
      <c r="N36" s="803" t="s">
        <v>503</v>
      </c>
      <c r="O36" s="803" t="s">
        <v>526</v>
      </c>
      <c r="P36" s="803" t="s">
        <v>527</v>
      </c>
      <c r="Q36" s="803" t="s">
        <v>528</v>
      </c>
      <c r="R36" s="803" t="s">
        <v>529</v>
      </c>
      <c r="S36" s="803" t="s">
        <v>530</v>
      </c>
      <c r="T36" s="803" t="s">
        <v>531</v>
      </c>
      <c r="U36" s="803" t="s">
        <v>532</v>
      </c>
      <c r="V36" s="803" t="s">
        <v>533</v>
      </c>
      <c r="W36" s="803" t="s">
        <v>534</v>
      </c>
      <c r="X36" s="803" t="s">
        <v>535</v>
      </c>
      <c r="Y36" s="803" t="s">
        <v>504</v>
      </c>
      <c r="Z36" s="803" t="s">
        <v>505</v>
      </c>
      <c r="AA36" s="803" t="s">
        <v>536</v>
      </c>
      <c r="AB36" s="804" t="s">
        <v>537</v>
      </c>
      <c r="AH36" s="742"/>
      <c r="AI36" s="742"/>
    </row>
    <row r="37" spans="2:35" x14ac:dyDescent="0.3">
      <c r="B37" s="2599" t="s">
        <v>5</v>
      </c>
      <c r="C37" s="2606" t="e">
        <f>S4</f>
        <v>#REF!</v>
      </c>
      <c r="D37" s="2607" t="e">
        <f>T4</f>
        <v>#REF!</v>
      </c>
      <c r="E37" s="2606"/>
      <c r="F37" s="2607"/>
      <c r="G37" s="2606"/>
      <c r="H37" s="2607"/>
      <c r="I37" s="2606">
        <v>10385.72737999634</v>
      </c>
      <c r="J37" s="2607" t="e">
        <f>I37/C37</f>
        <v>#REF!</v>
      </c>
      <c r="K37" s="2606"/>
      <c r="L37" s="2607"/>
      <c r="M37" s="2606">
        <v>343.57321200365965</v>
      </c>
      <c r="N37" s="2607" t="e">
        <f>M37/C37</f>
        <v>#REF!</v>
      </c>
      <c r="O37" s="2606">
        <v>21063.793831074687</v>
      </c>
      <c r="P37" s="2607" t="e">
        <f>O37/C37</f>
        <v>#REF!</v>
      </c>
      <c r="Q37" s="2606"/>
      <c r="R37" s="2607"/>
      <c r="S37" s="2606">
        <v>6571.6266263745683</v>
      </c>
      <c r="T37" s="2607" t="e">
        <f>S37/C37</f>
        <v>#REF!</v>
      </c>
      <c r="U37" s="2608"/>
      <c r="V37" s="2607"/>
      <c r="W37" s="2606">
        <f>H8</f>
        <v>59086.457323633906</v>
      </c>
      <c r="X37" s="2607" t="e">
        <f>W37/C37</f>
        <v>#REF!</v>
      </c>
      <c r="Y37" s="2608">
        <f>I8</f>
        <v>3994.3222773896205</v>
      </c>
      <c r="Z37" s="2607" t="e">
        <f>Y37/C37</f>
        <v>#REF!</v>
      </c>
      <c r="AA37" s="807">
        <v>37467</v>
      </c>
      <c r="AB37" s="2609" t="e">
        <f>AA37/C37</f>
        <v>#REF!</v>
      </c>
      <c r="AC37" s="740">
        <f>E37+G37+I37+K37+M37+O37+Q37+S37+U37+W37+Y37+AA37</f>
        <v>138912.50065047276</v>
      </c>
      <c r="AD37" s="742" t="e">
        <f t="shared" ref="AD37:AD59" si="13">AC37-C37</f>
        <v>#REF!</v>
      </c>
      <c r="AE37" s="740" t="e">
        <f>SUM(E37:AB37)</f>
        <v>#REF!</v>
      </c>
      <c r="AF37" s="742" t="e">
        <f>AE37-C37</f>
        <v>#REF!</v>
      </c>
      <c r="AH37" s="742"/>
      <c r="AI37" s="742"/>
    </row>
    <row r="38" spans="2:35" x14ac:dyDescent="0.3">
      <c r="B38" s="756" t="s">
        <v>8</v>
      </c>
      <c r="C38" s="2606">
        <f t="shared" ref="C38:D58" si="14">S5</f>
        <v>157845.8026</v>
      </c>
      <c r="D38" s="2607">
        <f t="shared" si="14"/>
        <v>0.56733215913845281</v>
      </c>
      <c r="E38" s="809"/>
      <c r="F38" s="810"/>
      <c r="G38" s="809">
        <v>87614.593607468123</v>
      </c>
      <c r="H38" s="810">
        <f>G38/C38</f>
        <v>0.55506445001577842</v>
      </c>
      <c r="I38" s="809"/>
      <c r="J38" s="810"/>
      <c r="K38" s="2606"/>
      <c r="L38" s="810"/>
      <c r="M38" s="2606">
        <v>4477.55</v>
      </c>
      <c r="N38" s="2607">
        <f t="shared" ref="N38:N59" si="15">M38/C38</f>
        <v>2.836660795692264E-2</v>
      </c>
      <c r="O38" s="2606">
        <v>6866.5988968504389</v>
      </c>
      <c r="P38" s="2607">
        <f>O38/C38</f>
        <v>4.3501941665507672E-2</v>
      </c>
      <c r="Q38" s="2606">
        <v>2032.8074802016481</v>
      </c>
      <c r="R38" s="810">
        <f>Q38/C38</f>
        <v>1.2878438619955093E-2</v>
      </c>
      <c r="S38" s="2606">
        <v>2142.2885404720223</v>
      </c>
      <c r="T38" s="2607">
        <f>S38/C38</f>
        <v>1.3572033625124868E-2</v>
      </c>
      <c r="U38" s="2608">
        <v>20001.800176873363</v>
      </c>
      <c r="V38" s="810">
        <f>U38/C38</f>
        <v>0.12671733962771439</v>
      </c>
      <c r="W38" s="2606">
        <f>H9</f>
        <v>31178.035932909774</v>
      </c>
      <c r="X38" s="2607">
        <f>W38/C38</f>
        <v>0.19752210967508979</v>
      </c>
      <c r="Y38" s="2608">
        <f t="shared" ref="Y38:Y58" si="16">I9</f>
        <v>2688.0890646060725</v>
      </c>
      <c r="Z38" s="2607">
        <f t="shared" ref="Z38:Z58" si="17">Y38/C38</f>
        <v>1.7029841911083372E-2</v>
      </c>
      <c r="AA38" s="809"/>
      <c r="AB38" s="2609"/>
      <c r="AC38" s="740">
        <f t="shared" ref="AC38:AC58" si="18">E38+G38+I38+K38+M38+O38+Q38+S38+U38+W38+Y38+AA38</f>
        <v>157001.76369938144</v>
      </c>
      <c r="AD38" s="742">
        <f t="shared" si="13"/>
        <v>-844.03890061855782</v>
      </c>
      <c r="AE38" s="740">
        <f t="shared" ref="AE38:AE59" si="19">SUM(E38:AB38)</f>
        <v>157002.75835214459</v>
      </c>
      <c r="AF38" s="742">
        <f t="shared" ref="AF38:AF59" si="20">AE38-C38</f>
        <v>-843.04424785540323</v>
      </c>
      <c r="AH38" s="742"/>
      <c r="AI38" s="742"/>
    </row>
    <row r="39" spans="2:35" x14ac:dyDescent="0.3">
      <c r="B39" s="756" t="s">
        <v>304</v>
      </c>
      <c r="C39" s="2606">
        <f t="shared" si="14"/>
        <v>43035.430399999997</v>
      </c>
      <c r="D39" s="2607">
        <f t="shared" si="14"/>
        <v>0.61530696344563574</v>
      </c>
      <c r="E39" s="809"/>
      <c r="F39" s="810"/>
      <c r="G39" s="809">
        <v>25428.744000000002</v>
      </c>
      <c r="H39" s="810">
        <f t="shared" ref="H39:H57" si="21">G39/C39</f>
        <v>0.59087927699684406</v>
      </c>
      <c r="I39" s="809"/>
      <c r="J39" s="810"/>
      <c r="K39" s="2606">
        <v>63.551999999999992</v>
      </c>
      <c r="L39" s="810">
        <f>K39/C39</f>
        <v>1.4767367122695257E-3</v>
      </c>
      <c r="M39" s="2606">
        <v>16487.020564335497</v>
      </c>
      <c r="N39" s="2607">
        <f t="shared" si="15"/>
        <v>0.3831034199285131</v>
      </c>
      <c r="O39" s="2606"/>
      <c r="P39" s="810"/>
      <c r="Q39" s="2606"/>
      <c r="R39" s="810"/>
      <c r="S39" s="2606"/>
      <c r="T39" s="2607"/>
      <c r="U39" s="2606"/>
      <c r="V39" s="810"/>
      <c r="W39" s="2606"/>
      <c r="X39" s="2607"/>
      <c r="Y39" s="2606">
        <f t="shared" si="16"/>
        <v>746.54706305477032</v>
      </c>
      <c r="Z39" s="2607">
        <f t="shared" si="17"/>
        <v>1.7347266104134753E-2</v>
      </c>
      <c r="AA39" s="809"/>
      <c r="AB39" s="2609"/>
      <c r="AC39" s="740">
        <f t="shared" si="18"/>
        <v>42725.863627390274</v>
      </c>
      <c r="AD39" s="742">
        <f t="shared" si="13"/>
        <v>-309.56677260972356</v>
      </c>
      <c r="AE39" s="740">
        <f t="shared" si="19"/>
        <v>42726.856434090012</v>
      </c>
      <c r="AF39" s="742">
        <f t="shared" si="20"/>
        <v>-308.57396590998542</v>
      </c>
      <c r="AH39" s="742"/>
      <c r="AI39" s="742"/>
    </row>
    <row r="40" spans="2:35" x14ac:dyDescent="0.3">
      <c r="B40" s="756" t="s">
        <v>14</v>
      </c>
      <c r="C40" s="2606">
        <f t="shared" si="14"/>
        <v>67573.675600000017</v>
      </c>
      <c r="D40" s="2607">
        <f t="shared" si="14"/>
        <v>0.26785578613693167</v>
      </c>
      <c r="E40" s="809"/>
      <c r="F40" s="810"/>
      <c r="G40" s="809">
        <v>19873.054704314131</v>
      </c>
      <c r="H40" s="810">
        <f t="shared" si="21"/>
        <v>0.29409462379924356</v>
      </c>
      <c r="I40" s="809"/>
      <c r="J40" s="810"/>
      <c r="K40" s="2606">
        <v>3685.7671849150406</v>
      </c>
      <c r="L40" s="810">
        <f t="shared" ref="L40:L58" si="22">K40/C40</f>
        <v>5.4544423581940532E-2</v>
      </c>
      <c r="M40" s="2606"/>
      <c r="N40" s="2607"/>
      <c r="O40" s="2606"/>
      <c r="P40" s="810"/>
      <c r="Q40" s="2606">
        <v>1675.4974533707421</v>
      </c>
      <c r="R40" s="810">
        <f>Q40/C40</f>
        <v>2.4795120858731881E-2</v>
      </c>
      <c r="S40" s="2606"/>
      <c r="T40" s="2607"/>
      <c r="U40" s="2606">
        <v>19333.446212800489</v>
      </c>
      <c r="V40" s="810">
        <f>U40/C40</f>
        <v>0.28610914000363308</v>
      </c>
      <c r="W40" s="2606">
        <v>21150.227304269785</v>
      </c>
      <c r="X40" s="2607">
        <f>W40/C40</f>
        <v>0.3129950696994464</v>
      </c>
      <c r="Y40" s="2606">
        <f t="shared" si="16"/>
        <v>1602.4745454656781</v>
      </c>
      <c r="Z40" s="2607">
        <f t="shared" si="17"/>
        <v>2.3714479510504496E-2</v>
      </c>
      <c r="AA40" s="809"/>
      <c r="AB40" s="2609"/>
      <c r="AC40" s="740">
        <f t="shared" si="18"/>
        <v>67320.467405135874</v>
      </c>
      <c r="AD40" s="742">
        <f t="shared" si="13"/>
        <v>-253.20819486414257</v>
      </c>
      <c r="AE40" s="740">
        <f t="shared" si="19"/>
        <v>67321.463657993329</v>
      </c>
      <c r="AF40" s="742">
        <f t="shared" si="20"/>
        <v>-252.21194200668833</v>
      </c>
      <c r="AH40" s="742"/>
      <c r="AI40" s="742"/>
    </row>
    <row r="41" spans="2:35" x14ac:dyDescent="0.3">
      <c r="B41" s="756" t="s">
        <v>17</v>
      </c>
      <c r="C41" s="2606">
        <f t="shared" si="14"/>
        <v>8284.0378000000019</v>
      </c>
      <c r="D41" s="2607">
        <f t="shared" si="14"/>
        <v>6.2047037013761561E-2</v>
      </c>
      <c r="E41" s="809"/>
      <c r="F41" s="810"/>
      <c r="G41" s="809">
        <v>1759.6794019678946</v>
      </c>
      <c r="H41" s="810">
        <f t="shared" si="21"/>
        <v>0.21241807973979721</v>
      </c>
      <c r="I41" s="809"/>
      <c r="J41" s="810"/>
      <c r="K41" s="2606"/>
      <c r="L41" s="810"/>
      <c r="M41" s="2606">
        <v>6349.0599562737261</v>
      </c>
      <c r="N41" s="2607">
        <f>M41/C41</f>
        <v>0.76642093017413859</v>
      </c>
      <c r="O41" s="2606"/>
      <c r="P41" s="810"/>
      <c r="Q41" s="2606"/>
      <c r="R41" s="810"/>
      <c r="S41" s="2606"/>
      <c r="T41" s="2607"/>
      <c r="U41" s="2606"/>
      <c r="V41" s="810"/>
      <c r="W41" s="2606"/>
      <c r="X41" s="2607"/>
      <c r="Y41" s="2606">
        <f t="shared" si="16"/>
        <v>193.41610696914645</v>
      </c>
      <c r="Z41" s="2607">
        <f t="shared" si="17"/>
        <v>2.3348047369985012E-2</v>
      </c>
      <c r="AA41" s="809"/>
      <c r="AB41" s="2609"/>
      <c r="AC41" s="740">
        <f t="shared" si="18"/>
        <v>8302.1554652107679</v>
      </c>
      <c r="AD41" s="742">
        <f t="shared" si="13"/>
        <v>18.117665210766063</v>
      </c>
      <c r="AE41" s="740">
        <f t="shared" si="19"/>
        <v>8303.1576522680516</v>
      </c>
      <c r="AF41" s="742">
        <f t="shared" si="20"/>
        <v>19.119852268049726</v>
      </c>
      <c r="AH41" s="742"/>
      <c r="AI41" s="742"/>
    </row>
    <row r="42" spans="2:35" x14ac:dyDescent="0.3">
      <c r="B42" s="756" t="s">
        <v>16</v>
      </c>
      <c r="C42" s="2606">
        <f t="shared" si="14"/>
        <v>14439.189000000002</v>
      </c>
      <c r="D42" s="2607">
        <f t="shared" si="14"/>
        <v>0.15665699784108372</v>
      </c>
      <c r="E42" s="809"/>
      <c r="F42" s="810"/>
      <c r="G42" s="809">
        <v>3812.0746741273479</v>
      </c>
      <c r="H42" s="810">
        <f t="shared" si="21"/>
        <v>0.26400891865376563</v>
      </c>
      <c r="I42" s="809"/>
      <c r="J42" s="810"/>
      <c r="K42" s="2606"/>
      <c r="L42" s="810"/>
      <c r="M42" s="2606">
        <v>113.10000000000001</v>
      </c>
      <c r="N42" s="2607">
        <f t="shared" si="15"/>
        <v>7.8328498920541868E-3</v>
      </c>
      <c r="O42" s="2606"/>
      <c r="P42" s="810"/>
      <c r="Q42" s="2606">
        <v>391.07115194112555</v>
      </c>
      <c r="R42" s="810">
        <f>Q42/C42</f>
        <v>2.7084010877697181E-2</v>
      </c>
      <c r="S42" s="2606"/>
      <c r="T42" s="2607"/>
      <c r="U42" s="2606">
        <v>3847.9428633793418</v>
      </c>
      <c r="V42" s="810">
        <f>U42/C42</f>
        <v>0.26649300479267507</v>
      </c>
      <c r="W42" s="2606">
        <f>H13</f>
        <v>5542.7221784019384</v>
      </c>
      <c r="X42" s="2607">
        <f>W42/C42</f>
        <v>0.38386658547110492</v>
      </c>
      <c r="Y42" s="2606">
        <f t="shared" si="16"/>
        <v>529.56162553216859</v>
      </c>
      <c r="Z42" s="2607">
        <f t="shared" si="17"/>
        <v>3.6675302576354429E-2</v>
      </c>
      <c r="AA42" s="809"/>
      <c r="AB42" s="2609"/>
      <c r="AC42" s="740">
        <f t="shared" si="18"/>
        <v>14236.472493381923</v>
      </c>
      <c r="AD42" s="742">
        <f t="shared" si="13"/>
        <v>-202.71650661807871</v>
      </c>
      <c r="AE42" s="740">
        <f t="shared" si="19"/>
        <v>14237.458454054185</v>
      </c>
      <c r="AF42" s="742">
        <f t="shared" si="20"/>
        <v>-201.73054594581663</v>
      </c>
      <c r="AH42" s="742"/>
      <c r="AI42" s="742"/>
    </row>
    <row r="43" spans="2:35" x14ac:dyDescent="0.3">
      <c r="B43" s="756" t="s">
        <v>308</v>
      </c>
      <c r="C43" s="2606">
        <f t="shared" si="14"/>
        <v>325.34945000000005</v>
      </c>
      <c r="D43" s="2607">
        <f t="shared" si="14"/>
        <v>0.66034244102763962</v>
      </c>
      <c r="E43" s="809"/>
      <c r="F43" s="810"/>
      <c r="G43" s="809">
        <v>106.00306747</v>
      </c>
      <c r="H43" s="810">
        <f t="shared" si="21"/>
        <v>0.32581296040303737</v>
      </c>
      <c r="I43" s="809"/>
      <c r="J43" s="810"/>
      <c r="K43" s="2606">
        <v>1.7187364000000001</v>
      </c>
      <c r="L43" s="810">
        <f t="shared" si="22"/>
        <v>5.2827395282211169E-3</v>
      </c>
      <c r="M43" s="2606">
        <v>212.16376207174036</v>
      </c>
      <c r="N43" s="2607">
        <f t="shared" si="15"/>
        <v>0.65211040643142426</v>
      </c>
      <c r="O43" s="2606"/>
      <c r="P43" s="810"/>
      <c r="Q43" s="2606"/>
      <c r="R43" s="810"/>
      <c r="S43" s="2606"/>
      <c r="T43" s="2607"/>
      <c r="U43" s="2610"/>
      <c r="V43" s="810"/>
      <c r="W43" s="2606"/>
      <c r="X43" s="2607"/>
      <c r="Y43" s="2606">
        <f t="shared" si="16"/>
        <v>4.2049672245874161</v>
      </c>
      <c r="Z43" s="2607">
        <f t="shared" si="17"/>
        <v>1.2924463909766608E-2</v>
      </c>
      <c r="AA43" s="809"/>
      <c r="AB43" s="2609"/>
      <c r="AC43" s="740">
        <f t="shared" si="18"/>
        <v>324.09053316632776</v>
      </c>
      <c r="AD43" s="742">
        <f t="shared" si="13"/>
        <v>-1.2589168336722878</v>
      </c>
      <c r="AE43" s="740">
        <f t="shared" si="19"/>
        <v>325.0866637366002</v>
      </c>
      <c r="AF43" s="742">
        <f t="shared" si="20"/>
        <v>-0.26278626339984612</v>
      </c>
      <c r="AH43" s="742"/>
      <c r="AI43" s="742"/>
    </row>
    <row r="44" spans="2:35" x14ac:dyDescent="0.3">
      <c r="B44" s="756" t="s">
        <v>44</v>
      </c>
      <c r="C44" s="2606">
        <f t="shared" si="14"/>
        <v>546.40638518982428</v>
      </c>
      <c r="D44" s="2607">
        <f t="shared" si="14"/>
        <v>1</v>
      </c>
      <c r="E44" s="809">
        <v>5.9529093569222612E-4</v>
      </c>
      <c r="F44" s="810">
        <f>E44/C44</f>
        <v>1.0894655549924057E-6</v>
      </c>
      <c r="G44" s="809">
        <v>455.77745926282904</v>
      </c>
      <c r="H44" s="810">
        <f t="shared" si="21"/>
        <v>0.83413640765652786</v>
      </c>
      <c r="I44" s="809"/>
      <c r="J44" s="810"/>
      <c r="K44" s="2606">
        <v>41.799727590312806</v>
      </c>
      <c r="L44" s="810">
        <f t="shared" si="22"/>
        <v>7.6499339545220313E-2</v>
      </c>
      <c r="M44" s="2606">
        <v>48.828605363833162</v>
      </c>
      <c r="N44" s="2607">
        <f t="shared" si="15"/>
        <v>8.9363167575118765E-2</v>
      </c>
      <c r="O44" s="2606"/>
      <c r="P44" s="810"/>
      <c r="Q44" s="2606"/>
      <c r="R44" s="810"/>
      <c r="S44" s="2606"/>
      <c r="T44" s="2607"/>
      <c r="U44" s="2610"/>
      <c r="V44" s="810"/>
      <c r="W44" s="2606"/>
      <c r="X44" s="2607"/>
      <c r="Y44" s="2606">
        <f t="shared" si="16"/>
        <v>0</v>
      </c>
      <c r="Z44" s="2607">
        <f t="shared" si="17"/>
        <v>0</v>
      </c>
      <c r="AA44" s="809"/>
      <c r="AB44" s="2609"/>
      <c r="AC44" s="740">
        <f t="shared" si="18"/>
        <v>546.40638750791072</v>
      </c>
      <c r="AD44" s="742">
        <f t="shared" si="13"/>
        <v>2.3180864445748739E-6</v>
      </c>
      <c r="AE44" s="740">
        <f t="shared" si="19"/>
        <v>547.40638751215306</v>
      </c>
      <c r="AF44" s="742">
        <f t="shared" si="20"/>
        <v>1.0000023223287826</v>
      </c>
      <c r="AH44" s="742"/>
      <c r="AI44" s="742"/>
    </row>
    <row r="45" spans="2:35" x14ac:dyDescent="0.3">
      <c r="B45" s="756" t="s">
        <v>326</v>
      </c>
      <c r="C45" s="2606">
        <f t="shared" si="14"/>
        <v>1211.6128000000001</v>
      </c>
      <c r="D45" s="2607">
        <f t="shared" si="14"/>
        <v>9.2297638321417533E-2</v>
      </c>
      <c r="E45" s="809"/>
      <c r="F45" s="810"/>
      <c r="G45" s="809">
        <f>F16</f>
        <v>111.82900000000001</v>
      </c>
      <c r="H45" s="810">
        <f t="shared" si="21"/>
        <v>9.2297638321417533E-2</v>
      </c>
      <c r="I45" s="809"/>
      <c r="J45" s="810"/>
      <c r="K45" s="2606"/>
      <c r="L45" s="810"/>
      <c r="M45" s="2606">
        <v>1020.6769608936844</v>
      </c>
      <c r="N45" s="2607">
        <f t="shared" si="15"/>
        <v>0.84241183395692443</v>
      </c>
      <c r="O45" s="2606"/>
      <c r="P45" s="810"/>
      <c r="Q45" s="2606"/>
      <c r="R45" s="810"/>
      <c r="S45" s="2606"/>
      <c r="T45" s="2607"/>
      <c r="U45" s="2610"/>
      <c r="V45" s="810"/>
      <c r="W45" s="2606"/>
      <c r="X45" s="2607"/>
      <c r="Y45" s="2606">
        <f t="shared" si="16"/>
        <v>53.985383962209895</v>
      </c>
      <c r="Z45" s="2607">
        <f t="shared" si="17"/>
        <v>4.4556630601962847E-2</v>
      </c>
      <c r="AA45" s="809"/>
      <c r="AB45" s="2609"/>
      <c r="AC45" s="740">
        <f t="shared" si="18"/>
        <v>1186.4913448558943</v>
      </c>
      <c r="AD45" s="742">
        <f t="shared" si="13"/>
        <v>-25.121455144105767</v>
      </c>
      <c r="AE45" s="740">
        <f t="shared" si="19"/>
        <v>1187.4706109587746</v>
      </c>
      <c r="AF45" s="742">
        <f t="shared" si="20"/>
        <v>-24.142189041225492</v>
      </c>
      <c r="AH45" s="742"/>
      <c r="AI45" s="742"/>
    </row>
    <row r="46" spans="2:35" x14ac:dyDescent="0.3">
      <c r="B46" s="756" t="s">
        <v>25</v>
      </c>
      <c r="C46" s="2606">
        <f t="shared" si="14"/>
        <v>21245.272320000004</v>
      </c>
      <c r="D46" s="2607">
        <f t="shared" si="14"/>
        <v>0.22975845385633539</v>
      </c>
      <c r="E46" s="809">
        <v>2631.0104158800004</v>
      </c>
      <c r="F46" s="810">
        <f>E46/C46</f>
        <v>0.12383980662856478</v>
      </c>
      <c r="G46" s="809">
        <v>1325.2677697800002</v>
      </c>
      <c r="H46" s="810">
        <f t="shared" si="21"/>
        <v>6.2379420221995066E-2</v>
      </c>
      <c r="I46" s="809"/>
      <c r="J46" s="810"/>
      <c r="K46" s="2606">
        <v>925.00273434000007</v>
      </c>
      <c r="L46" s="810">
        <f t="shared" si="22"/>
        <v>4.3539227005775553E-2</v>
      </c>
      <c r="M46" s="2606"/>
      <c r="N46" s="2607"/>
      <c r="O46" s="2606"/>
      <c r="P46" s="810"/>
      <c r="Q46" s="2606">
        <v>787.22417947956865</v>
      </c>
      <c r="R46" s="810">
        <f>Q46/C46</f>
        <v>3.7054087498727267E-2</v>
      </c>
      <c r="S46" s="2606"/>
      <c r="T46" s="2607"/>
      <c r="U46" s="2608">
        <v>7745.8888191376991</v>
      </c>
      <c r="V46" s="810">
        <f>U46/C46</f>
        <v>0.36459352944352835</v>
      </c>
      <c r="W46" s="2606">
        <f>H17</f>
        <v>7563.2539765804677</v>
      </c>
      <c r="X46" s="2607">
        <f>W46/C46</f>
        <v>0.35599703607755245</v>
      </c>
      <c r="Y46" s="2608">
        <f t="shared" si="16"/>
        <v>360.2567620516632</v>
      </c>
      <c r="Z46" s="2607">
        <f t="shared" si="17"/>
        <v>1.6957031975180781E-2</v>
      </c>
      <c r="AA46" s="809"/>
      <c r="AB46" s="2609"/>
      <c r="AC46" s="740">
        <f>E46+G46+I46+K46+M46+O46+Q46+S46+U46+W46+Y46+AA46</f>
        <v>21337.904657249401</v>
      </c>
      <c r="AD46" s="742">
        <f t="shared" si="13"/>
        <v>92.632337249397096</v>
      </c>
      <c r="AE46" s="740">
        <f t="shared" si="19"/>
        <v>21338.909017388251</v>
      </c>
      <c r="AF46" s="742">
        <f t="shared" si="20"/>
        <v>93.63669738824683</v>
      </c>
      <c r="AH46" s="742"/>
      <c r="AI46" s="742"/>
    </row>
    <row r="47" spans="2:35" x14ac:dyDescent="0.3">
      <c r="B47" s="756" t="s">
        <v>29</v>
      </c>
      <c r="C47" s="2606">
        <f t="shared" si="14"/>
        <v>14611.420600000001</v>
      </c>
      <c r="D47" s="2607">
        <f t="shared" si="14"/>
        <v>0.67821420457912218</v>
      </c>
      <c r="E47" s="809"/>
      <c r="F47" s="810"/>
      <c r="G47" s="809">
        <v>1781.8493904531178</v>
      </c>
      <c r="H47" s="810">
        <f t="shared" si="21"/>
        <v>0.12194908621363741</v>
      </c>
      <c r="I47" s="809"/>
      <c r="J47" s="810"/>
      <c r="K47" s="2606">
        <v>8044.9101495468831</v>
      </c>
      <c r="L47" s="810">
        <f t="shared" si="22"/>
        <v>0.55059055308741722</v>
      </c>
      <c r="M47" s="2606">
        <v>82.913460000000015</v>
      </c>
      <c r="N47" s="2607">
        <f t="shared" si="15"/>
        <v>5.6745652780674869E-3</v>
      </c>
      <c r="O47" s="2606"/>
      <c r="P47" s="810"/>
      <c r="Q47" s="2606">
        <v>225.25766643392149</v>
      </c>
      <c r="R47" s="810">
        <f>Q47/C47</f>
        <v>1.5416547959335416E-2</v>
      </c>
      <c r="S47" s="2606"/>
      <c r="T47" s="2607"/>
      <c r="U47" s="2608">
        <v>2216.42180885381</v>
      </c>
      <c r="V47" s="810">
        <f>U47/C47</f>
        <v>0.15169105520470816</v>
      </c>
      <c r="W47" s="2606">
        <f>H18</f>
        <v>2171.171818153995</v>
      </c>
      <c r="X47" s="2607">
        <f>W47/C47</f>
        <v>0.14859416326390568</v>
      </c>
      <c r="Y47" s="2608">
        <f t="shared" si="16"/>
        <v>109.39635648218152</v>
      </c>
      <c r="Z47" s="2607">
        <f t="shared" si="17"/>
        <v>7.4870445165462901E-3</v>
      </c>
      <c r="AA47" s="809"/>
      <c r="AB47" s="2609"/>
      <c r="AC47" s="740">
        <f t="shared" si="18"/>
        <v>14631.920649923906</v>
      </c>
      <c r="AD47" s="742">
        <f t="shared" si="13"/>
        <v>20.500049923904953</v>
      </c>
      <c r="AE47" s="740">
        <f t="shared" si="19"/>
        <v>14632.922052939432</v>
      </c>
      <c r="AF47" s="742">
        <f t="shared" si="20"/>
        <v>21.501452939430237</v>
      </c>
      <c r="AH47" s="742"/>
      <c r="AI47" s="742"/>
    </row>
    <row r="48" spans="2:35" x14ac:dyDescent="0.3">
      <c r="B48" s="756" t="s">
        <v>60</v>
      </c>
      <c r="C48" s="2606">
        <f t="shared" si="14"/>
        <v>145.12295</v>
      </c>
      <c r="D48" s="2607">
        <f t="shared" si="14"/>
        <v>1</v>
      </c>
      <c r="E48" s="809"/>
      <c r="F48" s="810"/>
      <c r="G48" s="809">
        <v>71.603663530000006</v>
      </c>
      <c r="H48" s="810">
        <f t="shared" si="21"/>
        <v>0.49340000000000001</v>
      </c>
      <c r="I48" s="809"/>
      <c r="J48" s="810"/>
      <c r="K48" s="2606">
        <v>1.1609836</v>
      </c>
      <c r="L48" s="810">
        <f t="shared" si="22"/>
        <v>8.0000000000000002E-3</v>
      </c>
      <c r="M48" s="2606">
        <v>72.358302870000003</v>
      </c>
      <c r="N48" s="2607">
        <f t="shared" si="15"/>
        <v>0.49859999999999999</v>
      </c>
      <c r="O48" s="2606"/>
      <c r="P48" s="810"/>
      <c r="Q48" s="2606"/>
      <c r="R48" s="810"/>
      <c r="S48" s="2606"/>
      <c r="T48" s="2607"/>
      <c r="U48" s="2606"/>
      <c r="V48" s="810"/>
      <c r="W48" s="2606"/>
      <c r="X48" s="2607"/>
      <c r="Y48" s="2606"/>
      <c r="Z48" s="2607"/>
      <c r="AA48" s="809"/>
      <c r="AB48" s="2609"/>
      <c r="AC48" s="740">
        <f t="shared" si="18"/>
        <v>145.12295</v>
      </c>
      <c r="AD48" s="742">
        <f t="shared" si="13"/>
        <v>0</v>
      </c>
      <c r="AE48" s="740">
        <f t="shared" si="19"/>
        <v>146.12295</v>
      </c>
      <c r="AF48" s="742">
        <f t="shared" si="20"/>
        <v>1</v>
      </c>
      <c r="AH48" s="742"/>
      <c r="AI48" s="742"/>
    </row>
    <row r="49" spans="2:35" x14ac:dyDescent="0.3">
      <c r="B49" s="756" t="s">
        <v>33</v>
      </c>
      <c r="C49" s="2606">
        <f t="shared" si="14"/>
        <v>1732.3403000000001</v>
      </c>
      <c r="D49" s="2607">
        <f t="shared" si="14"/>
        <v>1</v>
      </c>
      <c r="E49" s="809"/>
      <c r="F49" s="810"/>
      <c r="G49" s="809">
        <v>1529.6564849000001</v>
      </c>
      <c r="H49" s="810">
        <f t="shared" si="21"/>
        <v>0.88300000000000001</v>
      </c>
      <c r="I49" s="809"/>
      <c r="J49" s="810"/>
      <c r="K49" s="2606">
        <v>29.449785100000003</v>
      </c>
      <c r="L49" s="810">
        <f t="shared" si="22"/>
        <v>1.7000000000000001E-2</v>
      </c>
      <c r="M49" s="2606">
        <v>6.9293612000000007</v>
      </c>
      <c r="N49" s="2607">
        <f t="shared" si="15"/>
        <v>4.0000000000000001E-3</v>
      </c>
      <c r="O49" s="2606"/>
      <c r="P49" s="810"/>
      <c r="Q49" s="2606"/>
      <c r="R49" s="810"/>
      <c r="S49" s="2606"/>
      <c r="T49" s="2607"/>
      <c r="U49" s="2606"/>
      <c r="V49" s="810"/>
      <c r="W49" s="2606"/>
      <c r="X49" s="2607"/>
      <c r="Y49" s="2606"/>
      <c r="Z49" s="2607"/>
      <c r="AA49" s="809">
        <v>166.3046688</v>
      </c>
      <c r="AB49" s="2609">
        <f>AA49/C49</f>
        <v>9.6000000000000002E-2</v>
      </c>
      <c r="AC49" s="740">
        <f t="shared" si="18"/>
        <v>1732.3403000000001</v>
      </c>
      <c r="AD49" s="742">
        <f t="shared" si="13"/>
        <v>0</v>
      </c>
      <c r="AE49" s="740">
        <f t="shared" si="19"/>
        <v>1733.3403000000001</v>
      </c>
      <c r="AF49" s="742">
        <f t="shared" si="20"/>
        <v>1</v>
      </c>
      <c r="AH49" s="742"/>
      <c r="AI49" s="742"/>
    </row>
    <row r="50" spans="2:35" x14ac:dyDescent="0.3">
      <c r="B50" s="756" t="s">
        <v>66</v>
      </c>
      <c r="C50" s="2606">
        <f t="shared" si="14"/>
        <v>38.457999999999998</v>
      </c>
      <c r="D50" s="2607">
        <f t="shared" si="14"/>
        <v>1</v>
      </c>
      <c r="E50" s="809">
        <v>5.8210693977332717</v>
      </c>
      <c r="F50" s="810">
        <f>E50/C50</f>
        <v>0.15136172962019012</v>
      </c>
      <c r="G50" s="809">
        <v>18.138691609666399</v>
      </c>
      <c r="H50" s="810">
        <f t="shared" si="21"/>
        <v>0.47164937359369702</v>
      </c>
      <c r="I50" s="809"/>
      <c r="J50" s="810"/>
      <c r="K50" s="2606">
        <v>14.498238992600326</v>
      </c>
      <c r="L50" s="810">
        <f t="shared" si="22"/>
        <v>0.3769888967861128</v>
      </c>
      <c r="M50" s="2606"/>
      <c r="N50" s="2607"/>
      <c r="O50" s="2606"/>
      <c r="P50" s="810"/>
      <c r="Q50" s="2606"/>
      <c r="R50" s="810"/>
      <c r="S50" s="2606"/>
      <c r="T50" s="2607"/>
      <c r="U50" s="2606"/>
      <c r="V50" s="810"/>
      <c r="W50" s="2606"/>
      <c r="X50" s="2607"/>
      <c r="Y50" s="2606"/>
      <c r="Z50" s="2607"/>
      <c r="AA50" s="809"/>
      <c r="AB50" s="2609"/>
      <c r="AC50" s="740">
        <f t="shared" si="18"/>
        <v>38.457999999999998</v>
      </c>
      <c r="AD50" s="742">
        <f t="shared" si="13"/>
        <v>0</v>
      </c>
      <c r="AE50" s="740">
        <f t="shared" si="19"/>
        <v>39.457999999999998</v>
      </c>
      <c r="AF50" s="742">
        <f t="shared" si="20"/>
        <v>1</v>
      </c>
      <c r="AH50" s="742"/>
      <c r="AI50" s="742"/>
    </row>
    <row r="51" spans="2:35" x14ac:dyDescent="0.3">
      <c r="B51" s="756" t="s">
        <v>73</v>
      </c>
      <c r="C51" s="2606">
        <f t="shared" si="14"/>
        <v>584.80880000000002</v>
      </c>
      <c r="D51" s="2607">
        <f t="shared" si="14"/>
        <v>0.22779068988017964</v>
      </c>
      <c r="E51" s="809"/>
      <c r="F51" s="810"/>
      <c r="G51" s="809">
        <v>112.68572259999999</v>
      </c>
      <c r="H51" s="810">
        <f t="shared" si="21"/>
        <v>0.19268814456964395</v>
      </c>
      <c r="I51" s="809"/>
      <c r="J51" s="810"/>
      <c r="K51" s="2606">
        <v>54.232958717499017</v>
      </c>
      <c r="L51" s="810">
        <f t="shared" si="22"/>
        <v>9.2736222022478138E-2</v>
      </c>
      <c r="M51" s="2611">
        <v>187.31825745735205</v>
      </c>
      <c r="N51" s="2607">
        <f t="shared" si="15"/>
        <v>0.32030683782007391</v>
      </c>
      <c r="O51" s="2606"/>
      <c r="P51" s="810"/>
      <c r="Q51" s="2606"/>
      <c r="R51" s="810"/>
      <c r="S51" s="2606"/>
      <c r="T51" s="2607"/>
      <c r="U51" s="2606"/>
      <c r="V51" s="810"/>
      <c r="W51" s="2606">
        <f>H22</f>
        <v>205.99524475738502</v>
      </c>
      <c r="X51" s="2607">
        <f>W51/C51</f>
        <v>0.35224375002117791</v>
      </c>
      <c r="Y51" s="2606">
        <f>I22</f>
        <v>18.287203347524496</v>
      </c>
      <c r="Z51" s="2607">
        <f>Y51/C51</f>
        <v>3.1270397004156736E-2</v>
      </c>
      <c r="AA51" s="809"/>
      <c r="AB51" s="2609"/>
      <c r="AC51" s="740">
        <f t="shared" si="18"/>
        <v>578.51938687976065</v>
      </c>
      <c r="AD51" s="742">
        <f t="shared" si="13"/>
        <v>-6.2894131202393737</v>
      </c>
      <c r="AE51" s="740">
        <f t="shared" si="19"/>
        <v>579.50863223119813</v>
      </c>
      <c r="AF51" s="742">
        <f t="shared" si="20"/>
        <v>-5.3001677688018844</v>
      </c>
      <c r="AH51" s="742"/>
      <c r="AI51" s="742"/>
    </row>
    <row r="52" spans="2:35" x14ac:dyDescent="0.3">
      <c r="B52" s="756" t="s">
        <v>74</v>
      </c>
      <c r="C52" s="2606">
        <f t="shared" si="14"/>
        <v>0.58699999999999997</v>
      </c>
      <c r="D52" s="2607">
        <f t="shared" si="14"/>
        <v>1</v>
      </c>
      <c r="E52" s="809"/>
      <c r="F52" s="810"/>
      <c r="G52" s="812">
        <v>9.6785867237687354E-2</v>
      </c>
      <c r="H52" s="810">
        <f t="shared" si="21"/>
        <v>0.16488222698072805</v>
      </c>
      <c r="I52" s="809"/>
      <c r="J52" s="810"/>
      <c r="K52" s="2612">
        <v>0.49021413276231268</v>
      </c>
      <c r="L52" s="810">
        <f t="shared" si="22"/>
        <v>0.83511777301927204</v>
      </c>
      <c r="M52" s="2606"/>
      <c r="N52" s="2607"/>
      <c r="O52" s="2606"/>
      <c r="P52" s="810"/>
      <c r="Q52" s="2606"/>
      <c r="R52" s="810"/>
      <c r="S52" s="2606"/>
      <c r="T52" s="2607"/>
      <c r="U52" s="2606"/>
      <c r="V52" s="810"/>
      <c r="W52" s="2606"/>
      <c r="X52" s="2607"/>
      <c r="Y52" s="2606"/>
      <c r="Z52" s="2607"/>
      <c r="AA52" s="809"/>
      <c r="AB52" s="2609"/>
      <c r="AC52" s="740">
        <f t="shared" si="18"/>
        <v>0.58700000000000008</v>
      </c>
      <c r="AD52" s="742">
        <f t="shared" si="13"/>
        <v>0</v>
      </c>
      <c r="AE52" s="740">
        <f t="shared" si="19"/>
        <v>1.5870000000000002</v>
      </c>
      <c r="AF52" s="742">
        <f t="shared" si="20"/>
        <v>1.0000000000000002</v>
      </c>
      <c r="AH52" s="742"/>
      <c r="AI52" s="742"/>
    </row>
    <row r="53" spans="2:35" x14ac:dyDescent="0.3">
      <c r="B53" s="756" t="s">
        <v>327</v>
      </c>
      <c r="C53" s="2606">
        <f t="shared" si="14"/>
        <v>28440.352630000001</v>
      </c>
      <c r="D53" s="2607">
        <f t="shared" si="14"/>
        <v>0.70759754957370224</v>
      </c>
      <c r="E53" s="809">
        <v>10847.010544369999</v>
      </c>
      <c r="F53" s="810">
        <f>E53/C53</f>
        <v>0.38139507922022553</v>
      </c>
      <c r="G53" s="809">
        <v>5463.7539198449995</v>
      </c>
      <c r="H53" s="810">
        <f t="shared" si="21"/>
        <v>0.19211273470926016</v>
      </c>
      <c r="I53" s="809"/>
      <c r="J53" s="810"/>
      <c r="K53" s="2606">
        <v>4466.0604541198172</v>
      </c>
      <c r="L53" s="810">
        <f t="shared" si="22"/>
        <v>0.15703252741700682</v>
      </c>
      <c r="M53" s="2606">
        <v>3621.2942319557128</v>
      </c>
      <c r="N53" s="2607">
        <f t="shared" si="15"/>
        <v>0.12732944204551913</v>
      </c>
      <c r="O53" s="2606"/>
      <c r="P53" s="810"/>
      <c r="Q53" s="2606"/>
      <c r="R53" s="810"/>
      <c r="S53" s="2606"/>
      <c r="T53" s="2607"/>
      <c r="U53" s="2606"/>
      <c r="V53" s="810"/>
      <c r="W53" s="2606">
        <f>H24</f>
        <v>3832.2677838818404</v>
      </c>
      <c r="X53" s="2607">
        <f>W53/C53</f>
        <v>0.13474754809613063</v>
      </c>
      <c r="Y53" s="2606">
        <f t="shared" si="16"/>
        <v>217.68584643960804</v>
      </c>
      <c r="Z53" s="2607">
        <f t="shared" si="17"/>
        <v>7.6541191057520313E-3</v>
      </c>
      <c r="AA53" s="809"/>
      <c r="AB53" s="2609"/>
      <c r="AC53" s="740">
        <f t="shared" si="18"/>
        <v>28448.072780611976</v>
      </c>
      <c r="AD53" s="742">
        <f t="shared" si="13"/>
        <v>7.7201506119745318</v>
      </c>
      <c r="AE53" s="740">
        <f t="shared" si="19"/>
        <v>28449.073052062573</v>
      </c>
      <c r="AF53" s="742">
        <f t="shared" si="20"/>
        <v>8.7204220625717426</v>
      </c>
      <c r="AH53" s="742"/>
      <c r="AI53" s="742"/>
    </row>
    <row r="54" spans="2:35" x14ac:dyDescent="0.3">
      <c r="B54" s="756" t="s">
        <v>143</v>
      </c>
      <c r="C54" s="2606">
        <f t="shared" si="14"/>
        <v>14556.98428270478</v>
      </c>
      <c r="D54" s="2607">
        <f t="shared" si="14"/>
        <v>0.95519515667988253</v>
      </c>
      <c r="E54" s="809">
        <v>38.212959633294474</v>
      </c>
      <c r="F54" s="810">
        <f>E54/C54</f>
        <v>2.6250601698248359E-3</v>
      </c>
      <c r="G54" s="809">
        <v>11932.333997215144</v>
      </c>
      <c r="H54" s="810">
        <f t="shared" si="21"/>
        <v>0.81969821258871634</v>
      </c>
      <c r="I54" s="809"/>
      <c r="J54" s="810"/>
      <c r="K54" s="2606">
        <v>838.54826966792871</v>
      </c>
      <c r="L54" s="810">
        <f t="shared" si="22"/>
        <v>5.7604532187632555E-2</v>
      </c>
      <c r="M54" s="2606">
        <v>1434.2819199286284</v>
      </c>
      <c r="N54" s="2607">
        <f t="shared" si="15"/>
        <v>9.8528781241641203E-2</v>
      </c>
      <c r="O54" s="2606"/>
      <c r="P54" s="810"/>
      <c r="Q54" s="2606"/>
      <c r="R54" s="810"/>
      <c r="S54" s="2606"/>
      <c r="T54" s="2607"/>
      <c r="U54" s="2606"/>
      <c r="V54" s="810"/>
      <c r="W54" s="2606">
        <f>H25</f>
        <v>301.21745127812773</v>
      </c>
      <c r="X54" s="2607">
        <f>W54/C54</f>
        <v>2.0692297623485487E-2</v>
      </c>
      <c r="Y54" s="2606">
        <f t="shared" si="16"/>
        <v>15.071660529538434</v>
      </c>
      <c r="Z54" s="2607">
        <f t="shared" si="17"/>
        <v>1.035355966375889E-3</v>
      </c>
      <c r="AA54" s="809"/>
      <c r="AB54" s="2609"/>
      <c r="AC54" s="740">
        <f t="shared" si="18"/>
        <v>14559.666258252661</v>
      </c>
      <c r="AD54" s="742">
        <f t="shared" si="13"/>
        <v>2.6819755478809384</v>
      </c>
      <c r="AE54" s="740">
        <f t="shared" si="19"/>
        <v>14560.666442492437</v>
      </c>
      <c r="AF54" s="742">
        <f t="shared" si="20"/>
        <v>3.6821597876569285</v>
      </c>
      <c r="AH54" s="742"/>
      <c r="AI54" s="742"/>
    </row>
    <row r="55" spans="2:35" x14ac:dyDescent="0.3">
      <c r="B55" s="756" t="s">
        <v>76</v>
      </c>
      <c r="C55" s="2606">
        <f t="shared" si="14"/>
        <v>2973.2391172952202</v>
      </c>
      <c r="D55" s="2607">
        <f t="shared" si="14"/>
        <v>1</v>
      </c>
      <c r="E55" s="809">
        <v>2.7550316171920066</v>
      </c>
      <c r="F55" s="810">
        <f>E55/C55</f>
        <v>9.266095017942187E-4</v>
      </c>
      <c r="G55" s="809">
        <v>566.90116911554765</v>
      </c>
      <c r="H55" s="810">
        <f t="shared" si="21"/>
        <v>0.19066786987225642</v>
      </c>
      <c r="I55" s="809"/>
      <c r="J55" s="810"/>
      <c r="K55" s="2606">
        <v>2403.5829165624809</v>
      </c>
      <c r="L55" s="810">
        <f t="shared" si="22"/>
        <v>0.8084055206259495</v>
      </c>
      <c r="M55" s="2606"/>
      <c r="N55" s="2607"/>
      <c r="O55" s="2606"/>
      <c r="P55" s="810"/>
      <c r="Q55" s="2606"/>
      <c r="R55" s="810"/>
      <c r="S55" s="2606"/>
      <c r="T55" s="2607"/>
      <c r="U55" s="2606"/>
      <c r="V55" s="810"/>
      <c r="W55" s="2606"/>
      <c r="X55" s="2607"/>
      <c r="Y55" s="2606"/>
      <c r="Z55" s="2607"/>
      <c r="AA55" s="809"/>
      <c r="AB55" s="2609"/>
      <c r="AC55" s="740">
        <f t="shared" si="18"/>
        <v>2973.2391172952207</v>
      </c>
      <c r="AD55" s="742">
        <f t="shared" si="13"/>
        <v>0</v>
      </c>
      <c r="AE55" s="740">
        <f t="shared" si="19"/>
        <v>2974.2391172952207</v>
      </c>
      <c r="AF55" s="742">
        <f t="shared" si="20"/>
        <v>1.0000000000004547</v>
      </c>
      <c r="AH55" s="742"/>
      <c r="AI55" s="742"/>
    </row>
    <row r="56" spans="2:35" x14ac:dyDescent="0.3">
      <c r="B56" s="756" t="s">
        <v>309</v>
      </c>
      <c r="C56" s="2606">
        <f t="shared" si="14"/>
        <v>92997.025799999989</v>
      </c>
      <c r="D56" s="2607">
        <f t="shared" si="14"/>
        <v>0.99016069823600739</v>
      </c>
      <c r="E56" s="809"/>
      <c r="F56" s="810"/>
      <c r="G56" s="809">
        <v>87477.89999999998</v>
      </c>
      <c r="H56" s="810">
        <f t="shared" si="21"/>
        <v>0.94065266332420694</v>
      </c>
      <c r="I56" s="809"/>
      <c r="J56" s="810"/>
      <c r="K56" s="2606"/>
      <c r="L56" s="810"/>
      <c r="M56" s="2606">
        <v>5501.2360249787343</v>
      </c>
      <c r="N56" s="2607">
        <f t="shared" si="15"/>
        <v>5.9154967351426148E-2</v>
      </c>
      <c r="O56" s="2606"/>
      <c r="P56" s="810"/>
      <c r="Q56" s="2606"/>
      <c r="R56" s="810"/>
      <c r="S56" s="2606"/>
      <c r="T56" s="2607"/>
      <c r="U56" s="2606"/>
      <c r="V56" s="810"/>
      <c r="W56" s="2606"/>
      <c r="X56" s="2607"/>
      <c r="Y56" s="2606">
        <f t="shared" si="16"/>
        <v>21.393791631188755</v>
      </c>
      <c r="Z56" s="2607">
        <f t="shared" si="17"/>
        <v>2.300481273153658E-4</v>
      </c>
      <c r="AA56" s="809"/>
      <c r="AB56" s="2609"/>
      <c r="AC56" s="740">
        <f t="shared" si="18"/>
        <v>93000.529816609895</v>
      </c>
      <c r="AD56" s="742">
        <f t="shared" si="13"/>
        <v>3.5040166099061025</v>
      </c>
      <c r="AE56" s="740">
        <f t="shared" si="19"/>
        <v>93001.529854288703</v>
      </c>
      <c r="AF56" s="742">
        <f t="shared" si="20"/>
        <v>4.5040542887145421</v>
      </c>
      <c r="AH56" s="742"/>
      <c r="AI56" s="742"/>
    </row>
    <row r="57" spans="2:35" x14ac:dyDescent="0.3">
      <c r="B57" s="756" t="s">
        <v>95</v>
      </c>
      <c r="C57" s="2606">
        <f t="shared" si="14"/>
        <v>11.7</v>
      </c>
      <c r="D57" s="2607">
        <f t="shared" si="14"/>
        <v>1</v>
      </c>
      <c r="E57" s="809"/>
      <c r="F57" s="810"/>
      <c r="G57" s="809">
        <f>F28</f>
        <v>11.7</v>
      </c>
      <c r="H57" s="810">
        <f t="shared" si="21"/>
        <v>1</v>
      </c>
      <c r="I57" s="809"/>
      <c r="J57" s="810"/>
      <c r="K57" s="2606"/>
      <c r="L57" s="810"/>
      <c r="M57" s="2606"/>
      <c r="N57" s="2607"/>
      <c r="O57" s="2606"/>
      <c r="P57" s="810"/>
      <c r="Q57" s="2606"/>
      <c r="R57" s="810"/>
      <c r="S57" s="2606"/>
      <c r="T57" s="2607"/>
      <c r="U57" s="2606"/>
      <c r="V57" s="810"/>
      <c r="W57" s="2606"/>
      <c r="X57" s="2607"/>
      <c r="Y57" s="2606"/>
      <c r="Z57" s="2607"/>
      <c r="AA57" s="809"/>
      <c r="AB57" s="2609"/>
      <c r="AC57" s="740">
        <f t="shared" si="18"/>
        <v>11.7</v>
      </c>
      <c r="AD57" s="742">
        <f t="shared" si="13"/>
        <v>0</v>
      </c>
      <c r="AE57" s="740">
        <f t="shared" si="19"/>
        <v>12.7</v>
      </c>
      <c r="AF57" s="742">
        <f t="shared" si="20"/>
        <v>1</v>
      </c>
      <c r="AH57" s="742"/>
      <c r="AI57" s="742"/>
    </row>
    <row r="58" spans="2:35" x14ac:dyDescent="0.3">
      <c r="B58" s="2604" t="s">
        <v>119</v>
      </c>
      <c r="C58" s="2606">
        <f t="shared" si="14"/>
        <v>36912.115200000007</v>
      </c>
      <c r="D58" s="2607">
        <f t="shared" si="14"/>
        <v>0</v>
      </c>
      <c r="E58" s="807"/>
      <c r="F58" s="816"/>
      <c r="G58" s="807"/>
      <c r="H58" s="816"/>
      <c r="I58" s="807"/>
      <c r="J58" s="816"/>
      <c r="K58" s="2606">
        <v>1080.6623852982998</v>
      </c>
      <c r="L58" s="810">
        <f t="shared" si="22"/>
        <v>2.9276631248113888E-2</v>
      </c>
      <c r="M58" s="2606">
        <v>5997.532467814297</v>
      </c>
      <c r="N58" s="2607">
        <f t="shared" si="15"/>
        <v>0.16248140848385453</v>
      </c>
      <c r="O58" s="2606"/>
      <c r="P58" s="816"/>
      <c r="Q58" s="2606">
        <v>1089.7440096718851</v>
      </c>
      <c r="R58" s="810">
        <f>Q58/C58</f>
        <v>2.9522664950717453E-2</v>
      </c>
      <c r="S58" s="2606"/>
      <c r="T58" s="2607"/>
      <c r="U58" s="2606">
        <v>10722.531345289826</v>
      </c>
      <c r="V58" s="810">
        <f>U58/C58</f>
        <v>0.2904881307178469</v>
      </c>
      <c r="W58" s="2606">
        <f>H29</f>
        <v>16993.196793586441</v>
      </c>
      <c r="X58" s="2607">
        <f>W58/C58</f>
        <v>0.46036908753433992</v>
      </c>
      <c r="Y58" s="2606">
        <f t="shared" si="16"/>
        <v>1018.198112538628</v>
      </c>
      <c r="Z58" s="2607">
        <f t="shared" si="17"/>
        <v>2.7584388134403847E-2</v>
      </c>
      <c r="AA58" s="817"/>
      <c r="AB58" s="2609"/>
      <c r="AC58" s="740">
        <f t="shared" si="18"/>
        <v>36901.865114199383</v>
      </c>
      <c r="AD58" s="742">
        <f t="shared" si="13"/>
        <v>-10.25008580062422</v>
      </c>
      <c r="AE58" s="740">
        <f t="shared" si="19"/>
        <v>36902.864836510445</v>
      </c>
      <c r="AF58" s="742">
        <f t="shared" si="20"/>
        <v>-9.2503634895620053</v>
      </c>
      <c r="AH58" s="742"/>
      <c r="AI58" s="742"/>
    </row>
    <row r="59" spans="2:35" ht="14.4" thickBot="1" x14ac:dyDescent="0.35">
      <c r="B59" s="774" t="s">
        <v>125</v>
      </c>
      <c r="C59" s="818" t="e">
        <f>SUM(C37:C58)</f>
        <v>#REF!</v>
      </c>
      <c r="D59" s="819" t="e">
        <f>T26</f>
        <v>#REF!</v>
      </c>
      <c r="E59" s="820">
        <f>SUM(E37:E58)</f>
        <v>13524.810616189156</v>
      </c>
      <c r="F59" s="819" t="e">
        <f>E59/C59</f>
        <v>#REF!</v>
      </c>
      <c r="G59" s="820">
        <f>SUM(G37:G58)</f>
        <v>249453.6435095261</v>
      </c>
      <c r="H59" s="819" t="e">
        <f>G59/C59</f>
        <v>#REF!</v>
      </c>
      <c r="I59" s="820">
        <f>SUM(I37:I58)</f>
        <v>10385.72737999634</v>
      </c>
      <c r="J59" s="819" t="e">
        <f>I59/C59</f>
        <v>#REF!</v>
      </c>
      <c r="K59" s="820">
        <f>SUM(K37:K58)</f>
        <v>21651.436738983626</v>
      </c>
      <c r="L59" s="819" t="e">
        <f>K59/C59</f>
        <v>#REF!</v>
      </c>
      <c r="M59" s="820">
        <f>SUM(M37:M58)</f>
        <v>45955.837087146865</v>
      </c>
      <c r="N59" s="819" t="e">
        <f t="shared" si="15"/>
        <v>#REF!</v>
      </c>
      <c r="O59" s="820">
        <f>SUM(O37:O58)</f>
        <v>27930.392727925126</v>
      </c>
      <c r="P59" s="819" t="e">
        <f>O59/C59</f>
        <v>#REF!</v>
      </c>
      <c r="Q59" s="820">
        <f>SUM(Q37:Q58)</f>
        <v>6201.6019410988902</v>
      </c>
      <c r="R59" s="819" t="e">
        <f>Q59/C59</f>
        <v>#REF!</v>
      </c>
      <c r="S59" s="820">
        <f>SUM(S37:S58)</f>
        <v>8713.9151668465911</v>
      </c>
      <c r="T59" s="819" t="e">
        <f>S59/C59</f>
        <v>#REF!</v>
      </c>
      <c r="U59" s="820">
        <f>SUM(U37:U58)</f>
        <v>63868.031226334526</v>
      </c>
      <c r="V59" s="819" t="e">
        <f>U59/C59</f>
        <v>#REF!</v>
      </c>
      <c r="W59" s="820">
        <f>SUM(W37:W58)</f>
        <v>148024.54580745366</v>
      </c>
      <c r="X59" s="819" t="e">
        <f>W59/C59</f>
        <v>#REF!</v>
      </c>
      <c r="Y59" s="820">
        <f>SUM(Y37:Y58)</f>
        <v>11572.890767224588</v>
      </c>
      <c r="Z59" s="819" t="e">
        <f>Y59/C59</f>
        <v>#REF!</v>
      </c>
      <c r="AA59" s="820">
        <f>SUM(AA37:AA57)</f>
        <v>37633.304668800003</v>
      </c>
      <c r="AB59" s="821" t="e">
        <f>AA59/C59</f>
        <v>#REF!</v>
      </c>
      <c r="AC59" s="822">
        <f>E59+G59+I59+K59+M59+O59+Q59+S59+U59+W59+Y59+AA59</f>
        <v>644916.13763752545</v>
      </c>
      <c r="AD59" s="742" t="e">
        <f t="shared" si="13"/>
        <v>#REF!</v>
      </c>
      <c r="AE59" s="740" t="e">
        <f t="shared" si="19"/>
        <v>#REF!</v>
      </c>
      <c r="AF59" s="742" t="e">
        <f t="shared" si="20"/>
        <v>#REF!</v>
      </c>
      <c r="AH59" s="742"/>
      <c r="AI59" s="742"/>
    </row>
    <row r="60" spans="2:35" s="823" customFormat="1" ht="10.199999999999999" x14ac:dyDescent="0.3">
      <c r="B60" s="823" t="s">
        <v>508</v>
      </c>
      <c r="C60" s="824" t="e">
        <f>C59-AA59</f>
        <v>#REF!</v>
      </c>
      <c r="D60" s="824"/>
      <c r="E60" s="824"/>
      <c r="F60" s="825" t="e">
        <f>E59/C60</f>
        <v>#REF!</v>
      </c>
      <c r="H60" s="825" t="e">
        <f>G59/C60</f>
        <v>#REF!</v>
      </c>
      <c r="I60" s="825"/>
      <c r="J60" s="825" t="e">
        <f>I59/C60</f>
        <v>#REF!</v>
      </c>
      <c r="K60" s="825"/>
      <c r="L60" s="825" t="e">
        <f>K59/$C$60</f>
        <v>#REF!</v>
      </c>
      <c r="M60" s="825"/>
      <c r="N60" s="825" t="e">
        <f t="shared" ref="N60:Z60" si="23">M59/$C$60</f>
        <v>#REF!</v>
      </c>
      <c r="O60" s="825"/>
      <c r="P60" s="825" t="e">
        <f t="shared" si="23"/>
        <v>#REF!</v>
      </c>
      <c r="Q60" s="825"/>
      <c r="R60" s="825" t="e">
        <f t="shared" si="23"/>
        <v>#REF!</v>
      </c>
      <c r="S60" s="825"/>
      <c r="T60" s="825" t="e">
        <f t="shared" si="23"/>
        <v>#REF!</v>
      </c>
      <c r="U60" s="825"/>
      <c r="V60" s="825" t="e">
        <f t="shared" si="23"/>
        <v>#REF!</v>
      </c>
      <c r="W60" s="825"/>
      <c r="X60" s="825" t="e">
        <f t="shared" si="23"/>
        <v>#REF!</v>
      </c>
      <c r="Y60" s="825"/>
      <c r="Z60" s="825" t="e">
        <f t="shared" si="23"/>
        <v>#REF!</v>
      </c>
      <c r="AA60" s="825"/>
      <c r="AB60" s="825"/>
      <c r="AC60" s="825" t="e">
        <f>SUM(E60:AB60)</f>
        <v>#REF!</v>
      </c>
      <c r="AD60" s="826"/>
      <c r="AE60" s="826"/>
      <c r="AF60" s="826"/>
      <c r="AG60" s="826"/>
    </row>
    <row r="61" spans="2:35" x14ac:dyDescent="0.3">
      <c r="L61" s="740"/>
      <c r="AH61" s="740"/>
    </row>
    <row r="62" spans="2:35" s="876" customFormat="1" ht="10.199999999999999" x14ac:dyDescent="0.3">
      <c r="B62" s="876" t="s">
        <v>14</v>
      </c>
      <c r="C62" s="877">
        <v>1</v>
      </c>
      <c r="D62" s="878"/>
      <c r="E62" s="878"/>
      <c r="K62" s="877">
        <v>0.13618934660146634</v>
      </c>
      <c r="L62" s="878"/>
      <c r="Q62" s="877">
        <v>0.13603138686562444</v>
      </c>
      <c r="R62" s="877"/>
      <c r="S62" s="879"/>
      <c r="T62" s="877"/>
      <c r="U62" s="879"/>
      <c r="V62" s="877"/>
      <c r="W62" s="877">
        <v>0.72777926653290925</v>
      </c>
      <c r="X62" s="877"/>
      <c r="Y62" s="877"/>
      <c r="Z62" s="879"/>
      <c r="AA62" s="879"/>
      <c r="AB62" s="879"/>
      <c r="AC62" s="879"/>
      <c r="AD62" s="879"/>
      <c r="AE62" s="879"/>
      <c r="AF62" s="879"/>
      <c r="AG62" s="879"/>
      <c r="AH62" s="878"/>
    </row>
    <row r="63" spans="2:35" s="832" customFormat="1" ht="10.199999999999999" x14ac:dyDescent="0.3">
      <c r="C63" s="833"/>
      <c r="D63" s="880"/>
      <c r="E63" s="880"/>
      <c r="K63" s="833"/>
      <c r="L63" s="880"/>
      <c r="R63" s="833"/>
      <c r="S63" s="834"/>
      <c r="T63" s="833"/>
      <c r="U63" s="834"/>
      <c r="V63" s="833"/>
      <c r="W63" s="834"/>
      <c r="X63" s="833"/>
      <c r="Y63" s="833"/>
      <c r="Z63" s="834"/>
      <c r="AA63" s="834"/>
      <c r="AB63" s="834"/>
      <c r="AC63" s="834"/>
      <c r="AD63" s="834"/>
      <c r="AE63" s="834"/>
      <c r="AF63" s="834"/>
      <c r="AG63" s="834"/>
      <c r="AH63" s="880"/>
    </row>
    <row r="64" spans="2:35" s="881" customFormat="1" ht="10.199999999999999" x14ac:dyDescent="0.3">
      <c r="B64" s="881" t="s">
        <v>17</v>
      </c>
      <c r="C64" s="882">
        <v>1</v>
      </c>
      <c r="D64" s="883"/>
      <c r="E64" s="883"/>
      <c r="K64" s="882"/>
      <c r="L64" s="882"/>
      <c r="M64" s="882">
        <v>0.14317375306583036</v>
      </c>
      <c r="R64" s="882"/>
      <c r="S64" s="884"/>
      <c r="T64" s="882"/>
      <c r="U64" s="884"/>
      <c r="V64" s="882"/>
      <c r="W64" s="884"/>
      <c r="X64" s="882"/>
      <c r="Y64" s="882">
        <v>0.85682624693416953</v>
      </c>
      <c r="Z64" s="884"/>
      <c r="AA64" s="884"/>
      <c r="AB64" s="884"/>
      <c r="AC64" s="884"/>
      <c r="AD64" s="884"/>
      <c r="AE64" s="884"/>
      <c r="AF64" s="884"/>
      <c r="AG64" s="884"/>
    </row>
    <row r="65" spans="2:33" s="7" customFormat="1" x14ac:dyDescent="0.3">
      <c r="C65" s="827"/>
      <c r="D65" s="828"/>
      <c r="E65" s="828"/>
      <c r="K65" s="827"/>
      <c r="L65" s="827"/>
      <c r="M65" s="827"/>
      <c r="R65" s="827"/>
      <c r="S65" s="817"/>
      <c r="T65" s="827"/>
      <c r="U65" s="817"/>
      <c r="V65" s="827"/>
      <c r="W65" s="817"/>
      <c r="X65" s="827"/>
      <c r="Y65" s="827"/>
      <c r="Z65" s="817"/>
      <c r="AA65" s="817"/>
      <c r="AB65" s="817"/>
      <c r="AC65" s="817"/>
      <c r="AD65" s="817"/>
      <c r="AE65" s="817"/>
      <c r="AF65" s="817"/>
      <c r="AG65" s="817"/>
    </row>
    <row r="66" spans="2:33" s="832" customFormat="1" ht="20.399999999999999" x14ac:dyDescent="0.3">
      <c r="B66" s="829" t="s">
        <v>509</v>
      </c>
      <c r="C66" s="830">
        <f>C38+C39+C42+C41+C47+C40</f>
        <v>305789.55600000004</v>
      </c>
      <c r="D66" s="830"/>
      <c r="E66" s="830">
        <f>E38+E39+E42+E41+E47+E40</f>
        <v>0</v>
      </c>
      <c r="F66" s="830"/>
      <c r="G66" s="830">
        <f>G38+G39+G42+G41+G47+G40</f>
        <v>140269.99577833063</v>
      </c>
      <c r="H66" s="831">
        <f>G66/C66</f>
        <v>0.45871414842673897</v>
      </c>
      <c r="K66" s="833"/>
      <c r="L66" s="833"/>
      <c r="M66" s="833"/>
      <c r="R66" s="833"/>
      <c r="S66" s="834"/>
      <c r="T66" s="833"/>
      <c r="U66" s="834"/>
      <c r="V66" s="833"/>
      <c r="W66" s="834"/>
      <c r="X66" s="833"/>
      <c r="Y66" s="833"/>
      <c r="Z66" s="834"/>
      <c r="AA66" s="834"/>
      <c r="AB66" s="834"/>
      <c r="AC66" s="834"/>
      <c r="AD66" s="834"/>
      <c r="AE66" s="834"/>
      <c r="AF66" s="834"/>
      <c r="AG66" s="834"/>
    </row>
    <row r="67" spans="2:33" s="7" customFormat="1" x14ac:dyDescent="0.3">
      <c r="C67" s="827"/>
      <c r="D67" s="828"/>
      <c r="E67" s="828"/>
      <c r="K67" s="827"/>
      <c r="L67" s="827"/>
      <c r="M67" s="827"/>
      <c r="R67" s="827"/>
      <c r="S67" s="817"/>
      <c r="T67" s="827"/>
      <c r="U67" s="817"/>
      <c r="V67" s="827"/>
      <c r="W67" s="817"/>
      <c r="X67" s="827"/>
      <c r="Y67" s="827"/>
      <c r="Z67" s="817"/>
      <c r="AA67" s="817"/>
      <c r="AB67" s="817"/>
      <c r="AC67" s="817"/>
      <c r="AD67" s="817"/>
      <c r="AE67" s="817"/>
      <c r="AF67" s="817"/>
      <c r="AG67" s="817"/>
    </row>
    <row r="68" spans="2:33" s="837" customFormat="1" x14ac:dyDescent="0.3">
      <c r="B68" s="791" t="s">
        <v>510</v>
      </c>
      <c r="C68" s="835" t="e">
        <f>S30</f>
        <v>#REF!</v>
      </c>
      <c r="D68" s="836" t="e">
        <f>T30</f>
        <v>#REF!</v>
      </c>
      <c r="E68" s="835"/>
      <c r="I68" s="835">
        <v>4313.2511088746569</v>
      </c>
      <c r="J68" s="836" t="e">
        <f>I68/C68</f>
        <v>#REF!</v>
      </c>
      <c r="K68" s="838"/>
      <c r="L68" s="836"/>
      <c r="M68" s="835">
        <v>142.6878911253431</v>
      </c>
      <c r="N68" s="836" t="e">
        <f>M68/C68</f>
        <v>#REF!</v>
      </c>
      <c r="O68" s="839"/>
      <c r="P68" s="836"/>
      <c r="Q68" s="835"/>
      <c r="R68" s="836"/>
      <c r="S68" s="835"/>
      <c r="T68" s="836"/>
      <c r="U68" s="835"/>
      <c r="V68" s="836"/>
      <c r="W68" s="835">
        <f>H8*U30</f>
        <v>4757.9327473229605</v>
      </c>
      <c r="X68" s="836" t="e">
        <f>W68/C68</f>
        <v>#REF!</v>
      </c>
      <c r="Y68" s="835">
        <f>I8*U30</f>
        <v>321.64251552363811</v>
      </c>
      <c r="Z68" s="836" t="e">
        <f>Y68/C68</f>
        <v>#REF!</v>
      </c>
      <c r="AA68" s="835" t="e">
        <f>C68-I68-M68-W68-Y68</f>
        <v>#REF!</v>
      </c>
      <c r="AB68" s="836" t="e">
        <f>AA68/C68</f>
        <v>#REF!</v>
      </c>
      <c r="AC68" s="840" t="e">
        <f>E68+G68+I68+K68+M68+O68+Q68+S68+U68+W68+Y68+AA68</f>
        <v>#REF!</v>
      </c>
      <c r="AD68" s="839"/>
      <c r="AE68" s="839"/>
      <c r="AF68" s="839"/>
    </row>
    <row r="69" spans="2:33" s="7" customFormat="1" x14ac:dyDescent="0.3">
      <c r="C69" s="828"/>
      <c r="D69" s="827"/>
      <c r="E69" s="828"/>
      <c r="J69" s="827"/>
      <c r="K69" s="827"/>
      <c r="L69" s="827"/>
      <c r="N69" s="827"/>
      <c r="O69" s="817"/>
      <c r="P69" s="827"/>
      <c r="Q69" s="828"/>
      <c r="R69" s="827"/>
      <c r="T69" s="827"/>
      <c r="U69" s="817"/>
      <c r="V69" s="827"/>
      <c r="X69" s="827"/>
      <c r="Z69" s="827"/>
      <c r="AB69" s="827"/>
      <c r="AC69" s="841"/>
      <c r="AD69" s="817"/>
      <c r="AE69" s="817"/>
      <c r="AF69" s="817"/>
    </row>
    <row r="70" spans="2:33" s="844" customFormat="1" ht="27.6" x14ac:dyDescent="0.3">
      <c r="B70" s="799" t="s">
        <v>511</v>
      </c>
      <c r="C70" s="842" t="e">
        <f>S31</f>
        <v>#REF!</v>
      </c>
      <c r="D70" s="843" t="e">
        <f>T31</f>
        <v>#REF!</v>
      </c>
      <c r="E70" s="842"/>
      <c r="I70" s="842">
        <v>6072.4762711216836</v>
      </c>
      <c r="J70" s="843" t="e">
        <f>I70/C70</f>
        <v>#REF!</v>
      </c>
      <c r="K70" s="843"/>
      <c r="L70" s="843"/>
      <c r="M70" s="842">
        <v>200.88532087831658</v>
      </c>
      <c r="N70" s="843" t="e">
        <f>M70/C70</f>
        <v>#REF!</v>
      </c>
      <c r="O70" s="842">
        <v>21063.793831074687</v>
      </c>
      <c r="P70" s="843" t="e">
        <f>O70/C70</f>
        <v>#REF!</v>
      </c>
      <c r="Q70" s="842"/>
      <c r="R70" s="843"/>
      <c r="S70" s="842">
        <v>6571.6266263745683</v>
      </c>
      <c r="T70" s="843" t="e">
        <f>S70/C70</f>
        <v>#REF!</v>
      </c>
      <c r="U70" s="842"/>
      <c r="V70" s="843"/>
      <c r="W70" s="842">
        <f>H8*U31</f>
        <v>54328.524576310941</v>
      </c>
      <c r="X70" s="843" t="e">
        <f>W70/C70</f>
        <v>#REF!</v>
      </c>
      <c r="Y70" s="842">
        <f>I8*U31</f>
        <v>3672.6797618659821</v>
      </c>
      <c r="Z70" s="843" t="e">
        <f>Y70/C70</f>
        <v>#REF!</v>
      </c>
      <c r="AA70" s="842" t="e">
        <f>C70-I70-M70-O70-S70-W70-Y70</f>
        <v>#REF!</v>
      </c>
      <c r="AB70" s="843" t="e">
        <f>AA70/C70</f>
        <v>#REF!</v>
      </c>
      <c r="AC70" s="840" t="e">
        <f>E70+G70+I70+K70+M70+O70+Q70+S70+U70+W70+Y70+AA70</f>
        <v>#REF!</v>
      </c>
      <c r="AD70" s="845"/>
      <c r="AE70" s="845"/>
      <c r="AF70" s="845"/>
    </row>
    <row r="71" spans="2:33" s="7" customFormat="1" x14ac:dyDescent="0.3">
      <c r="C71" s="846" t="e">
        <f>SUM(C68:C70)</f>
        <v>#REF!</v>
      </c>
      <c r="D71" s="828"/>
      <c r="E71" s="828"/>
      <c r="I71" s="846">
        <f>SUM(I68:I70)</f>
        <v>10385.72737999634</v>
      </c>
      <c r="K71" s="846"/>
      <c r="L71" s="827"/>
      <c r="M71" s="846">
        <f>SUM(M68:M70)</f>
        <v>343.57321200365971</v>
      </c>
      <c r="N71" s="827"/>
      <c r="O71" s="846">
        <f>SUM(O68:O70)</f>
        <v>21063.793831074687</v>
      </c>
      <c r="P71" s="827"/>
      <c r="Q71" s="846"/>
      <c r="S71" s="846">
        <f>SUM(S68:S70)</f>
        <v>6571.6266263745683</v>
      </c>
      <c r="T71" s="827"/>
      <c r="U71" s="846"/>
      <c r="V71" s="827"/>
      <c r="W71" s="846">
        <f>SUM(W68:W70)</f>
        <v>59086.457323633906</v>
      </c>
      <c r="X71" s="827"/>
      <c r="Y71" s="846">
        <f>SUM(Y68:Y70)</f>
        <v>3994.32227738962</v>
      </c>
      <c r="Z71" s="817"/>
      <c r="AA71" s="846" t="e">
        <f>SUM(AA68:AA70)</f>
        <v>#REF!</v>
      </c>
      <c r="AB71" s="817"/>
      <c r="AC71" s="846" t="e">
        <f>SUM(AC68:AC70)</f>
        <v>#REF!</v>
      </c>
      <c r="AD71" s="817"/>
      <c r="AE71" s="817"/>
      <c r="AF71" s="817"/>
    </row>
    <row r="72" spans="2:33" s="7" customFormat="1" x14ac:dyDescent="0.3">
      <c r="C72" s="827"/>
      <c r="D72" s="828"/>
      <c r="E72" s="828"/>
      <c r="K72" s="827"/>
      <c r="L72" s="827"/>
      <c r="M72" s="827"/>
      <c r="R72" s="827"/>
      <c r="S72" s="817"/>
      <c r="T72" s="827"/>
      <c r="U72" s="817"/>
      <c r="V72" s="827"/>
      <c r="W72" s="817"/>
      <c r="X72" s="827"/>
      <c r="Y72" s="827"/>
      <c r="Z72" s="817"/>
      <c r="AA72" s="817"/>
      <c r="AB72" s="817"/>
      <c r="AC72" s="817"/>
      <c r="AD72" s="817"/>
      <c r="AE72" s="817"/>
      <c r="AF72" s="817"/>
      <c r="AG72" s="817"/>
    </row>
    <row r="73" spans="2:33" s="7" customFormat="1" x14ac:dyDescent="0.3">
      <c r="B73" s="7">
        <v>1</v>
      </c>
      <c r="C73" s="828">
        <v>2</v>
      </c>
      <c r="D73" s="7">
        <v>3</v>
      </c>
      <c r="E73" s="828">
        <v>4</v>
      </c>
      <c r="F73" s="7">
        <v>5</v>
      </c>
      <c r="G73" s="828">
        <v>6</v>
      </c>
      <c r="H73" s="7">
        <v>7</v>
      </c>
      <c r="I73" s="828">
        <v>8</v>
      </c>
      <c r="J73" s="7">
        <v>9</v>
      </c>
      <c r="K73" s="828">
        <v>10</v>
      </c>
      <c r="L73" s="7">
        <v>11</v>
      </c>
      <c r="M73" s="828">
        <v>12</v>
      </c>
      <c r="N73" s="7">
        <v>13</v>
      </c>
      <c r="O73" s="828">
        <v>14</v>
      </c>
      <c r="P73" s="7">
        <v>15</v>
      </c>
      <c r="R73" s="827"/>
      <c r="S73" s="817"/>
      <c r="T73" s="827"/>
      <c r="U73" s="817"/>
      <c r="V73" s="827"/>
      <c r="W73" s="817"/>
      <c r="X73" s="827"/>
      <c r="Y73" s="827"/>
      <c r="Z73" s="817"/>
      <c r="AA73" s="817"/>
      <c r="AB73" s="817"/>
      <c r="AC73" s="817"/>
      <c r="AD73" s="817"/>
      <c r="AE73" s="817"/>
      <c r="AF73" s="817"/>
      <c r="AG73" s="817"/>
    </row>
    <row r="74" spans="2:33" ht="20.100000000000001" customHeight="1" x14ac:dyDescent="0.3">
      <c r="B74" s="3888" t="s">
        <v>336</v>
      </c>
      <c r="C74" s="3888" t="s">
        <v>468</v>
      </c>
      <c r="D74" s="3889" t="s">
        <v>469</v>
      </c>
      <c r="E74" s="3889" t="s">
        <v>493</v>
      </c>
      <c r="F74" s="3889"/>
      <c r="G74" s="3889"/>
      <c r="H74" s="3889"/>
      <c r="I74" s="3889"/>
      <c r="J74" s="3889"/>
      <c r="K74" s="3889"/>
      <c r="L74" s="3889"/>
      <c r="M74" s="3889"/>
      <c r="N74" s="3889"/>
      <c r="O74" s="3889"/>
      <c r="P74" s="3889"/>
      <c r="Q74" s="742"/>
      <c r="R74" s="742"/>
      <c r="T74" s="742"/>
      <c r="V74" s="27"/>
      <c r="W74" s="27"/>
      <c r="X74" s="27"/>
      <c r="Y74" s="27"/>
      <c r="Z74" s="27"/>
      <c r="AA74" s="27"/>
      <c r="AB74" s="27"/>
      <c r="AC74" s="27"/>
      <c r="AD74" s="27"/>
      <c r="AE74" s="27"/>
      <c r="AF74" s="27"/>
      <c r="AG74" s="27"/>
    </row>
    <row r="75" spans="2:33" ht="55.2" x14ac:dyDescent="0.3">
      <c r="B75" s="3888"/>
      <c r="C75" s="3888"/>
      <c r="D75" s="3889"/>
      <c r="E75" s="2613" t="s">
        <v>436</v>
      </c>
      <c r="F75" s="2613" t="s">
        <v>429</v>
      </c>
      <c r="G75" s="2613" t="s">
        <v>405</v>
      </c>
      <c r="H75" s="2613" t="s">
        <v>519</v>
      </c>
      <c r="I75" s="2613" t="s">
        <v>502</v>
      </c>
      <c r="J75" s="2613" t="s">
        <v>526</v>
      </c>
      <c r="K75" s="2613" t="s">
        <v>528</v>
      </c>
      <c r="L75" s="2613" t="s">
        <v>530</v>
      </c>
      <c r="M75" s="2613" t="s">
        <v>532</v>
      </c>
      <c r="N75" s="2613" t="s">
        <v>534</v>
      </c>
      <c r="O75" s="2613" t="s">
        <v>504</v>
      </c>
      <c r="P75" s="2613" t="s">
        <v>536</v>
      </c>
      <c r="Q75" s="742"/>
      <c r="R75" s="742"/>
      <c r="T75" s="742"/>
      <c r="V75" s="27"/>
      <c r="W75" s="27"/>
      <c r="X75" s="27"/>
      <c r="Y75" s="27"/>
      <c r="Z75" s="27"/>
      <c r="AA75" s="27"/>
      <c r="AB75" s="27"/>
      <c r="AC75" s="27"/>
      <c r="AD75" s="27"/>
      <c r="AE75" s="27"/>
      <c r="AF75" s="27"/>
      <c r="AG75" s="27"/>
    </row>
    <row r="76" spans="2:33" x14ac:dyDescent="0.3">
      <c r="B76" s="527" t="s">
        <v>5</v>
      </c>
      <c r="C76" s="2614" t="e">
        <f>C37</f>
        <v>#REF!</v>
      </c>
      <c r="D76" s="2615" t="e">
        <f t="shared" ref="D76:E91" si="24">D37</f>
        <v>#REF!</v>
      </c>
      <c r="E76" s="2616">
        <f t="shared" si="24"/>
        <v>0</v>
      </c>
      <c r="F76" s="2616">
        <f t="shared" ref="F76:F97" si="25">G37</f>
        <v>0</v>
      </c>
      <c r="G76" s="2616">
        <f>I37</f>
        <v>10385.72737999634</v>
      </c>
      <c r="H76" s="2616">
        <f t="shared" ref="H76:H96" si="26">K37</f>
        <v>0</v>
      </c>
      <c r="I76" s="2616">
        <f t="shared" ref="I76:I98" si="27">M37</f>
        <v>343.57321200365965</v>
      </c>
      <c r="J76" s="2616">
        <f>O37</f>
        <v>21063.793831074687</v>
      </c>
      <c r="K76" s="2616">
        <f>Q37</f>
        <v>0</v>
      </c>
      <c r="L76" s="2616">
        <f>S37</f>
        <v>6571.6266263745683</v>
      </c>
      <c r="M76" s="2616">
        <f>U37</f>
        <v>0</v>
      </c>
      <c r="N76" s="2616">
        <f>W37</f>
        <v>59086.457323633906</v>
      </c>
      <c r="O76" s="2616">
        <f t="shared" ref="O76:O83" si="28">Y37</f>
        <v>3994.3222773896205</v>
      </c>
      <c r="P76" s="2616">
        <f>AA37</f>
        <v>37467</v>
      </c>
      <c r="Q76" s="740">
        <f>SUM(E76:P76)</f>
        <v>138912.50065047276</v>
      </c>
      <c r="R76" s="742" t="e">
        <f>Q76-C76</f>
        <v>#REF!</v>
      </c>
      <c r="T76" s="742"/>
      <c r="V76" s="27"/>
      <c r="W76" s="27"/>
      <c r="X76" s="27"/>
      <c r="Y76" s="27"/>
      <c r="Z76" s="27"/>
      <c r="AA76" s="27"/>
      <c r="AB76" s="27"/>
      <c r="AC76" s="27"/>
      <c r="AD76" s="27"/>
      <c r="AE76" s="27"/>
      <c r="AF76" s="27"/>
      <c r="AG76" s="27"/>
    </row>
    <row r="77" spans="2:33" x14ac:dyDescent="0.3">
      <c r="B77" s="527" t="s">
        <v>8</v>
      </c>
      <c r="C77" s="2614">
        <f t="shared" ref="C77:E92" si="29">C38</f>
        <v>157845.8026</v>
      </c>
      <c r="D77" s="2615">
        <f>D38</f>
        <v>0.56733215913845281</v>
      </c>
      <c r="E77" s="2616">
        <f t="shared" si="24"/>
        <v>0</v>
      </c>
      <c r="F77" s="2616">
        <f t="shared" si="25"/>
        <v>87614.593607468123</v>
      </c>
      <c r="G77" s="2616">
        <f t="shared" ref="G77:G97" si="30">I38</f>
        <v>0</v>
      </c>
      <c r="H77" s="2616">
        <f t="shared" si="26"/>
        <v>0</v>
      </c>
      <c r="I77" s="2616">
        <f t="shared" si="27"/>
        <v>4477.55</v>
      </c>
      <c r="J77" s="2616">
        <f>O38</f>
        <v>6866.5988968504389</v>
      </c>
      <c r="K77" s="2616">
        <f>Q38</f>
        <v>2032.8074802016481</v>
      </c>
      <c r="L77" s="2616">
        <f>S38</f>
        <v>2142.2885404720223</v>
      </c>
      <c r="M77" s="2616">
        <f>U38</f>
        <v>20001.800176873363</v>
      </c>
      <c r="N77" s="2616">
        <f t="shared" ref="N77:N97" si="31">W38</f>
        <v>31178.035932909774</v>
      </c>
      <c r="O77" s="2616">
        <f t="shared" si="28"/>
        <v>2688.0890646060725</v>
      </c>
      <c r="P77" s="2616">
        <f t="shared" ref="P77:P97" si="32">AA38</f>
        <v>0</v>
      </c>
      <c r="Q77" s="740">
        <f t="shared" ref="Q77:Q97" si="33">SUM(E77:P77)</f>
        <v>157001.76369938144</v>
      </c>
      <c r="R77" s="742">
        <f t="shared" ref="R77:R99" si="34">Q77-C77</f>
        <v>-844.03890061855782</v>
      </c>
      <c r="T77" s="742"/>
      <c r="V77" s="27"/>
      <c r="W77" s="27"/>
      <c r="X77" s="27"/>
      <c r="Y77" s="27"/>
      <c r="Z77" s="27"/>
      <c r="AA77" s="27"/>
      <c r="AB77" s="27"/>
      <c r="AC77" s="27"/>
      <c r="AD77" s="27"/>
      <c r="AE77" s="27"/>
      <c r="AF77" s="27"/>
      <c r="AG77" s="27"/>
    </row>
    <row r="78" spans="2:33" x14ac:dyDescent="0.3">
      <c r="B78" s="527" t="s">
        <v>304</v>
      </c>
      <c r="C78" s="2614">
        <f t="shared" si="29"/>
        <v>43035.430399999997</v>
      </c>
      <c r="D78" s="2615">
        <f t="shared" si="24"/>
        <v>0.61530696344563574</v>
      </c>
      <c r="E78" s="2616">
        <f t="shared" si="24"/>
        <v>0</v>
      </c>
      <c r="F78" s="2616">
        <f t="shared" si="25"/>
        <v>25428.744000000002</v>
      </c>
      <c r="G78" s="2616">
        <f t="shared" si="30"/>
        <v>0</v>
      </c>
      <c r="H78" s="2616">
        <f t="shared" si="26"/>
        <v>63.551999999999992</v>
      </c>
      <c r="I78" s="2616">
        <f t="shared" si="27"/>
        <v>16487.020564335497</v>
      </c>
      <c r="J78" s="2616">
        <f t="shared" ref="J78:J97" si="35">O39</f>
        <v>0</v>
      </c>
      <c r="K78" s="2616">
        <f t="shared" ref="K78:K97" si="36">Q39</f>
        <v>0</v>
      </c>
      <c r="L78" s="2616">
        <f t="shared" ref="L78:L97" si="37">S39</f>
        <v>0</v>
      </c>
      <c r="M78" s="2616">
        <f t="shared" ref="M78:M97" si="38">U39</f>
        <v>0</v>
      </c>
      <c r="N78" s="2616">
        <f t="shared" si="31"/>
        <v>0</v>
      </c>
      <c r="O78" s="2616">
        <f t="shared" si="28"/>
        <v>746.54706305477032</v>
      </c>
      <c r="P78" s="2616">
        <f t="shared" si="32"/>
        <v>0</v>
      </c>
      <c r="Q78" s="740">
        <f t="shared" si="33"/>
        <v>42725.863627390274</v>
      </c>
      <c r="R78" s="742">
        <f t="shared" si="34"/>
        <v>-309.56677260972356</v>
      </c>
      <c r="T78" s="742"/>
      <c r="V78" s="27"/>
      <c r="W78" s="27"/>
      <c r="X78" s="27"/>
      <c r="Y78" s="27"/>
      <c r="Z78" s="27"/>
      <c r="AA78" s="27"/>
      <c r="AB78" s="27"/>
      <c r="AC78" s="27"/>
      <c r="AD78" s="27"/>
      <c r="AE78" s="27"/>
      <c r="AF78" s="27"/>
      <c r="AG78" s="27"/>
    </row>
    <row r="79" spans="2:33" x14ac:dyDescent="0.3">
      <c r="B79" s="527" t="s">
        <v>14</v>
      </c>
      <c r="C79" s="2614">
        <f t="shared" si="29"/>
        <v>67573.675600000017</v>
      </c>
      <c r="D79" s="2615">
        <f t="shared" si="24"/>
        <v>0.26785578613693167</v>
      </c>
      <c r="E79" s="2616">
        <f t="shared" si="24"/>
        <v>0</v>
      </c>
      <c r="F79" s="2616">
        <f t="shared" si="25"/>
        <v>19873.054704314131</v>
      </c>
      <c r="G79" s="2616">
        <f t="shared" si="30"/>
        <v>0</v>
      </c>
      <c r="H79" s="2616">
        <f t="shared" si="26"/>
        <v>3685.7671849150406</v>
      </c>
      <c r="I79" s="2616">
        <f t="shared" si="27"/>
        <v>0</v>
      </c>
      <c r="J79" s="2616">
        <f t="shared" si="35"/>
        <v>0</v>
      </c>
      <c r="K79" s="2616">
        <f t="shared" si="36"/>
        <v>1675.4974533707421</v>
      </c>
      <c r="L79" s="2616">
        <f t="shared" si="37"/>
        <v>0</v>
      </c>
      <c r="M79" s="2616">
        <f t="shared" si="38"/>
        <v>19333.446212800489</v>
      </c>
      <c r="N79" s="2616">
        <f t="shared" si="31"/>
        <v>21150.227304269785</v>
      </c>
      <c r="O79" s="2616">
        <f t="shared" si="28"/>
        <v>1602.4745454656781</v>
      </c>
      <c r="P79" s="2616">
        <f t="shared" si="32"/>
        <v>0</v>
      </c>
      <c r="Q79" s="740">
        <f t="shared" si="33"/>
        <v>67320.467405135874</v>
      </c>
      <c r="R79" s="742">
        <f t="shared" si="34"/>
        <v>-253.20819486414257</v>
      </c>
      <c r="T79" s="742"/>
      <c r="V79" s="27"/>
      <c r="W79" s="27"/>
      <c r="X79" s="27"/>
      <c r="Y79" s="27"/>
      <c r="Z79" s="27"/>
      <c r="AA79" s="27"/>
      <c r="AB79" s="27"/>
      <c r="AC79" s="27"/>
      <c r="AD79" s="27"/>
      <c r="AE79" s="27"/>
      <c r="AF79" s="27"/>
      <c r="AG79" s="27"/>
    </row>
    <row r="80" spans="2:33" x14ac:dyDescent="0.3">
      <c r="B80" s="527" t="s">
        <v>17</v>
      </c>
      <c r="C80" s="2614">
        <f t="shared" si="29"/>
        <v>8284.0378000000019</v>
      </c>
      <c r="D80" s="2615">
        <f t="shared" si="24"/>
        <v>6.2047037013761561E-2</v>
      </c>
      <c r="E80" s="2616">
        <f t="shared" si="24"/>
        <v>0</v>
      </c>
      <c r="F80" s="2616">
        <f t="shared" si="25"/>
        <v>1759.6794019678946</v>
      </c>
      <c r="G80" s="2616">
        <f t="shared" si="30"/>
        <v>0</v>
      </c>
      <c r="H80" s="2616">
        <f t="shared" si="26"/>
        <v>0</v>
      </c>
      <c r="I80" s="2616">
        <f t="shared" si="27"/>
        <v>6349.0599562737261</v>
      </c>
      <c r="J80" s="2616">
        <f t="shared" si="35"/>
        <v>0</v>
      </c>
      <c r="K80" s="2616">
        <f t="shared" si="36"/>
        <v>0</v>
      </c>
      <c r="L80" s="2616">
        <f t="shared" si="37"/>
        <v>0</v>
      </c>
      <c r="M80" s="2616">
        <f t="shared" si="38"/>
        <v>0</v>
      </c>
      <c r="N80" s="2616">
        <f t="shared" si="31"/>
        <v>0</v>
      </c>
      <c r="O80" s="2616">
        <f t="shared" si="28"/>
        <v>193.41610696914645</v>
      </c>
      <c r="P80" s="2616">
        <f t="shared" si="32"/>
        <v>0</v>
      </c>
      <c r="Q80" s="740">
        <f t="shared" si="33"/>
        <v>8302.1554652107679</v>
      </c>
      <c r="R80" s="742">
        <f t="shared" si="34"/>
        <v>18.117665210766063</v>
      </c>
      <c r="T80" s="742"/>
      <c r="V80" s="27"/>
      <c r="W80" s="27"/>
      <c r="X80" s="27"/>
      <c r="Y80" s="27"/>
      <c r="Z80" s="27"/>
      <c r="AA80" s="27"/>
      <c r="AB80" s="27"/>
      <c r="AC80" s="27"/>
      <c r="AD80" s="27"/>
      <c r="AE80" s="27"/>
      <c r="AF80" s="27"/>
      <c r="AG80" s="27"/>
    </row>
    <row r="81" spans="2:33" x14ac:dyDescent="0.3">
      <c r="B81" s="527" t="s">
        <v>16</v>
      </c>
      <c r="C81" s="2614">
        <f t="shared" si="29"/>
        <v>14439.189000000002</v>
      </c>
      <c r="D81" s="2615">
        <f t="shared" si="24"/>
        <v>0.15665699784108372</v>
      </c>
      <c r="E81" s="2616">
        <f t="shared" si="24"/>
        <v>0</v>
      </c>
      <c r="F81" s="2616">
        <f t="shared" si="25"/>
        <v>3812.0746741273479</v>
      </c>
      <c r="G81" s="2616">
        <f t="shared" si="30"/>
        <v>0</v>
      </c>
      <c r="H81" s="2616">
        <f t="shared" si="26"/>
        <v>0</v>
      </c>
      <c r="I81" s="2616">
        <f t="shared" si="27"/>
        <v>113.10000000000001</v>
      </c>
      <c r="J81" s="2616">
        <f t="shared" si="35"/>
        <v>0</v>
      </c>
      <c r="K81" s="2616">
        <f t="shared" si="36"/>
        <v>391.07115194112555</v>
      </c>
      <c r="L81" s="2616">
        <f t="shared" si="37"/>
        <v>0</v>
      </c>
      <c r="M81" s="2616">
        <f t="shared" si="38"/>
        <v>3847.9428633793418</v>
      </c>
      <c r="N81" s="2616">
        <f t="shared" si="31"/>
        <v>5542.7221784019384</v>
      </c>
      <c r="O81" s="2616">
        <f t="shared" si="28"/>
        <v>529.56162553216859</v>
      </c>
      <c r="P81" s="2616">
        <f t="shared" si="32"/>
        <v>0</v>
      </c>
      <c r="Q81" s="740">
        <f t="shared" si="33"/>
        <v>14236.472493381923</v>
      </c>
      <c r="R81" s="742">
        <f t="shared" si="34"/>
        <v>-202.71650661807871</v>
      </c>
      <c r="T81" s="742"/>
      <c r="V81" s="27"/>
      <c r="W81" s="27"/>
      <c r="X81" s="27"/>
      <c r="Y81" s="27"/>
      <c r="Z81" s="27"/>
      <c r="AA81" s="27"/>
      <c r="AB81" s="27"/>
      <c r="AC81" s="27"/>
      <c r="AD81" s="27"/>
      <c r="AE81" s="27"/>
      <c r="AF81" s="27"/>
      <c r="AG81" s="27"/>
    </row>
    <row r="82" spans="2:33" x14ac:dyDescent="0.3">
      <c r="B82" s="527" t="s">
        <v>308</v>
      </c>
      <c r="C82" s="2614">
        <f t="shared" si="29"/>
        <v>325.34945000000005</v>
      </c>
      <c r="D82" s="2615">
        <f t="shared" si="24"/>
        <v>0.66034244102763962</v>
      </c>
      <c r="E82" s="2616">
        <f t="shared" si="24"/>
        <v>0</v>
      </c>
      <c r="F82" s="2616">
        <f t="shared" si="25"/>
        <v>106.00306747</v>
      </c>
      <c r="G82" s="2616">
        <f t="shared" si="30"/>
        <v>0</v>
      </c>
      <c r="H82" s="2616">
        <f t="shared" si="26"/>
        <v>1.7187364000000001</v>
      </c>
      <c r="I82" s="2616">
        <f t="shared" si="27"/>
        <v>212.16376207174036</v>
      </c>
      <c r="J82" s="2616">
        <f t="shared" si="35"/>
        <v>0</v>
      </c>
      <c r="K82" s="2616">
        <f t="shared" si="36"/>
        <v>0</v>
      </c>
      <c r="L82" s="2616">
        <f t="shared" si="37"/>
        <v>0</v>
      </c>
      <c r="M82" s="2616">
        <f t="shared" si="38"/>
        <v>0</v>
      </c>
      <c r="N82" s="2616">
        <f t="shared" si="31"/>
        <v>0</v>
      </c>
      <c r="O82" s="2616">
        <f t="shared" si="28"/>
        <v>4.2049672245874161</v>
      </c>
      <c r="P82" s="2616">
        <f t="shared" si="32"/>
        <v>0</v>
      </c>
      <c r="Q82" s="740">
        <f t="shared" si="33"/>
        <v>324.09053316632776</v>
      </c>
      <c r="R82" s="742">
        <f t="shared" si="34"/>
        <v>-1.2589168336722878</v>
      </c>
      <c r="T82" s="742"/>
      <c r="V82" s="27"/>
      <c r="W82" s="27"/>
      <c r="X82" s="27"/>
      <c r="Y82" s="27"/>
      <c r="Z82" s="27"/>
      <c r="AA82" s="27"/>
      <c r="AB82" s="27"/>
      <c r="AC82" s="27"/>
      <c r="AD82" s="27"/>
      <c r="AE82" s="27"/>
      <c r="AF82" s="27"/>
      <c r="AG82" s="27"/>
    </row>
    <row r="83" spans="2:33" x14ac:dyDescent="0.3">
      <c r="B83" s="527" t="s">
        <v>44</v>
      </c>
      <c r="C83" s="2614">
        <f t="shared" si="29"/>
        <v>546.40638518982428</v>
      </c>
      <c r="D83" s="2615">
        <f t="shared" si="24"/>
        <v>1</v>
      </c>
      <c r="E83" s="2616">
        <f t="shared" si="24"/>
        <v>5.9529093569222612E-4</v>
      </c>
      <c r="F83" s="2616">
        <f t="shared" si="25"/>
        <v>455.77745926282904</v>
      </c>
      <c r="G83" s="2616">
        <f t="shared" si="30"/>
        <v>0</v>
      </c>
      <c r="H83" s="2616">
        <f t="shared" si="26"/>
        <v>41.799727590312806</v>
      </c>
      <c r="I83" s="2616">
        <f t="shared" si="27"/>
        <v>48.828605363833162</v>
      </c>
      <c r="J83" s="2616">
        <f t="shared" si="35"/>
        <v>0</v>
      </c>
      <c r="K83" s="2616">
        <f t="shared" si="36"/>
        <v>0</v>
      </c>
      <c r="L83" s="2616">
        <f t="shared" si="37"/>
        <v>0</v>
      </c>
      <c r="M83" s="2616">
        <f t="shared" si="38"/>
        <v>0</v>
      </c>
      <c r="N83" s="2616">
        <f t="shared" si="31"/>
        <v>0</v>
      </c>
      <c r="O83" s="2616">
        <f t="shared" si="28"/>
        <v>0</v>
      </c>
      <c r="P83" s="2616">
        <f t="shared" si="32"/>
        <v>0</v>
      </c>
      <c r="Q83" s="740">
        <f t="shared" si="33"/>
        <v>546.40638750791072</v>
      </c>
      <c r="R83" s="742">
        <f t="shared" si="34"/>
        <v>2.3180864445748739E-6</v>
      </c>
      <c r="T83" s="742"/>
      <c r="V83" s="27"/>
      <c r="W83" s="27"/>
      <c r="X83" s="27"/>
      <c r="Y83" s="27"/>
      <c r="Z83" s="27"/>
      <c r="AA83" s="27"/>
      <c r="AB83" s="27"/>
      <c r="AC83" s="27"/>
      <c r="AD83" s="27"/>
      <c r="AE83" s="27"/>
      <c r="AF83" s="27"/>
      <c r="AG83" s="27"/>
    </row>
    <row r="84" spans="2:33" x14ac:dyDescent="0.3">
      <c r="B84" s="527" t="s">
        <v>326</v>
      </c>
      <c r="C84" s="2614">
        <f t="shared" si="29"/>
        <v>1211.6128000000001</v>
      </c>
      <c r="D84" s="2615">
        <f t="shared" si="24"/>
        <v>9.2297638321417533E-2</v>
      </c>
      <c r="E84" s="2616">
        <f t="shared" si="24"/>
        <v>0</v>
      </c>
      <c r="F84" s="2616">
        <f t="shared" si="25"/>
        <v>111.82900000000001</v>
      </c>
      <c r="G84" s="2616">
        <f t="shared" si="30"/>
        <v>0</v>
      </c>
      <c r="H84" s="2616">
        <f t="shared" si="26"/>
        <v>0</v>
      </c>
      <c r="I84" s="2616">
        <f t="shared" si="27"/>
        <v>1020.6769608936844</v>
      </c>
      <c r="J84" s="2616">
        <f t="shared" si="35"/>
        <v>0</v>
      </c>
      <c r="K84" s="2616">
        <f t="shared" si="36"/>
        <v>0</v>
      </c>
      <c r="L84" s="2616">
        <f t="shared" si="37"/>
        <v>0</v>
      </c>
      <c r="M84" s="2616">
        <f t="shared" si="38"/>
        <v>0</v>
      </c>
      <c r="N84" s="2616">
        <f t="shared" si="31"/>
        <v>0</v>
      </c>
      <c r="O84" s="2616">
        <f>Y45</f>
        <v>53.985383962209895</v>
      </c>
      <c r="P84" s="2616">
        <f t="shared" si="32"/>
        <v>0</v>
      </c>
      <c r="Q84" s="740">
        <f t="shared" si="33"/>
        <v>1186.4913448558943</v>
      </c>
      <c r="R84" s="742">
        <f t="shared" si="34"/>
        <v>-25.121455144105767</v>
      </c>
      <c r="T84" s="742"/>
      <c r="V84" s="27"/>
      <c r="W84" s="27"/>
      <c r="X84" s="27"/>
      <c r="Y84" s="27"/>
      <c r="Z84" s="27"/>
      <c r="AA84" s="27"/>
      <c r="AB84" s="27"/>
      <c r="AC84" s="27"/>
      <c r="AD84" s="27"/>
      <c r="AE84" s="27"/>
      <c r="AF84" s="27"/>
      <c r="AG84" s="27"/>
    </row>
    <row r="85" spans="2:33" x14ac:dyDescent="0.3">
      <c r="B85" s="527" t="s">
        <v>25</v>
      </c>
      <c r="C85" s="2614">
        <f t="shared" si="29"/>
        <v>21245.272320000004</v>
      </c>
      <c r="D85" s="2615">
        <f t="shared" si="24"/>
        <v>0.22975845385633539</v>
      </c>
      <c r="E85" s="2616">
        <f t="shared" si="24"/>
        <v>2631.0104158800004</v>
      </c>
      <c r="F85" s="2616">
        <f t="shared" si="25"/>
        <v>1325.2677697800002</v>
      </c>
      <c r="G85" s="2616">
        <f t="shared" si="30"/>
        <v>0</v>
      </c>
      <c r="H85" s="2616">
        <f t="shared" si="26"/>
        <v>925.00273434000007</v>
      </c>
      <c r="I85" s="2616">
        <f t="shared" si="27"/>
        <v>0</v>
      </c>
      <c r="J85" s="2616">
        <f t="shared" si="35"/>
        <v>0</v>
      </c>
      <c r="K85" s="2616">
        <f t="shared" si="36"/>
        <v>787.22417947956865</v>
      </c>
      <c r="L85" s="2616">
        <f t="shared" si="37"/>
        <v>0</v>
      </c>
      <c r="M85" s="2616">
        <f t="shared" si="38"/>
        <v>7745.8888191376991</v>
      </c>
      <c r="N85" s="2616">
        <f t="shared" si="31"/>
        <v>7563.2539765804677</v>
      </c>
      <c r="O85" s="2616">
        <f>Y46</f>
        <v>360.2567620516632</v>
      </c>
      <c r="P85" s="2616">
        <f t="shared" si="32"/>
        <v>0</v>
      </c>
      <c r="Q85" s="740">
        <f t="shared" si="33"/>
        <v>21337.904657249401</v>
      </c>
      <c r="R85" s="742">
        <f t="shared" si="34"/>
        <v>92.632337249397096</v>
      </c>
      <c r="T85" s="742"/>
      <c r="V85" s="27"/>
      <c r="W85" s="27"/>
      <c r="X85" s="27"/>
      <c r="Y85" s="27"/>
      <c r="Z85" s="27"/>
      <c r="AA85" s="27"/>
      <c r="AB85" s="27"/>
      <c r="AC85" s="27"/>
      <c r="AD85" s="27"/>
      <c r="AE85" s="27"/>
      <c r="AF85" s="27"/>
      <c r="AG85" s="27"/>
    </row>
    <row r="86" spans="2:33" x14ac:dyDescent="0.3">
      <c r="B86" s="527" t="s">
        <v>29</v>
      </c>
      <c r="C86" s="2614">
        <f t="shared" si="29"/>
        <v>14611.420600000001</v>
      </c>
      <c r="D86" s="2615">
        <f t="shared" si="24"/>
        <v>0.67821420457912218</v>
      </c>
      <c r="E86" s="2616">
        <f>E47</f>
        <v>0</v>
      </c>
      <c r="F86" s="2616">
        <f t="shared" si="25"/>
        <v>1781.8493904531178</v>
      </c>
      <c r="G86" s="2616">
        <f t="shared" si="30"/>
        <v>0</v>
      </c>
      <c r="H86" s="2616">
        <f t="shared" si="26"/>
        <v>8044.9101495468831</v>
      </c>
      <c r="I86" s="2616">
        <f t="shared" si="27"/>
        <v>82.913460000000015</v>
      </c>
      <c r="J86" s="2616">
        <f t="shared" si="35"/>
        <v>0</v>
      </c>
      <c r="K86" s="2616">
        <f t="shared" si="36"/>
        <v>225.25766643392149</v>
      </c>
      <c r="L86" s="2616">
        <f t="shared" si="37"/>
        <v>0</v>
      </c>
      <c r="M86" s="2616">
        <f t="shared" si="38"/>
        <v>2216.42180885381</v>
      </c>
      <c r="N86" s="2616">
        <f t="shared" si="31"/>
        <v>2171.171818153995</v>
      </c>
      <c r="O86" s="2616">
        <f>Y47</f>
        <v>109.39635648218152</v>
      </c>
      <c r="P86" s="2616">
        <f t="shared" si="32"/>
        <v>0</v>
      </c>
      <c r="Q86" s="740">
        <f t="shared" si="33"/>
        <v>14631.920649923906</v>
      </c>
      <c r="R86" s="742">
        <f t="shared" si="34"/>
        <v>20.500049923904953</v>
      </c>
      <c r="T86" s="742"/>
      <c r="V86" s="27"/>
      <c r="W86" s="27"/>
      <c r="X86" s="27"/>
      <c r="Y86" s="27"/>
      <c r="Z86" s="27"/>
      <c r="AA86" s="27"/>
      <c r="AB86" s="27"/>
      <c r="AC86" s="27"/>
      <c r="AD86" s="27"/>
      <c r="AE86" s="27"/>
      <c r="AF86" s="27"/>
      <c r="AG86" s="27"/>
    </row>
    <row r="87" spans="2:33" x14ac:dyDescent="0.3">
      <c r="B87" s="527" t="s">
        <v>60</v>
      </c>
      <c r="C87" s="2614">
        <f t="shared" si="29"/>
        <v>145.12295</v>
      </c>
      <c r="D87" s="2615">
        <f t="shared" si="24"/>
        <v>1</v>
      </c>
      <c r="E87" s="2616">
        <f t="shared" si="24"/>
        <v>0</v>
      </c>
      <c r="F87" s="2616">
        <f t="shared" si="25"/>
        <v>71.603663530000006</v>
      </c>
      <c r="G87" s="2616">
        <f t="shared" si="30"/>
        <v>0</v>
      </c>
      <c r="H87" s="2617">
        <f t="shared" si="26"/>
        <v>1.1609836</v>
      </c>
      <c r="I87" s="2616">
        <f t="shared" si="27"/>
        <v>72.358302870000003</v>
      </c>
      <c r="J87" s="2616">
        <f t="shared" si="35"/>
        <v>0</v>
      </c>
      <c r="K87" s="2616">
        <f t="shared" si="36"/>
        <v>0</v>
      </c>
      <c r="L87" s="2616">
        <f t="shared" si="37"/>
        <v>0</v>
      </c>
      <c r="M87" s="2616">
        <f t="shared" si="38"/>
        <v>0</v>
      </c>
      <c r="N87" s="2616">
        <f t="shared" si="31"/>
        <v>0</v>
      </c>
      <c r="O87" s="2616">
        <f t="shared" ref="O87:O97" si="39">Y48</f>
        <v>0</v>
      </c>
      <c r="P87" s="2616">
        <f t="shared" si="32"/>
        <v>0</v>
      </c>
      <c r="Q87" s="740">
        <f t="shared" si="33"/>
        <v>145.12295</v>
      </c>
      <c r="R87" s="742">
        <f t="shared" si="34"/>
        <v>0</v>
      </c>
      <c r="T87" s="742"/>
      <c r="V87" s="27"/>
      <c r="W87" s="27"/>
      <c r="X87" s="27"/>
      <c r="Y87" s="27"/>
      <c r="Z87" s="27"/>
      <c r="AA87" s="27"/>
      <c r="AB87" s="27"/>
      <c r="AC87" s="27"/>
      <c r="AD87" s="27"/>
      <c r="AE87" s="27"/>
      <c r="AF87" s="27"/>
      <c r="AG87" s="27"/>
    </row>
    <row r="88" spans="2:33" x14ac:dyDescent="0.3">
      <c r="B88" s="527" t="s">
        <v>33</v>
      </c>
      <c r="C88" s="2614">
        <f t="shared" si="29"/>
        <v>1732.3403000000001</v>
      </c>
      <c r="D88" s="2615">
        <f t="shared" si="24"/>
        <v>1</v>
      </c>
      <c r="E88" s="2616">
        <f t="shared" si="24"/>
        <v>0</v>
      </c>
      <c r="F88" s="2616">
        <f t="shared" si="25"/>
        <v>1529.6564849000001</v>
      </c>
      <c r="G88" s="2616">
        <f t="shared" si="30"/>
        <v>0</v>
      </c>
      <c r="H88" s="2616">
        <f t="shared" si="26"/>
        <v>29.449785100000003</v>
      </c>
      <c r="I88" s="2616">
        <f t="shared" si="27"/>
        <v>6.9293612000000007</v>
      </c>
      <c r="J88" s="2616">
        <f t="shared" si="35"/>
        <v>0</v>
      </c>
      <c r="K88" s="2616">
        <f t="shared" si="36"/>
        <v>0</v>
      </c>
      <c r="L88" s="2616">
        <f t="shared" si="37"/>
        <v>0</v>
      </c>
      <c r="M88" s="2616">
        <f t="shared" si="38"/>
        <v>0</v>
      </c>
      <c r="N88" s="2616">
        <f t="shared" si="31"/>
        <v>0</v>
      </c>
      <c r="O88" s="2616">
        <f t="shared" si="39"/>
        <v>0</v>
      </c>
      <c r="P88" s="2616">
        <f t="shared" si="32"/>
        <v>166.3046688</v>
      </c>
      <c r="Q88" s="740">
        <f t="shared" si="33"/>
        <v>1732.3403000000001</v>
      </c>
      <c r="R88" s="742">
        <f t="shared" si="34"/>
        <v>0</v>
      </c>
      <c r="T88" s="742"/>
      <c r="V88" s="27"/>
      <c r="W88" s="27"/>
      <c r="X88" s="27"/>
      <c r="Y88" s="27"/>
      <c r="Z88" s="27"/>
      <c r="AA88" s="27"/>
      <c r="AB88" s="27"/>
      <c r="AC88" s="27"/>
      <c r="AD88" s="27"/>
      <c r="AE88" s="27"/>
      <c r="AF88" s="27"/>
      <c r="AG88" s="27"/>
    </row>
    <row r="89" spans="2:33" x14ac:dyDescent="0.3">
      <c r="B89" s="527" t="s">
        <v>66</v>
      </c>
      <c r="C89" s="2614">
        <f t="shared" si="29"/>
        <v>38.457999999999998</v>
      </c>
      <c r="D89" s="2615">
        <f t="shared" si="24"/>
        <v>1</v>
      </c>
      <c r="E89" s="2616">
        <f t="shared" si="24"/>
        <v>5.8210693977332717</v>
      </c>
      <c r="F89" s="2616">
        <f t="shared" si="25"/>
        <v>18.138691609666399</v>
      </c>
      <c r="G89" s="2616">
        <f t="shared" si="30"/>
        <v>0</v>
      </c>
      <c r="H89" s="2616">
        <f t="shared" si="26"/>
        <v>14.498238992600326</v>
      </c>
      <c r="I89" s="2616">
        <f t="shared" si="27"/>
        <v>0</v>
      </c>
      <c r="J89" s="2616">
        <f t="shared" si="35"/>
        <v>0</v>
      </c>
      <c r="K89" s="2616">
        <f t="shared" si="36"/>
        <v>0</v>
      </c>
      <c r="L89" s="2616">
        <f t="shared" si="37"/>
        <v>0</v>
      </c>
      <c r="M89" s="2616">
        <f t="shared" si="38"/>
        <v>0</v>
      </c>
      <c r="N89" s="2616">
        <f t="shared" si="31"/>
        <v>0</v>
      </c>
      <c r="O89" s="2616">
        <f t="shared" si="39"/>
        <v>0</v>
      </c>
      <c r="P89" s="2616">
        <f t="shared" si="32"/>
        <v>0</v>
      </c>
      <c r="Q89" s="740">
        <f t="shared" si="33"/>
        <v>38.457999999999998</v>
      </c>
      <c r="R89" s="742">
        <f t="shared" si="34"/>
        <v>0</v>
      </c>
      <c r="T89" s="742"/>
      <c r="V89" s="27"/>
      <c r="W89" s="27"/>
      <c r="X89" s="27"/>
      <c r="Y89" s="27"/>
      <c r="Z89" s="27"/>
      <c r="AA89" s="27"/>
      <c r="AB89" s="27"/>
      <c r="AC89" s="27"/>
      <c r="AD89" s="27"/>
      <c r="AE89" s="27"/>
      <c r="AF89" s="27"/>
      <c r="AG89" s="27"/>
    </row>
    <row r="90" spans="2:33" x14ac:dyDescent="0.3">
      <c r="B90" s="527" t="s">
        <v>73</v>
      </c>
      <c r="C90" s="2614">
        <f t="shared" si="29"/>
        <v>584.80880000000002</v>
      </c>
      <c r="D90" s="2615">
        <f t="shared" si="24"/>
        <v>0.22779068988017964</v>
      </c>
      <c r="E90" s="2616">
        <f>E51</f>
        <v>0</v>
      </c>
      <c r="F90" s="2616">
        <f t="shared" si="25"/>
        <v>112.68572259999999</v>
      </c>
      <c r="G90" s="2616">
        <f t="shared" si="30"/>
        <v>0</v>
      </c>
      <c r="H90" s="2616">
        <f t="shared" si="26"/>
        <v>54.232958717499017</v>
      </c>
      <c r="I90" s="2616">
        <f t="shared" si="27"/>
        <v>187.31825745735205</v>
      </c>
      <c r="J90" s="2616">
        <f t="shared" si="35"/>
        <v>0</v>
      </c>
      <c r="K90" s="2616">
        <f t="shared" si="36"/>
        <v>0</v>
      </c>
      <c r="L90" s="2616">
        <f t="shared" si="37"/>
        <v>0</v>
      </c>
      <c r="M90" s="2616">
        <f t="shared" si="38"/>
        <v>0</v>
      </c>
      <c r="N90" s="2616">
        <f t="shared" si="31"/>
        <v>205.99524475738502</v>
      </c>
      <c r="O90" s="2616">
        <f t="shared" si="39"/>
        <v>18.287203347524496</v>
      </c>
      <c r="P90" s="2616">
        <f t="shared" si="32"/>
        <v>0</v>
      </c>
      <c r="Q90" s="740">
        <f t="shared" si="33"/>
        <v>578.51938687976065</v>
      </c>
      <c r="R90" s="742">
        <f t="shared" si="34"/>
        <v>-6.2894131202393737</v>
      </c>
      <c r="T90" s="742"/>
      <c r="V90" s="27"/>
      <c r="W90" s="27"/>
      <c r="X90" s="27"/>
      <c r="Y90" s="27"/>
      <c r="Z90" s="27"/>
      <c r="AA90" s="27"/>
      <c r="AB90" s="27"/>
      <c r="AC90" s="27"/>
      <c r="AD90" s="27"/>
      <c r="AE90" s="27"/>
      <c r="AF90" s="27"/>
      <c r="AG90" s="27"/>
    </row>
    <row r="91" spans="2:33" x14ac:dyDescent="0.3">
      <c r="B91" s="527" t="s">
        <v>74</v>
      </c>
      <c r="C91" s="2614">
        <f t="shared" si="29"/>
        <v>0.58699999999999997</v>
      </c>
      <c r="D91" s="2615">
        <f t="shared" si="24"/>
        <v>1</v>
      </c>
      <c r="E91" s="2616">
        <f>E52</f>
        <v>0</v>
      </c>
      <c r="F91" s="2617">
        <f t="shared" si="25"/>
        <v>9.6785867237687354E-2</v>
      </c>
      <c r="G91" s="2616">
        <f t="shared" si="30"/>
        <v>0</v>
      </c>
      <c r="H91" s="2617">
        <f t="shared" si="26"/>
        <v>0.49021413276231268</v>
      </c>
      <c r="I91" s="2616">
        <f t="shared" si="27"/>
        <v>0</v>
      </c>
      <c r="J91" s="2616">
        <f t="shared" si="35"/>
        <v>0</v>
      </c>
      <c r="K91" s="2616">
        <f t="shared" si="36"/>
        <v>0</v>
      </c>
      <c r="L91" s="2616">
        <f t="shared" si="37"/>
        <v>0</v>
      </c>
      <c r="M91" s="2616">
        <f t="shared" si="38"/>
        <v>0</v>
      </c>
      <c r="N91" s="2616">
        <f t="shared" si="31"/>
        <v>0</v>
      </c>
      <c r="O91" s="2616">
        <f t="shared" si="39"/>
        <v>0</v>
      </c>
      <c r="P91" s="2616">
        <f t="shared" si="32"/>
        <v>0</v>
      </c>
      <c r="Q91" s="740">
        <f t="shared" si="33"/>
        <v>0.58700000000000008</v>
      </c>
      <c r="R91" s="742">
        <f t="shared" si="34"/>
        <v>0</v>
      </c>
      <c r="T91" s="742"/>
      <c r="V91" s="27"/>
      <c r="W91" s="27"/>
      <c r="X91" s="27"/>
      <c r="Y91" s="27"/>
      <c r="Z91" s="27"/>
      <c r="AA91" s="27"/>
      <c r="AB91" s="27"/>
      <c r="AC91" s="27"/>
      <c r="AD91" s="27"/>
      <c r="AE91" s="27"/>
      <c r="AF91" s="27"/>
      <c r="AG91" s="27"/>
    </row>
    <row r="92" spans="2:33" x14ac:dyDescent="0.3">
      <c r="B92" s="527" t="s">
        <v>327</v>
      </c>
      <c r="C92" s="2614">
        <f t="shared" si="29"/>
        <v>28440.352630000001</v>
      </c>
      <c r="D92" s="2615">
        <f t="shared" si="29"/>
        <v>0.70759754957370224</v>
      </c>
      <c r="E92" s="2616">
        <f t="shared" si="29"/>
        <v>10847.010544369999</v>
      </c>
      <c r="F92" s="2616">
        <f t="shared" si="25"/>
        <v>5463.7539198449995</v>
      </c>
      <c r="G92" s="2616">
        <f t="shared" si="30"/>
        <v>0</v>
      </c>
      <c r="H92" s="2616">
        <f t="shared" si="26"/>
        <v>4466.0604541198172</v>
      </c>
      <c r="I92" s="2616">
        <f t="shared" si="27"/>
        <v>3621.2942319557128</v>
      </c>
      <c r="J92" s="2616">
        <f t="shared" si="35"/>
        <v>0</v>
      </c>
      <c r="K92" s="2616">
        <f t="shared" si="36"/>
        <v>0</v>
      </c>
      <c r="L92" s="2616">
        <f t="shared" si="37"/>
        <v>0</v>
      </c>
      <c r="M92" s="2616">
        <f t="shared" si="38"/>
        <v>0</v>
      </c>
      <c r="N92" s="2616">
        <f t="shared" si="31"/>
        <v>3832.2677838818404</v>
      </c>
      <c r="O92" s="2616">
        <f t="shared" si="39"/>
        <v>217.68584643960804</v>
      </c>
      <c r="P92" s="2616">
        <f t="shared" si="32"/>
        <v>0</v>
      </c>
      <c r="Q92" s="740">
        <f t="shared" si="33"/>
        <v>28448.072780611976</v>
      </c>
      <c r="R92" s="742">
        <f t="shared" si="34"/>
        <v>7.7201506119745318</v>
      </c>
      <c r="T92" s="742"/>
      <c r="V92" s="27"/>
      <c r="W92" s="27"/>
      <c r="X92" s="27"/>
      <c r="Y92" s="27"/>
      <c r="Z92" s="27"/>
      <c r="AA92" s="27"/>
      <c r="AB92" s="27"/>
      <c r="AC92" s="27"/>
      <c r="AD92" s="27"/>
      <c r="AE92" s="27"/>
      <c r="AF92" s="27"/>
      <c r="AG92" s="27"/>
    </row>
    <row r="93" spans="2:33" x14ac:dyDescent="0.3">
      <c r="B93" s="527" t="s">
        <v>143</v>
      </c>
      <c r="C93" s="2614">
        <f t="shared" ref="C93:E98" si="40">C54</f>
        <v>14556.98428270478</v>
      </c>
      <c r="D93" s="2615">
        <f t="shared" si="40"/>
        <v>0.95519515667988253</v>
      </c>
      <c r="E93" s="2616">
        <f t="shared" si="40"/>
        <v>38.212959633294474</v>
      </c>
      <c r="F93" s="2616">
        <f t="shared" si="25"/>
        <v>11932.333997215144</v>
      </c>
      <c r="G93" s="2616">
        <f t="shared" si="30"/>
        <v>0</v>
      </c>
      <c r="H93" s="2616">
        <f t="shared" si="26"/>
        <v>838.54826966792871</v>
      </c>
      <c r="I93" s="2616">
        <f t="shared" si="27"/>
        <v>1434.2819199286284</v>
      </c>
      <c r="J93" s="2616">
        <f t="shared" si="35"/>
        <v>0</v>
      </c>
      <c r="K93" s="2616">
        <f t="shared" si="36"/>
        <v>0</v>
      </c>
      <c r="L93" s="2616">
        <f t="shared" si="37"/>
        <v>0</v>
      </c>
      <c r="M93" s="2616">
        <f t="shared" si="38"/>
        <v>0</v>
      </c>
      <c r="N93" s="2616">
        <f t="shared" si="31"/>
        <v>301.21745127812773</v>
      </c>
      <c r="O93" s="2616">
        <f t="shared" si="39"/>
        <v>15.071660529538434</v>
      </c>
      <c r="P93" s="2616">
        <f t="shared" si="32"/>
        <v>0</v>
      </c>
      <c r="Q93" s="740">
        <f t="shared" si="33"/>
        <v>14559.666258252661</v>
      </c>
      <c r="R93" s="742">
        <f t="shared" si="34"/>
        <v>2.6819755478809384</v>
      </c>
      <c r="T93" s="742"/>
      <c r="V93" s="27"/>
      <c r="W93" s="27"/>
      <c r="X93" s="27"/>
      <c r="Y93" s="27"/>
      <c r="Z93" s="27"/>
      <c r="AA93" s="27"/>
      <c r="AB93" s="27"/>
      <c r="AC93" s="27"/>
      <c r="AD93" s="27"/>
      <c r="AE93" s="27"/>
      <c r="AF93" s="27"/>
      <c r="AG93" s="27"/>
    </row>
    <row r="94" spans="2:33" x14ac:dyDescent="0.3">
      <c r="B94" s="527" t="s">
        <v>76</v>
      </c>
      <c r="C94" s="2614">
        <f t="shared" si="40"/>
        <v>2973.2391172952202</v>
      </c>
      <c r="D94" s="2615">
        <f t="shared" si="40"/>
        <v>1</v>
      </c>
      <c r="E94" s="2616">
        <f t="shared" si="40"/>
        <v>2.7550316171920066</v>
      </c>
      <c r="F94" s="2616">
        <f t="shared" si="25"/>
        <v>566.90116911554765</v>
      </c>
      <c r="G94" s="2616">
        <f t="shared" si="30"/>
        <v>0</v>
      </c>
      <c r="H94" s="2616">
        <f t="shared" si="26"/>
        <v>2403.5829165624809</v>
      </c>
      <c r="I94" s="2616">
        <f t="shared" si="27"/>
        <v>0</v>
      </c>
      <c r="J94" s="2616">
        <f t="shared" si="35"/>
        <v>0</v>
      </c>
      <c r="K94" s="2616">
        <f t="shared" si="36"/>
        <v>0</v>
      </c>
      <c r="L94" s="2616">
        <f t="shared" si="37"/>
        <v>0</v>
      </c>
      <c r="M94" s="2616">
        <f t="shared" si="38"/>
        <v>0</v>
      </c>
      <c r="N94" s="2616">
        <f t="shared" si="31"/>
        <v>0</v>
      </c>
      <c r="O94" s="2616">
        <f t="shared" si="39"/>
        <v>0</v>
      </c>
      <c r="P94" s="2616">
        <f t="shared" si="32"/>
        <v>0</v>
      </c>
      <c r="Q94" s="740">
        <f t="shared" si="33"/>
        <v>2973.2391172952207</v>
      </c>
      <c r="R94" s="742">
        <f t="shared" si="34"/>
        <v>0</v>
      </c>
      <c r="T94" s="742"/>
      <c r="V94" s="27"/>
      <c r="W94" s="27"/>
      <c r="X94" s="27"/>
      <c r="Y94" s="27"/>
      <c r="Z94" s="27"/>
      <c r="AA94" s="27"/>
      <c r="AB94" s="27"/>
      <c r="AC94" s="27"/>
      <c r="AD94" s="27"/>
      <c r="AE94" s="27"/>
      <c r="AF94" s="27"/>
      <c r="AG94" s="27"/>
    </row>
    <row r="95" spans="2:33" x14ac:dyDescent="0.3">
      <c r="B95" s="527" t="s">
        <v>309</v>
      </c>
      <c r="C95" s="2614">
        <f t="shared" si="40"/>
        <v>92997.025799999989</v>
      </c>
      <c r="D95" s="2615">
        <f t="shared" si="40"/>
        <v>0.99016069823600739</v>
      </c>
      <c r="E95" s="2616">
        <f>E56</f>
        <v>0</v>
      </c>
      <c r="F95" s="2616">
        <f t="shared" si="25"/>
        <v>87477.89999999998</v>
      </c>
      <c r="G95" s="2616">
        <f t="shared" si="30"/>
        <v>0</v>
      </c>
      <c r="H95" s="2616">
        <f t="shared" si="26"/>
        <v>0</v>
      </c>
      <c r="I95" s="2616">
        <f t="shared" si="27"/>
        <v>5501.2360249787343</v>
      </c>
      <c r="J95" s="2616">
        <f t="shared" si="35"/>
        <v>0</v>
      </c>
      <c r="K95" s="2616">
        <f t="shared" si="36"/>
        <v>0</v>
      </c>
      <c r="L95" s="2616">
        <f t="shared" si="37"/>
        <v>0</v>
      </c>
      <c r="M95" s="2616">
        <f t="shared" si="38"/>
        <v>0</v>
      </c>
      <c r="N95" s="2616">
        <f t="shared" si="31"/>
        <v>0</v>
      </c>
      <c r="O95" s="2616">
        <f t="shared" si="39"/>
        <v>21.393791631188755</v>
      </c>
      <c r="P95" s="2616">
        <f t="shared" si="32"/>
        <v>0</v>
      </c>
      <c r="Q95" s="740">
        <f t="shared" si="33"/>
        <v>93000.529816609895</v>
      </c>
      <c r="R95" s="742">
        <f t="shared" si="34"/>
        <v>3.5040166099061025</v>
      </c>
      <c r="T95" s="742"/>
      <c r="V95" s="27"/>
      <c r="W95" s="27"/>
      <c r="X95" s="27"/>
      <c r="Y95" s="27"/>
      <c r="Z95" s="27"/>
      <c r="AA95" s="27"/>
      <c r="AB95" s="27"/>
      <c r="AC95" s="27"/>
      <c r="AD95" s="27"/>
      <c r="AE95" s="27"/>
      <c r="AF95" s="27"/>
      <c r="AG95" s="27"/>
    </row>
    <row r="96" spans="2:33" x14ac:dyDescent="0.3">
      <c r="B96" s="527" t="s">
        <v>95</v>
      </c>
      <c r="C96" s="2614">
        <f t="shared" si="40"/>
        <v>11.7</v>
      </c>
      <c r="D96" s="2615">
        <f t="shared" si="40"/>
        <v>1</v>
      </c>
      <c r="E96" s="2616">
        <f>E57</f>
        <v>0</v>
      </c>
      <c r="F96" s="2616">
        <f t="shared" si="25"/>
        <v>11.7</v>
      </c>
      <c r="G96" s="2616">
        <f t="shared" si="30"/>
        <v>0</v>
      </c>
      <c r="H96" s="2616">
        <f t="shared" si="26"/>
        <v>0</v>
      </c>
      <c r="I96" s="2616">
        <f t="shared" si="27"/>
        <v>0</v>
      </c>
      <c r="J96" s="2616">
        <f t="shared" si="35"/>
        <v>0</v>
      </c>
      <c r="K96" s="2616">
        <f t="shared" si="36"/>
        <v>0</v>
      </c>
      <c r="L96" s="2616">
        <f t="shared" si="37"/>
        <v>0</v>
      </c>
      <c r="M96" s="2616">
        <f t="shared" si="38"/>
        <v>0</v>
      </c>
      <c r="N96" s="2616">
        <f t="shared" si="31"/>
        <v>0</v>
      </c>
      <c r="O96" s="2616">
        <f t="shared" si="39"/>
        <v>0</v>
      </c>
      <c r="P96" s="2616">
        <f t="shared" si="32"/>
        <v>0</v>
      </c>
      <c r="Q96" s="740">
        <f t="shared" si="33"/>
        <v>11.7</v>
      </c>
      <c r="R96" s="742">
        <f t="shared" si="34"/>
        <v>0</v>
      </c>
      <c r="T96" s="742"/>
      <c r="V96" s="27"/>
      <c r="W96" s="27"/>
      <c r="X96" s="27"/>
      <c r="Y96" s="27"/>
      <c r="Z96" s="27"/>
      <c r="AA96" s="27"/>
      <c r="AB96" s="27"/>
      <c r="AC96" s="27"/>
      <c r="AD96" s="27"/>
      <c r="AE96" s="27"/>
      <c r="AF96" s="27"/>
      <c r="AG96" s="27"/>
    </row>
    <row r="97" spans="2:33" x14ac:dyDescent="0.3">
      <c r="B97" s="527" t="s">
        <v>119</v>
      </c>
      <c r="C97" s="2614">
        <f t="shared" si="40"/>
        <v>36912.115200000007</v>
      </c>
      <c r="D97" s="2615">
        <f>D58</f>
        <v>0</v>
      </c>
      <c r="E97" s="2616">
        <f>E58</f>
        <v>0</v>
      </c>
      <c r="F97" s="2616">
        <f t="shared" si="25"/>
        <v>0</v>
      </c>
      <c r="G97" s="2616">
        <f t="shared" si="30"/>
        <v>0</v>
      </c>
      <c r="H97" s="2616">
        <f>K58</f>
        <v>1080.6623852982998</v>
      </c>
      <c r="I97" s="2616">
        <f t="shared" si="27"/>
        <v>5997.532467814297</v>
      </c>
      <c r="J97" s="2616">
        <f t="shared" si="35"/>
        <v>0</v>
      </c>
      <c r="K97" s="2616">
        <f t="shared" si="36"/>
        <v>1089.7440096718851</v>
      </c>
      <c r="L97" s="2616">
        <f t="shared" si="37"/>
        <v>0</v>
      </c>
      <c r="M97" s="2616">
        <f t="shared" si="38"/>
        <v>10722.531345289826</v>
      </c>
      <c r="N97" s="2616">
        <f t="shared" si="31"/>
        <v>16993.196793586441</v>
      </c>
      <c r="O97" s="2616">
        <f t="shared" si="39"/>
        <v>1018.198112538628</v>
      </c>
      <c r="P97" s="2616">
        <f t="shared" si="32"/>
        <v>0</v>
      </c>
      <c r="Q97" s="740">
        <f t="shared" si="33"/>
        <v>36901.865114199383</v>
      </c>
      <c r="R97" s="742">
        <f t="shared" si="34"/>
        <v>-10.25008580062422</v>
      </c>
      <c r="T97" s="742"/>
      <c r="V97" s="27"/>
      <c r="W97" s="27"/>
      <c r="X97" s="27"/>
      <c r="Y97" s="27"/>
      <c r="Z97" s="27"/>
      <c r="AA97" s="27"/>
      <c r="AB97" s="27"/>
      <c r="AC97" s="27"/>
      <c r="AD97" s="27"/>
      <c r="AE97" s="27"/>
      <c r="AF97" s="27"/>
      <c r="AG97" s="27"/>
    </row>
    <row r="98" spans="2:33" x14ac:dyDescent="0.3">
      <c r="B98" s="656" t="s">
        <v>427</v>
      </c>
      <c r="C98" s="2618" t="e">
        <f t="shared" si="40"/>
        <v>#REF!</v>
      </c>
      <c r="D98" s="2619" t="e">
        <f>D59</f>
        <v>#REF!</v>
      </c>
      <c r="E98" s="2618">
        <f>E59</f>
        <v>13524.810616189156</v>
      </c>
      <c r="F98" s="2618">
        <f>G59</f>
        <v>249453.6435095261</v>
      </c>
      <c r="G98" s="2618">
        <f>I59</f>
        <v>10385.72737999634</v>
      </c>
      <c r="H98" s="2618">
        <f>K59</f>
        <v>21651.436738983626</v>
      </c>
      <c r="I98" s="2618">
        <f t="shared" si="27"/>
        <v>45955.837087146865</v>
      </c>
      <c r="J98" s="2618">
        <f>O59</f>
        <v>27930.392727925126</v>
      </c>
      <c r="K98" s="2618">
        <f>Q59</f>
        <v>6201.6019410988902</v>
      </c>
      <c r="L98" s="2618">
        <f>S59</f>
        <v>8713.9151668465911</v>
      </c>
      <c r="M98" s="2618">
        <f>U59</f>
        <v>63868.031226334526</v>
      </c>
      <c r="N98" s="2618">
        <f>W59</f>
        <v>148024.54580745366</v>
      </c>
      <c r="O98" s="2618">
        <f>Y59</f>
        <v>11572.890767224588</v>
      </c>
      <c r="P98" s="2618">
        <f>AA59</f>
        <v>37633.304668800003</v>
      </c>
      <c r="Q98" s="740">
        <f>SUM(E98:P98)</f>
        <v>644916.13763752545</v>
      </c>
      <c r="R98" s="742" t="e">
        <f t="shared" si="34"/>
        <v>#REF!</v>
      </c>
      <c r="T98" s="742"/>
      <c r="V98" s="27"/>
      <c r="W98" s="27"/>
      <c r="X98" s="27"/>
      <c r="Y98" s="27"/>
      <c r="Z98" s="27"/>
      <c r="AA98" s="27"/>
      <c r="AB98" s="27"/>
      <c r="AC98" s="27"/>
      <c r="AD98" s="27"/>
      <c r="AE98" s="27"/>
      <c r="AF98" s="27"/>
      <c r="AG98" s="27"/>
    </row>
    <row r="99" spans="2:33" x14ac:dyDescent="0.3">
      <c r="B99" s="657" t="s">
        <v>428</v>
      </c>
      <c r="C99" s="2620" t="e">
        <f>C98-C95</f>
        <v>#REF!</v>
      </c>
      <c r="D99" s="2621" t="e">
        <f>(R26-R23)/C99</f>
        <v>#REF!</v>
      </c>
      <c r="E99" s="2620">
        <f>E98-E95</f>
        <v>13524.810616189156</v>
      </c>
      <c r="F99" s="2620">
        <f t="shared" ref="F99:P99" si="41">F98-F95</f>
        <v>161975.74350952613</v>
      </c>
      <c r="G99" s="2620">
        <f t="shared" si="41"/>
        <v>10385.72737999634</v>
      </c>
      <c r="H99" s="2620">
        <f t="shared" si="41"/>
        <v>21651.436738983626</v>
      </c>
      <c r="I99" s="2620">
        <f t="shared" si="41"/>
        <v>40454.601062168134</v>
      </c>
      <c r="J99" s="2620">
        <f t="shared" si="41"/>
        <v>27930.392727925126</v>
      </c>
      <c r="K99" s="2620">
        <f t="shared" si="41"/>
        <v>6201.6019410988902</v>
      </c>
      <c r="L99" s="2620">
        <f t="shared" si="41"/>
        <v>8713.9151668465911</v>
      </c>
      <c r="M99" s="2620">
        <f t="shared" si="41"/>
        <v>63868.031226334526</v>
      </c>
      <c r="N99" s="2620">
        <f t="shared" si="41"/>
        <v>148024.54580745366</v>
      </c>
      <c r="O99" s="2620">
        <f t="shared" si="41"/>
        <v>11551.4969755934</v>
      </c>
      <c r="P99" s="2620">
        <f t="shared" si="41"/>
        <v>37633.304668800003</v>
      </c>
      <c r="Q99" s="27">
        <v>560.97810564593544</v>
      </c>
      <c r="R99" s="741" t="e">
        <f t="shared" si="34"/>
        <v>#REF!</v>
      </c>
    </row>
    <row r="102" spans="2:33" ht="20.100000000000001" customHeight="1" x14ac:dyDescent="0.3">
      <c r="B102" s="3888" t="s">
        <v>336</v>
      </c>
      <c r="C102" s="3888" t="s">
        <v>468</v>
      </c>
      <c r="D102" s="3889" t="s">
        <v>469</v>
      </c>
      <c r="E102" s="3889" t="s">
        <v>512</v>
      </c>
      <c r="F102" s="3889"/>
      <c r="G102" s="3889"/>
      <c r="H102" s="3889"/>
      <c r="I102" s="3889"/>
      <c r="J102" s="3889"/>
      <c r="K102" s="3889"/>
      <c r="L102" s="3889"/>
      <c r="M102" s="3889"/>
      <c r="N102" s="3889"/>
      <c r="O102" s="3889"/>
      <c r="P102" s="3889"/>
      <c r="Q102" s="742"/>
      <c r="R102" s="742"/>
      <c r="T102" s="742"/>
      <c r="V102" s="27"/>
      <c r="W102" s="27"/>
      <c r="X102" s="27"/>
      <c r="Y102" s="27"/>
      <c r="Z102" s="27"/>
      <c r="AA102" s="27"/>
      <c r="AB102" s="27"/>
      <c r="AC102" s="27"/>
      <c r="AD102" s="27"/>
      <c r="AE102" s="27"/>
      <c r="AF102" s="27"/>
      <c r="AG102" s="27"/>
    </row>
    <row r="103" spans="2:33" ht="69" x14ac:dyDescent="0.3">
      <c r="B103" s="3888"/>
      <c r="C103" s="3888"/>
      <c r="D103" s="3889"/>
      <c r="E103" s="2613" t="s">
        <v>494</v>
      </c>
      <c r="F103" s="2613" t="s">
        <v>495</v>
      </c>
      <c r="G103" s="2613" t="s">
        <v>496</v>
      </c>
      <c r="H103" s="2613" t="s">
        <v>525</v>
      </c>
      <c r="I103" s="2613" t="s">
        <v>503</v>
      </c>
      <c r="J103" s="2613" t="s">
        <v>527</v>
      </c>
      <c r="K103" s="2613" t="s">
        <v>529</v>
      </c>
      <c r="L103" s="2613" t="s">
        <v>531</v>
      </c>
      <c r="M103" s="2613" t="s">
        <v>533</v>
      </c>
      <c r="N103" s="2613" t="s">
        <v>535</v>
      </c>
      <c r="O103" s="2613" t="s">
        <v>505</v>
      </c>
      <c r="P103" s="2613" t="s">
        <v>537</v>
      </c>
      <c r="Q103" s="742"/>
      <c r="R103" s="742"/>
      <c r="T103" s="742"/>
      <c r="V103" s="27"/>
      <c r="W103" s="27"/>
      <c r="X103" s="27"/>
      <c r="Y103" s="27"/>
      <c r="Z103" s="27"/>
      <c r="AA103" s="27"/>
      <c r="AB103" s="27"/>
      <c r="AC103" s="27"/>
      <c r="AD103" s="27"/>
      <c r="AE103" s="27"/>
      <c r="AF103" s="27"/>
      <c r="AG103" s="27"/>
    </row>
    <row r="104" spans="2:33" x14ac:dyDescent="0.3">
      <c r="B104" s="527" t="s">
        <v>5</v>
      </c>
      <c r="C104" s="2614" t="e">
        <f>C37</f>
        <v>#REF!</v>
      </c>
      <c r="D104" s="2615" t="e">
        <f t="shared" ref="D104:D124" si="42">D37</f>
        <v>#REF!</v>
      </c>
      <c r="E104" s="2615">
        <f t="shared" ref="E104:E125" si="43">F37</f>
        <v>0</v>
      </c>
      <c r="F104" s="2615">
        <f t="shared" ref="F104:F125" si="44">H37</f>
        <v>0</v>
      </c>
      <c r="G104" s="2615" t="e">
        <f>J37</f>
        <v>#REF!</v>
      </c>
      <c r="H104" s="2615">
        <f>L37</f>
        <v>0</v>
      </c>
      <c r="I104" s="2615" t="e">
        <f>N37</f>
        <v>#REF!</v>
      </c>
      <c r="J104" s="2615" t="e">
        <f>P37</f>
        <v>#REF!</v>
      </c>
      <c r="K104" s="2615">
        <f>R37</f>
        <v>0</v>
      </c>
      <c r="L104" s="2615" t="e">
        <f>T37</f>
        <v>#REF!</v>
      </c>
      <c r="M104" s="2615">
        <f>V37</f>
        <v>0</v>
      </c>
      <c r="N104" s="2615" t="e">
        <f>X37</f>
        <v>#REF!</v>
      </c>
      <c r="O104" s="2615" t="e">
        <f t="shared" ref="O104:O125" si="45">Z37</f>
        <v>#REF!</v>
      </c>
      <c r="P104" s="2615" t="e">
        <f>AB37</f>
        <v>#REF!</v>
      </c>
      <c r="Q104" s="742" t="e">
        <f>SUM(E104:P104)</f>
        <v>#REF!</v>
      </c>
      <c r="R104" s="742"/>
      <c r="T104" s="742"/>
      <c r="V104" s="27"/>
      <c r="W104" s="27"/>
      <c r="X104" s="27"/>
      <c r="Y104" s="27"/>
      <c r="Z104" s="27"/>
      <c r="AA104" s="27"/>
      <c r="AB104" s="27"/>
      <c r="AC104" s="27"/>
      <c r="AD104" s="27"/>
      <c r="AE104" s="27"/>
      <c r="AF104" s="27"/>
      <c r="AG104" s="27"/>
    </row>
    <row r="105" spans="2:33" x14ac:dyDescent="0.3">
      <c r="B105" s="527" t="s">
        <v>8</v>
      </c>
      <c r="C105" s="2614">
        <f t="shared" ref="C105:D120" si="46">C38</f>
        <v>157845.8026</v>
      </c>
      <c r="D105" s="2615">
        <f t="shared" si="46"/>
        <v>0.56733215913845281</v>
      </c>
      <c r="E105" s="2615">
        <f t="shared" si="43"/>
        <v>0</v>
      </c>
      <c r="F105" s="2615">
        <f t="shared" si="44"/>
        <v>0.55506445001577842</v>
      </c>
      <c r="G105" s="2615">
        <f t="shared" ref="G105:G125" si="47">J38</f>
        <v>0</v>
      </c>
      <c r="H105" s="2615">
        <f>L38</f>
        <v>0</v>
      </c>
      <c r="I105" s="2615">
        <f t="shared" ref="I105:I125" si="48">N38</f>
        <v>2.836660795692264E-2</v>
      </c>
      <c r="J105" s="2615">
        <f t="shared" ref="J105:J125" si="49">P38</f>
        <v>4.3501941665507672E-2</v>
      </c>
      <c r="K105" s="2615">
        <f>R38</f>
        <v>1.2878438619955093E-2</v>
      </c>
      <c r="L105" s="2615">
        <f>T38</f>
        <v>1.3572033625124868E-2</v>
      </c>
      <c r="M105" s="2615">
        <f>V38</f>
        <v>0.12671733962771439</v>
      </c>
      <c r="N105" s="2615">
        <f>X38</f>
        <v>0.19752210967508979</v>
      </c>
      <c r="O105" s="2615">
        <f t="shared" si="45"/>
        <v>1.7029841911083372E-2</v>
      </c>
      <c r="P105" s="2615">
        <f t="shared" ref="P105:P125" si="50">AB38</f>
        <v>0</v>
      </c>
      <c r="Q105" s="742">
        <f t="shared" ref="Q105:Q126" si="51">SUM(E105:P105)</f>
        <v>0.99465276309717621</v>
      </c>
      <c r="R105" s="742"/>
      <c r="T105" s="742"/>
      <c r="V105" s="27"/>
      <c r="W105" s="27"/>
      <c r="X105" s="27"/>
      <c r="Y105" s="27"/>
      <c r="Z105" s="27"/>
      <c r="AA105" s="27"/>
      <c r="AB105" s="27"/>
      <c r="AC105" s="27"/>
      <c r="AD105" s="27"/>
      <c r="AE105" s="27"/>
      <c r="AF105" s="27"/>
      <c r="AG105" s="27"/>
    </row>
    <row r="106" spans="2:33" x14ac:dyDescent="0.3">
      <c r="B106" s="527" t="s">
        <v>304</v>
      </c>
      <c r="C106" s="2614">
        <f t="shared" si="46"/>
        <v>43035.430399999997</v>
      </c>
      <c r="D106" s="2615">
        <f t="shared" si="42"/>
        <v>0.61530696344563574</v>
      </c>
      <c r="E106" s="2615">
        <f t="shared" si="43"/>
        <v>0</v>
      </c>
      <c r="F106" s="2615">
        <f t="shared" si="44"/>
        <v>0.59087927699684406</v>
      </c>
      <c r="G106" s="2615">
        <f t="shared" si="47"/>
        <v>0</v>
      </c>
      <c r="H106" s="2615">
        <f>L39</f>
        <v>1.4767367122695257E-3</v>
      </c>
      <c r="I106" s="2615">
        <f t="shared" si="48"/>
        <v>0.3831034199285131</v>
      </c>
      <c r="J106" s="2615">
        <f t="shared" si="49"/>
        <v>0</v>
      </c>
      <c r="K106" s="2615">
        <f t="shared" ref="K106:K125" si="52">R39</f>
        <v>0</v>
      </c>
      <c r="L106" s="2615">
        <f t="shared" ref="L106:L125" si="53">T39</f>
        <v>0</v>
      </c>
      <c r="M106" s="2615">
        <f t="shared" ref="M106:M125" si="54">V39</f>
        <v>0</v>
      </c>
      <c r="N106" s="2615">
        <f t="shared" ref="N106:N125" si="55">X39</f>
        <v>0</v>
      </c>
      <c r="O106" s="2615">
        <f t="shared" si="45"/>
        <v>1.7347266104134753E-2</v>
      </c>
      <c r="P106" s="2615">
        <f t="shared" si="50"/>
        <v>0</v>
      </c>
      <c r="Q106" s="742">
        <f t="shared" si="51"/>
        <v>0.9928066997417615</v>
      </c>
      <c r="R106" s="742"/>
      <c r="T106" s="742"/>
      <c r="V106" s="27"/>
      <c r="W106" s="27"/>
      <c r="X106" s="27"/>
      <c r="Y106" s="27"/>
      <c r="Z106" s="27"/>
      <c r="AA106" s="27"/>
      <c r="AB106" s="27"/>
      <c r="AC106" s="27"/>
      <c r="AD106" s="27"/>
      <c r="AE106" s="27"/>
      <c r="AF106" s="27"/>
      <c r="AG106" s="27"/>
    </row>
    <row r="107" spans="2:33" x14ac:dyDescent="0.3">
      <c r="B107" s="527" t="s">
        <v>14</v>
      </c>
      <c r="C107" s="2614">
        <f t="shared" si="46"/>
        <v>67573.675600000017</v>
      </c>
      <c r="D107" s="2615">
        <f t="shared" si="42"/>
        <v>0.26785578613693167</v>
      </c>
      <c r="E107" s="2615">
        <f t="shared" si="43"/>
        <v>0</v>
      </c>
      <c r="F107" s="2615">
        <f t="shared" si="44"/>
        <v>0.29409462379924356</v>
      </c>
      <c r="G107" s="2615">
        <f t="shared" si="47"/>
        <v>0</v>
      </c>
      <c r="H107" s="2615">
        <f>L40</f>
        <v>5.4544423581940532E-2</v>
      </c>
      <c r="I107" s="2615">
        <f t="shared" si="48"/>
        <v>0</v>
      </c>
      <c r="J107" s="2615">
        <f t="shared" si="49"/>
        <v>0</v>
      </c>
      <c r="K107" s="2615">
        <f t="shared" si="52"/>
        <v>2.4795120858731881E-2</v>
      </c>
      <c r="L107" s="2615">
        <f t="shared" si="53"/>
        <v>0</v>
      </c>
      <c r="M107" s="2615">
        <f t="shared" si="54"/>
        <v>0.28610914000363308</v>
      </c>
      <c r="N107" s="2615">
        <f t="shared" si="55"/>
        <v>0.3129950696994464</v>
      </c>
      <c r="O107" s="2615">
        <f t="shared" si="45"/>
        <v>2.3714479510504496E-2</v>
      </c>
      <c r="P107" s="2615">
        <f t="shared" si="50"/>
        <v>0</v>
      </c>
      <c r="Q107" s="742">
        <f t="shared" si="51"/>
        <v>0.99625285745350001</v>
      </c>
      <c r="R107" s="742"/>
      <c r="T107" s="742"/>
      <c r="V107" s="27"/>
      <c r="W107" s="27"/>
      <c r="X107" s="27"/>
      <c r="Y107" s="27"/>
      <c r="Z107" s="27"/>
      <c r="AA107" s="27"/>
      <c r="AB107" s="27"/>
      <c r="AC107" s="27"/>
      <c r="AD107" s="27"/>
      <c r="AE107" s="27"/>
      <c r="AF107" s="27"/>
      <c r="AG107" s="27"/>
    </row>
    <row r="108" spans="2:33" x14ac:dyDescent="0.3">
      <c r="B108" s="527" t="s">
        <v>17</v>
      </c>
      <c r="C108" s="2614">
        <f t="shared" si="46"/>
        <v>8284.0378000000019</v>
      </c>
      <c r="D108" s="2615">
        <f t="shared" si="42"/>
        <v>6.2047037013761561E-2</v>
      </c>
      <c r="E108" s="2615">
        <f t="shared" si="43"/>
        <v>0</v>
      </c>
      <c r="F108" s="2615">
        <f t="shared" si="44"/>
        <v>0.21241807973979721</v>
      </c>
      <c r="G108" s="2615">
        <f t="shared" si="47"/>
        <v>0</v>
      </c>
      <c r="H108" s="2615">
        <f t="shared" ref="H108:H125" si="56">L41</f>
        <v>0</v>
      </c>
      <c r="I108" s="2615">
        <f t="shared" si="48"/>
        <v>0.76642093017413859</v>
      </c>
      <c r="J108" s="2615">
        <f t="shared" si="49"/>
        <v>0</v>
      </c>
      <c r="K108" s="2615">
        <f t="shared" si="52"/>
        <v>0</v>
      </c>
      <c r="L108" s="2615">
        <f t="shared" si="53"/>
        <v>0</v>
      </c>
      <c r="M108" s="2615">
        <f t="shared" si="54"/>
        <v>0</v>
      </c>
      <c r="N108" s="2615">
        <f t="shared" si="55"/>
        <v>0</v>
      </c>
      <c r="O108" s="2615">
        <f t="shared" si="45"/>
        <v>2.3348047369985012E-2</v>
      </c>
      <c r="P108" s="2615">
        <f t="shared" si="50"/>
        <v>0</v>
      </c>
      <c r="Q108" s="742">
        <f t="shared" si="51"/>
        <v>1.0021870572839209</v>
      </c>
      <c r="R108" s="742"/>
      <c r="T108" s="742"/>
      <c r="V108" s="27"/>
      <c r="W108" s="27"/>
      <c r="X108" s="27"/>
      <c r="Y108" s="27"/>
      <c r="Z108" s="27"/>
      <c r="AA108" s="27"/>
      <c r="AB108" s="27"/>
      <c r="AC108" s="27"/>
      <c r="AD108" s="27"/>
      <c r="AE108" s="27"/>
      <c r="AF108" s="27"/>
      <c r="AG108" s="27"/>
    </row>
    <row r="109" spans="2:33" x14ac:dyDescent="0.3">
      <c r="B109" s="527" t="s">
        <v>16</v>
      </c>
      <c r="C109" s="2614">
        <f t="shared" si="46"/>
        <v>14439.189000000002</v>
      </c>
      <c r="D109" s="2615">
        <f t="shared" si="42"/>
        <v>0.15665699784108372</v>
      </c>
      <c r="E109" s="2615">
        <f t="shared" si="43"/>
        <v>0</v>
      </c>
      <c r="F109" s="2615">
        <f t="shared" si="44"/>
        <v>0.26400891865376563</v>
      </c>
      <c r="G109" s="2615">
        <f t="shared" si="47"/>
        <v>0</v>
      </c>
      <c r="H109" s="2615">
        <f t="shared" si="56"/>
        <v>0</v>
      </c>
      <c r="I109" s="2615">
        <f t="shared" si="48"/>
        <v>7.8328498920541868E-3</v>
      </c>
      <c r="J109" s="2615">
        <f t="shared" si="49"/>
        <v>0</v>
      </c>
      <c r="K109" s="2615">
        <f t="shared" si="52"/>
        <v>2.7084010877697181E-2</v>
      </c>
      <c r="L109" s="2615">
        <f t="shared" si="53"/>
        <v>0</v>
      </c>
      <c r="M109" s="2615">
        <f t="shared" si="54"/>
        <v>0.26649300479267507</v>
      </c>
      <c r="N109" s="2615">
        <f t="shared" si="55"/>
        <v>0.38386658547110492</v>
      </c>
      <c r="O109" s="2615">
        <f t="shared" si="45"/>
        <v>3.6675302576354429E-2</v>
      </c>
      <c r="P109" s="2615">
        <f t="shared" si="50"/>
        <v>0</v>
      </c>
      <c r="Q109" s="742">
        <f t="shared" si="51"/>
        <v>0.98596067226365136</v>
      </c>
      <c r="R109" s="742"/>
      <c r="T109" s="742"/>
      <c r="V109" s="27"/>
      <c r="W109" s="27"/>
      <c r="X109" s="27"/>
      <c r="Y109" s="27"/>
      <c r="Z109" s="27"/>
      <c r="AA109" s="27"/>
      <c r="AB109" s="27"/>
      <c r="AC109" s="27"/>
      <c r="AD109" s="27"/>
      <c r="AE109" s="27"/>
      <c r="AF109" s="27"/>
      <c r="AG109" s="27"/>
    </row>
    <row r="110" spans="2:33" x14ac:dyDescent="0.3">
      <c r="B110" s="527" t="s">
        <v>308</v>
      </c>
      <c r="C110" s="2614">
        <f t="shared" si="46"/>
        <v>325.34945000000005</v>
      </c>
      <c r="D110" s="2615">
        <f t="shared" si="42"/>
        <v>0.66034244102763962</v>
      </c>
      <c r="E110" s="2615">
        <f t="shared" si="43"/>
        <v>0</v>
      </c>
      <c r="F110" s="2615">
        <f t="shared" si="44"/>
        <v>0.32581296040303737</v>
      </c>
      <c r="G110" s="2615">
        <f t="shared" si="47"/>
        <v>0</v>
      </c>
      <c r="H110" s="2615">
        <f t="shared" si="56"/>
        <v>5.2827395282211169E-3</v>
      </c>
      <c r="I110" s="2615">
        <f t="shared" si="48"/>
        <v>0.65211040643142426</v>
      </c>
      <c r="J110" s="2615">
        <f t="shared" si="49"/>
        <v>0</v>
      </c>
      <c r="K110" s="2615">
        <f t="shared" si="52"/>
        <v>0</v>
      </c>
      <c r="L110" s="2615">
        <f t="shared" si="53"/>
        <v>0</v>
      </c>
      <c r="M110" s="2615">
        <f t="shared" si="54"/>
        <v>0</v>
      </c>
      <c r="N110" s="2615">
        <f t="shared" si="55"/>
        <v>0</v>
      </c>
      <c r="O110" s="2615">
        <f t="shared" si="45"/>
        <v>1.2924463909766608E-2</v>
      </c>
      <c r="P110" s="2615">
        <f t="shared" si="50"/>
        <v>0</v>
      </c>
      <c r="Q110" s="742">
        <f t="shared" si="51"/>
        <v>0.99613057027244933</v>
      </c>
      <c r="R110" s="742"/>
      <c r="T110" s="742"/>
      <c r="V110" s="27"/>
      <c r="W110" s="27"/>
      <c r="X110" s="27"/>
      <c r="Y110" s="27"/>
      <c r="Z110" s="27"/>
      <c r="AA110" s="27"/>
      <c r="AB110" s="27"/>
      <c r="AC110" s="27"/>
      <c r="AD110" s="27"/>
      <c r="AE110" s="27"/>
      <c r="AF110" s="27"/>
      <c r="AG110" s="27"/>
    </row>
    <row r="111" spans="2:33" x14ac:dyDescent="0.3">
      <c r="B111" s="527" t="s">
        <v>44</v>
      </c>
      <c r="C111" s="2614">
        <f t="shared" si="46"/>
        <v>546.40638518982428</v>
      </c>
      <c r="D111" s="2615">
        <f t="shared" si="42"/>
        <v>1</v>
      </c>
      <c r="E111" s="2615">
        <f>F44</f>
        <v>1.0894655549924057E-6</v>
      </c>
      <c r="F111" s="2615">
        <f t="shared" si="44"/>
        <v>0.83413640765652786</v>
      </c>
      <c r="G111" s="2615">
        <f t="shared" si="47"/>
        <v>0</v>
      </c>
      <c r="H111" s="2615">
        <f t="shared" si="56"/>
        <v>7.6499339545220313E-2</v>
      </c>
      <c r="I111" s="2615">
        <f t="shared" si="48"/>
        <v>8.9363167575118765E-2</v>
      </c>
      <c r="J111" s="2615">
        <f t="shared" si="49"/>
        <v>0</v>
      </c>
      <c r="K111" s="2615">
        <f t="shared" si="52"/>
        <v>0</v>
      </c>
      <c r="L111" s="2615">
        <f t="shared" si="53"/>
        <v>0</v>
      </c>
      <c r="M111" s="2615">
        <f t="shared" si="54"/>
        <v>0</v>
      </c>
      <c r="N111" s="2615">
        <f t="shared" si="55"/>
        <v>0</v>
      </c>
      <c r="O111" s="2615">
        <f t="shared" si="45"/>
        <v>0</v>
      </c>
      <c r="P111" s="2615">
        <f t="shared" si="50"/>
        <v>0</v>
      </c>
      <c r="Q111" s="742">
        <f t="shared" si="51"/>
        <v>1.000000004242422</v>
      </c>
      <c r="R111" s="742"/>
      <c r="T111" s="742"/>
      <c r="V111" s="27"/>
      <c r="W111" s="27"/>
      <c r="X111" s="27"/>
      <c r="Y111" s="27"/>
      <c r="Z111" s="27"/>
      <c r="AA111" s="27"/>
      <c r="AB111" s="27"/>
      <c r="AC111" s="27"/>
      <c r="AD111" s="27"/>
      <c r="AE111" s="27"/>
      <c r="AF111" s="27"/>
      <c r="AG111" s="27"/>
    </row>
    <row r="112" spans="2:33" x14ac:dyDescent="0.3">
      <c r="B112" s="527" t="s">
        <v>326</v>
      </c>
      <c r="C112" s="2614">
        <f t="shared" si="46"/>
        <v>1211.6128000000001</v>
      </c>
      <c r="D112" s="2615">
        <f t="shared" si="42"/>
        <v>9.2297638321417533E-2</v>
      </c>
      <c r="E112" s="2615">
        <f t="shared" si="43"/>
        <v>0</v>
      </c>
      <c r="F112" s="2615">
        <f t="shared" si="44"/>
        <v>9.2297638321417533E-2</v>
      </c>
      <c r="G112" s="2615">
        <f t="shared" si="47"/>
        <v>0</v>
      </c>
      <c r="H112" s="2615">
        <f t="shared" si="56"/>
        <v>0</v>
      </c>
      <c r="I112" s="2615">
        <f>N45</f>
        <v>0.84241183395692443</v>
      </c>
      <c r="J112" s="2615">
        <f t="shared" si="49"/>
        <v>0</v>
      </c>
      <c r="K112" s="2615">
        <f t="shared" si="52"/>
        <v>0</v>
      </c>
      <c r="L112" s="2615">
        <f t="shared" si="53"/>
        <v>0</v>
      </c>
      <c r="M112" s="2615">
        <f t="shared" si="54"/>
        <v>0</v>
      </c>
      <c r="N112" s="2615">
        <f t="shared" si="55"/>
        <v>0</v>
      </c>
      <c r="O112" s="2615">
        <f t="shared" si="45"/>
        <v>4.4556630601962847E-2</v>
      </c>
      <c r="P112" s="2615">
        <f t="shared" si="50"/>
        <v>0</v>
      </c>
      <c r="Q112" s="742">
        <f t="shared" si="51"/>
        <v>0.9792661028803048</v>
      </c>
      <c r="R112" s="742"/>
      <c r="T112" s="742"/>
      <c r="V112" s="27"/>
      <c r="W112" s="27"/>
      <c r="X112" s="27"/>
      <c r="Y112" s="27"/>
      <c r="Z112" s="27"/>
      <c r="AA112" s="27"/>
      <c r="AB112" s="27"/>
      <c r="AC112" s="27"/>
      <c r="AD112" s="27"/>
      <c r="AE112" s="27"/>
      <c r="AF112" s="27"/>
      <c r="AG112" s="27"/>
    </row>
    <row r="113" spans="2:33" x14ac:dyDescent="0.3">
      <c r="B113" s="527" t="s">
        <v>25</v>
      </c>
      <c r="C113" s="2614">
        <f t="shared" si="46"/>
        <v>21245.272320000004</v>
      </c>
      <c r="D113" s="2615">
        <f t="shared" si="42"/>
        <v>0.22975845385633539</v>
      </c>
      <c r="E113" s="2615">
        <f t="shared" si="43"/>
        <v>0.12383980662856478</v>
      </c>
      <c r="F113" s="2615">
        <f t="shared" si="44"/>
        <v>6.2379420221995066E-2</v>
      </c>
      <c r="G113" s="2615">
        <f t="shared" si="47"/>
        <v>0</v>
      </c>
      <c r="H113" s="2615">
        <f t="shared" si="56"/>
        <v>4.3539227005775553E-2</v>
      </c>
      <c r="I113" s="2615">
        <f t="shared" si="48"/>
        <v>0</v>
      </c>
      <c r="J113" s="2615">
        <f t="shared" si="49"/>
        <v>0</v>
      </c>
      <c r="K113" s="2615">
        <f t="shared" si="52"/>
        <v>3.7054087498727267E-2</v>
      </c>
      <c r="L113" s="2615">
        <f t="shared" si="53"/>
        <v>0</v>
      </c>
      <c r="M113" s="2615">
        <f t="shared" si="54"/>
        <v>0.36459352944352835</v>
      </c>
      <c r="N113" s="2615">
        <f t="shared" si="55"/>
        <v>0.35599703607755245</v>
      </c>
      <c r="O113" s="2615">
        <f t="shared" si="45"/>
        <v>1.6957031975180781E-2</v>
      </c>
      <c r="P113" s="2615">
        <f t="shared" si="50"/>
        <v>0</v>
      </c>
      <c r="Q113" s="742">
        <f t="shared" si="51"/>
        <v>1.0043601388513244</v>
      </c>
      <c r="R113" s="742"/>
      <c r="T113" s="742"/>
      <c r="V113" s="27"/>
      <c r="W113" s="27"/>
      <c r="X113" s="27"/>
      <c r="Y113" s="27"/>
      <c r="Z113" s="27"/>
      <c r="AA113" s="27"/>
      <c r="AB113" s="27"/>
      <c r="AC113" s="27"/>
      <c r="AD113" s="27"/>
      <c r="AE113" s="27"/>
      <c r="AF113" s="27"/>
      <c r="AG113" s="27"/>
    </row>
    <row r="114" spans="2:33" x14ac:dyDescent="0.3">
      <c r="B114" s="527" t="s">
        <v>29</v>
      </c>
      <c r="C114" s="2614">
        <f t="shared" si="46"/>
        <v>14611.420600000001</v>
      </c>
      <c r="D114" s="2615">
        <f t="shared" si="42"/>
        <v>0.67821420457912218</v>
      </c>
      <c r="E114" s="2615">
        <f t="shared" si="43"/>
        <v>0</v>
      </c>
      <c r="F114" s="2615">
        <f t="shared" si="44"/>
        <v>0.12194908621363741</v>
      </c>
      <c r="G114" s="2615">
        <f t="shared" si="47"/>
        <v>0</v>
      </c>
      <c r="H114" s="2615">
        <f t="shared" si="56"/>
        <v>0.55059055308741722</v>
      </c>
      <c r="I114" s="2615">
        <f t="shared" si="48"/>
        <v>5.6745652780674869E-3</v>
      </c>
      <c r="J114" s="2615">
        <f t="shared" si="49"/>
        <v>0</v>
      </c>
      <c r="K114" s="2615">
        <f t="shared" si="52"/>
        <v>1.5416547959335416E-2</v>
      </c>
      <c r="L114" s="2615">
        <f t="shared" si="53"/>
        <v>0</v>
      </c>
      <c r="M114" s="2615">
        <f t="shared" si="54"/>
        <v>0.15169105520470816</v>
      </c>
      <c r="N114" s="2615">
        <f t="shared" si="55"/>
        <v>0.14859416326390568</v>
      </c>
      <c r="O114" s="2615">
        <f t="shared" si="45"/>
        <v>7.4870445165462901E-3</v>
      </c>
      <c r="P114" s="2615">
        <f t="shared" si="50"/>
        <v>0</v>
      </c>
      <c r="Q114" s="742">
        <f t="shared" si="51"/>
        <v>1.0014030155236178</v>
      </c>
      <c r="R114" s="742"/>
      <c r="T114" s="742"/>
      <c r="V114" s="27"/>
      <c r="W114" s="27"/>
      <c r="X114" s="27"/>
      <c r="Y114" s="27"/>
      <c r="Z114" s="27"/>
      <c r="AA114" s="27"/>
      <c r="AB114" s="27"/>
      <c r="AC114" s="27"/>
      <c r="AD114" s="27"/>
      <c r="AE114" s="27"/>
      <c r="AF114" s="27"/>
      <c r="AG114" s="27"/>
    </row>
    <row r="115" spans="2:33" x14ac:dyDescent="0.3">
      <c r="B115" s="527" t="s">
        <v>60</v>
      </c>
      <c r="C115" s="2614">
        <f t="shared" si="46"/>
        <v>145.12295</v>
      </c>
      <c r="D115" s="2615">
        <f t="shared" si="42"/>
        <v>1</v>
      </c>
      <c r="E115" s="2615">
        <f t="shared" si="43"/>
        <v>0</v>
      </c>
      <c r="F115" s="2615">
        <f t="shared" si="44"/>
        <v>0.49340000000000001</v>
      </c>
      <c r="G115" s="2615">
        <f t="shared" si="47"/>
        <v>0</v>
      </c>
      <c r="H115" s="2615">
        <f t="shared" si="56"/>
        <v>8.0000000000000002E-3</v>
      </c>
      <c r="I115" s="2615">
        <f t="shared" si="48"/>
        <v>0.49859999999999999</v>
      </c>
      <c r="J115" s="2615">
        <f t="shared" si="49"/>
        <v>0</v>
      </c>
      <c r="K115" s="2615">
        <f t="shared" si="52"/>
        <v>0</v>
      </c>
      <c r="L115" s="2615">
        <f t="shared" si="53"/>
        <v>0</v>
      </c>
      <c r="M115" s="2615">
        <f t="shared" si="54"/>
        <v>0</v>
      </c>
      <c r="N115" s="2615">
        <f t="shared" si="55"/>
        <v>0</v>
      </c>
      <c r="O115" s="2615">
        <f t="shared" si="45"/>
        <v>0</v>
      </c>
      <c r="P115" s="2615">
        <f t="shared" si="50"/>
        <v>0</v>
      </c>
      <c r="Q115" s="742">
        <f t="shared" si="51"/>
        <v>1</v>
      </c>
      <c r="R115" s="742"/>
      <c r="T115" s="742"/>
      <c r="V115" s="27"/>
      <c r="W115" s="27"/>
      <c r="X115" s="27"/>
      <c r="Y115" s="27"/>
      <c r="Z115" s="27"/>
      <c r="AA115" s="27"/>
      <c r="AB115" s="27"/>
      <c r="AC115" s="27"/>
      <c r="AD115" s="27"/>
      <c r="AE115" s="27"/>
      <c r="AF115" s="27"/>
      <c r="AG115" s="27"/>
    </row>
    <row r="116" spans="2:33" x14ac:dyDescent="0.3">
      <c r="B116" s="527" t="s">
        <v>33</v>
      </c>
      <c r="C116" s="2614">
        <f t="shared" si="46"/>
        <v>1732.3403000000001</v>
      </c>
      <c r="D116" s="2615">
        <f t="shared" si="42"/>
        <v>1</v>
      </c>
      <c r="E116" s="2615">
        <f t="shared" si="43"/>
        <v>0</v>
      </c>
      <c r="F116" s="2615">
        <f t="shared" si="44"/>
        <v>0.88300000000000001</v>
      </c>
      <c r="G116" s="2615">
        <f t="shared" si="47"/>
        <v>0</v>
      </c>
      <c r="H116" s="2615">
        <f t="shared" si="56"/>
        <v>1.7000000000000001E-2</v>
      </c>
      <c r="I116" s="2615">
        <f t="shared" si="48"/>
        <v>4.0000000000000001E-3</v>
      </c>
      <c r="J116" s="2615">
        <f t="shared" si="49"/>
        <v>0</v>
      </c>
      <c r="K116" s="2615">
        <f t="shared" si="52"/>
        <v>0</v>
      </c>
      <c r="L116" s="2615">
        <f t="shared" si="53"/>
        <v>0</v>
      </c>
      <c r="M116" s="2615">
        <f t="shared" si="54"/>
        <v>0</v>
      </c>
      <c r="N116" s="2615">
        <f t="shared" si="55"/>
        <v>0</v>
      </c>
      <c r="O116" s="2615">
        <f t="shared" si="45"/>
        <v>0</v>
      </c>
      <c r="P116" s="2615">
        <f t="shared" si="50"/>
        <v>9.6000000000000002E-2</v>
      </c>
      <c r="Q116" s="742">
        <f t="shared" si="51"/>
        <v>1</v>
      </c>
      <c r="R116" s="742"/>
      <c r="T116" s="742"/>
      <c r="V116" s="27"/>
      <c r="W116" s="27"/>
      <c r="X116" s="27"/>
      <c r="Y116" s="27"/>
      <c r="Z116" s="27"/>
      <c r="AA116" s="27"/>
      <c r="AB116" s="27"/>
      <c r="AC116" s="27"/>
      <c r="AD116" s="27"/>
      <c r="AE116" s="27"/>
      <c r="AF116" s="27"/>
      <c r="AG116" s="27"/>
    </row>
    <row r="117" spans="2:33" x14ac:dyDescent="0.3">
      <c r="B117" s="527" t="s">
        <v>66</v>
      </c>
      <c r="C117" s="2614">
        <f t="shared" si="46"/>
        <v>38.457999999999998</v>
      </c>
      <c r="D117" s="2615">
        <f t="shared" si="42"/>
        <v>1</v>
      </c>
      <c r="E117" s="2615">
        <f t="shared" si="43"/>
        <v>0.15136172962019012</v>
      </c>
      <c r="F117" s="2615">
        <f t="shared" si="44"/>
        <v>0.47164937359369702</v>
      </c>
      <c r="G117" s="2615">
        <f t="shared" si="47"/>
        <v>0</v>
      </c>
      <c r="H117" s="2615">
        <f t="shared" si="56"/>
        <v>0.3769888967861128</v>
      </c>
      <c r="I117" s="2615">
        <f t="shared" si="48"/>
        <v>0</v>
      </c>
      <c r="J117" s="2615">
        <f t="shared" si="49"/>
        <v>0</v>
      </c>
      <c r="K117" s="2615">
        <f t="shared" si="52"/>
        <v>0</v>
      </c>
      <c r="L117" s="2615">
        <f t="shared" si="53"/>
        <v>0</v>
      </c>
      <c r="M117" s="2615">
        <f t="shared" si="54"/>
        <v>0</v>
      </c>
      <c r="N117" s="2615">
        <f t="shared" si="55"/>
        <v>0</v>
      </c>
      <c r="O117" s="2615">
        <f t="shared" si="45"/>
        <v>0</v>
      </c>
      <c r="P117" s="2615">
        <f t="shared" si="50"/>
        <v>0</v>
      </c>
      <c r="Q117" s="742">
        <f t="shared" si="51"/>
        <v>1</v>
      </c>
      <c r="R117" s="742"/>
      <c r="T117" s="742"/>
      <c r="V117" s="27"/>
      <c r="W117" s="27"/>
      <c r="X117" s="27"/>
      <c r="Y117" s="27"/>
      <c r="Z117" s="27"/>
      <c r="AA117" s="27"/>
      <c r="AB117" s="27"/>
      <c r="AC117" s="27"/>
      <c r="AD117" s="27"/>
      <c r="AE117" s="27"/>
      <c r="AF117" s="27"/>
      <c r="AG117" s="27"/>
    </row>
    <row r="118" spans="2:33" x14ac:dyDescent="0.3">
      <c r="B118" s="527" t="s">
        <v>73</v>
      </c>
      <c r="C118" s="2614">
        <f t="shared" si="46"/>
        <v>584.80880000000002</v>
      </c>
      <c r="D118" s="2615">
        <f t="shared" si="42"/>
        <v>0.22779068988017964</v>
      </c>
      <c r="E118" s="2615">
        <f t="shared" si="43"/>
        <v>0</v>
      </c>
      <c r="F118" s="2615">
        <f t="shared" si="44"/>
        <v>0.19268814456964395</v>
      </c>
      <c r="G118" s="2615">
        <f t="shared" si="47"/>
        <v>0</v>
      </c>
      <c r="H118" s="2615">
        <f t="shared" si="56"/>
        <v>9.2736222022478138E-2</v>
      </c>
      <c r="I118" s="2615">
        <f t="shared" si="48"/>
        <v>0.32030683782007391</v>
      </c>
      <c r="J118" s="2615">
        <f t="shared" si="49"/>
        <v>0</v>
      </c>
      <c r="K118" s="2615">
        <f t="shared" si="52"/>
        <v>0</v>
      </c>
      <c r="L118" s="2615">
        <f t="shared" si="53"/>
        <v>0</v>
      </c>
      <c r="M118" s="2615">
        <f t="shared" si="54"/>
        <v>0</v>
      </c>
      <c r="N118" s="2615">
        <f t="shared" si="55"/>
        <v>0.35224375002117791</v>
      </c>
      <c r="O118" s="2615">
        <f t="shared" si="45"/>
        <v>3.1270397004156736E-2</v>
      </c>
      <c r="P118" s="2615">
        <f t="shared" si="50"/>
        <v>0</v>
      </c>
      <c r="Q118" s="742">
        <f t="shared" si="51"/>
        <v>0.98924535143753078</v>
      </c>
      <c r="R118" s="742"/>
      <c r="T118" s="742"/>
      <c r="V118" s="27"/>
      <c r="W118" s="27"/>
      <c r="X118" s="27"/>
      <c r="Y118" s="27"/>
      <c r="Z118" s="27"/>
      <c r="AA118" s="27"/>
      <c r="AB118" s="27"/>
      <c r="AC118" s="27"/>
      <c r="AD118" s="27"/>
      <c r="AE118" s="27"/>
      <c r="AF118" s="27"/>
      <c r="AG118" s="27"/>
    </row>
    <row r="119" spans="2:33" x14ac:dyDescent="0.3">
      <c r="B119" s="527" t="s">
        <v>74</v>
      </c>
      <c r="C119" s="2614">
        <f t="shared" si="46"/>
        <v>0.58699999999999997</v>
      </c>
      <c r="D119" s="2615">
        <f t="shared" si="42"/>
        <v>1</v>
      </c>
      <c r="E119" s="2615">
        <f t="shared" si="43"/>
        <v>0</v>
      </c>
      <c r="F119" s="2615">
        <f t="shared" si="44"/>
        <v>0.16488222698072805</v>
      </c>
      <c r="G119" s="2615">
        <f t="shared" si="47"/>
        <v>0</v>
      </c>
      <c r="H119" s="2615">
        <f t="shared" si="56"/>
        <v>0.83511777301927204</v>
      </c>
      <c r="I119" s="2615">
        <f t="shared" si="48"/>
        <v>0</v>
      </c>
      <c r="J119" s="2615">
        <f t="shared" si="49"/>
        <v>0</v>
      </c>
      <c r="K119" s="2615">
        <f t="shared" si="52"/>
        <v>0</v>
      </c>
      <c r="L119" s="2615">
        <f t="shared" si="53"/>
        <v>0</v>
      </c>
      <c r="M119" s="2615">
        <f t="shared" si="54"/>
        <v>0</v>
      </c>
      <c r="N119" s="2615">
        <f t="shared" si="55"/>
        <v>0</v>
      </c>
      <c r="O119" s="2615">
        <f t="shared" si="45"/>
        <v>0</v>
      </c>
      <c r="P119" s="2615">
        <f t="shared" si="50"/>
        <v>0</v>
      </c>
      <c r="Q119" s="742">
        <f t="shared" si="51"/>
        <v>1</v>
      </c>
      <c r="R119" s="742"/>
      <c r="T119" s="742"/>
      <c r="V119" s="27"/>
      <c r="W119" s="27"/>
      <c r="X119" s="27"/>
      <c r="Y119" s="27"/>
      <c r="Z119" s="27"/>
      <c r="AA119" s="27"/>
      <c r="AB119" s="27"/>
      <c r="AC119" s="27"/>
      <c r="AD119" s="27"/>
      <c r="AE119" s="27"/>
      <c r="AF119" s="27"/>
      <c r="AG119" s="27"/>
    </row>
    <row r="120" spans="2:33" x14ac:dyDescent="0.3">
      <c r="B120" s="527" t="s">
        <v>327</v>
      </c>
      <c r="C120" s="2614">
        <f t="shared" si="46"/>
        <v>28440.352630000001</v>
      </c>
      <c r="D120" s="2615">
        <f t="shared" si="42"/>
        <v>0.70759754957370224</v>
      </c>
      <c r="E120" s="2615">
        <f t="shared" si="43"/>
        <v>0.38139507922022553</v>
      </c>
      <c r="F120" s="2615">
        <f t="shared" si="44"/>
        <v>0.19211273470926016</v>
      </c>
      <c r="G120" s="2615">
        <f t="shared" si="47"/>
        <v>0</v>
      </c>
      <c r="H120" s="2615">
        <f t="shared" si="56"/>
        <v>0.15703252741700682</v>
      </c>
      <c r="I120" s="2615">
        <f t="shared" si="48"/>
        <v>0.12732944204551913</v>
      </c>
      <c r="J120" s="2615">
        <f t="shared" si="49"/>
        <v>0</v>
      </c>
      <c r="K120" s="2615">
        <f t="shared" si="52"/>
        <v>0</v>
      </c>
      <c r="L120" s="2615">
        <f t="shared" si="53"/>
        <v>0</v>
      </c>
      <c r="M120" s="2615">
        <f t="shared" si="54"/>
        <v>0</v>
      </c>
      <c r="N120" s="2615">
        <f t="shared" si="55"/>
        <v>0.13474754809613063</v>
      </c>
      <c r="O120" s="2615">
        <f t="shared" si="45"/>
        <v>7.6541191057520313E-3</v>
      </c>
      <c r="P120" s="2615">
        <f t="shared" si="50"/>
        <v>0</v>
      </c>
      <c r="Q120" s="742">
        <f t="shared" si="51"/>
        <v>1.0002714505938943</v>
      </c>
      <c r="R120" s="742"/>
      <c r="T120" s="742"/>
      <c r="V120" s="27"/>
      <c r="W120" s="27"/>
      <c r="X120" s="27"/>
      <c r="Y120" s="27"/>
      <c r="Z120" s="27"/>
      <c r="AA120" s="27"/>
      <c r="AB120" s="27"/>
      <c r="AC120" s="27"/>
      <c r="AD120" s="27"/>
      <c r="AE120" s="27"/>
      <c r="AF120" s="27"/>
      <c r="AG120" s="27"/>
    </row>
    <row r="121" spans="2:33" x14ac:dyDescent="0.3">
      <c r="B121" s="527" t="s">
        <v>143</v>
      </c>
      <c r="C121" s="2614">
        <f t="shared" ref="C121:C126" si="57">C54</f>
        <v>14556.98428270478</v>
      </c>
      <c r="D121" s="2615">
        <f t="shared" si="42"/>
        <v>0.95519515667988253</v>
      </c>
      <c r="E121" s="2615">
        <f t="shared" si="43"/>
        <v>2.6250601698248359E-3</v>
      </c>
      <c r="F121" s="2615">
        <f t="shared" si="44"/>
        <v>0.81969821258871634</v>
      </c>
      <c r="G121" s="2615">
        <f t="shared" si="47"/>
        <v>0</v>
      </c>
      <c r="H121" s="2615">
        <f t="shared" si="56"/>
        <v>5.7604532187632555E-2</v>
      </c>
      <c r="I121" s="2615">
        <f t="shared" si="48"/>
        <v>9.8528781241641203E-2</v>
      </c>
      <c r="J121" s="2615">
        <f t="shared" si="49"/>
        <v>0</v>
      </c>
      <c r="K121" s="2615">
        <f t="shared" si="52"/>
        <v>0</v>
      </c>
      <c r="L121" s="2615">
        <f t="shared" si="53"/>
        <v>0</v>
      </c>
      <c r="M121" s="2615">
        <f t="shared" si="54"/>
        <v>0</v>
      </c>
      <c r="N121" s="2615">
        <f t="shared" si="55"/>
        <v>2.0692297623485487E-2</v>
      </c>
      <c r="O121" s="2615">
        <f t="shared" si="45"/>
        <v>1.035355966375889E-3</v>
      </c>
      <c r="P121" s="2615">
        <f t="shared" si="50"/>
        <v>0</v>
      </c>
      <c r="Q121" s="742">
        <f t="shared" si="51"/>
        <v>1.0001842397776763</v>
      </c>
      <c r="R121" s="742"/>
      <c r="T121" s="742"/>
      <c r="V121" s="27"/>
      <c r="W121" s="27"/>
      <c r="X121" s="27"/>
      <c r="Y121" s="27"/>
      <c r="Z121" s="27"/>
      <c r="AA121" s="27"/>
      <c r="AB121" s="27"/>
      <c r="AC121" s="27"/>
      <c r="AD121" s="27"/>
      <c r="AE121" s="27"/>
      <c r="AF121" s="27"/>
      <c r="AG121" s="27"/>
    </row>
    <row r="122" spans="2:33" x14ac:dyDescent="0.3">
      <c r="B122" s="527" t="s">
        <v>76</v>
      </c>
      <c r="C122" s="2614">
        <f t="shared" si="57"/>
        <v>2973.2391172952202</v>
      </c>
      <c r="D122" s="2615">
        <f t="shared" si="42"/>
        <v>1</v>
      </c>
      <c r="E122" s="2615">
        <f t="shared" si="43"/>
        <v>9.266095017942187E-4</v>
      </c>
      <c r="F122" s="2615">
        <f t="shared" si="44"/>
        <v>0.19066786987225642</v>
      </c>
      <c r="G122" s="2615">
        <f t="shared" si="47"/>
        <v>0</v>
      </c>
      <c r="H122" s="2615">
        <f t="shared" si="56"/>
        <v>0.8084055206259495</v>
      </c>
      <c r="I122" s="2615">
        <f t="shared" si="48"/>
        <v>0</v>
      </c>
      <c r="J122" s="2615">
        <f t="shared" si="49"/>
        <v>0</v>
      </c>
      <c r="K122" s="2615">
        <f t="shared" si="52"/>
        <v>0</v>
      </c>
      <c r="L122" s="2615">
        <f t="shared" si="53"/>
        <v>0</v>
      </c>
      <c r="M122" s="2615">
        <f t="shared" si="54"/>
        <v>0</v>
      </c>
      <c r="N122" s="2615">
        <f t="shared" si="55"/>
        <v>0</v>
      </c>
      <c r="O122" s="2615">
        <f t="shared" si="45"/>
        <v>0</v>
      </c>
      <c r="P122" s="2615">
        <f t="shared" si="50"/>
        <v>0</v>
      </c>
      <c r="Q122" s="742">
        <f t="shared" si="51"/>
        <v>1.0000000000000002</v>
      </c>
      <c r="R122" s="742"/>
      <c r="T122" s="742"/>
      <c r="V122" s="27"/>
      <c r="W122" s="27"/>
      <c r="X122" s="27"/>
      <c r="Y122" s="27"/>
      <c r="Z122" s="27"/>
      <c r="AA122" s="27"/>
      <c r="AB122" s="27"/>
      <c r="AC122" s="27"/>
      <c r="AD122" s="27"/>
      <c r="AE122" s="27"/>
      <c r="AF122" s="27"/>
      <c r="AG122" s="27"/>
    </row>
    <row r="123" spans="2:33" x14ac:dyDescent="0.3">
      <c r="B123" s="527" t="s">
        <v>309</v>
      </c>
      <c r="C123" s="2614">
        <f t="shared" si="57"/>
        <v>92997.025799999989</v>
      </c>
      <c r="D123" s="2615">
        <f t="shared" si="42"/>
        <v>0.99016069823600739</v>
      </c>
      <c r="E123" s="2615">
        <f t="shared" si="43"/>
        <v>0</v>
      </c>
      <c r="F123" s="2615">
        <f t="shared" si="44"/>
        <v>0.94065266332420694</v>
      </c>
      <c r="G123" s="2615">
        <f t="shared" si="47"/>
        <v>0</v>
      </c>
      <c r="H123" s="2615">
        <f t="shared" si="56"/>
        <v>0</v>
      </c>
      <c r="I123" s="2615">
        <f t="shared" si="48"/>
        <v>5.9154967351426148E-2</v>
      </c>
      <c r="J123" s="2615">
        <f t="shared" si="49"/>
        <v>0</v>
      </c>
      <c r="K123" s="2615">
        <f t="shared" si="52"/>
        <v>0</v>
      </c>
      <c r="L123" s="2615">
        <f t="shared" si="53"/>
        <v>0</v>
      </c>
      <c r="M123" s="2615">
        <f t="shared" si="54"/>
        <v>0</v>
      </c>
      <c r="N123" s="2615">
        <f t="shared" si="55"/>
        <v>0</v>
      </c>
      <c r="O123" s="2615">
        <f t="shared" si="45"/>
        <v>2.300481273153658E-4</v>
      </c>
      <c r="P123" s="2615">
        <f t="shared" si="50"/>
        <v>0</v>
      </c>
      <c r="Q123" s="742">
        <f t="shared" si="51"/>
        <v>1.0000376788029484</v>
      </c>
      <c r="R123" s="742"/>
      <c r="T123" s="742"/>
      <c r="V123" s="27"/>
      <c r="W123" s="27"/>
      <c r="X123" s="27"/>
      <c r="Y123" s="27"/>
      <c r="Z123" s="27"/>
      <c r="AA123" s="27"/>
      <c r="AB123" s="27"/>
      <c r="AC123" s="27"/>
      <c r="AD123" s="27"/>
      <c r="AE123" s="27"/>
      <c r="AF123" s="27"/>
      <c r="AG123" s="27"/>
    </row>
    <row r="124" spans="2:33" x14ac:dyDescent="0.3">
      <c r="B124" s="527" t="s">
        <v>95</v>
      </c>
      <c r="C124" s="2614">
        <f t="shared" si="57"/>
        <v>11.7</v>
      </c>
      <c r="D124" s="2615">
        <f t="shared" si="42"/>
        <v>1</v>
      </c>
      <c r="E124" s="2615">
        <f t="shared" si="43"/>
        <v>0</v>
      </c>
      <c r="F124" s="2615">
        <f t="shared" si="44"/>
        <v>1</v>
      </c>
      <c r="G124" s="2615">
        <f t="shared" si="47"/>
        <v>0</v>
      </c>
      <c r="H124" s="2615">
        <f t="shared" si="56"/>
        <v>0</v>
      </c>
      <c r="I124" s="2615">
        <f t="shared" si="48"/>
        <v>0</v>
      </c>
      <c r="J124" s="2615">
        <f t="shared" si="49"/>
        <v>0</v>
      </c>
      <c r="K124" s="2615">
        <f t="shared" si="52"/>
        <v>0</v>
      </c>
      <c r="L124" s="2615">
        <f t="shared" si="53"/>
        <v>0</v>
      </c>
      <c r="M124" s="2615">
        <f t="shared" si="54"/>
        <v>0</v>
      </c>
      <c r="N124" s="2615">
        <f t="shared" si="55"/>
        <v>0</v>
      </c>
      <c r="O124" s="2615">
        <f t="shared" si="45"/>
        <v>0</v>
      </c>
      <c r="P124" s="2615">
        <f t="shared" si="50"/>
        <v>0</v>
      </c>
      <c r="Q124" s="742">
        <f t="shared" si="51"/>
        <v>1</v>
      </c>
      <c r="R124" s="742"/>
      <c r="T124" s="742"/>
      <c r="V124" s="27"/>
      <c r="W124" s="27"/>
      <c r="X124" s="27"/>
      <c r="Y124" s="27"/>
      <c r="Z124" s="27"/>
      <c r="AA124" s="27"/>
      <c r="AB124" s="27"/>
      <c r="AC124" s="27"/>
      <c r="AD124" s="27"/>
      <c r="AE124" s="27"/>
      <c r="AF124" s="27"/>
      <c r="AG124" s="27"/>
    </row>
    <row r="125" spans="2:33" x14ac:dyDescent="0.3">
      <c r="B125" s="527" t="s">
        <v>119</v>
      </c>
      <c r="C125" s="2614">
        <f t="shared" si="57"/>
        <v>36912.115200000007</v>
      </c>
      <c r="D125" s="2615">
        <f>D58</f>
        <v>0</v>
      </c>
      <c r="E125" s="2615">
        <f t="shared" si="43"/>
        <v>0</v>
      </c>
      <c r="F125" s="2615">
        <f t="shared" si="44"/>
        <v>0</v>
      </c>
      <c r="G125" s="2615">
        <f t="shared" si="47"/>
        <v>0</v>
      </c>
      <c r="H125" s="2615">
        <f t="shared" si="56"/>
        <v>2.9276631248113888E-2</v>
      </c>
      <c r="I125" s="2615">
        <f t="shared" si="48"/>
        <v>0.16248140848385453</v>
      </c>
      <c r="J125" s="2615">
        <f t="shared" si="49"/>
        <v>0</v>
      </c>
      <c r="K125" s="2615">
        <f t="shared" si="52"/>
        <v>2.9522664950717453E-2</v>
      </c>
      <c r="L125" s="2615">
        <f t="shared" si="53"/>
        <v>0</v>
      </c>
      <c r="M125" s="2615">
        <f t="shared" si="54"/>
        <v>0.2904881307178469</v>
      </c>
      <c r="N125" s="2615">
        <f t="shared" si="55"/>
        <v>0.46036908753433992</v>
      </c>
      <c r="O125" s="2615">
        <f t="shared" si="45"/>
        <v>2.7584388134403847E-2</v>
      </c>
      <c r="P125" s="2615">
        <f t="shared" si="50"/>
        <v>0</v>
      </c>
      <c r="Q125" s="742">
        <f t="shared" si="51"/>
        <v>0.99972231106927656</v>
      </c>
      <c r="R125" s="742"/>
      <c r="T125" s="742"/>
      <c r="V125" s="27"/>
      <c r="W125" s="27"/>
      <c r="X125" s="27"/>
      <c r="Y125" s="27"/>
      <c r="Z125" s="27"/>
      <c r="AA125" s="27"/>
      <c r="AB125" s="27"/>
      <c r="AC125" s="27"/>
      <c r="AD125" s="27"/>
      <c r="AE125" s="27"/>
      <c r="AF125" s="27"/>
      <c r="AG125" s="27"/>
    </row>
    <row r="126" spans="2:33" x14ac:dyDescent="0.3">
      <c r="B126" s="656" t="s">
        <v>427</v>
      </c>
      <c r="C126" s="2618" t="e">
        <f t="shared" si="57"/>
        <v>#REF!</v>
      </c>
      <c r="D126" s="2619" t="e">
        <f>D59</f>
        <v>#REF!</v>
      </c>
      <c r="E126" s="2619" t="e">
        <f>F59</f>
        <v>#REF!</v>
      </c>
      <c r="F126" s="2619" t="e">
        <f>H59</f>
        <v>#REF!</v>
      </c>
      <c r="G126" s="2619" t="e">
        <f>J59</f>
        <v>#REF!</v>
      </c>
      <c r="H126" s="2619" t="e">
        <f>L59</f>
        <v>#REF!</v>
      </c>
      <c r="I126" s="2619" t="e">
        <f>N59</f>
        <v>#REF!</v>
      </c>
      <c r="J126" s="2619" t="e">
        <f>P59</f>
        <v>#REF!</v>
      </c>
      <c r="K126" s="2619" t="e">
        <f>R59</f>
        <v>#REF!</v>
      </c>
      <c r="L126" s="2619" t="e">
        <f>T59</f>
        <v>#REF!</v>
      </c>
      <c r="M126" s="2619" t="e">
        <f>V59</f>
        <v>#REF!</v>
      </c>
      <c r="N126" s="2619" t="e">
        <f>X59</f>
        <v>#REF!</v>
      </c>
      <c r="O126" s="2619" t="e">
        <f>Z59</f>
        <v>#REF!</v>
      </c>
      <c r="P126" s="2619" t="e">
        <f>AB59</f>
        <v>#REF!</v>
      </c>
      <c r="Q126" s="742" t="e">
        <f t="shared" si="51"/>
        <v>#REF!</v>
      </c>
      <c r="R126" s="742"/>
      <c r="T126" s="742"/>
      <c r="V126" s="27"/>
      <c r="W126" s="27"/>
      <c r="X126" s="27"/>
      <c r="Y126" s="27"/>
      <c r="Z126" s="27"/>
      <c r="AA126" s="27"/>
      <c r="AB126" s="27"/>
      <c r="AC126" s="27"/>
      <c r="AD126" s="27"/>
      <c r="AE126" s="27"/>
      <c r="AF126" s="27"/>
      <c r="AG126" s="27"/>
    </row>
    <row r="127" spans="2:33" x14ac:dyDescent="0.3">
      <c r="B127" s="657" t="s">
        <v>428</v>
      </c>
      <c r="C127" s="2620" t="e">
        <f>C99</f>
        <v>#REF!</v>
      </c>
      <c r="D127" s="2621" t="e">
        <f>D99</f>
        <v>#REF!</v>
      </c>
      <c r="E127" s="2621" t="e">
        <f>E99/$C$99</f>
        <v>#REF!</v>
      </c>
      <c r="F127" s="2621" t="e">
        <f t="shared" ref="F127:P127" si="58">F99/$C$99</f>
        <v>#REF!</v>
      </c>
      <c r="G127" s="2621" t="e">
        <f t="shared" si="58"/>
        <v>#REF!</v>
      </c>
      <c r="H127" s="2621" t="e">
        <f t="shared" si="58"/>
        <v>#REF!</v>
      </c>
      <c r="I127" s="2621" t="e">
        <f t="shared" si="58"/>
        <v>#REF!</v>
      </c>
      <c r="J127" s="2621" t="e">
        <f t="shared" si="58"/>
        <v>#REF!</v>
      </c>
      <c r="K127" s="2621" t="e">
        <f t="shared" si="58"/>
        <v>#REF!</v>
      </c>
      <c r="L127" s="2621" t="e">
        <f t="shared" si="58"/>
        <v>#REF!</v>
      </c>
      <c r="M127" s="2621" t="e">
        <f t="shared" si="58"/>
        <v>#REF!</v>
      </c>
      <c r="N127" s="2621" t="e">
        <f t="shared" si="58"/>
        <v>#REF!</v>
      </c>
      <c r="O127" s="2621" t="e">
        <f t="shared" si="58"/>
        <v>#REF!</v>
      </c>
      <c r="P127" s="2621" t="e">
        <f t="shared" si="58"/>
        <v>#REF!</v>
      </c>
    </row>
    <row r="130" spans="2:16" x14ac:dyDescent="0.3">
      <c r="B130" s="27" t="s">
        <v>513</v>
      </c>
      <c r="C130" s="740">
        <f>+C107/C31*1000</f>
        <v>58.77873155490299</v>
      </c>
    </row>
    <row r="134" spans="2:16" s="2" customFormat="1" ht="41.4" x14ac:dyDescent="0.3">
      <c r="B134" s="2622" t="s">
        <v>144</v>
      </c>
      <c r="C134" s="2623" t="s">
        <v>433</v>
      </c>
      <c r="D134" s="2623" t="s">
        <v>434</v>
      </c>
      <c r="E134" s="2623" t="s">
        <v>494</v>
      </c>
      <c r="F134" s="2623" t="s">
        <v>495</v>
      </c>
      <c r="G134" s="2623" t="s">
        <v>496</v>
      </c>
      <c r="H134" s="2623" t="s">
        <v>497</v>
      </c>
      <c r="I134" s="2623" t="s">
        <v>514</v>
      </c>
      <c r="J134" s="864" t="s">
        <v>516</v>
      </c>
      <c r="K134" s="666"/>
    </row>
    <row r="135" spans="2:16" s="2" customFormat="1" x14ac:dyDescent="0.3">
      <c r="B135" s="2624" t="s">
        <v>517</v>
      </c>
      <c r="C135" s="2625" t="e">
        <f>C126</f>
        <v>#REF!</v>
      </c>
      <c r="D135" s="659" t="e">
        <f>D126</f>
        <v>#REF!</v>
      </c>
      <c r="E135" s="660" t="e">
        <f>E126</f>
        <v>#REF!</v>
      </c>
      <c r="F135" s="660" t="e">
        <f>F126</f>
        <v>#REF!</v>
      </c>
      <c r="G135" s="660" t="e">
        <f>G126</f>
        <v>#REF!</v>
      </c>
      <c r="H135" s="659" t="e">
        <f>H126+J126+K126+N126</f>
        <v>#REF!</v>
      </c>
      <c r="I135" s="659" t="e">
        <f>I126+L126+M126+O126</f>
        <v>#REF!</v>
      </c>
      <c r="J135" s="866" t="e">
        <f>P126</f>
        <v>#REF!</v>
      </c>
      <c r="K135" s="666" t="e">
        <f>SUM(E135:J135)</f>
        <v>#REF!</v>
      </c>
    </row>
    <row r="139" spans="2:16" x14ac:dyDescent="0.3">
      <c r="B139" s="27" t="s">
        <v>518</v>
      </c>
    </row>
    <row r="142" spans="2:16" ht="14.1" customHeight="1" x14ac:dyDescent="0.3">
      <c r="B142" s="3888" t="s">
        <v>336</v>
      </c>
      <c r="C142" s="3888" t="s">
        <v>468</v>
      </c>
      <c r="D142" s="3889" t="s">
        <v>469</v>
      </c>
      <c r="E142" s="3860" t="s">
        <v>493</v>
      </c>
      <c r="F142" s="3861"/>
      <c r="G142" s="3861"/>
      <c r="H142" s="3861"/>
      <c r="I142" s="3861"/>
      <c r="J142" s="3861"/>
      <c r="K142" s="3861"/>
      <c r="L142" s="3861"/>
      <c r="M142" s="3861"/>
      <c r="N142" s="3861"/>
      <c r="O142" s="3861"/>
      <c r="P142" s="3862"/>
    </row>
    <row r="143" spans="2:16" ht="74.25" customHeight="1" x14ac:dyDescent="0.3">
      <c r="B143" s="3888"/>
      <c r="C143" s="3888"/>
      <c r="D143" s="3889"/>
      <c r="E143" s="2613" t="s">
        <v>436</v>
      </c>
      <c r="F143" s="2613" t="s">
        <v>429</v>
      </c>
      <c r="G143" s="2613" t="s">
        <v>405</v>
      </c>
      <c r="H143" s="2613" t="s">
        <v>534</v>
      </c>
      <c r="I143" s="2613" t="s">
        <v>504</v>
      </c>
      <c r="J143" s="2613" t="s">
        <v>519</v>
      </c>
      <c r="K143" s="2613" t="s">
        <v>538</v>
      </c>
      <c r="L143" s="2613" t="s">
        <v>539</v>
      </c>
      <c r="M143" s="2613" t="s">
        <v>540</v>
      </c>
      <c r="N143" s="2613" t="s">
        <v>541</v>
      </c>
      <c r="O143" s="2613" t="s">
        <v>502</v>
      </c>
      <c r="P143" s="2613" t="s">
        <v>536</v>
      </c>
    </row>
    <row r="144" spans="2:16" x14ac:dyDescent="0.3">
      <c r="B144" s="527" t="s">
        <v>5</v>
      </c>
      <c r="C144" s="2614">
        <v>142115.10526067804</v>
      </c>
      <c r="D144" s="2615">
        <v>7.5497256764645262E-2</v>
      </c>
      <c r="E144" s="2614">
        <v>0</v>
      </c>
      <c r="F144" s="2614">
        <v>0</v>
      </c>
      <c r="G144" s="2614">
        <v>10385.72737999634</v>
      </c>
      <c r="H144" s="2614">
        <v>0</v>
      </c>
      <c r="I144" s="2614">
        <v>343.57321200365965</v>
      </c>
      <c r="J144" s="2614">
        <v>21063.793831074687</v>
      </c>
      <c r="K144" s="2614">
        <v>0</v>
      </c>
      <c r="L144" s="2614">
        <v>6571.6266263745683</v>
      </c>
      <c r="M144" s="2614">
        <v>0</v>
      </c>
      <c r="N144" s="2614">
        <v>59079.047323633902</v>
      </c>
      <c r="O144" s="2614">
        <v>3982.5614291864667</v>
      </c>
      <c r="P144" s="2614">
        <v>37467</v>
      </c>
    </row>
    <row r="145" spans="2:16" x14ac:dyDescent="0.3">
      <c r="B145" s="527" t="s">
        <v>8</v>
      </c>
      <c r="C145" s="2614">
        <v>159193.43313924072</v>
      </c>
      <c r="D145" s="2615">
        <v>0.5625294852562982</v>
      </c>
      <c r="E145" s="2614">
        <v>0</v>
      </c>
      <c r="F145" s="2614">
        <v>87614.593607468123</v>
      </c>
      <c r="G145" s="2614">
        <v>0</v>
      </c>
      <c r="H145" s="2614">
        <v>0</v>
      </c>
      <c r="I145" s="2614">
        <v>4477.55</v>
      </c>
      <c r="J145" s="2614">
        <v>6866.5988968504389</v>
      </c>
      <c r="K145" s="2614">
        <v>2032.8074802016481</v>
      </c>
      <c r="L145" s="2614">
        <v>2142.2885404720223</v>
      </c>
      <c r="M145" s="2614">
        <v>20001.800176873363</v>
      </c>
      <c r="N145" s="2614">
        <v>31174.369932909776</v>
      </c>
      <c r="O145" s="2614">
        <v>2700.060837190129</v>
      </c>
      <c r="P145" s="2614">
        <v>0</v>
      </c>
    </row>
    <row r="146" spans="2:16" x14ac:dyDescent="0.3">
      <c r="B146" s="527" t="s">
        <v>304</v>
      </c>
      <c r="C146" s="2614">
        <v>43345.68685802487</v>
      </c>
      <c r="D146" s="2615">
        <v>0.61090276609834326</v>
      </c>
      <c r="E146" s="2614">
        <v>0</v>
      </c>
      <c r="F146" s="2614">
        <v>25428.744000000002</v>
      </c>
      <c r="G146" s="2614">
        <v>0</v>
      </c>
      <c r="H146" s="2614">
        <v>63.551999999999992</v>
      </c>
      <c r="I146" s="2614">
        <v>16486.176564335496</v>
      </c>
      <c r="J146" s="2614">
        <v>0</v>
      </c>
      <c r="K146" s="2614">
        <v>0</v>
      </c>
      <c r="L146" s="2614">
        <v>0</v>
      </c>
      <c r="M146" s="2614">
        <v>0</v>
      </c>
      <c r="N146" s="2614">
        <v>0</v>
      </c>
      <c r="O146" s="2614">
        <v>752.49386247208975</v>
      </c>
      <c r="P146" s="2614">
        <v>0</v>
      </c>
    </row>
    <row r="147" spans="2:16" x14ac:dyDescent="0.3">
      <c r="B147" s="527" t="s">
        <v>14</v>
      </c>
      <c r="C147" s="2614">
        <v>68609.579271462178</v>
      </c>
      <c r="D147" s="2615">
        <v>0.26381155798063044</v>
      </c>
      <c r="E147" s="2614">
        <v>0</v>
      </c>
      <c r="F147" s="2614">
        <v>19873.054704314131</v>
      </c>
      <c r="G147" s="2614">
        <v>0</v>
      </c>
      <c r="H147" s="2614">
        <v>3685.7671849150406</v>
      </c>
      <c r="I147" s="2614">
        <v>0</v>
      </c>
      <c r="J147" s="2614">
        <v>0</v>
      </c>
      <c r="K147" s="2614">
        <v>1675.4974533707421</v>
      </c>
      <c r="L147" s="2614">
        <v>0</v>
      </c>
      <c r="M147" s="2614">
        <v>19333.446212800489</v>
      </c>
      <c r="N147" s="2614">
        <v>21147.409304269786</v>
      </c>
      <c r="O147" s="2614">
        <v>1600.0870932558541</v>
      </c>
      <c r="P147" s="2614">
        <v>0</v>
      </c>
    </row>
    <row r="148" spans="2:16" x14ac:dyDescent="0.3">
      <c r="B148" s="527" t="s">
        <v>17</v>
      </c>
      <c r="C148" s="2614">
        <v>8456.8109460565029</v>
      </c>
      <c r="D148" s="2615">
        <v>6.0779412390634488E-2</v>
      </c>
      <c r="E148" s="2614">
        <v>0</v>
      </c>
      <c r="F148" s="2614">
        <v>1759.6794019678946</v>
      </c>
      <c r="G148" s="2614">
        <v>0</v>
      </c>
      <c r="H148" s="2614">
        <v>0</v>
      </c>
      <c r="I148" s="2614">
        <v>6348.5899562737259</v>
      </c>
      <c r="J148" s="2614">
        <v>0</v>
      </c>
      <c r="K148" s="2614">
        <v>0</v>
      </c>
      <c r="L148" s="2614">
        <v>0</v>
      </c>
      <c r="M148" s="2614">
        <v>0</v>
      </c>
      <c r="N148" s="2614">
        <v>0</v>
      </c>
      <c r="O148" s="2614">
        <v>191.17248100990454</v>
      </c>
      <c r="P148" s="2614">
        <v>0</v>
      </c>
    </row>
    <row r="149" spans="2:16" x14ac:dyDescent="0.3">
      <c r="B149" s="527" t="s">
        <v>16</v>
      </c>
      <c r="C149" s="2614">
        <v>14670.778536203397</v>
      </c>
      <c r="D149" s="2615">
        <v>0.15418404649882853</v>
      </c>
      <c r="E149" s="2614">
        <v>0</v>
      </c>
      <c r="F149" s="2614">
        <v>3812.0746741273479</v>
      </c>
      <c r="G149" s="2614">
        <v>0</v>
      </c>
      <c r="H149" s="2614">
        <v>0</v>
      </c>
      <c r="I149" s="2614">
        <v>113.10000000000001</v>
      </c>
      <c r="J149" s="2614">
        <v>0</v>
      </c>
      <c r="K149" s="2614">
        <v>391.07115194112555</v>
      </c>
      <c r="L149" s="2614">
        <v>0</v>
      </c>
      <c r="M149" s="2614">
        <v>3847.9428633793418</v>
      </c>
      <c r="N149" s="2614">
        <v>5542.0921784019392</v>
      </c>
      <c r="O149" s="2614">
        <v>533.30853993244375</v>
      </c>
      <c r="P149" s="2614">
        <v>0</v>
      </c>
    </row>
    <row r="150" spans="2:16" x14ac:dyDescent="0.3">
      <c r="B150" s="527" t="s">
        <v>308</v>
      </c>
      <c r="C150" s="2614">
        <v>327.55506463050853</v>
      </c>
      <c r="D150" s="2615">
        <v>0.65589597963428825</v>
      </c>
      <c r="E150" s="2614">
        <v>0</v>
      </c>
      <c r="F150" s="2614">
        <v>106.00306747</v>
      </c>
      <c r="G150" s="2614">
        <v>0</v>
      </c>
      <c r="H150" s="2614">
        <v>1.7187364000000001</v>
      </c>
      <c r="I150" s="2614">
        <v>212.15776207174036</v>
      </c>
      <c r="J150" s="2614">
        <v>0</v>
      </c>
      <c r="K150" s="2614">
        <v>0</v>
      </c>
      <c r="L150" s="2614">
        <v>0</v>
      </c>
      <c r="M150" s="2614">
        <v>0</v>
      </c>
      <c r="N150" s="2614">
        <v>0</v>
      </c>
      <c r="O150" s="2614">
        <v>4.2197001774775273</v>
      </c>
      <c r="P150" s="2614">
        <v>0</v>
      </c>
    </row>
    <row r="151" spans="2:16" x14ac:dyDescent="0.3">
      <c r="B151" s="527" t="s">
        <v>44</v>
      </c>
      <c r="C151" s="2614">
        <v>546.40638518982428</v>
      </c>
      <c r="D151" s="2615">
        <v>1</v>
      </c>
      <c r="E151" s="2614">
        <v>0</v>
      </c>
      <c r="F151" s="2614">
        <v>452.31520566013654</v>
      </c>
      <c r="G151" s="2614">
        <v>0</v>
      </c>
      <c r="H151" s="2614">
        <v>50.706512545615688</v>
      </c>
      <c r="I151" s="2614">
        <v>43.384666984072048</v>
      </c>
      <c r="J151" s="2614">
        <v>0</v>
      </c>
      <c r="K151" s="2614">
        <v>0</v>
      </c>
      <c r="L151" s="2614">
        <v>0</v>
      </c>
      <c r="M151" s="2614">
        <v>0</v>
      </c>
      <c r="N151" s="2614">
        <v>0</v>
      </c>
      <c r="O151" s="2614">
        <v>0</v>
      </c>
      <c r="P151" s="2614">
        <v>0</v>
      </c>
    </row>
    <row r="152" spans="2:16" x14ac:dyDescent="0.3">
      <c r="B152" s="527" t="s">
        <v>326</v>
      </c>
      <c r="C152" s="2614">
        <v>1231.4633316745769</v>
      </c>
      <c r="D152" s="2615">
        <v>9.0809849650928642E-2</v>
      </c>
      <c r="E152" s="2614">
        <v>0</v>
      </c>
      <c r="F152" s="2614">
        <v>111.82900000000001</v>
      </c>
      <c r="G152" s="2614">
        <v>0</v>
      </c>
      <c r="H152" s="2614">
        <v>0</v>
      </c>
      <c r="I152" s="2614">
        <v>1020.6229608936844</v>
      </c>
      <c r="J152" s="2614">
        <v>0</v>
      </c>
      <c r="K152" s="2614">
        <v>0</v>
      </c>
      <c r="L152" s="2614">
        <v>0</v>
      </c>
      <c r="M152" s="2614">
        <v>0</v>
      </c>
      <c r="N152" s="2614">
        <v>0</v>
      </c>
      <c r="O152" s="2614">
        <v>54.521305501803354</v>
      </c>
      <c r="P152" s="2614">
        <v>0</v>
      </c>
    </row>
    <row r="153" spans="2:16" x14ac:dyDescent="0.3">
      <c r="B153" s="527" t="s">
        <v>25</v>
      </c>
      <c r="C153" s="2614">
        <v>21617.285987679108</v>
      </c>
      <c r="D153" s="2615">
        <v>0.22580452156584843</v>
      </c>
      <c r="E153" s="2614">
        <v>2631.0104158800004</v>
      </c>
      <c r="F153" s="2614">
        <v>1325.2677697800002</v>
      </c>
      <c r="G153" s="2614">
        <v>0</v>
      </c>
      <c r="H153" s="2614">
        <v>925.00273434000007</v>
      </c>
      <c r="I153" s="2614">
        <v>0</v>
      </c>
      <c r="J153" s="2614">
        <v>0</v>
      </c>
      <c r="K153" s="2614">
        <v>787.22417947956865</v>
      </c>
      <c r="L153" s="2614">
        <v>0</v>
      </c>
      <c r="M153" s="2614">
        <v>7745.8888191376991</v>
      </c>
      <c r="N153" s="2614">
        <v>7562.241976580468</v>
      </c>
      <c r="O153" s="2614">
        <v>354.02134551439906</v>
      </c>
      <c r="P153" s="2614">
        <v>0</v>
      </c>
    </row>
    <row r="154" spans="2:16" x14ac:dyDescent="0.3">
      <c r="B154" s="527" t="s">
        <v>29</v>
      </c>
      <c r="C154" s="2614">
        <v>14717.290102264411</v>
      </c>
      <c r="D154" s="2615">
        <v>0.67333543955047082</v>
      </c>
      <c r="E154" s="2614">
        <v>0</v>
      </c>
      <c r="F154" s="2614">
        <v>1781.8493904531178</v>
      </c>
      <c r="G154" s="2614">
        <v>0</v>
      </c>
      <c r="H154" s="2614">
        <v>8044.9101495468831</v>
      </c>
      <c r="I154" s="2614">
        <v>82.913460000000015</v>
      </c>
      <c r="J154" s="2614">
        <v>0</v>
      </c>
      <c r="K154" s="2614">
        <v>225.25766643392149</v>
      </c>
      <c r="L154" s="2614">
        <v>0</v>
      </c>
      <c r="M154" s="2614">
        <v>2216.42180885381</v>
      </c>
      <c r="N154" s="2614">
        <v>2170.883818153995</v>
      </c>
      <c r="O154" s="2614">
        <v>107.79358615675284</v>
      </c>
      <c r="P154" s="2614">
        <v>0</v>
      </c>
    </row>
    <row r="155" spans="2:16" x14ac:dyDescent="0.3">
      <c r="B155" s="527" t="s">
        <v>60</v>
      </c>
      <c r="C155" s="2614">
        <v>145.12295</v>
      </c>
      <c r="D155" s="2615">
        <v>1</v>
      </c>
      <c r="E155" s="2614">
        <v>0</v>
      </c>
      <c r="F155" s="2614">
        <v>71.603663530000006</v>
      </c>
      <c r="G155" s="2614">
        <v>0</v>
      </c>
      <c r="H155" s="2614">
        <v>1.1609836</v>
      </c>
      <c r="I155" s="2614">
        <v>72.358302870000003</v>
      </c>
      <c r="J155" s="2626">
        <v>0</v>
      </c>
      <c r="K155" s="2614">
        <v>0</v>
      </c>
      <c r="L155" s="2614">
        <v>0</v>
      </c>
      <c r="M155" s="2614">
        <v>0</v>
      </c>
      <c r="N155" s="2614">
        <v>0</v>
      </c>
      <c r="O155" s="2614">
        <v>0</v>
      </c>
      <c r="P155" s="2614">
        <v>0</v>
      </c>
    </row>
    <row r="156" spans="2:16" x14ac:dyDescent="0.3">
      <c r="B156" s="527" t="s">
        <v>33</v>
      </c>
      <c r="C156" s="2614">
        <v>1732.3403000000001</v>
      </c>
      <c r="D156" s="2615">
        <v>1</v>
      </c>
      <c r="E156" s="2614">
        <v>0</v>
      </c>
      <c r="F156" s="2614">
        <v>1529.6564849000001</v>
      </c>
      <c r="G156" s="2614">
        <v>0</v>
      </c>
      <c r="H156" s="2614">
        <v>29.449785100000003</v>
      </c>
      <c r="I156" s="2614">
        <v>6.9293612000000007</v>
      </c>
      <c r="J156" s="2614">
        <v>0</v>
      </c>
      <c r="K156" s="2614">
        <v>0</v>
      </c>
      <c r="L156" s="2614">
        <v>0</v>
      </c>
      <c r="M156" s="2614">
        <v>0</v>
      </c>
      <c r="N156" s="2614">
        <v>0</v>
      </c>
      <c r="O156" s="2614">
        <v>0</v>
      </c>
      <c r="P156" s="2614">
        <v>166.3046688</v>
      </c>
    </row>
    <row r="157" spans="2:16" x14ac:dyDescent="0.3">
      <c r="B157" s="527" t="s">
        <v>66</v>
      </c>
      <c r="C157" s="2614">
        <v>38.457999999999998</v>
      </c>
      <c r="D157" s="2615">
        <v>1</v>
      </c>
      <c r="E157" s="2614">
        <v>5.8210693977332717</v>
      </c>
      <c r="F157" s="2614">
        <v>18.138691609666399</v>
      </c>
      <c r="G157" s="2614">
        <v>0</v>
      </c>
      <c r="H157" s="2614">
        <v>14.498238992600326</v>
      </c>
      <c r="I157" s="2614">
        <v>0</v>
      </c>
      <c r="J157" s="2614">
        <v>0</v>
      </c>
      <c r="K157" s="2614">
        <v>0</v>
      </c>
      <c r="L157" s="2614">
        <v>0</v>
      </c>
      <c r="M157" s="2614">
        <v>0</v>
      </c>
      <c r="N157" s="2614">
        <v>0</v>
      </c>
      <c r="O157" s="2614">
        <v>0</v>
      </c>
      <c r="P157" s="2614">
        <v>0</v>
      </c>
    </row>
    <row r="158" spans="2:16" x14ac:dyDescent="0.3">
      <c r="B158" s="527" t="s">
        <v>73</v>
      </c>
      <c r="C158" s="2614">
        <v>593.63125852203416</v>
      </c>
      <c r="D158" s="2615">
        <v>0.22440529889154315</v>
      </c>
      <c r="E158" s="2614">
        <v>0</v>
      </c>
      <c r="F158" s="2614">
        <v>112.68572259999999</v>
      </c>
      <c r="G158" s="2614">
        <v>0</v>
      </c>
      <c r="H158" s="2614">
        <v>54.232958717499017</v>
      </c>
      <c r="I158" s="2614">
        <v>187.31825745735205</v>
      </c>
      <c r="J158" s="2614">
        <v>0</v>
      </c>
      <c r="K158" s="2614">
        <v>0</v>
      </c>
      <c r="L158" s="2614">
        <v>0</v>
      </c>
      <c r="M158" s="2614">
        <v>0</v>
      </c>
      <c r="N158" s="2614">
        <v>205.97124475738502</v>
      </c>
      <c r="O158" s="2614">
        <v>18.382801064865163</v>
      </c>
      <c r="P158" s="2614">
        <v>0</v>
      </c>
    </row>
    <row r="159" spans="2:16" x14ac:dyDescent="0.3">
      <c r="B159" s="527" t="s">
        <v>74</v>
      </c>
      <c r="C159" s="2614">
        <v>0.58699999999999997</v>
      </c>
      <c r="D159" s="2615">
        <v>1</v>
      </c>
      <c r="E159" s="2614">
        <v>0</v>
      </c>
      <c r="F159" s="2626">
        <v>9.6785867237687354E-2</v>
      </c>
      <c r="G159" s="2614">
        <v>0</v>
      </c>
      <c r="H159" s="2614">
        <v>0.49021413276231268</v>
      </c>
      <c r="I159" s="2614">
        <v>0</v>
      </c>
      <c r="J159" s="2626">
        <v>0</v>
      </c>
      <c r="K159" s="2614">
        <v>0</v>
      </c>
      <c r="L159" s="2614">
        <v>0</v>
      </c>
      <c r="M159" s="2614">
        <v>0</v>
      </c>
      <c r="N159" s="2614">
        <v>0</v>
      </c>
      <c r="O159" s="2614">
        <v>0</v>
      </c>
      <c r="P159" s="2614">
        <v>0</v>
      </c>
    </row>
    <row r="160" spans="2:16" x14ac:dyDescent="0.3">
      <c r="B160" s="527" t="s">
        <v>327</v>
      </c>
      <c r="C160" s="2614">
        <v>28623.418644332207</v>
      </c>
      <c r="D160" s="2615">
        <v>0.70307198731430576</v>
      </c>
      <c r="E160" s="2614">
        <v>10847.010544369999</v>
      </c>
      <c r="F160" s="2614">
        <v>5463.7539198449995</v>
      </c>
      <c r="G160" s="2614">
        <v>0</v>
      </c>
      <c r="H160" s="2614">
        <v>4466.0604541198172</v>
      </c>
      <c r="I160" s="2614">
        <v>3621.2942319557128</v>
      </c>
      <c r="J160" s="2614">
        <v>0</v>
      </c>
      <c r="K160" s="2614">
        <v>0</v>
      </c>
      <c r="L160" s="2614">
        <v>0</v>
      </c>
      <c r="M160" s="2614">
        <v>0</v>
      </c>
      <c r="N160" s="2614">
        <v>3831.7697838818403</v>
      </c>
      <c r="O160" s="2614">
        <v>215.62708296215737</v>
      </c>
      <c r="P160" s="2614">
        <v>0</v>
      </c>
    </row>
    <row r="161" spans="2:16" x14ac:dyDescent="0.3">
      <c r="B161" s="527" t="s">
        <v>143</v>
      </c>
      <c r="C161" s="2614">
        <v>14571.688380241503</v>
      </c>
      <c r="D161" s="2615">
        <v>0.95423128191232487</v>
      </c>
      <c r="E161" s="2614">
        <v>50.068686182791026</v>
      </c>
      <c r="F161" s="2614">
        <v>11435.668394742128</v>
      </c>
      <c r="G161" s="2614">
        <v>0</v>
      </c>
      <c r="H161" s="2614">
        <v>1074.6184212759372</v>
      </c>
      <c r="I161" s="2614">
        <v>1683.0216442441392</v>
      </c>
      <c r="J161" s="2614">
        <v>0</v>
      </c>
      <c r="K161" s="2614">
        <v>0</v>
      </c>
      <c r="L161" s="2614">
        <v>0</v>
      </c>
      <c r="M161" s="2614">
        <v>0</v>
      </c>
      <c r="N161" s="2614">
        <v>301.17745127812776</v>
      </c>
      <c r="O161" s="2614">
        <v>14.845998047747209</v>
      </c>
      <c r="P161" s="2614">
        <v>0</v>
      </c>
    </row>
    <row r="162" spans="2:16" x14ac:dyDescent="0.3">
      <c r="B162" s="527" t="s">
        <v>76</v>
      </c>
      <c r="C162" s="2614">
        <v>2973.2391172952202</v>
      </c>
      <c r="D162" s="2615">
        <v>1</v>
      </c>
      <c r="E162" s="2614">
        <v>2.7550316171920066</v>
      </c>
      <c r="F162" s="2614">
        <v>566.90116911554765</v>
      </c>
      <c r="G162" s="2614">
        <v>0</v>
      </c>
      <c r="H162" s="2614">
        <v>2403.5829165624809</v>
      </c>
      <c r="I162" s="2614">
        <v>0</v>
      </c>
      <c r="J162" s="2614">
        <v>0</v>
      </c>
      <c r="K162" s="2614">
        <v>0</v>
      </c>
      <c r="L162" s="2614">
        <v>0</v>
      </c>
      <c r="M162" s="2614">
        <v>0</v>
      </c>
      <c r="N162" s="2614">
        <v>0</v>
      </c>
      <c r="O162" s="2614">
        <v>0</v>
      </c>
      <c r="P162" s="2614">
        <v>0</v>
      </c>
    </row>
    <row r="163" spans="2:16" x14ac:dyDescent="0.3">
      <c r="B163" s="527" t="s">
        <v>309</v>
      </c>
      <c r="C163" s="2614">
        <v>93017.611536551398</v>
      </c>
      <c r="D163" s="2615">
        <v>0.98994156567669167</v>
      </c>
      <c r="E163" s="2614">
        <v>0</v>
      </c>
      <c r="F163" s="2614">
        <v>87477.89999999998</v>
      </c>
      <c r="G163" s="2614">
        <v>0</v>
      </c>
      <c r="H163" s="2614">
        <v>0</v>
      </c>
      <c r="I163" s="2614">
        <v>5501.1800249787348</v>
      </c>
      <c r="J163" s="2614">
        <v>0</v>
      </c>
      <c r="K163" s="2614">
        <v>0</v>
      </c>
      <c r="L163" s="2614">
        <v>0</v>
      </c>
      <c r="M163" s="2614">
        <v>0</v>
      </c>
      <c r="N163" s="2614">
        <v>0</v>
      </c>
      <c r="O163" s="2614">
        <v>21.085197337837087</v>
      </c>
      <c r="P163" s="2614">
        <v>0</v>
      </c>
    </row>
    <row r="164" spans="2:16" x14ac:dyDescent="0.3">
      <c r="B164" s="527" t="s">
        <v>95</v>
      </c>
      <c r="C164" s="2614">
        <v>11.7</v>
      </c>
      <c r="D164" s="2615">
        <v>1</v>
      </c>
      <c r="E164" s="2614">
        <v>0</v>
      </c>
      <c r="F164" s="2614">
        <v>11.7</v>
      </c>
      <c r="G164" s="2614">
        <v>0</v>
      </c>
      <c r="H164" s="2614">
        <v>0</v>
      </c>
      <c r="I164" s="2614">
        <v>0</v>
      </c>
      <c r="J164" s="2614">
        <v>0</v>
      </c>
      <c r="K164" s="2614">
        <v>0</v>
      </c>
      <c r="L164" s="2614">
        <v>0</v>
      </c>
      <c r="M164" s="2614">
        <v>0</v>
      </c>
      <c r="N164" s="2614">
        <v>0</v>
      </c>
      <c r="O164" s="2614">
        <v>0</v>
      </c>
      <c r="P164" s="2614">
        <v>0</v>
      </c>
    </row>
    <row r="165" spans="2:16" x14ac:dyDescent="0.3">
      <c r="B165" s="527" t="s">
        <v>119</v>
      </c>
      <c r="C165" s="2614">
        <v>37715.694130381948</v>
      </c>
      <c r="D165" s="2615">
        <v>0</v>
      </c>
      <c r="E165" s="2614">
        <v>0</v>
      </c>
      <c r="F165" s="2614">
        <v>0</v>
      </c>
      <c r="G165" s="2614">
        <v>0</v>
      </c>
      <c r="H165" s="2614">
        <v>1080.6623852982998</v>
      </c>
      <c r="I165" s="2614">
        <v>5997.532467814297</v>
      </c>
      <c r="J165" s="2614">
        <v>0</v>
      </c>
      <c r="K165" s="2614">
        <v>1089.7440096718851</v>
      </c>
      <c r="L165" s="2614">
        <v>0</v>
      </c>
      <c r="M165" s="2614">
        <v>10722.531345289826</v>
      </c>
      <c r="N165" s="2614">
        <v>16991.01079358644</v>
      </c>
      <c r="O165" s="2614">
        <v>1010.7266403675508</v>
      </c>
      <c r="P165" s="2614">
        <v>0</v>
      </c>
    </row>
    <row r="166" spans="2:16" x14ac:dyDescent="0.3">
      <c r="B166" s="656" t="s">
        <v>427</v>
      </c>
      <c r="C166" s="2618">
        <v>654254.88620042836</v>
      </c>
      <c r="D166" s="2619">
        <v>0.45004796179235185</v>
      </c>
      <c r="E166" s="2618">
        <v>13536.665747447718</v>
      </c>
      <c r="F166" s="2618">
        <v>248953.51565345039</v>
      </c>
      <c r="G166" s="2618">
        <v>10385.72737999634</v>
      </c>
      <c r="H166" s="2618">
        <v>21896.413675546937</v>
      </c>
      <c r="I166" s="2618">
        <v>46197.702873082613</v>
      </c>
      <c r="J166" s="2618">
        <v>27930.392727925126</v>
      </c>
      <c r="K166" s="2618">
        <v>6201.6019410988902</v>
      </c>
      <c r="L166" s="2618">
        <v>8713.9151668465911</v>
      </c>
      <c r="M166" s="2618">
        <v>63868.031226334526</v>
      </c>
      <c r="N166" s="2618">
        <v>148005.97380745367</v>
      </c>
      <c r="O166" s="2618">
        <v>11560.907900177477</v>
      </c>
      <c r="P166" s="2618">
        <v>37633.304668800003</v>
      </c>
    </row>
    <row r="169" spans="2:16" ht="14.1" customHeight="1" x14ac:dyDescent="0.3">
      <c r="B169" s="3888" t="s">
        <v>336</v>
      </c>
      <c r="C169" s="3888" t="s">
        <v>468</v>
      </c>
      <c r="D169" s="3889" t="s">
        <v>469</v>
      </c>
      <c r="E169" s="3860" t="s">
        <v>512</v>
      </c>
      <c r="F169" s="3861"/>
      <c r="G169" s="3861"/>
      <c r="H169" s="3861"/>
      <c r="I169" s="3861"/>
      <c r="J169" s="3861"/>
      <c r="K169" s="3861"/>
      <c r="L169" s="3861"/>
      <c r="M169" s="3861"/>
      <c r="N169" s="3861"/>
      <c r="O169" s="3861"/>
      <c r="P169" s="3862"/>
    </row>
    <row r="170" spans="2:16" ht="90" customHeight="1" x14ac:dyDescent="0.3">
      <c r="B170" s="3888"/>
      <c r="C170" s="3888"/>
      <c r="D170" s="3889"/>
      <c r="E170" s="2613" t="s">
        <v>436</v>
      </c>
      <c r="F170" s="2613" t="s">
        <v>429</v>
      </c>
      <c r="G170" s="2613" t="s">
        <v>405</v>
      </c>
      <c r="H170" s="2613" t="s">
        <v>534</v>
      </c>
      <c r="I170" s="2613" t="s">
        <v>504</v>
      </c>
      <c r="J170" s="2613" t="s">
        <v>519</v>
      </c>
      <c r="K170" s="2613" t="s">
        <v>538</v>
      </c>
      <c r="L170" s="2613" t="s">
        <v>539</v>
      </c>
      <c r="M170" s="2613" t="s">
        <v>540</v>
      </c>
      <c r="N170" s="2613" t="s">
        <v>541</v>
      </c>
      <c r="O170" s="2613" t="s">
        <v>502</v>
      </c>
      <c r="P170" s="2613" t="s">
        <v>536</v>
      </c>
    </row>
    <row r="171" spans="2:16" x14ac:dyDescent="0.3">
      <c r="B171" s="527" t="s">
        <v>5</v>
      </c>
      <c r="C171" s="2614">
        <v>142115.10526067804</v>
      </c>
      <c r="D171" s="2615">
        <v>7.5497256764645262E-2</v>
      </c>
      <c r="E171" s="2615">
        <v>0</v>
      </c>
      <c r="F171" s="2615">
        <v>0</v>
      </c>
      <c r="G171" s="2615">
        <v>7.3079686785905484E-2</v>
      </c>
      <c r="H171" s="2615">
        <v>0</v>
      </c>
      <c r="I171" s="2615">
        <v>2.4175699787397846E-3</v>
      </c>
      <c r="J171" s="2615">
        <v>0.1482164319720829</v>
      </c>
      <c r="K171" s="2615">
        <v>0</v>
      </c>
      <c r="L171" s="2615">
        <v>4.6241577306792299E-2</v>
      </c>
      <c r="M171" s="2615">
        <v>0</v>
      </c>
      <c r="N171" s="2615">
        <v>0.41571265218617504</v>
      </c>
      <c r="O171" s="2615">
        <v>2.8023491393693568E-2</v>
      </c>
      <c r="P171" s="2615">
        <v>0.2636384072704675</v>
      </c>
    </row>
    <row r="172" spans="2:16" x14ac:dyDescent="0.3">
      <c r="B172" s="527" t="s">
        <v>8</v>
      </c>
      <c r="C172" s="2614">
        <v>159193.43313924072</v>
      </c>
      <c r="D172" s="2615">
        <v>0.5625294852562982</v>
      </c>
      <c r="E172" s="2615">
        <v>0</v>
      </c>
      <c r="F172" s="2615">
        <v>0.55036562677076517</v>
      </c>
      <c r="G172" s="2615">
        <v>0</v>
      </c>
      <c r="H172" s="2615">
        <v>0</v>
      </c>
      <c r="I172" s="2615">
        <v>2.8126474262814911E-2</v>
      </c>
      <c r="J172" s="2615">
        <v>4.3133681845057475E-2</v>
      </c>
      <c r="K172" s="2615">
        <v>1.2769417934618102E-2</v>
      </c>
      <c r="L172" s="2615">
        <v>1.3457141404810588E-2</v>
      </c>
      <c r="M172" s="2615">
        <v>0.12564463107833421</v>
      </c>
      <c r="N172" s="2615">
        <v>0.19582698430558179</v>
      </c>
      <c r="O172" s="2615">
        <v>1.6960880759625829E-2</v>
      </c>
      <c r="P172" s="2615">
        <v>0</v>
      </c>
    </row>
    <row r="173" spans="2:16" x14ac:dyDescent="0.3">
      <c r="B173" s="527" t="s">
        <v>304</v>
      </c>
      <c r="C173" s="2614">
        <v>43345.68685802487</v>
      </c>
      <c r="D173" s="2615">
        <v>0.61090276609834326</v>
      </c>
      <c r="E173" s="2615">
        <v>0</v>
      </c>
      <c r="F173" s="2615">
        <v>0.58664992628423906</v>
      </c>
      <c r="G173" s="2615">
        <v>0</v>
      </c>
      <c r="H173" s="2615">
        <v>1.4661666386360237E-3</v>
      </c>
      <c r="I173" s="2615">
        <v>0.38034180005809048</v>
      </c>
      <c r="J173" s="2615">
        <v>0</v>
      </c>
      <c r="K173" s="2615">
        <v>0</v>
      </c>
      <c r="L173" s="2615">
        <v>0</v>
      </c>
      <c r="M173" s="2615">
        <v>0</v>
      </c>
      <c r="N173" s="2615">
        <v>0</v>
      </c>
      <c r="O173" s="2615">
        <v>1.7360293884298564E-2</v>
      </c>
      <c r="P173" s="2615">
        <v>0</v>
      </c>
    </row>
    <row r="174" spans="2:16" x14ac:dyDescent="0.3">
      <c r="B174" s="527" t="s">
        <v>14</v>
      </c>
      <c r="C174" s="2614">
        <v>68609.579271462178</v>
      </c>
      <c r="D174" s="2615">
        <v>0.26381155798063044</v>
      </c>
      <c r="E174" s="2615">
        <v>0</v>
      </c>
      <c r="F174" s="2615">
        <v>0.28965422781101691</v>
      </c>
      <c r="G174" s="2615">
        <v>0</v>
      </c>
      <c r="H174" s="2615">
        <v>5.3720883061122597E-2</v>
      </c>
      <c r="I174" s="2615">
        <v>0</v>
      </c>
      <c r="J174" s="2615">
        <v>0</v>
      </c>
      <c r="K174" s="2615">
        <v>2.4420751025763208E-2</v>
      </c>
      <c r="L174" s="2615">
        <v>0</v>
      </c>
      <c r="M174" s="2615">
        <v>0.28178931306815552</v>
      </c>
      <c r="N174" s="2615">
        <v>0.30822823181290004</v>
      </c>
      <c r="O174" s="2615">
        <v>2.3321628120250005E-2</v>
      </c>
      <c r="P174" s="2615">
        <v>0</v>
      </c>
    </row>
    <row r="175" spans="2:16" x14ac:dyDescent="0.3">
      <c r="B175" s="527" t="s">
        <v>17</v>
      </c>
      <c r="C175" s="2614">
        <v>8456.8109460565029</v>
      </c>
      <c r="D175" s="2615">
        <v>6.0779412390634488E-2</v>
      </c>
      <c r="E175" s="2615">
        <v>0</v>
      </c>
      <c r="F175" s="2615">
        <v>0.20807836585119016</v>
      </c>
      <c r="G175" s="2615">
        <v>0</v>
      </c>
      <c r="H175" s="2615">
        <v>0</v>
      </c>
      <c r="I175" s="2615">
        <v>0.75070732889377623</v>
      </c>
      <c r="J175" s="2615">
        <v>0</v>
      </c>
      <c r="K175" s="2615">
        <v>0</v>
      </c>
      <c r="L175" s="2615">
        <v>0</v>
      </c>
      <c r="M175" s="2615">
        <v>0</v>
      </c>
      <c r="N175" s="2615">
        <v>0</v>
      </c>
      <c r="O175" s="2615">
        <v>2.2605741363894413E-2</v>
      </c>
      <c r="P175" s="2615">
        <v>0</v>
      </c>
    </row>
    <row r="176" spans="2:16" x14ac:dyDescent="0.3">
      <c r="B176" s="527" t="s">
        <v>16</v>
      </c>
      <c r="C176" s="2614">
        <v>14670.778536203397</v>
      </c>
      <c r="D176" s="2615">
        <v>0.15418404649882853</v>
      </c>
      <c r="E176" s="2615">
        <v>0</v>
      </c>
      <c r="F176" s="2615">
        <v>0.25984133457677172</v>
      </c>
      <c r="G176" s="2615">
        <v>0</v>
      </c>
      <c r="H176" s="2615">
        <v>0</v>
      </c>
      <c r="I176" s="2615">
        <v>7.7092023249414263E-3</v>
      </c>
      <c r="J176" s="2615">
        <v>0</v>
      </c>
      <c r="K176" s="2615">
        <v>2.6656468910362923E-2</v>
      </c>
      <c r="L176" s="2615">
        <v>0</v>
      </c>
      <c r="M176" s="2615">
        <v>0.2622862075031458</v>
      </c>
      <c r="N176" s="2615">
        <v>0.37776401332251036</v>
      </c>
      <c r="O176" s="2615">
        <v>3.6351754517756962E-2</v>
      </c>
      <c r="P176" s="2615">
        <v>0</v>
      </c>
    </row>
    <row r="177" spans="2:16" x14ac:dyDescent="0.3">
      <c r="B177" s="527" t="s">
        <v>308</v>
      </c>
      <c r="C177" s="2614">
        <v>327.55506463050853</v>
      </c>
      <c r="D177" s="2615">
        <v>0.65589597963428825</v>
      </c>
      <c r="E177" s="2615">
        <v>0</v>
      </c>
      <c r="F177" s="2615">
        <v>0.32361907635155784</v>
      </c>
      <c r="G177" s="2615">
        <v>0</v>
      </c>
      <c r="H177" s="2615">
        <v>5.2471678370743062E-3</v>
      </c>
      <c r="I177" s="2615">
        <v>0.64770105848022952</v>
      </c>
      <c r="J177" s="2615">
        <v>0</v>
      </c>
      <c r="K177" s="2615">
        <v>0</v>
      </c>
      <c r="L177" s="2615">
        <v>0</v>
      </c>
      <c r="M177" s="2615">
        <v>0</v>
      </c>
      <c r="N177" s="2615">
        <v>0</v>
      </c>
      <c r="O177" s="2615">
        <v>1.288241469335078E-2</v>
      </c>
      <c r="P177" s="2615">
        <v>0</v>
      </c>
    </row>
    <row r="178" spans="2:16" x14ac:dyDescent="0.3">
      <c r="B178" s="527" t="s">
        <v>44</v>
      </c>
      <c r="C178" s="2614">
        <v>546.40638518982428</v>
      </c>
      <c r="D178" s="2615">
        <v>1</v>
      </c>
      <c r="E178" s="2615">
        <v>0</v>
      </c>
      <c r="F178" s="2615">
        <v>0.82779999999999998</v>
      </c>
      <c r="G178" s="2615">
        <v>0</v>
      </c>
      <c r="H178" s="2615">
        <v>9.2799999999999994E-2</v>
      </c>
      <c r="I178" s="2615">
        <v>7.9399999999999998E-2</v>
      </c>
      <c r="J178" s="2615">
        <v>0</v>
      </c>
      <c r="K178" s="2615">
        <v>0</v>
      </c>
      <c r="L178" s="2615">
        <v>0</v>
      </c>
      <c r="M178" s="2615">
        <v>0</v>
      </c>
      <c r="N178" s="2615">
        <v>0</v>
      </c>
      <c r="O178" s="2615">
        <v>0</v>
      </c>
      <c r="P178" s="2615">
        <v>0</v>
      </c>
    </row>
    <row r="179" spans="2:16" x14ac:dyDescent="0.3">
      <c r="B179" s="527" t="s">
        <v>326</v>
      </c>
      <c r="C179" s="2614">
        <v>1231.4633316745769</v>
      </c>
      <c r="D179" s="2615">
        <v>9.0809849650928642E-2</v>
      </c>
      <c r="E179" s="2615">
        <v>0</v>
      </c>
      <c r="F179" s="2615">
        <v>9.0809849650928642E-2</v>
      </c>
      <c r="G179" s="2615">
        <v>0</v>
      </c>
      <c r="H179" s="2615">
        <v>0</v>
      </c>
      <c r="I179" s="2615">
        <v>0.82878875451842637</v>
      </c>
      <c r="J179" s="2615">
        <v>0</v>
      </c>
      <c r="K179" s="2615">
        <v>0</v>
      </c>
      <c r="L179" s="2615">
        <v>0</v>
      </c>
      <c r="M179" s="2615">
        <v>0</v>
      </c>
      <c r="N179" s="2615">
        <v>0</v>
      </c>
      <c r="O179" s="2615">
        <v>4.4273592318549847E-2</v>
      </c>
      <c r="P179" s="2615">
        <v>0</v>
      </c>
    </row>
    <row r="180" spans="2:16" x14ac:dyDescent="0.3">
      <c r="B180" s="527" t="s">
        <v>25</v>
      </c>
      <c r="C180" s="2614">
        <v>21617.285987679108</v>
      </c>
      <c r="D180" s="2615">
        <v>0.22580452156584843</v>
      </c>
      <c r="E180" s="2615">
        <v>0.12170863712399232</v>
      </c>
      <c r="F180" s="2615">
        <v>6.1305927605127854E-2</v>
      </c>
      <c r="G180" s="2615">
        <v>0</v>
      </c>
      <c r="H180" s="2615">
        <v>4.2789956836728281E-2</v>
      </c>
      <c r="I180" s="2615">
        <v>0</v>
      </c>
      <c r="J180" s="2615">
        <v>0</v>
      </c>
      <c r="K180" s="2615">
        <v>3.641642063338809E-2</v>
      </c>
      <c r="L180" s="2615">
        <v>0</v>
      </c>
      <c r="M180" s="2615">
        <v>0.35831920915292104</v>
      </c>
      <c r="N180" s="2615">
        <v>0.34982383916698007</v>
      </c>
      <c r="O180" s="2615">
        <v>1.6376771150466134E-2</v>
      </c>
      <c r="P180" s="2615">
        <v>0</v>
      </c>
    </row>
    <row r="181" spans="2:16" x14ac:dyDescent="0.3">
      <c r="B181" s="527" t="s">
        <v>29</v>
      </c>
      <c r="C181" s="2614">
        <v>14717.290102264411</v>
      </c>
      <c r="D181" s="2615">
        <v>0.67333543955047082</v>
      </c>
      <c r="E181" s="2615">
        <v>0</v>
      </c>
      <c r="F181" s="2615">
        <v>0.12107183986126369</v>
      </c>
      <c r="G181" s="2615">
        <v>0</v>
      </c>
      <c r="H181" s="2615">
        <v>0.54662985465708036</v>
      </c>
      <c r="I181" s="2615">
        <v>5.63374503212673E-3</v>
      </c>
      <c r="J181" s="2615">
        <v>0</v>
      </c>
      <c r="K181" s="2615">
        <v>1.5305648313561694E-2</v>
      </c>
      <c r="L181" s="2615">
        <v>0</v>
      </c>
      <c r="M181" s="2615">
        <v>0.15059985863245232</v>
      </c>
      <c r="N181" s="2615">
        <v>0.14750567550611654</v>
      </c>
      <c r="O181" s="2615">
        <v>7.3242822155260533E-3</v>
      </c>
      <c r="P181" s="2615">
        <v>0</v>
      </c>
    </row>
    <row r="182" spans="2:16" x14ac:dyDescent="0.3">
      <c r="B182" s="527" t="s">
        <v>60</v>
      </c>
      <c r="C182" s="2614">
        <v>145.12295</v>
      </c>
      <c r="D182" s="2615">
        <v>1</v>
      </c>
      <c r="E182" s="2615">
        <v>0</v>
      </c>
      <c r="F182" s="2615">
        <v>0.49340000000000001</v>
      </c>
      <c r="G182" s="2615">
        <v>0</v>
      </c>
      <c r="H182" s="2615">
        <v>8.0000000000000002E-3</v>
      </c>
      <c r="I182" s="2615">
        <v>0.49859999999999999</v>
      </c>
      <c r="J182" s="2615">
        <v>0</v>
      </c>
      <c r="K182" s="2615">
        <v>0</v>
      </c>
      <c r="L182" s="2615">
        <v>0</v>
      </c>
      <c r="M182" s="2615">
        <v>0</v>
      </c>
      <c r="N182" s="2615">
        <v>0</v>
      </c>
      <c r="O182" s="2615">
        <v>0</v>
      </c>
      <c r="P182" s="2615">
        <v>0</v>
      </c>
    </row>
    <row r="183" spans="2:16" x14ac:dyDescent="0.3">
      <c r="B183" s="527" t="s">
        <v>33</v>
      </c>
      <c r="C183" s="2614">
        <v>1732.3403000000001</v>
      </c>
      <c r="D183" s="2615">
        <v>1</v>
      </c>
      <c r="E183" s="2615">
        <v>0</v>
      </c>
      <c r="F183" s="2615">
        <v>0.88300000000000001</v>
      </c>
      <c r="G183" s="2615">
        <v>0</v>
      </c>
      <c r="H183" s="2615">
        <v>1.7000000000000001E-2</v>
      </c>
      <c r="I183" s="2615">
        <v>4.0000000000000001E-3</v>
      </c>
      <c r="J183" s="2615">
        <v>0</v>
      </c>
      <c r="K183" s="2615">
        <v>0</v>
      </c>
      <c r="L183" s="2615">
        <v>0</v>
      </c>
      <c r="M183" s="2615">
        <v>0</v>
      </c>
      <c r="N183" s="2615">
        <v>0</v>
      </c>
      <c r="O183" s="2615">
        <v>0</v>
      </c>
      <c r="P183" s="2615">
        <v>9.6000000000000002E-2</v>
      </c>
    </row>
    <row r="184" spans="2:16" x14ac:dyDescent="0.3">
      <c r="B184" s="527" t="s">
        <v>66</v>
      </c>
      <c r="C184" s="2614">
        <v>38.457999999999998</v>
      </c>
      <c r="D184" s="2615">
        <v>1</v>
      </c>
      <c r="E184" s="2615">
        <v>0.15136172962019012</v>
      </c>
      <c r="F184" s="2615">
        <v>0.47164937359369702</v>
      </c>
      <c r="G184" s="2615">
        <v>0</v>
      </c>
      <c r="H184" s="2615">
        <v>0.3769888967861128</v>
      </c>
      <c r="I184" s="2615">
        <v>0</v>
      </c>
      <c r="J184" s="2615">
        <v>0</v>
      </c>
      <c r="K184" s="2615">
        <v>0</v>
      </c>
      <c r="L184" s="2615">
        <v>0</v>
      </c>
      <c r="M184" s="2615">
        <v>0</v>
      </c>
      <c r="N184" s="2615">
        <v>0</v>
      </c>
      <c r="O184" s="2615">
        <v>0</v>
      </c>
      <c r="P184" s="2615">
        <v>0</v>
      </c>
    </row>
    <row r="185" spans="2:16" x14ac:dyDescent="0.3">
      <c r="B185" s="527" t="s">
        <v>73</v>
      </c>
      <c r="C185" s="2614">
        <v>593.63125852203416</v>
      </c>
      <c r="D185" s="2615">
        <v>0.22440529889154315</v>
      </c>
      <c r="E185" s="2615">
        <v>0</v>
      </c>
      <c r="F185" s="2615">
        <v>0.18982444233235635</v>
      </c>
      <c r="G185" s="2615">
        <v>0</v>
      </c>
      <c r="H185" s="2615">
        <v>9.1357990232055847E-2</v>
      </c>
      <c r="I185" s="2615">
        <v>0.31554648574894617</v>
      </c>
      <c r="J185" s="2615">
        <v>0</v>
      </c>
      <c r="K185" s="2615">
        <v>0</v>
      </c>
      <c r="L185" s="2615">
        <v>0</v>
      </c>
      <c r="M185" s="2615">
        <v>0</v>
      </c>
      <c r="N185" s="2615">
        <v>0.34696832722419696</v>
      </c>
      <c r="O185" s="2615">
        <v>3.0966699952143503E-2</v>
      </c>
      <c r="P185" s="2615">
        <v>0</v>
      </c>
    </row>
    <row r="186" spans="2:16" x14ac:dyDescent="0.3">
      <c r="B186" s="527" t="s">
        <v>74</v>
      </c>
      <c r="C186" s="2614">
        <v>0.58699999999999997</v>
      </c>
      <c r="D186" s="2615">
        <v>1</v>
      </c>
      <c r="E186" s="2615">
        <v>0</v>
      </c>
      <c r="F186" s="2615">
        <v>0.16488222698072805</v>
      </c>
      <c r="G186" s="2615">
        <v>0</v>
      </c>
      <c r="H186" s="2615">
        <v>0.83511777301927204</v>
      </c>
      <c r="I186" s="2615">
        <v>0</v>
      </c>
      <c r="J186" s="2615">
        <v>0</v>
      </c>
      <c r="K186" s="2615">
        <v>0</v>
      </c>
      <c r="L186" s="2615">
        <v>0</v>
      </c>
      <c r="M186" s="2615">
        <v>0</v>
      </c>
      <c r="N186" s="2615">
        <v>0</v>
      </c>
      <c r="O186" s="2615">
        <v>0</v>
      </c>
      <c r="P186" s="2615">
        <v>0</v>
      </c>
    </row>
    <row r="187" spans="2:16" x14ac:dyDescent="0.3">
      <c r="B187" s="527" t="s">
        <v>327</v>
      </c>
      <c r="C187" s="2614">
        <v>28623.418644332207</v>
      </c>
      <c r="D187" s="2615">
        <v>0.70307198731430576</v>
      </c>
      <c r="E187" s="2615">
        <v>0.37895580116241084</v>
      </c>
      <c r="F187" s="2615">
        <v>0.19088404455583402</v>
      </c>
      <c r="G187" s="2615">
        <v>0</v>
      </c>
      <c r="H187" s="2615">
        <v>0.15602819878415022</v>
      </c>
      <c r="I187" s="2615">
        <v>0.12651508462189837</v>
      </c>
      <c r="J187" s="2615">
        <v>0</v>
      </c>
      <c r="K187" s="2615">
        <v>0</v>
      </c>
      <c r="L187" s="2615">
        <v>0</v>
      </c>
      <c r="M187" s="2615">
        <v>0</v>
      </c>
      <c r="N187" s="2615">
        <v>0.13386834855383631</v>
      </c>
      <c r="O187" s="2615">
        <v>7.533240024243373E-3</v>
      </c>
      <c r="P187" s="2615">
        <v>0</v>
      </c>
    </row>
    <row r="188" spans="2:16" x14ac:dyDescent="0.3">
      <c r="B188" s="527" t="s">
        <v>143</v>
      </c>
      <c r="C188" s="2614">
        <v>14571.688380241503</v>
      </c>
      <c r="D188" s="2615">
        <v>0.95423128191232487</v>
      </c>
      <c r="E188" s="2615">
        <v>3.4360250422786776E-3</v>
      </c>
      <c r="F188" s="2615">
        <v>0.78478677942690123</v>
      </c>
      <c r="G188" s="2615">
        <v>0</v>
      </c>
      <c r="H188" s="2615">
        <v>7.3747008118363766E-2</v>
      </c>
      <c r="I188" s="2615">
        <v>0.11549942603262325</v>
      </c>
      <c r="J188" s="2615">
        <v>0</v>
      </c>
      <c r="K188" s="2615">
        <v>0</v>
      </c>
      <c r="L188" s="2615">
        <v>0</v>
      </c>
      <c r="M188" s="2615">
        <v>0</v>
      </c>
      <c r="N188" s="2615">
        <v>2.0668672251220363E-2</v>
      </c>
      <c r="O188" s="2615">
        <v>1.0188248376130288E-3</v>
      </c>
      <c r="P188" s="2615">
        <v>0</v>
      </c>
    </row>
    <row r="189" spans="2:16" x14ac:dyDescent="0.3">
      <c r="B189" s="527" t="s">
        <v>76</v>
      </c>
      <c r="C189" s="2614">
        <v>2973.2391172952202</v>
      </c>
      <c r="D189" s="2615">
        <v>1</v>
      </c>
      <c r="E189" s="2615">
        <v>9.266095017942187E-4</v>
      </c>
      <c r="F189" s="2615">
        <v>0.19066786987225642</v>
      </c>
      <c r="G189" s="2615">
        <v>0</v>
      </c>
      <c r="H189" s="2615">
        <v>0.8084055206259495</v>
      </c>
      <c r="I189" s="2615">
        <v>0</v>
      </c>
      <c r="J189" s="2615">
        <v>0</v>
      </c>
      <c r="K189" s="2615">
        <v>0</v>
      </c>
      <c r="L189" s="2615">
        <v>0</v>
      </c>
      <c r="M189" s="2615">
        <v>0</v>
      </c>
      <c r="N189" s="2615">
        <v>0</v>
      </c>
      <c r="O189" s="2615">
        <v>0</v>
      </c>
      <c r="P189" s="2615">
        <v>0</v>
      </c>
    </row>
    <row r="190" spans="2:16" x14ac:dyDescent="0.3">
      <c r="B190" s="527" t="s">
        <v>309</v>
      </c>
      <c r="C190" s="2614">
        <v>93017.611536551398</v>
      </c>
      <c r="D190" s="2615">
        <v>0.98994156567669167</v>
      </c>
      <c r="E190" s="2615">
        <v>0</v>
      </c>
      <c r="F190" s="2615">
        <v>0.94044448739285702</v>
      </c>
      <c r="G190" s="2615">
        <v>0</v>
      </c>
      <c r="H190" s="2615">
        <v>0</v>
      </c>
      <c r="I190" s="2615">
        <v>5.9141273723385582E-2</v>
      </c>
      <c r="J190" s="2615">
        <v>0</v>
      </c>
      <c r="K190" s="2615">
        <v>0</v>
      </c>
      <c r="L190" s="2615">
        <v>0</v>
      </c>
      <c r="M190" s="2615">
        <v>0</v>
      </c>
      <c r="N190" s="2615">
        <v>0</v>
      </c>
      <c r="O190" s="2615">
        <v>2.2667962539063509E-4</v>
      </c>
      <c r="P190" s="2615">
        <v>0</v>
      </c>
    </row>
    <row r="191" spans="2:16" x14ac:dyDescent="0.3">
      <c r="B191" s="527" t="s">
        <v>95</v>
      </c>
      <c r="C191" s="2614">
        <v>11.7</v>
      </c>
      <c r="D191" s="2615">
        <v>1</v>
      </c>
      <c r="E191" s="2615">
        <v>0</v>
      </c>
      <c r="F191" s="2615">
        <v>1</v>
      </c>
      <c r="G191" s="2615">
        <v>0</v>
      </c>
      <c r="H191" s="2615">
        <v>0</v>
      </c>
      <c r="I191" s="2615">
        <v>0</v>
      </c>
      <c r="J191" s="2615">
        <v>0</v>
      </c>
      <c r="K191" s="2615">
        <v>0</v>
      </c>
      <c r="L191" s="2615">
        <v>0</v>
      </c>
      <c r="M191" s="2615">
        <v>0</v>
      </c>
      <c r="N191" s="2615">
        <v>0</v>
      </c>
      <c r="O191" s="2615">
        <v>0</v>
      </c>
      <c r="P191" s="2615">
        <v>0</v>
      </c>
    </row>
    <row r="192" spans="2:16" x14ac:dyDescent="0.3">
      <c r="B192" s="527" t="s">
        <v>119</v>
      </c>
      <c r="C192" s="2614">
        <v>37715.694130381948</v>
      </c>
      <c r="D192" s="2615">
        <v>0</v>
      </c>
      <c r="E192" s="2615">
        <v>0</v>
      </c>
      <c r="F192" s="2615">
        <v>0</v>
      </c>
      <c r="G192" s="2615">
        <v>0</v>
      </c>
      <c r="H192" s="2615">
        <v>2.8652856860130548E-2</v>
      </c>
      <c r="I192" s="2615">
        <v>0.15901954361706877</v>
      </c>
      <c r="J192" s="2615">
        <v>0</v>
      </c>
      <c r="K192" s="2615">
        <v>2.8893648514188151E-2</v>
      </c>
      <c r="L192" s="2615">
        <v>0</v>
      </c>
      <c r="M192" s="2615">
        <v>0.28429892628311115</v>
      </c>
      <c r="N192" s="2615">
        <v>0.45050240186085555</v>
      </c>
      <c r="O192" s="2615">
        <v>2.6798569234162871E-2</v>
      </c>
      <c r="P192" s="2615">
        <v>0</v>
      </c>
    </row>
    <row r="193" spans="2:16" x14ac:dyDescent="0.3">
      <c r="B193" s="656" t="s">
        <v>427</v>
      </c>
      <c r="C193" s="2618">
        <v>654254.88620042836</v>
      </c>
      <c r="D193" s="2619">
        <v>0.45004796179235185</v>
      </c>
      <c r="E193" s="2619">
        <v>2.0690201988496599E-2</v>
      </c>
      <c r="F193" s="2619">
        <v>0.38051456841116277</v>
      </c>
      <c r="G193" s="2619">
        <v>1.5874130402466286E-2</v>
      </c>
      <c r="H193" s="2619">
        <v>3.3467711342149702E-2</v>
      </c>
      <c r="I193" s="2619">
        <v>7.0611169816972727E-2</v>
      </c>
      <c r="J193" s="2619">
        <v>4.2690384614672582E-2</v>
      </c>
      <c r="K193" s="2619">
        <v>9.4788775321412791E-3</v>
      </c>
      <c r="L193" s="2619">
        <v>1.3318838499552479E-2</v>
      </c>
      <c r="M193" s="2619">
        <v>9.7619494440839089E-2</v>
      </c>
      <c r="N193" s="2619">
        <v>0.2262206625112046</v>
      </c>
      <c r="O193" s="2619">
        <v>1.7670342467470453E-2</v>
      </c>
      <c r="P193" s="2619">
        <v>5.7520861460209551E-2</v>
      </c>
    </row>
  </sheetData>
  <mergeCells count="42">
    <mergeCell ref="O2:O3"/>
    <mergeCell ref="P2:P3"/>
    <mergeCell ref="Q2:Q3"/>
    <mergeCell ref="R2:R3"/>
    <mergeCell ref="B2:B3"/>
    <mergeCell ref="C2:C3"/>
    <mergeCell ref="D2:D3"/>
    <mergeCell ref="E2:E3"/>
    <mergeCell ref="F2:J2"/>
    <mergeCell ref="L2:L3"/>
    <mergeCell ref="Y2:Y3"/>
    <mergeCell ref="Z2:Z3"/>
    <mergeCell ref="AA2:AA3"/>
    <mergeCell ref="AB2:AB3"/>
    <mergeCell ref="B35:B36"/>
    <mergeCell ref="C35:C36"/>
    <mergeCell ref="D35:D36"/>
    <mergeCell ref="E35:AB35"/>
    <mergeCell ref="S2:S3"/>
    <mergeCell ref="T2:T3"/>
    <mergeCell ref="U2:U3"/>
    <mergeCell ref="V2:V3"/>
    <mergeCell ref="W2:W3"/>
    <mergeCell ref="X2:X3"/>
    <mergeCell ref="M2:M3"/>
    <mergeCell ref="N2:N3"/>
    <mergeCell ref="B74:B75"/>
    <mergeCell ref="C74:C75"/>
    <mergeCell ref="D74:D75"/>
    <mergeCell ref="E74:P74"/>
    <mergeCell ref="B102:B103"/>
    <mergeCell ref="C102:C103"/>
    <mergeCell ref="D102:D103"/>
    <mergeCell ref="E102:P102"/>
    <mergeCell ref="B142:B143"/>
    <mergeCell ref="C142:C143"/>
    <mergeCell ref="D142:D143"/>
    <mergeCell ref="E142:P142"/>
    <mergeCell ref="B169:B170"/>
    <mergeCell ref="C169:C170"/>
    <mergeCell ref="D169:D170"/>
    <mergeCell ref="E169:P169"/>
  </mergeCells>
  <pageMargins left="0.7" right="0.7" top="0.75" bottom="0.75" header="0.3" footer="0.3"/>
  <pageSetup paperSize="9" orientation="portrait" horizontalDpi="4294967292"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46">
    <tabColor theme="7" tint="0.39997558519241921"/>
  </sheetPr>
  <dimension ref="B1:AN188"/>
  <sheetViews>
    <sheetView workbookViewId="0"/>
  </sheetViews>
  <sheetFormatPr baseColWidth="10" defaultColWidth="11.44140625" defaultRowHeight="13.8" x14ac:dyDescent="0.3"/>
  <cols>
    <col min="1" max="1" width="3.109375" style="27" customWidth="1"/>
    <col min="2" max="2" width="22.88671875" style="27" customWidth="1"/>
    <col min="3" max="5" width="15.88671875" style="740" customWidth="1"/>
    <col min="6" max="10" width="15.88671875" style="27" customWidth="1"/>
    <col min="11" max="11" width="14.44140625" style="741" customWidth="1"/>
    <col min="12" max="12" width="15.88671875" style="741" customWidth="1"/>
    <col min="13" max="17" width="15.88671875" style="27" customWidth="1"/>
    <col min="18" max="18" width="15.88671875" style="741" customWidth="1"/>
    <col min="19" max="19" width="15.88671875" style="742" customWidth="1"/>
    <col min="20" max="20" width="15.88671875" style="741" customWidth="1"/>
    <col min="21" max="21" width="15.88671875" style="742" customWidth="1"/>
    <col min="22" max="22" width="15.88671875" style="741" customWidth="1"/>
    <col min="23" max="23" width="15.88671875" style="742" customWidth="1"/>
    <col min="24" max="25" width="15.88671875" style="741" customWidth="1"/>
    <col min="26" max="33" width="15.88671875" style="742" customWidth="1"/>
    <col min="34" max="16384" width="11.44140625" style="27"/>
  </cols>
  <sheetData>
    <row r="1" spans="2:33" ht="14.4" thickBot="1" x14ac:dyDescent="0.35">
      <c r="Q1" s="740"/>
    </row>
    <row r="2" spans="2:33" s="744" customFormat="1" ht="19.350000000000001" customHeight="1" x14ac:dyDescent="0.3">
      <c r="B2" s="3864" t="s">
        <v>336</v>
      </c>
      <c r="C2" s="3879" t="s">
        <v>458</v>
      </c>
      <c r="D2" s="3879" t="s">
        <v>459</v>
      </c>
      <c r="E2" s="3879" t="s">
        <v>460</v>
      </c>
      <c r="F2" s="3881" t="s">
        <v>461</v>
      </c>
      <c r="G2" s="3882"/>
      <c r="H2" s="3883"/>
      <c r="I2" s="743"/>
      <c r="J2" s="3864" t="s">
        <v>336</v>
      </c>
      <c r="K2" s="3884" t="s">
        <v>462</v>
      </c>
      <c r="L2" s="3884" t="s">
        <v>463</v>
      </c>
      <c r="M2" s="3866" t="s">
        <v>464</v>
      </c>
      <c r="N2" s="3886" t="s">
        <v>465</v>
      </c>
      <c r="O2" s="3886" t="s">
        <v>466</v>
      </c>
      <c r="P2" s="3866" t="s">
        <v>467</v>
      </c>
      <c r="Q2" s="3873" t="s">
        <v>468</v>
      </c>
      <c r="R2" s="3875" t="s">
        <v>469</v>
      </c>
    </row>
    <row r="3" spans="2:33" s="744" customFormat="1" ht="58.35" customHeight="1" thickBot="1" x14ac:dyDescent="0.35">
      <c r="B3" s="3865"/>
      <c r="C3" s="3880"/>
      <c r="D3" s="3880"/>
      <c r="E3" s="3880"/>
      <c r="F3" s="745" t="s">
        <v>15</v>
      </c>
      <c r="G3" s="745" t="s">
        <v>116</v>
      </c>
      <c r="H3" s="746" t="s">
        <v>125</v>
      </c>
      <c r="I3" s="743"/>
      <c r="J3" s="3865"/>
      <c r="K3" s="3885"/>
      <c r="L3" s="3885"/>
      <c r="M3" s="3867"/>
      <c r="N3" s="3887"/>
      <c r="O3" s="3887"/>
      <c r="P3" s="3867"/>
      <c r="Q3" s="3874"/>
      <c r="R3" s="3876"/>
    </row>
    <row r="4" spans="2:33" x14ac:dyDescent="0.3">
      <c r="B4" s="747" t="s">
        <v>6</v>
      </c>
      <c r="C4" s="748" t="e">
        <f>SUM(C5:C6)</f>
        <v>#REF!</v>
      </c>
      <c r="D4" s="748" t="e">
        <f>SUM(D5:D6)</f>
        <v>#REF!</v>
      </c>
      <c r="E4" s="748" t="e">
        <f>SUM(E5:E6)</f>
        <v>#REF!</v>
      </c>
      <c r="F4" s="748"/>
      <c r="G4" s="748" t="e">
        <f>SUM(G5:G6)</f>
        <v>#REF!</v>
      </c>
      <c r="H4" s="749" t="e">
        <f>SUM(H5:H6)</f>
        <v>#REF!</v>
      </c>
      <c r="I4" s="750"/>
      <c r="J4" s="751" t="s">
        <v>5</v>
      </c>
      <c r="K4" s="752" t="e">
        <f>#REF!</f>
        <v>#REF!</v>
      </c>
      <c r="L4" s="752" t="e">
        <f>#REF!</f>
        <v>#REF!</v>
      </c>
      <c r="M4" s="753" t="e">
        <f>$C$4*K4</f>
        <v>#REF!</v>
      </c>
      <c r="N4" s="753" t="e">
        <f>$D$4*L4</f>
        <v>#REF!</v>
      </c>
      <c r="O4" s="753" t="e">
        <f>M4+N4</f>
        <v>#REF!</v>
      </c>
      <c r="P4" s="753" t="e">
        <f>F8</f>
        <v>#REF!</v>
      </c>
      <c r="Q4" s="753" t="e">
        <f>O4+P4</f>
        <v>#REF!</v>
      </c>
      <c r="R4" s="754" t="e">
        <f>P4/Q4</f>
        <v>#REF!</v>
      </c>
      <c r="S4" s="27"/>
      <c r="T4" s="27"/>
      <c r="U4" s="27"/>
      <c r="V4" s="27"/>
      <c r="W4" s="27"/>
      <c r="X4" s="27"/>
      <c r="Y4" s="27"/>
      <c r="Z4" s="27"/>
      <c r="AA4" s="27"/>
      <c r="AB4" s="27"/>
      <c r="AC4" s="27"/>
      <c r="AD4" s="27"/>
      <c r="AE4" s="27"/>
      <c r="AF4" s="27"/>
      <c r="AG4" s="27"/>
    </row>
    <row r="5" spans="2:33" x14ac:dyDescent="0.3">
      <c r="B5" s="756" t="s">
        <v>484</v>
      </c>
      <c r="C5" s="757" t="e">
        <f>#REF!+#REF!</f>
        <v>#REF!</v>
      </c>
      <c r="D5" s="757" t="e">
        <f>#REF!</f>
        <v>#REF!</v>
      </c>
      <c r="E5" s="757" t="e">
        <f>C5+D5</f>
        <v>#REF!</v>
      </c>
      <c r="F5" s="536"/>
      <c r="G5" s="757" t="e">
        <f>E5</f>
        <v>#REF!</v>
      </c>
      <c r="H5" s="758" t="e">
        <f>SUM(F5:G5)</f>
        <v>#REF!</v>
      </c>
      <c r="I5" s="759"/>
      <c r="J5" s="756" t="s">
        <v>8</v>
      </c>
      <c r="K5" s="752" t="e">
        <f>#REF!</f>
        <v>#REF!</v>
      </c>
      <c r="L5" s="752" t="e">
        <f>#REF!</f>
        <v>#REF!</v>
      </c>
      <c r="M5" s="753" t="e">
        <f t="shared" ref="M5:M25" si="0">$C$4*K5</f>
        <v>#REF!</v>
      </c>
      <c r="N5" s="753" t="e">
        <f t="shared" ref="N5:N25" si="1">$D$4*L5</f>
        <v>#REF!</v>
      </c>
      <c r="O5" s="753" t="e">
        <f t="shared" ref="O5:O25" si="2">M5+N5</f>
        <v>#REF!</v>
      </c>
      <c r="P5" s="753" t="e">
        <f t="shared" ref="P5:P25" si="3">F9</f>
        <v>#REF!</v>
      </c>
      <c r="Q5" s="753" t="e">
        <f t="shared" ref="Q5:Q25" si="4">O5+P5</f>
        <v>#REF!</v>
      </c>
      <c r="R5" s="754" t="e">
        <f t="shared" ref="R5:R25" si="5">P5/Q5</f>
        <v>#REF!</v>
      </c>
      <c r="S5" s="27"/>
      <c r="T5" s="27"/>
      <c r="U5" s="27"/>
      <c r="V5" s="27"/>
      <c r="W5" s="27"/>
      <c r="X5" s="27"/>
      <c r="Y5" s="27"/>
      <c r="Z5" s="27"/>
      <c r="AA5" s="27"/>
      <c r="AB5" s="27"/>
      <c r="AC5" s="27"/>
      <c r="AD5" s="27"/>
      <c r="AE5" s="27"/>
      <c r="AF5" s="27"/>
      <c r="AG5" s="27"/>
    </row>
    <row r="6" spans="2:33" ht="28.2" thickBot="1" x14ac:dyDescent="0.35">
      <c r="B6" s="760" t="s">
        <v>485</v>
      </c>
      <c r="C6" s="761" t="e">
        <f>#REF!</f>
        <v>#REF!</v>
      </c>
      <c r="D6" s="761"/>
      <c r="E6" s="761" t="e">
        <f>C6</f>
        <v>#REF!</v>
      </c>
      <c r="F6" s="762"/>
      <c r="G6" s="761" t="e">
        <f>E6</f>
        <v>#REF!</v>
      </c>
      <c r="H6" s="763" t="e">
        <f>SUM(F6:G6)</f>
        <v>#REF!</v>
      </c>
      <c r="I6" s="759"/>
      <c r="J6" s="756" t="s">
        <v>304</v>
      </c>
      <c r="K6" s="752" t="e">
        <f>#REF!</f>
        <v>#REF!</v>
      </c>
      <c r="L6" s="752" t="e">
        <f>#REF!</f>
        <v>#REF!</v>
      </c>
      <c r="M6" s="753" t="e">
        <f t="shared" si="0"/>
        <v>#REF!</v>
      </c>
      <c r="N6" s="753" t="e">
        <f t="shared" si="1"/>
        <v>#REF!</v>
      </c>
      <c r="O6" s="753" t="e">
        <f t="shared" si="2"/>
        <v>#REF!</v>
      </c>
      <c r="P6" s="753" t="e">
        <f t="shared" si="3"/>
        <v>#REF!</v>
      </c>
      <c r="Q6" s="753" t="e">
        <f t="shared" si="4"/>
        <v>#REF!</v>
      </c>
      <c r="R6" s="754" t="e">
        <f t="shared" si="5"/>
        <v>#REF!</v>
      </c>
      <c r="S6" s="27"/>
      <c r="T6" s="27"/>
      <c r="U6" s="27"/>
      <c r="V6" s="27"/>
      <c r="W6" s="27"/>
      <c r="X6" s="27"/>
      <c r="Y6" s="27"/>
      <c r="Z6" s="27"/>
      <c r="AA6" s="27"/>
      <c r="AB6" s="27"/>
      <c r="AC6" s="27"/>
      <c r="AD6" s="27"/>
      <c r="AE6" s="27"/>
      <c r="AF6" s="27"/>
      <c r="AG6" s="27"/>
    </row>
    <row r="7" spans="2:33" x14ac:dyDescent="0.3">
      <c r="B7" s="764" t="s">
        <v>9</v>
      </c>
      <c r="C7" s="765" t="e">
        <f>SUM(C8:C29)</f>
        <v>#REF!</v>
      </c>
      <c r="D7" s="765" t="e">
        <f>SUM(D8:D29)</f>
        <v>#REF!</v>
      </c>
      <c r="E7" s="765" t="e">
        <f>SUM(E8:E29)</f>
        <v>#REF!</v>
      </c>
      <c r="F7" s="765" t="e">
        <f>SUM(F8:F29)</f>
        <v>#REF!</v>
      </c>
      <c r="G7" s="765"/>
      <c r="H7" s="766" t="e">
        <f>SUM(H8:H29)</f>
        <v>#REF!</v>
      </c>
      <c r="I7" s="767"/>
      <c r="J7" s="756" t="s">
        <v>14</v>
      </c>
      <c r="K7" s="752" t="e">
        <f>#REF!</f>
        <v>#REF!</v>
      </c>
      <c r="L7" s="752" t="e">
        <f>#REF!</f>
        <v>#REF!</v>
      </c>
      <c r="M7" s="753" t="e">
        <f t="shared" si="0"/>
        <v>#REF!</v>
      </c>
      <c r="N7" s="753" t="e">
        <f t="shared" si="1"/>
        <v>#REF!</v>
      </c>
      <c r="O7" s="753" t="e">
        <f t="shared" si="2"/>
        <v>#REF!</v>
      </c>
      <c r="P7" s="753" t="e">
        <f t="shared" si="3"/>
        <v>#REF!</v>
      </c>
      <c r="Q7" s="753" t="e">
        <f t="shared" si="4"/>
        <v>#REF!</v>
      </c>
      <c r="R7" s="754" t="e">
        <f t="shared" si="5"/>
        <v>#REF!</v>
      </c>
      <c r="S7" s="27"/>
      <c r="T7" s="27"/>
      <c r="U7" s="27"/>
      <c r="V7" s="27"/>
      <c r="W7" s="27"/>
      <c r="X7" s="27"/>
      <c r="Y7" s="27"/>
      <c r="Z7" s="27"/>
      <c r="AA7" s="27"/>
      <c r="AB7" s="27"/>
      <c r="AC7" s="27"/>
      <c r="AD7" s="27"/>
      <c r="AE7" s="27"/>
      <c r="AF7" s="27"/>
      <c r="AG7" s="27"/>
    </row>
    <row r="8" spans="2:33" ht="27.6" x14ac:dyDescent="0.3">
      <c r="B8" s="751" t="s">
        <v>5</v>
      </c>
      <c r="C8" s="753" t="e">
        <f>#REF!+#REF!</f>
        <v>#REF!</v>
      </c>
      <c r="D8" s="753" t="e">
        <f>#REF!</f>
        <v>#REF!</v>
      </c>
      <c r="E8" s="753" t="e">
        <f>C8+D8</f>
        <v>#REF!</v>
      </c>
      <c r="F8" s="753" t="e">
        <f t="shared" ref="F8:F28" si="6">E8</f>
        <v>#REF!</v>
      </c>
      <c r="G8" s="770" t="e">
        <f>($C$4*K4)+($D$4*L4)</f>
        <v>#REF!</v>
      </c>
      <c r="H8" s="771" t="e">
        <f>F8</f>
        <v>#REF!</v>
      </c>
      <c r="I8" s="772"/>
      <c r="J8" s="756" t="s">
        <v>17</v>
      </c>
      <c r="K8" s="752" t="e">
        <f>#REF!</f>
        <v>#REF!</v>
      </c>
      <c r="L8" s="752" t="e">
        <f>#REF!</f>
        <v>#REF!</v>
      </c>
      <c r="M8" s="753" t="e">
        <f t="shared" si="0"/>
        <v>#REF!</v>
      </c>
      <c r="N8" s="753" t="e">
        <f t="shared" si="1"/>
        <v>#REF!</v>
      </c>
      <c r="O8" s="753" t="e">
        <f t="shared" si="2"/>
        <v>#REF!</v>
      </c>
      <c r="P8" s="753" t="e">
        <f t="shared" si="3"/>
        <v>#REF!</v>
      </c>
      <c r="Q8" s="753" t="e">
        <f t="shared" si="4"/>
        <v>#REF!</v>
      </c>
      <c r="R8" s="754" t="e">
        <f t="shared" si="5"/>
        <v>#REF!</v>
      </c>
      <c r="S8" s="27"/>
      <c r="T8" s="27"/>
      <c r="U8" s="27"/>
      <c r="V8" s="27"/>
      <c r="W8" s="27"/>
      <c r="X8" s="27"/>
      <c r="Y8" s="27"/>
      <c r="Z8" s="27"/>
      <c r="AA8" s="27"/>
      <c r="AB8" s="27"/>
      <c r="AC8" s="27"/>
      <c r="AD8" s="27"/>
      <c r="AE8" s="27"/>
      <c r="AF8" s="27"/>
      <c r="AG8" s="27"/>
    </row>
    <row r="9" spans="2:33" ht="27.6" x14ac:dyDescent="0.3">
      <c r="B9" s="756" t="s">
        <v>8</v>
      </c>
      <c r="C9" s="753" t="e">
        <f>#REF!+#REF!</f>
        <v>#REF!</v>
      </c>
      <c r="D9" s="753" t="e">
        <f>#REF!</f>
        <v>#REF!</v>
      </c>
      <c r="E9" s="753" t="e">
        <f t="shared" ref="E9:E28" si="7">C9+D9</f>
        <v>#REF!</v>
      </c>
      <c r="F9" s="753" t="e">
        <f t="shared" si="6"/>
        <v>#REF!</v>
      </c>
      <c r="G9" s="770" t="e">
        <f t="shared" ref="G9:G29" si="8">($C$4*K5)+($D$4*L5)</f>
        <v>#REF!</v>
      </c>
      <c r="H9" s="771" t="e">
        <f t="shared" ref="H9:H29" si="9">F9</f>
        <v>#REF!</v>
      </c>
      <c r="I9" s="772"/>
      <c r="J9" s="756" t="s">
        <v>16</v>
      </c>
      <c r="K9" s="752" t="e">
        <f>#REF!</f>
        <v>#REF!</v>
      </c>
      <c r="L9" s="752" t="e">
        <f>#REF!</f>
        <v>#REF!</v>
      </c>
      <c r="M9" s="753" t="e">
        <f t="shared" si="0"/>
        <v>#REF!</v>
      </c>
      <c r="N9" s="753" t="e">
        <f t="shared" si="1"/>
        <v>#REF!</v>
      </c>
      <c r="O9" s="753" t="e">
        <f t="shared" si="2"/>
        <v>#REF!</v>
      </c>
      <c r="P9" s="753" t="e">
        <f t="shared" si="3"/>
        <v>#REF!</v>
      </c>
      <c r="Q9" s="753" t="e">
        <f t="shared" si="4"/>
        <v>#REF!</v>
      </c>
      <c r="R9" s="754" t="e">
        <f t="shared" si="5"/>
        <v>#REF!</v>
      </c>
      <c r="S9" s="27"/>
      <c r="T9" s="27"/>
      <c r="U9" s="27"/>
      <c r="V9" s="27"/>
      <c r="W9" s="27"/>
      <c r="X9" s="27"/>
      <c r="Y9" s="27"/>
      <c r="Z9" s="27"/>
      <c r="AA9" s="27"/>
      <c r="AB9" s="27"/>
      <c r="AC9" s="27"/>
      <c r="AD9" s="27"/>
      <c r="AE9" s="27"/>
      <c r="AF9" s="27"/>
      <c r="AG9" s="27"/>
    </row>
    <row r="10" spans="2:33" ht="27.6" x14ac:dyDescent="0.3">
      <c r="B10" s="756" t="s">
        <v>304</v>
      </c>
      <c r="C10" s="753" t="e">
        <f>#REF!+#REF!</f>
        <v>#REF!</v>
      </c>
      <c r="D10" s="753" t="e">
        <f>#REF!</f>
        <v>#REF!</v>
      </c>
      <c r="E10" s="753" t="e">
        <f t="shared" si="7"/>
        <v>#REF!</v>
      </c>
      <c r="F10" s="753" t="e">
        <f t="shared" si="6"/>
        <v>#REF!</v>
      </c>
      <c r="G10" s="770" t="e">
        <f t="shared" si="8"/>
        <v>#REF!</v>
      </c>
      <c r="H10" s="771" t="e">
        <f t="shared" si="9"/>
        <v>#REF!</v>
      </c>
      <c r="I10" s="772"/>
      <c r="J10" s="756" t="s">
        <v>308</v>
      </c>
      <c r="K10" s="752" t="e">
        <f>#REF!</f>
        <v>#REF!</v>
      </c>
      <c r="L10" s="752" t="e">
        <f>#REF!</f>
        <v>#REF!</v>
      </c>
      <c r="M10" s="753" t="e">
        <f t="shared" si="0"/>
        <v>#REF!</v>
      </c>
      <c r="N10" s="753" t="e">
        <f t="shared" si="1"/>
        <v>#REF!</v>
      </c>
      <c r="O10" s="753" t="e">
        <f t="shared" si="2"/>
        <v>#REF!</v>
      </c>
      <c r="P10" s="753" t="e">
        <f t="shared" si="3"/>
        <v>#REF!</v>
      </c>
      <c r="Q10" s="753" t="e">
        <f t="shared" si="4"/>
        <v>#REF!</v>
      </c>
      <c r="R10" s="754" t="e">
        <f t="shared" si="5"/>
        <v>#REF!</v>
      </c>
      <c r="S10" s="27"/>
      <c r="T10" s="27"/>
      <c r="U10" s="27"/>
      <c r="V10" s="27"/>
      <c r="W10" s="27"/>
      <c r="X10" s="27"/>
      <c r="Y10" s="27"/>
      <c r="Z10" s="27"/>
      <c r="AA10" s="27"/>
      <c r="AB10" s="27"/>
      <c r="AC10" s="27"/>
      <c r="AD10" s="27"/>
      <c r="AE10" s="27"/>
      <c r="AF10" s="27"/>
      <c r="AG10" s="27"/>
    </row>
    <row r="11" spans="2:33" x14ac:dyDescent="0.3">
      <c r="B11" s="756" t="s">
        <v>14</v>
      </c>
      <c r="C11" s="753" t="e">
        <f>#REF!+#REF!</f>
        <v>#REF!</v>
      </c>
      <c r="D11" s="753" t="e">
        <f>#REF!</f>
        <v>#REF!</v>
      </c>
      <c r="E11" s="753" t="e">
        <f t="shared" si="7"/>
        <v>#REF!</v>
      </c>
      <c r="F11" s="753" t="e">
        <f t="shared" si="6"/>
        <v>#REF!</v>
      </c>
      <c r="G11" s="770" t="e">
        <f t="shared" si="8"/>
        <v>#REF!</v>
      </c>
      <c r="H11" s="771" t="e">
        <f>F11</f>
        <v>#REF!</v>
      </c>
      <c r="I11" s="772"/>
      <c r="J11" s="756" t="s">
        <v>44</v>
      </c>
      <c r="K11" s="752" t="e">
        <f>#REF!</f>
        <v>#REF!</v>
      </c>
      <c r="L11" s="752" t="e">
        <f>#REF!</f>
        <v>#REF!</v>
      </c>
      <c r="M11" s="753" t="e">
        <f t="shared" si="0"/>
        <v>#REF!</v>
      </c>
      <c r="N11" s="753" t="e">
        <f t="shared" si="1"/>
        <v>#REF!</v>
      </c>
      <c r="O11" s="753" t="e">
        <f t="shared" si="2"/>
        <v>#REF!</v>
      </c>
      <c r="P11" s="753" t="e">
        <f t="shared" si="3"/>
        <v>#REF!</v>
      </c>
      <c r="Q11" s="753" t="e">
        <f t="shared" si="4"/>
        <v>#REF!</v>
      </c>
      <c r="R11" s="754" t="e">
        <f t="shared" si="5"/>
        <v>#REF!</v>
      </c>
      <c r="S11" s="27"/>
      <c r="T11" s="27"/>
      <c r="U11" s="27"/>
      <c r="V11" s="27"/>
      <c r="W11" s="27"/>
      <c r="X11" s="27"/>
      <c r="Y11" s="27"/>
      <c r="Z11" s="27"/>
      <c r="AA11" s="27"/>
      <c r="AB11" s="27"/>
      <c r="AC11" s="27"/>
      <c r="AD11" s="27"/>
      <c r="AE11" s="27"/>
      <c r="AF11" s="27"/>
      <c r="AG11" s="27"/>
    </row>
    <row r="12" spans="2:33" ht="27.6" x14ac:dyDescent="0.3">
      <c r="B12" s="756" t="s">
        <v>17</v>
      </c>
      <c r="C12" s="753" t="e">
        <f>#REF!</f>
        <v>#REF!</v>
      </c>
      <c r="D12" s="753" t="e">
        <f>#REF!</f>
        <v>#REF!</v>
      </c>
      <c r="E12" s="753" t="e">
        <f t="shared" si="7"/>
        <v>#REF!</v>
      </c>
      <c r="F12" s="753" t="e">
        <f t="shared" si="6"/>
        <v>#REF!</v>
      </c>
      <c r="G12" s="770" t="e">
        <f t="shared" si="8"/>
        <v>#REF!</v>
      </c>
      <c r="H12" s="771" t="e">
        <f t="shared" si="9"/>
        <v>#REF!</v>
      </c>
      <c r="I12" s="772"/>
      <c r="J12" s="756" t="s">
        <v>326</v>
      </c>
      <c r="K12" s="752" t="e">
        <f>#REF!</f>
        <v>#REF!</v>
      </c>
      <c r="L12" s="752" t="e">
        <f>#REF!</f>
        <v>#REF!</v>
      </c>
      <c r="M12" s="753" t="e">
        <f t="shared" si="0"/>
        <v>#REF!</v>
      </c>
      <c r="N12" s="753" t="e">
        <f t="shared" si="1"/>
        <v>#REF!</v>
      </c>
      <c r="O12" s="753" t="e">
        <f t="shared" si="2"/>
        <v>#REF!</v>
      </c>
      <c r="P12" s="753" t="e">
        <f t="shared" si="3"/>
        <v>#REF!</v>
      </c>
      <c r="Q12" s="753" t="e">
        <f t="shared" si="4"/>
        <v>#REF!</v>
      </c>
      <c r="R12" s="754" t="e">
        <f t="shared" si="5"/>
        <v>#REF!</v>
      </c>
      <c r="S12" s="27"/>
      <c r="T12" s="27"/>
      <c r="U12" s="27"/>
      <c r="V12" s="27"/>
      <c r="W12" s="27"/>
      <c r="X12" s="27"/>
      <c r="Y12" s="27"/>
      <c r="Z12" s="27"/>
      <c r="AA12" s="27"/>
      <c r="AB12" s="27"/>
      <c r="AC12" s="27"/>
      <c r="AD12" s="27"/>
      <c r="AE12" s="27"/>
      <c r="AF12" s="27"/>
      <c r="AG12" s="27"/>
    </row>
    <row r="13" spans="2:33" x14ac:dyDescent="0.3">
      <c r="B13" s="756" t="s">
        <v>16</v>
      </c>
      <c r="C13" s="753" t="e">
        <f>#REF!+#REF!</f>
        <v>#REF!</v>
      </c>
      <c r="D13" s="753" t="e">
        <f>#REF!</f>
        <v>#REF!</v>
      </c>
      <c r="E13" s="753" t="e">
        <f t="shared" si="7"/>
        <v>#REF!</v>
      </c>
      <c r="F13" s="753" t="e">
        <f t="shared" si="6"/>
        <v>#REF!</v>
      </c>
      <c r="G13" s="770" t="e">
        <f t="shared" si="8"/>
        <v>#REF!</v>
      </c>
      <c r="H13" s="771" t="e">
        <f t="shared" si="9"/>
        <v>#REF!</v>
      </c>
      <c r="I13" s="772"/>
      <c r="J13" s="756" t="s">
        <v>25</v>
      </c>
      <c r="K13" s="752" t="e">
        <f>#REF!</f>
        <v>#REF!</v>
      </c>
      <c r="L13" s="752" t="e">
        <f>#REF!</f>
        <v>#REF!</v>
      </c>
      <c r="M13" s="753" t="e">
        <f t="shared" si="0"/>
        <v>#REF!</v>
      </c>
      <c r="N13" s="753" t="e">
        <f t="shared" si="1"/>
        <v>#REF!</v>
      </c>
      <c r="O13" s="753" t="e">
        <f t="shared" si="2"/>
        <v>#REF!</v>
      </c>
      <c r="P13" s="753" t="e">
        <f t="shared" si="3"/>
        <v>#REF!</v>
      </c>
      <c r="Q13" s="753" t="e">
        <f t="shared" si="4"/>
        <v>#REF!</v>
      </c>
      <c r="R13" s="754" t="e">
        <f t="shared" si="5"/>
        <v>#REF!</v>
      </c>
      <c r="S13" s="27"/>
      <c r="T13" s="27"/>
      <c r="U13" s="27"/>
      <c r="V13" s="27"/>
      <c r="W13" s="27"/>
      <c r="X13" s="27"/>
      <c r="Y13" s="27"/>
      <c r="Z13" s="27"/>
      <c r="AA13" s="27"/>
      <c r="AB13" s="27"/>
      <c r="AC13" s="27"/>
      <c r="AD13" s="27"/>
      <c r="AE13" s="27"/>
      <c r="AF13" s="27"/>
      <c r="AG13" s="27"/>
    </row>
    <row r="14" spans="2:33" x14ac:dyDescent="0.3">
      <c r="B14" s="756" t="s">
        <v>308</v>
      </c>
      <c r="C14" s="753" t="e">
        <f>#REF!+#REF!</f>
        <v>#REF!</v>
      </c>
      <c r="D14" s="753" t="e">
        <f>#REF!+#REF!</f>
        <v>#REF!</v>
      </c>
      <c r="E14" s="753" t="e">
        <f t="shared" si="7"/>
        <v>#REF!</v>
      </c>
      <c r="F14" s="753" t="e">
        <f t="shared" si="6"/>
        <v>#REF!</v>
      </c>
      <c r="G14" s="770" t="e">
        <f t="shared" si="8"/>
        <v>#REF!</v>
      </c>
      <c r="H14" s="771" t="e">
        <f t="shared" si="9"/>
        <v>#REF!</v>
      </c>
      <c r="I14" s="772"/>
      <c r="J14" s="756" t="s">
        <v>29</v>
      </c>
      <c r="K14" s="752" t="e">
        <f>#REF!</f>
        <v>#REF!</v>
      </c>
      <c r="L14" s="752" t="e">
        <f>#REF!</f>
        <v>#REF!</v>
      </c>
      <c r="M14" s="753" t="e">
        <f t="shared" si="0"/>
        <v>#REF!</v>
      </c>
      <c r="N14" s="753" t="e">
        <f t="shared" si="1"/>
        <v>#REF!</v>
      </c>
      <c r="O14" s="753" t="e">
        <f t="shared" si="2"/>
        <v>#REF!</v>
      </c>
      <c r="P14" s="753" t="e">
        <f t="shared" si="3"/>
        <v>#REF!</v>
      </c>
      <c r="Q14" s="753" t="e">
        <f t="shared" si="4"/>
        <v>#REF!</v>
      </c>
      <c r="R14" s="754" t="e">
        <f t="shared" si="5"/>
        <v>#REF!</v>
      </c>
      <c r="S14" s="27"/>
      <c r="T14" s="27"/>
      <c r="U14" s="27"/>
      <c r="V14" s="27"/>
      <c r="W14" s="27"/>
      <c r="X14" s="27"/>
      <c r="Y14" s="27"/>
      <c r="Z14" s="27"/>
      <c r="AA14" s="27"/>
      <c r="AB14" s="27"/>
      <c r="AC14" s="27"/>
      <c r="AD14" s="27"/>
      <c r="AE14" s="27"/>
      <c r="AF14" s="27"/>
      <c r="AG14" s="27"/>
    </row>
    <row r="15" spans="2:33" x14ac:dyDescent="0.3">
      <c r="B15" s="756" t="s">
        <v>44</v>
      </c>
      <c r="C15" s="753" t="e">
        <f>#REF!</f>
        <v>#REF!</v>
      </c>
      <c r="D15" s="753" t="e">
        <f>#REF!</f>
        <v>#REF!</v>
      </c>
      <c r="E15" s="753" t="e">
        <f t="shared" si="7"/>
        <v>#REF!</v>
      </c>
      <c r="F15" s="753" t="e">
        <f t="shared" si="6"/>
        <v>#REF!</v>
      </c>
      <c r="G15" s="770" t="e">
        <f t="shared" si="8"/>
        <v>#REF!</v>
      </c>
      <c r="H15" s="771" t="e">
        <f t="shared" si="9"/>
        <v>#REF!</v>
      </c>
      <c r="I15" s="772"/>
      <c r="J15" s="756" t="s">
        <v>60</v>
      </c>
      <c r="K15" s="752" t="e">
        <f>#REF!</f>
        <v>#REF!</v>
      </c>
      <c r="L15" s="752" t="e">
        <f>#REF!</f>
        <v>#REF!</v>
      </c>
      <c r="M15" s="753" t="e">
        <f t="shared" si="0"/>
        <v>#REF!</v>
      </c>
      <c r="N15" s="753" t="e">
        <f t="shared" si="1"/>
        <v>#REF!</v>
      </c>
      <c r="O15" s="753" t="e">
        <f t="shared" si="2"/>
        <v>#REF!</v>
      </c>
      <c r="P15" s="753" t="e">
        <f t="shared" si="3"/>
        <v>#REF!</v>
      </c>
      <c r="Q15" s="753" t="e">
        <f t="shared" si="4"/>
        <v>#REF!</v>
      </c>
      <c r="R15" s="754" t="e">
        <f t="shared" si="5"/>
        <v>#REF!</v>
      </c>
      <c r="S15" s="27"/>
      <c r="T15" s="27"/>
      <c r="U15" s="27"/>
      <c r="V15" s="27"/>
      <c r="W15" s="27"/>
      <c r="X15" s="27"/>
      <c r="Y15" s="27"/>
      <c r="Z15" s="27"/>
      <c r="AA15" s="27"/>
      <c r="AB15" s="27"/>
      <c r="AC15" s="27"/>
      <c r="AD15" s="27"/>
      <c r="AE15" s="27"/>
      <c r="AF15" s="27"/>
      <c r="AG15" s="27"/>
    </row>
    <row r="16" spans="2:33" x14ac:dyDescent="0.3">
      <c r="B16" s="756" t="s">
        <v>326</v>
      </c>
      <c r="C16" s="753" t="e">
        <f>#REF!-#REF!-#REF!-#REF!</f>
        <v>#REF!</v>
      </c>
      <c r="D16" s="753" t="e">
        <f>#REF!</f>
        <v>#REF!</v>
      </c>
      <c r="E16" s="753" t="e">
        <f t="shared" si="7"/>
        <v>#REF!</v>
      </c>
      <c r="F16" s="753" t="e">
        <f t="shared" si="6"/>
        <v>#REF!</v>
      </c>
      <c r="G16" s="770" t="e">
        <f t="shared" si="8"/>
        <v>#REF!</v>
      </c>
      <c r="H16" s="771" t="e">
        <f t="shared" si="9"/>
        <v>#REF!</v>
      </c>
      <c r="I16" s="772"/>
      <c r="J16" s="756" t="s">
        <v>33</v>
      </c>
      <c r="K16" s="752" t="e">
        <f>#REF!</f>
        <v>#REF!</v>
      </c>
      <c r="L16" s="752" t="e">
        <f>#REF!</f>
        <v>#REF!</v>
      </c>
      <c r="M16" s="753" t="e">
        <f t="shared" si="0"/>
        <v>#REF!</v>
      </c>
      <c r="N16" s="753" t="e">
        <f t="shared" si="1"/>
        <v>#REF!</v>
      </c>
      <c r="O16" s="753" t="e">
        <f t="shared" si="2"/>
        <v>#REF!</v>
      </c>
      <c r="P16" s="753" t="e">
        <f t="shared" si="3"/>
        <v>#REF!</v>
      </c>
      <c r="Q16" s="753" t="e">
        <f t="shared" si="4"/>
        <v>#REF!</v>
      </c>
      <c r="R16" s="754" t="e">
        <f t="shared" si="5"/>
        <v>#REF!</v>
      </c>
      <c r="S16" s="27"/>
      <c r="T16" s="27"/>
      <c r="U16" s="27"/>
      <c r="V16" s="27"/>
      <c r="W16" s="27"/>
      <c r="X16" s="27"/>
      <c r="Y16" s="27"/>
      <c r="Z16" s="27"/>
      <c r="AA16" s="27"/>
      <c r="AB16" s="27"/>
      <c r="AC16" s="27"/>
      <c r="AD16" s="27"/>
      <c r="AE16" s="27"/>
      <c r="AF16" s="27"/>
      <c r="AG16" s="27"/>
    </row>
    <row r="17" spans="2:40" ht="27.6" x14ac:dyDescent="0.3">
      <c r="B17" s="756" t="s">
        <v>25</v>
      </c>
      <c r="C17" s="753" t="e">
        <f>#REF!</f>
        <v>#REF!</v>
      </c>
      <c r="D17" s="753" t="e">
        <f>#REF!</f>
        <v>#REF!</v>
      </c>
      <c r="E17" s="753" t="e">
        <f t="shared" si="7"/>
        <v>#REF!</v>
      </c>
      <c r="F17" s="753" t="e">
        <f t="shared" si="6"/>
        <v>#REF!</v>
      </c>
      <c r="G17" s="770" t="e">
        <f t="shared" si="8"/>
        <v>#REF!</v>
      </c>
      <c r="H17" s="771" t="e">
        <f t="shared" si="9"/>
        <v>#REF!</v>
      </c>
      <c r="I17" s="772"/>
      <c r="J17" s="756" t="s">
        <v>66</v>
      </c>
      <c r="K17" s="752" t="e">
        <f>#REF!</f>
        <v>#REF!</v>
      </c>
      <c r="L17" s="752" t="e">
        <f>#REF!</f>
        <v>#REF!</v>
      </c>
      <c r="M17" s="753" t="e">
        <f t="shared" si="0"/>
        <v>#REF!</v>
      </c>
      <c r="N17" s="753" t="e">
        <f t="shared" si="1"/>
        <v>#REF!</v>
      </c>
      <c r="O17" s="753" t="e">
        <f t="shared" si="2"/>
        <v>#REF!</v>
      </c>
      <c r="P17" s="753" t="e">
        <f t="shared" si="3"/>
        <v>#REF!</v>
      </c>
      <c r="Q17" s="753" t="e">
        <f t="shared" si="4"/>
        <v>#REF!</v>
      </c>
      <c r="R17" s="754" t="e">
        <f t="shared" si="5"/>
        <v>#REF!</v>
      </c>
      <c r="S17" s="27"/>
      <c r="T17" s="27"/>
      <c r="U17" s="27"/>
      <c r="V17" s="27"/>
      <c r="W17" s="27"/>
      <c r="X17" s="27"/>
      <c r="Y17" s="27"/>
      <c r="Z17" s="27"/>
      <c r="AA17" s="27"/>
      <c r="AB17" s="27"/>
      <c r="AC17" s="27"/>
      <c r="AD17" s="27"/>
      <c r="AE17" s="27"/>
      <c r="AF17" s="27"/>
      <c r="AG17" s="27"/>
    </row>
    <row r="18" spans="2:40" x14ac:dyDescent="0.3">
      <c r="B18" s="756" t="s">
        <v>29</v>
      </c>
      <c r="C18" s="753" t="e">
        <f>#REF!+#REF!</f>
        <v>#REF!</v>
      </c>
      <c r="D18" s="753" t="e">
        <f>#REF!</f>
        <v>#REF!</v>
      </c>
      <c r="E18" s="753" t="e">
        <f t="shared" si="7"/>
        <v>#REF!</v>
      </c>
      <c r="F18" s="753" t="e">
        <f t="shared" si="6"/>
        <v>#REF!</v>
      </c>
      <c r="G18" s="770" t="e">
        <f t="shared" si="8"/>
        <v>#REF!</v>
      </c>
      <c r="H18" s="771" t="e">
        <f t="shared" si="9"/>
        <v>#REF!</v>
      </c>
      <c r="I18" s="772"/>
      <c r="J18" s="756" t="s">
        <v>73</v>
      </c>
      <c r="K18" s="752" t="e">
        <f>#REF!</f>
        <v>#REF!</v>
      </c>
      <c r="L18" s="752" t="e">
        <f>#REF!</f>
        <v>#REF!</v>
      </c>
      <c r="M18" s="753" t="e">
        <f t="shared" si="0"/>
        <v>#REF!</v>
      </c>
      <c r="N18" s="753" t="e">
        <f t="shared" si="1"/>
        <v>#REF!</v>
      </c>
      <c r="O18" s="753" t="e">
        <f t="shared" si="2"/>
        <v>#REF!</v>
      </c>
      <c r="P18" s="753" t="e">
        <f t="shared" si="3"/>
        <v>#REF!</v>
      </c>
      <c r="Q18" s="753" t="e">
        <f t="shared" si="4"/>
        <v>#REF!</v>
      </c>
      <c r="R18" s="754" t="e">
        <f t="shared" si="5"/>
        <v>#REF!</v>
      </c>
      <c r="S18" s="27"/>
      <c r="T18" s="27"/>
      <c r="U18" s="27"/>
      <c r="V18" s="27"/>
      <c r="W18" s="27"/>
      <c r="X18" s="27"/>
      <c r="Y18" s="27"/>
      <c r="Z18" s="27"/>
      <c r="AA18" s="27"/>
      <c r="AB18" s="27"/>
      <c r="AC18" s="27"/>
      <c r="AD18" s="27"/>
      <c r="AE18" s="27"/>
      <c r="AF18" s="27"/>
      <c r="AG18" s="27"/>
    </row>
    <row r="19" spans="2:40" x14ac:dyDescent="0.3">
      <c r="B19" s="756" t="s">
        <v>60</v>
      </c>
      <c r="C19" s="753" t="e">
        <f>#REF!</f>
        <v>#REF!</v>
      </c>
      <c r="D19" s="753" t="e">
        <f>#REF!</f>
        <v>#REF!</v>
      </c>
      <c r="E19" s="753" t="e">
        <f t="shared" si="7"/>
        <v>#REF!</v>
      </c>
      <c r="F19" s="753" t="e">
        <f t="shared" si="6"/>
        <v>#REF!</v>
      </c>
      <c r="G19" s="770" t="e">
        <f t="shared" si="8"/>
        <v>#REF!</v>
      </c>
      <c r="H19" s="771" t="e">
        <f t="shared" si="9"/>
        <v>#REF!</v>
      </c>
      <c r="I19" s="772"/>
      <c r="J19" s="756" t="s">
        <v>74</v>
      </c>
      <c r="K19" s="752" t="e">
        <f>#REF!</f>
        <v>#REF!</v>
      </c>
      <c r="L19" s="752" t="e">
        <f>#REF!</f>
        <v>#REF!</v>
      </c>
      <c r="M19" s="753" t="e">
        <f t="shared" si="0"/>
        <v>#REF!</v>
      </c>
      <c r="N19" s="753" t="e">
        <f t="shared" si="1"/>
        <v>#REF!</v>
      </c>
      <c r="O19" s="753" t="e">
        <f t="shared" si="2"/>
        <v>#REF!</v>
      </c>
      <c r="P19" s="753" t="e">
        <f t="shared" si="3"/>
        <v>#REF!</v>
      </c>
      <c r="Q19" s="753" t="e">
        <f t="shared" si="4"/>
        <v>#REF!</v>
      </c>
      <c r="R19" s="754" t="e">
        <f t="shared" si="5"/>
        <v>#REF!</v>
      </c>
      <c r="S19" s="27"/>
      <c r="T19" s="27"/>
      <c r="U19" s="27"/>
      <c r="V19" s="27"/>
      <c r="W19" s="27"/>
      <c r="X19" s="27"/>
      <c r="Y19" s="27"/>
      <c r="Z19" s="27"/>
      <c r="AA19" s="27"/>
      <c r="AB19" s="27"/>
      <c r="AC19" s="27"/>
      <c r="AD19" s="27"/>
      <c r="AE19" s="27"/>
      <c r="AF19" s="27"/>
      <c r="AG19" s="27"/>
    </row>
    <row r="20" spans="2:40" ht="27.6" x14ac:dyDescent="0.3">
      <c r="B20" s="756" t="s">
        <v>33</v>
      </c>
      <c r="C20" s="753" t="e">
        <f>#REF!</f>
        <v>#REF!</v>
      </c>
      <c r="D20" s="753" t="e">
        <f>#REF!</f>
        <v>#REF!</v>
      </c>
      <c r="E20" s="753" t="e">
        <f t="shared" si="7"/>
        <v>#REF!</v>
      </c>
      <c r="F20" s="753" t="e">
        <f t="shared" si="6"/>
        <v>#REF!</v>
      </c>
      <c r="G20" s="770" t="e">
        <f t="shared" si="8"/>
        <v>#REF!</v>
      </c>
      <c r="H20" s="771" t="e">
        <f t="shared" si="9"/>
        <v>#REF!</v>
      </c>
      <c r="I20" s="772"/>
      <c r="J20" s="756" t="s">
        <v>327</v>
      </c>
      <c r="K20" s="752" t="e">
        <f>#REF!</f>
        <v>#REF!</v>
      </c>
      <c r="L20" s="752" t="e">
        <f>#REF!</f>
        <v>#REF!</v>
      </c>
      <c r="M20" s="753" t="e">
        <f t="shared" si="0"/>
        <v>#REF!</v>
      </c>
      <c r="N20" s="753" t="e">
        <f t="shared" si="1"/>
        <v>#REF!</v>
      </c>
      <c r="O20" s="753" t="e">
        <f t="shared" si="2"/>
        <v>#REF!</v>
      </c>
      <c r="P20" s="753" t="e">
        <f t="shared" si="3"/>
        <v>#REF!</v>
      </c>
      <c r="Q20" s="753" t="e">
        <f t="shared" si="4"/>
        <v>#REF!</v>
      </c>
      <c r="R20" s="754" t="e">
        <f t="shared" si="5"/>
        <v>#REF!</v>
      </c>
      <c r="S20" s="27"/>
      <c r="T20" s="27"/>
      <c r="U20" s="27"/>
      <c r="V20" s="27"/>
      <c r="W20" s="27"/>
      <c r="X20" s="27"/>
      <c r="Y20" s="27"/>
      <c r="Z20" s="27"/>
      <c r="AA20" s="27"/>
      <c r="AB20" s="27"/>
      <c r="AC20" s="27"/>
      <c r="AD20" s="27"/>
      <c r="AE20" s="27"/>
      <c r="AF20" s="27"/>
      <c r="AG20" s="27"/>
    </row>
    <row r="21" spans="2:40" x14ac:dyDescent="0.3">
      <c r="B21" s="756" t="s">
        <v>66</v>
      </c>
      <c r="C21" s="753" t="e">
        <f>#REF!</f>
        <v>#REF!</v>
      </c>
      <c r="D21" s="753" t="e">
        <f>#REF!</f>
        <v>#REF!</v>
      </c>
      <c r="E21" s="753" t="e">
        <f t="shared" si="7"/>
        <v>#REF!</v>
      </c>
      <c r="F21" s="753" t="e">
        <f t="shared" si="6"/>
        <v>#REF!</v>
      </c>
      <c r="G21" s="770" t="e">
        <f t="shared" si="8"/>
        <v>#REF!</v>
      </c>
      <c r="H21" s="771" t="e">
        <f t="shared" si="9"/>
        <v>#REF!</v>
      </c>
      <c r="I21" s="772"/>
      <c r="J21" s="756" t="s">
        <v>143</v>
      </c>
      <c r="K21" s="752" t="e">
        <f>#REF!</f>
        <v>#REF!</v>
      </c>
      <c r="L21" s="752" t="e">
        <f>#REF!</f>
        <v>#REF!</v>
      </c>
      <c r="M21" s="753" t="e">
        <f t="shared" si="0"/>
        <v>#REF!</v>
      </c>
      <c r="N21" s="753" t="e">
        <f t="shared" si="1"/>
        <v>#REF!</v>
      </c>
      <c r="O21" s="753" t="e">
        <f t="shared" si="2"/>
        <v>#REF!</v>
      </c>
      <c r="P21" s="753" t="e">
        <f t="shared" si="3"/>
        <v>#REF!</v>
      </c>
      <c r="Q21" s="753" t="e">
        <f t="shared" si="4"/>
        <v>#REF!</v>
      </c>
      <c r="R21" s="754" t="e">
        <f t="shared" si="5"/>
        <v>#REF!</v>
      </c>
      <c r="S21" s="27"/>
      <c r="T21" s="27"/>
      <c r="U21" s="27"/>
      <c r="V21" s="27"/>
      <c r="W21" s="27"/>
      <c r="X21" s="27"/>
      <c r="Y21" s="27"/>
      <c r="Z21" s="27"/>
      <c r="AA21" s="27"/>
      <c r="AB21" s="27"/>
      <c r="AC21" s="27"/>
      <c r="AD21" s="27"/>
      <c r="AE21" s="27"/>
      <c r="AF21" s="27"/>
      <c r="AG21" s="27"/>
    </row>
    <row r="22" spans="2:40" x14ac:dyDescent="0.3">
      <c r="B22" s="756" t="s">
        <v>73</v>
      </c>
      <c r="C22" s="753" t="e">
        <f>#REF!</f>
        <v>#REF!</v>
      </c>
      <c r="D22" s="753"/>
      <c r="E22" s="753" t="e">
        <f t="shared" si="7"/>
        <v>#REF!</v>
      </c>
      <c r="F22" s="753" t="e">
        <f t="shared" si="6"/>
        <v>#REF!</v>
      </c>
      <c r="G22" s="770" t="e">
        <f t="shared" si="8"/>
        <v>#REF!</v>
      </c>
      <c r="H22" s="771" t="e">
        <f t="shared" si="9"/>
        <v>#REF!</v>
      </c>
      <c r="I22" s="772"/>
      <c r="J22" s="756" t="s">
        <v>76</v>
      </c>
      <c r="K22" s="752" t="e">
        <f>#REF!</f>
        <v>#REF!</v>
      </c>
      <c r="L22" s="752" t="e">
        <f>#REF!</f>
        <v>#REF!</v>
      </c>
      <c r="M22" s="753" t="e">
        <f t="shared" si="0"/>
        <v>#REF!</v>
      </c>
      <c r="N22" s="753" t="e">
        <f t="shared" si="1"/>
        <v>#REF!</v>
      </c>
      <c r="O22" s="753" t="e">
        <f t="shared" si="2"/>
        <v>#REF!</v>
      </c>
      <c r="P22" s="753" t="e">
        <f t="shared" si="3"/>
        <v>#REF!</v>
      </c>
      <c r="Q22" s="753" t="e">
        <f t="shared" si="4"/>
        <v>#REF!</v>
      </c>
      <c r="R22" s="754" t="e">
        <f t="shared" si="5"/>
        <v>#REF!</v>
      </c>
      <c r="S22" s="27"/>
      <c r="T22" s="27"/>
      <c r="U22" s="27"/>
      <c r="V22" s="27"/>
      <c r="W22" s="27"/>
      <c r="X22" s="27"/>
      <c r="Y22" s="27"/>
      <c r="Z22" s="27"/>
      <c r="AA22" s="27"/>
      <c r="AB22" s="27"/>
      <c r="AC22" s="27"/>
      <c r="AD22" s="27"/>
      <c r="AE22" s="27"/>
      <c r="AF22" s="27"/>
      <c r="AG22" s="27"/>
    </row>
    <row r="23" spans="2:40" x14ac:dyDescent="0.3">
      <c r="B23" s="756" t="s">
        <v>74</v>
      </c>
      <c r="C23" s="753" t="e">
        <f>#REF!</f>
        <v>#REF!</v>
      </c>
      <c r="D23" s="753"/>
      <c r="E23" s="753" t="e">
        <f t="shared" si="7"/>
        <v>#REF!</v>
      </c>
      <c r="F23" s="753" t="e">
        <f t="shared" si="6"/>
        <v>#REF!</v>
      </c>
      <c r="G23" s="770" t="e">
        <f t="shared" si="8"/>
        <v>#REF!</v>
      </c>
      <c r="H23" s="771" t="e">
        <f t="shared" si="9"/>
        <v>#REF!</v>
      </c>
      <c r="I23" s="772"/>
      <c r="J23" s="756" t="s">
        <v>309</v>
      </c>
      <c r="K23" s="752" t="e">
        <f>#REF!</f>
        <v>#REF!</v>
      </c>
      <c r="L23" s="752" t="e">
        <f>#REF!</f>
        <v>#REF!</v>
      </c>
      <c r="M23" s="753" t="e">
        <f t="shared" si="0"/>
        <v>#REF!</v>
      </c>
      <c r="N23" s="753" t="e">
        <f t="shared" si="1"/>
        <v>#REF!</v>
      </c>
      <c r="O23" s="753" t="e">
        <f t="shared" si="2"/>
        <v>#REF!</v>
      </c>
      <c r="P23" s="753" t="e">
        <f t="shared" si="3"/>
        <v>#REF!</v>
      </c>
      <c r="Q23" s="753" t="e">
        <f>O23+P23</f>
        <v>#REF!</v>
      </c>
      <c r="R23" s="754" t="e">
        <f t="shared" si="5"/>
        <v>#REF!</v>
      </c>
      <c r="S23" s="27"/>
      <c r="T23" s="27"/>
      <c r="U23" s="27"/>
      <c r="V23" s="27"/>
      <c r="W23" s="27"/>
      <c r="X23" s="27"/>
      <c r="Y23" s="27"/>
      <c r="Z23" s="27"/>
      <c r="AA23" s="27"/>
      <c r="AB23" s="27"/>
      <c r="AC23" s="27"/>
      <c r="AD23" s="27"/>
      <c r="AE23" s="27"/>
      <c r="AF23" s="27"/>
      <c r="AG23" s="27"/>
    </row>
    <row r="24" spans="2:40" ht="27.6" x14ac:dyDescent="0.3">
      <c r="B24" s="756" t="s">
        <v>327</v>
      </c>
      <c r="C24" s="753" t="e">
        <f>#REF!-#REF!-#REF!-#REF!-#REF!-#REF!-#REF!-#REF!</f>
        <v>#REF!</v>
      </c>
      <c r="D24" s="753" t="e">
        <f>#REF!</f>
        <v>#REF!</v>
      </c>
      <c r="E24" s="753" t="e">
        <f t="shared" si="7"/>
        <v>#REF!</v>
      </c>
      <c r="F24" s="753" t="e">
        <f t="shared" si="6"/>
        <v>#REF!</v>
      </c>
      <c r="G24" s="770" t="e">
        <f t="shared" si="8"/>
        <v>#REF!</v>
      </c>
      <c r="H24" s="771" t="e">
        <f t="shared" si="9"/>
        <v>#REF!</v>
      </c>
      <c r="I24" s="772"/>
      <c r="J24" s="756" t="s">
        <v>95</v>
      </c>
      <c r="K24" s="752" t="e">
        <f>#REF!</f>
        <v>#REF!</v>
      </c>
      <c r="L24" s="752" t="e">
        <f>#REF!</f>
        <v>#REF!</v>
      </c>
      <c r="M24" s="753" t="e">
        <f t="shared" si="0"/>
        <v>#REF!</v>
      </c>
      <c r="N24" s="753" t="e">
        <f t="shared" si="1"/>
        <v>#REF!</v>
      </c>
      <c r="O24" s="753" t="e">
        <f t="shared" si="2"/>
        <v>#REF!</v>
      </c>
      <c r="P24" s="753" t="e">
        <f t="shared" si="3"/>
        <v>#REF!</v>
      </c>
      <c r="Q24" s="753" t="e">
        <f t="shared" si="4"/>
        <v>#REF!</v>
      </c>
      <c r="R24" s="754">
        <v>0</v>
      </c>
      <c r="S24" s="27"/>
      <c r="T24" s="27"/>
      <c r="U24" s="27"/>
      <c r="V24" s="27"/>
      <c r="W24" s="27"/>
      <c r="X24" s="27"/>
      <c r="Y24" s="27"/>
      <c r="Z24" s="27"/>
      <c r="AA24" s="27"/>
      <c r="AB24" s="27"/>
      <c r="AC24" s="27"/>
      <c r="AD24" s="27"/>
      <c r="AE24" s="27"/>
      <c r="AF24" s="27"/>
      <c r="AG24" s="27"/>
    </row>
    <row r="25" spans="2:40" x14ac:dyDescent="0.3">
      <c r="B25" s="756" t="s">
        <v>143</v>
      </c>
      <c r="C25" s="753" t="e">
        <f>#REF!-#REF!</f>
        <v>#REF!</v>
      </c>
      <c r="D25" s="753" t="e">
        <f>#REF!-#REF!</f>
        <v>#REF!</v>
      </c>
      <c r="E25" s="753" t="e">
        <f t="shared" si="7"/>
        <v>#REF!</v>
      </c>
      <c r="F25" s="753" t="e">
        <f t="shared" si="6"/>
        <v>#REF!</v>
      </c>
      <c r="G25" s="770" t="e">
        <f t="shared" si="8"/>
        <v>#REF!</v>
      </c>
      <c r="H25" s="771" t="e">
        <f t="shared" si="9"/>
        <v>#REF!</v>
      </c>
      <c r="I25" s="772"/>
      <c r="J25" s="773" t="s">
        <v>119</v>
      </c>
      <c r="K25" s="752" t="e">
        <f>#REF!</f>
        <v>#REF!</v>
      </c>
      <c r="L25" s="752" t="e">
        <f>#REF!</f>
        <v>#REF!</v>
      </c>
      <c r="M25" s="753" t="e">
        <f t="shared" si="0"/>
        <v>#REF!</v>
      </c>
      <c r="N25" s="753" t="e">
        <f t="shared" si="1"/>
        <v>#REF!</v>
      </c>
      <c r="O25" s="753" t="e">
        <f t="shared" si="2"/>
        <v>#REF!</v>
      </c>
      <c r="P25" s="753">
        <f t="shared" si="3"/>
        <v>0</v>
      </c>
      <c r="Q25" s="753" t="e">
        <f t="shared" si="4"/>
        <v>#REF!</v>
      </c>
      <c r="R25" s="754" t="e">
        <f t="shared" si="5"/>
        <v>#REF!</v>
      </c>
      <c r="S25" s="27"/>
      <c r="T25" s="27"/>
      <c r="U25" s="27"/>
      <c r="V25" s="27"/>
      <c r="W25" s="27"/>
      <c r="X25" s="27"/>
      <c r="Y25" s="27"/>
      <c r="Z25" s="27"/>
      <c r="AA25" s="27"/>
      <c r="AB25" s="27"/>
      <c r="AC25" s="27"/>
      <c r="AD25" s="27"/>
      <c r="AE25" s="27"/>
      <c r="AF25" s="27"/>
      <c r="AG25" s="27"/>
    </row>
    <row r="26" spans="2:40" ht="14.4" thickBot="1" x14ac:dyDescent="0.35">
      <c r="B26" s="756" t="s">
        <v>76</v>
      </c>
      <c r="C26" s="753" t="e">
        <f>#REF!</f>
        <v>#REF!</v>
      </c>
      <c r="D26" s="753" t="e">
        <f>#REF!</f>
        <v>#REF!</v>
      </c>
      <c r="E26" s="753" t="e">
        <f t="shared" si="7"/>
        <v>#REF!</v>
      </c>
      <c r="F26" s="753" t="e">
        <f t="shared" si="6"/>
        <v>#REF!</v>
      </c>
      <c r="G26" s="770" t="e">
        <f t="shared" si="8"/>
        <v>#REF!</v>
      </c>
      <c r="H26" s="771" t="e">
        <f t="shared" si="9"/>
        <v>#REF!</v>
      </c>
      <c r="I26" s="772"/>
      <c r="J26" s="774" t="s">
        <v>125</v>
      </c>
      <c r="K26" s="775" t="e">
        <f>SUM(K4:K25)</f>
        <v>#REF!</v>
      </c>
      <c r="L26" s="775" t="e">
        <f t="shared" ref="L26:Q26" si="10">SUM(L4:L25)</f>
        <v>#REF!</v>
      </c>
      <c r="M26" s="776" t="e">
        <f t="shared" si="10"/>
        <v>#REF!</v>
      </c>
      <c r="N26" s="776" t="e">
        <f t="shared" si="10"/>
        <v>#REF!</v>
      </c>
      <c r="O26" s="776" t="e">
        <f t="shared" si="10"/>
        <v>#REF!</v>
      </c>
      <c r="P26" s="776" t="e">
        <f t="shared" si="10"/>
        <v>#REF!</v>
      </c>
      <c r="Q26" s="776" t="e">
        <f t="shared" si="10"/>
        <v>#REF!</v>
      </c>
      <c r="R26" s="777" t="e">
        <f>P26/Q26</f>
        <v>#REF!</v>
      </c>
      <c r="S26" s="27"/>
      <c r="T26" s="27"/>
      <c r="U26" s="27"/>
      <c r="V26" s="27"/>
      <c r="W26" s="27"/>
      <c r="X26" s="27"/>
      <c r="Y26" s="27"/>
      <c r="Z26" s="27"/>
      <c r="AA26" s="27"/>
      <c r="AB26" s="27"/>
      <c r="AC26" s="27"/>
      <c r="AD26" s="27"/>
      <c r="AE26" s="27"/>
      <c r="AF26" s="27"/>
      <c r="AG26" s="27"/>
    </row>
    <row r="27" spans="2:40" x14ac:dyDescent="0.3">
      <c r="B27" s="756" t="s">
        <v>309</v>
      </c>
      <c r="C27" s="753" t="e">
        <f>#REF!+#REF!</f>
        <v>#REF!</v>
      </c>
      <c r="D27" s="753"/>
      <c r="E27" s="753" t="e">
        <f t="shared" si="7"/>
        <v>#REF!</v>
      </c>
      <c r="F27" s="753" t="e">
        <f t="shared" si="6"/>
        <v>#REF!</v>
      </c>
      <c r="G27" s="770" t="e">
        <f t="shared" si="8"/>
        <v>#REF!</v>
      </c>
      <c r="H27" s="771" t="e">
        <f t="shared" si="9"/>
        <v>#REF!</v>
      </c>
      <c r="I27" s="780"/>
      <c r="J27" s="781"/>
      <c r="K27" s="782"/>
      <c r="L27" s="782"/>
      <c r="M27" s="783"/>
      <c r="N27" s="783"/>
      <c r="O27" s="783"/>
      <c r="P27" s="783"/>
      <c r="Q27" s="783"/>
      <c r="R27" s="782"/>
      <c r="T27" s="742"/>
      <c r="V27" s="742"/>
      <c r="X27" s="740"/>
      <c r="Y27" s="740"/>
      <c r="Z27" s="740"/>
      <c r="AA27" s="740"/>
      <c r="AB27" s="27"/>
      <c r="AC27" s="27"/>
      <c r="AD27" s="27"/>
      <c r="AE27" s="27"/>
      <c r="AF27" s="27"/>
      <c r="AG27" s="27"/>
    </row>
    <row r="28" spans="2:40" x14ac:dyDescent="0.3">
      <c r="B28" s="756" t="s">
        <v>95</v>
      </c>
      <c r="C28" s="753" t="e">
        <f>#REF!</f>
        <v>#REF!</v>
      </c>
      <c r="D28" s="753"/>
      <c r="E28" s="753" t="e">
        <f t="shared" si="7"/>
        <v>#REF!</v>
      </c>
      <c r="F28" s="753" t="e">
        <f t="shared" si="6"/>
        <v>#REF!</v>
      </c>
      <c r="G28" s="770" t="e">
        <f t="shared" si="8"/>
        <v>#REF!</v>
      </c>
      <c r="H28" s="771" t="e">
        <f t="shared" si="9"/>
        <v>#REF!</v>
      </c>
      <c r="I28" s="780"/>
      <c r="J28" s="784" t="s">
        <v>42</v>
      </c>
      <c r="K28" s="785" t="e">
        <f t="shared" ref="K28:Q28" si="11">K10+K15</f>
        <v>#REF!</v>
      </c>
      <c r="L28" s="785" t="e">
        <f t="shared" si="11"/>
        <v>#REF!</v>
      </c>
      <c r="M28" s="786" t="e">
        <f t="shared" si="11"/>
        <v>#REF!</v>
      </c>
      <c r="N28" s="786" t="e">
        <f t="shared" si="11"/>
        <v>#REF!</v>
      </c>
      <c r="O28" s="786" t="e">
        <f t="shared" si="11"/>
        <v>#REF!</v>
      </c>
      <c r="P28" s="786" t="e">
        <f t="shared" si="11"/>
        <v>#REF!</v>
      </c>
      <c r="Q28" s="786" t="e">
        <f t="shared" si="11"/>
        <v>#REF!</v>
      </c>
      <c r="R28" s="785" t="e">
        <f>P28/Q28</f>
        <v>#REF!</v>
      </c>
      <c r="T28" s="742"/>
      <c r="V28" s="27"/>
      <c r="W28" s="27"/>
      <c r="X28" s="27"/>
      <c r="Y28" s="27"/>
      <c r="Z28" s="27"/>
      <c r="AA28" s="27"/>
      <c r="AB28" s="27"/>
      <c r="AC28" s="27"/>
      <c r="AD28" s="27"/>
      <c r="AE28" s="27"/>
      <c r="AF28" s="27"/>
      <c r="AG28" s="27"/>
    </row>
    <row r="29" spans="2:40" ht="27.6" x14ac:dyDescent="0.3">
      <c r="B29" s="773" t="s">
        <v>119</v>
      </c>
      <c r="C29" s="787"/>
      <c r="D29" s="787"/>
      <c r="E29" s="753"/>
      <c r="F29" s="787"/>
      <c r="G29" s="770" t="e">
        <f t="shared" si="8"/>
        <v>#REF!</v>
      </c>
      <c r="H29" s="771">
        <f t="shared" si="9"/>
        <v>0</v>
      </c>
      <c r="I29" s="780"/>
      <c r="J29" s="788"/>
      <c r="K29" s="779"/>
      <c r="L29" s="779"/>
      <c r="M29" s="778"/>
      <c r="N29" s="778"/>
      <c r="O29" s="778"/>
      <c r="P29" s="778"/>
      <c r="Q29" s="778"/>
      <c r="R29" s="779"/>
      <c r="S29" s="789" t="s">
        <v>489</v>
      </c>
      <c r="T29" s="742"/>
      <c r="U29" s="27"/>
      <c r="V29" s="27"/>
      <c r="W29" s="27"/>
      <c r="X29" s="27"/>
      <c r="Y29" s="27"/>
      <c r="Z29" s="27"/>
      <c r="AA29" s="27"/>
      <c r="AB29" s="27"/>
      <c r="AC29" s="27"/>
      <c r="AD29" s="27"/>
      <c r="AE29" s="27"/>
      <c r="AF29" s="27"/>
      <c r="AG29" s="27"/>
    </row>
    <row r="30" spans="2:40" s="788" customFormat="1" ht="14.4" thickBot="1" x14ac:dyDescent="0.35">
      <c r="B30" s="774" t="s">
        <v>125</v>
      </c>
      <c r="C30" s="776" t="e">
        <f>C4+C7</f>
        <v>#REF!</v>
      </c>
      <c r="D30" s="776" t="e">
        <f>D4+D7</f>
        <v>#REF!</v>
      </c>
      <c r="E30" s="776" t="e">
        <f>E4+E7</f>
        <v>#REF!</v>
      </c>
      <c r="F30" s="776" t="e">
        <f>F4+F7</f>
        <v>#REF!</v>
      </c>
      <c r="G30" s="776" t="e">
        <f>G4</f>
        <v>#REF!</v>
      </c>
      <c r="H30" s="790" t="e">
        <f>H4+H7</f>
        <v>#REF!</v>
      </c>
      <c r="I30" s="778"/>
      <c r="J30" s="791" t="s">
        <v>118</v>
      </c>
      <c r="K30" s="792">
        <v>2.7E-2</v>
      </c>
      <c r="L30" s="792">
        <v>8.6482895908570473E-3</v>
      </c>
      <c r="M30" s="793" t="e">
        <f>$M$26*K30</f>
        <v>#REF!</v>
      </c>
      <c r="N30" s="793" t="e">
        <f>$N$26*L30</f>
        <v>#REF!</v>
      </c>
      <c r="O30" s="793" t="e">
        <f>N30+M30</f>
        <v>#REF!</v>
      </c>
      <c r="P30" s="793" t="e">
        <f>#REF!+#REF!</f>
        <v>#REF!</v>
      </c>
      <c r="Q30" s="793" t="e">
        <f>O30+P30</f>
        <v>#REF!</v>
      </c>
      <c r="R30" s="792" t="e">
        <f>P30/Q30</f>
        <v>#REF!</v>
      </c>
      <c r="S30" s="794" t="e">
        <f>O30/O32</f>
        <v>#REF!</v>
      </c>
      <c r="T30" s="742"/>
    </row>
    <row r="31" spans="2:40" ht="41.4" x14ac:dyDescent="0.3">
      <c r="B31" s="795" t="s">
        <v>490</v>
      </c>
      <c r="C31" s="796" t="e">
        <f>#REF!</f>
        <v>#REF!</v>
      </c>
      <c r="D31" s="796"/>
      <c r="E31" s="796"/>
      <c r="F31" s="795"/>
      <c r="G31" s="795"/>
      <c r="H31" s="797" t="e">
        <f>H30*1000/C31</f>
        <v>#REF!</v>
      </c>
      <c r="I31" s="798" t="s">
        <v>491</v>
      </c>
      <c r="J31" s="799" t="s">
        <v>438</v>
      </c>
      <c r="K31" s="799">
        <v>0.5171</v>
      </c>
      <c r="L31" s="799">
        <v>0.32195171040914294</v>
      </c>
      <c r="M31" s="800" t="e">
        <f>$M$26*K31</f>
        <v>#REF!</v>
      </c>
      <c r="N31" s="800" t="e">
        <f>$N$26*L31</f>
        <v>#REF!</v>
      </c>
      <c r="O31" s="800" t="e">
        <f>N31+M31</f>
        <v>#REF!</v>
      </c>
      <c r="P31" s="800" t="e">
        <f>#REF!+#REF!+#REF!</f>
        <v>#REF!</v>
      </c>
      <c r="Q31" s="800" t="e">
        <f>O31+P31</f>
        <v>#REF!</v>
      </c>
      <c r="R31" s="799" t="e">
        <f>P31/Q31</f>
        <v>#REF!</v>
      </c>
      <c r="S31" s="794" t="e">
        <f>O31/O32</f>
        <v>#REF!</v>
      </c>
      <c r="U31" s="741"/>
      <c r="W31" s="741"/>
      <c r="Z31" s="741"/>
      <c r="AA31" s="741"/>
      <c r="AB31" s="741"/>
      <c r="AC31" s="741"/>
      <c r="AD31" s="741"/>
      <c r="AE31" s="741"/>
      <c r="AF31" s="741"/>
      <c r="AG31" s="741"/>
      <c r="AH31" s="741"/>
      <c r="AI31" s="741"/>
      <c r="AJ31" s="741"/>
      <c r="AK31" s="741"/>
      <c r="AL31" s="741"/>
      <c r="AM31" s="741"/>
    </row>
    <row r="32" spans="2:40" x14ac:dyDescent="0.3">
      <c r="F32" s="740"/>
      <c r="G32" s="740"/>
      <c r="H32" s="740"/>
      <c r="I32" s="740"/>
      <c r="J32" s="801" t="s">
        <v>492</v>
      </c>
      <c r="K32" s="801">
        <f t="shared" ref="K32:Q32" si="12">SUM(K30:K31)</f>
        <v>0.54410000000000003</v>
      </c>
      <c r="L32" s="801">
        <v>0.3306</v>
      </c>
      <c r="M32" s="802" t="e">
        <f t="shared" si="12"/>
        <v>#REF!</v>
      </c>
      <c r="N32" s="802" t="e">
        <f t="shared" si="12"/>
        <v>#REF!</v>
      </c>
      <c r="O32" s="802" t="e">
        <f t="shared" si="12"/>
        <v>#REF!</v>
      </c>
      <c r="P32" s="802" t="e">
        <f t="shared" si="12"/>
        <v>#REF!</v>
      </c>
      <c r="Q32" s="802" t="e">
        <f t="shared" si="12"/>
        <v>#REF!</v>
      </c>
      <c r="R32" s="801" t="e">
        <f>P32/Q32</f>
        <v>#REF!</v>
      </c>
      <c r="S32" s="741"/>
      <c r="T32" s="742"/>
      <c r="U32" s="741"/>
      <c r="V32" s="742"/>
      <c r="W32" s="741"/>
      <c r="Y32" s="742"/>
      <c r="AH32" s="742"/>
      <c r="AI32" s="742"/>
      <c r="AJ32" s="742"/>
      <c r="AK32" s="742"/>
      <c r="AL32" s="742"/>
      <c r="AM32" s="742"/>
      <c r="AN32" s="31"/>
    </row>
    <row r="33" spans="2:33" x14ac:dyDescent="0.3">
      <c r="F33" s="740"/>
      <c r="G33" s="740"/>
      <c r="H33" s="740"/>
      <c r="I33" s="740"/>
      <c r="J33" s="741"/>
      <c r="L33" s="27"/>
      <c r="Q33" s="741"/>
      <c r="R33" s="742"/>
      <c r="S33" s="741"/>
      <c r="U33" s="741"/>
      <c r="V33" s="742"/>
      <c r="W33" s="741"/>
      <c r="Y33" s="742"/>
      <c r="AG33" s="27"/>
    </row>
    <row r="34" spans="2:33" ht="14.4" thickBot="1" x14ac:dyDescent="0.35">
      <c r="B34" s="27" t="s">
        <v>125</v>
      </c>
    </row>
    <row r="35" spans="2:33" ht="19.350000000000001" customHeight="1" x14ac:dyDescent="0.3">
      <c r="B35" s="3864" t="s">
        <v>336</v>
      </c>
      <c r="C35" s="3866" t="s">
        <v>468</v>
      </c>
      <c r="D35" s="3868" t="s">
        <v>469</v>
      </c>
      <c r="E35" s="3870" t="s">
        <v>493</v>
      </c>
      <c r="F35" s="3871"/>
      <c r="G35" s="3871"/>
      <c r="H35" s="3871"/>
      <c r="I35" s="3871"/>
      <c r="J35" s="3871"/>
      <c r="K35" s="3871"/>
      <c r="L35" s="3871"/>
      <c r="M35" s="3871"/>
      <c r="N35" s="3871"/>
      <c r="O35" s="3871"/>
      <c r="P35" s="3871"/>
      <c r="Q35" s="3871"/>
      <c r="R35" s="3872"/>
      <c r="T35" s="742"/>
      <c r="V35" s="742"/>
      <c r="X35" s="742"/>
      <c r="Y35" s="27"/>
      <c r="Z35" s="27"/>
      <c r="AA35" s="27"/>
      <c r="AB35" s="27"/>
      <c r="AC35" s="27"/>
      <c r="AD35" s="27"/>
      <c r="AE35" s="27"/>
      <c r="AF35" s="27"/>
      <c r="AG35" s="27"/>
    </row>
    <row r="36" spans="2:33" ht="42" customHeight="1" thickBot="1" x14ac:dyDescent="0.35">
      <c r="B36" s="3865"/>
      <c r="C36" s="3867"/>
      <c r="D36" s="3869"/>
      <c r="E36" s="803" t="s">
        <v>436</v>
      </c>
      <c r="F36" s="803" t="s">
        <v>494</v>
      </c>
      <c r="G36" s="803" t="s">
        <v>429</v>
      </c>
      <c r="H36" s="803" t="s">
        <v>495</v>
      </c>
      <c r="I36" s="803" t="s">
        <v>405</v>
      </c>
      <c r="J36" s="803" t="s">
        <v>496</v>
      </c>
      <c r="K36" s="803" t="s">
        <v>435</v>
      </c>
      <c r="L36" s="803" t="s">
        <v>497</v>
      </c>
      <c r="M36" s="803" t="s">
        <v>502</v>
      </c>
      <c r="N36" s="803" t="s">
        <v>503</v>
      </c>
      <c r="O36" s="803" t="s">
        <v>504</v>
      </c>
      <c r="P36" s="803" t="s">
        <v>505</v>
      </c>
      <c r="Q36" s="803" t="s">
        <v>536</v>
      </c>
      <c r="R36" s="804" t="s">
        <v>507</v>
      </c>
      <c r="T36" s="742"/>
      <c r="V36" s="742"/>
      <c r="X36" s="742"/>
      <c r="Y36" s="742"/>
      <c r="Z36" s="27"/>
      <c r="AA36" s="27"/>
      <c r="AB36" s="27"/>
      <c r="AC36" s="27"/>
      <c r="AD36" s="27"/>
      <c r="AE36" s="27"/>
      <c r="AF36" s="27"/>
      <c r="AG36" s="27"/>
    </row>
    <row r="37" spans="2:33" x14ac:dyDescent="0.3">
      <c r="B37" s="751" t="s">
        <v>5</v>
      </c>
      <c r="C37" s="805" t="e">
        <f>Q4</f>
        <v>#REF!</v>
      </c>
      <c r="D37" s="806" t="e">
        <f>R4</f>
        <v>#REF!</v>
      </c>
      <c r="E37" s="805"/>
      <c r="F37" s="806"/>
      <c r="G37" s="805"/>
      <c r="H37" s="806"/>
      <c r="I37" s="805" t="e">
        <f>F8*(1-#REF!)</f>
        <v>#REF!</v>
      </c>
      <c r="J37" s="806" t="e">
        <f>I37/C37</f>
        <v>#REF!</v>
      </c>
      <c r="K37" s="805"/>
      <c r="L37" s="806"/>
      <c r="M37" s="805" t="e">
        <f>F8*#REF!</f>
        <v>#REF!</v>
      </c>
      <c r="N37" s="806" t="e">
        <f>M37/C37</f>
        <v>#REF!</v>
      </c>
      <c r="O37" s="885" t="e">
        <f>O4</f>
        <v>#REF!</v>
      </c>
      <c r="P37" s="886" t="e">
        <f>O37/C37</f>
        <v>#REF!</v>
      </c>
      <c r="Q37" s="807"/>
      <c r="R37" s="808"/>
      <c r="S37" s="740" t="e">
        <f>E37+G37+I37+K37+M37+O37+Q37</f>
        <v>#REF!</v>
      </c>
      <c r="T37" s="742" t="e">
        <f t="shared" ref="T37:T59" si="13">S37-C37</f>
        <v>#REF!</v>
      </c>
      <c r="U37" s="740" t="e">
        <f t="shared" ref="U37:U59" si="14">SUM(E37:R37)</f>
        <v>#REF!</v>
      </c>
      <c r="V37" s="742" t="e">
        <f t="shared" ref="V37:V59" si="15">U37-C37</f>
        <v>#REF!</v>
      </c>
      <c r="X37" s="742"/>
      <c r="Y37" s="742"/>
      <c r="Z37" s="27"/>
      <c r="AA37" s="27"/>
      <c r="AB37" s="27"/>
      <c r="AC37" s="27"/>
      <c r="AD37" s="27"/>
      <c r="AE37" s="27"/>
      <c r="AF37" s="27"/>
      <c r="AG37" s="27"/>
    </row>
    <row r="38" spans="2:33" x14ac:dyDescent="0.3">
      <c r="B38" s="756" t="s">
        <v>8</v>
      </c>
      <c r="C38" s="805" t="e">
        <f t="shared" ref="C38:D58" si="16">Q5</f>
        <v>#REF!</v>
      </c>
      <c r="D38" s="806" t="e">
        <f t="shared" si="16"/>
        <v>#REF!</v>
      </c>
      <c r="E38" s="809"/>
      <c r="F38" s="810"/>
      <c r="G38" s="809" t="e">
        <f>F9*#REF!</f>
        <v>#REF!</v>
      </c>
      <c r="H38" s="810" t="e">
        <f>G38/C38</f>
        <v>#REF!</v>
      </c>
      <c r="I38" s="809"/>
      <c r="J38" s="810"/>
      <c r="K38" s="805"/>
      <c r="L38" s="810"/>
      <c r="M38" s="805" t="e">
        <f>F9*#REF!</f>
        <v>#REF!</v>
      </c>
      <c r="N38" s="806" t="e">
        <f t="shared" ref="N38:N59" si="17">M38/C38</f>
        <v>#REF!</v>
      </c>
      <c r="O38" s="809" t="e">
        <f>O5</f>
        <v>#REF!</v>
      </c>
      <c r="P38" s="810" t="e">
        <f>O38/C38</f>
        <v>#REF!</v>
      </c>
      <c r="Q38" s="809"/>
      <c r="R38" s="808"/>
      <c r="S38" s="740" t="e">
        <f t="shared" ref="S38:S59" si="18">E38+G38+I38+K38+M38+O38+Q38</f>
        <v>#REF!</v>
      </c>
      <c r="T38" s="742" t="e">
        <f t="shared" si="13"/>
        <v>#REF!</v>
      </c>
      <c r="U38" s="740" t="e">
        <f t="shared" si="14"/>
        <v>#REF!</v>
      </c>
      <c r="V38" s="742" t="e">
        <f t="shared" si="15"/>
        <v>#REF!</v>
      </c>
      <c r="X38" s="742"/>
      <c r="Y38" s="742"/>
      <c r="Z38" s="27"/>
      <c r="AA38" s="27"/>
      <c r="AB38" s="27"/>
      <c r="AC38" s="27"/>
      <c r="AD38" s="27"/>
      <c r="AE38" s="27"/>
      <c r="AF38" s="27"/>
      <c r="AG38" s="27"/>
    </row>
    <row r="39" spans="2:33" x14ac:dyDescent="0.3">
      <c r="B39" s="756" t="s">
        <v>304</v>
      </c>
      <c r="C39" s="805" t="e">
        <f t="shared" si="16"/>
        <v>#REF!</v>
      </c>
      <c r="D39" s="806" t="e">
        <f t="shared" si="16"/>
        <v>#REF!</v>
      </c>
      <c r="E39" s="809"/>
      <c r="F39" s="810"/>
      <c r="G39" s="809" t="e">
        <f>F10*#REF!</f>
        <v>#REF!</v>
      </c>
      <c r="H39" s="810" t="e">
        <f t="shared" ref="H39:H55" si="19">G39/C39</f>
        <v>#REF!</v>
      </c>
      <c r="I39" s="809"/>
      <c r="J39" s="810"/>
      <c r="K39" s="805" t="e">
        <f>F10*#REF!</f>
        <v>#REF!</v>
      </c>
      <c r="L39" s="810" t="e">
        <f t="shared" ref="L39:L55" si="20">K39/C39</f>
        <v>#REF!</v>
      </c>
      <c r="M39" s="805" t="e">
        <f>F10*#REF!</f>
        <v>#REF!</v>
      </c>
      <c r="N39" s="806" t="e">
        <f t="shared" si="17"/>
        <v>#REF!</v>
      </c>
      <c r="O39" s="809" t="e">
        <f t="shared" ref="O39:O58" si="21">O6</f>
        <v>#REF!</v>
      </c>
      <c r="P39" s="810" t="e">
        <f t="shared" ref="P39:P58" si="22">O39/C39</f>
        <v>#REF!</v>
      </c>
      <c r="Q39" s="809"/>
      <c r="R39" s="808"/>
      <c r="S39" s="740" t="e">
        <f t="shared" si="18"/>
        <v>#REF!</v>
      </c>
      <c r="T39" s="742" t="e">
        <f t="shared" si="13"/>
        <v>#REF!</v>
      </c>
      <c r="U39" s="740" t="e">
        <f t="shared" si="14"/>
        <v>#REF!</v>
      </c>
      <c r="V39" s="742" t="e">
        <f t="shared" si="15"/>
        <v>#REF!</v>
      </c>
      <c r="X39" s="742"/>
      <c r="Y39" s="742"/>
      <c r="Z39" s="27"/>
      <c r="AA39" s="27"/>
      <c r="AB39" s="27"/>
      <c r="AC39" s="27"/>
      <c r="AD39" s="27"/>
      <c r="AE39" s="27"/>
      <c r="AF39" s="27"/>
      <c r="AG39" s="27"/>
    </row>
    <row r="40" spans="2:33" x14ac:dyDescent="0.3">
      <c r="B40" s="756" t="s">
        <v>14</v>
      </c>
      <c r="C40" s="805" t="e">
        <f t="shared" si="16"/>
        <v>#REF!</v>
      </c>
      <c r="D40" s="806" t="e">
        <f t="shared" si="16"/>
        <v>#REF!</v>
      </c>
      <c r="E40" s="809"/>
      <c r="F40" s="810"/>
      <c r="G40" s="809" t="e">
        <f>F11*#REF!</f>
        <v>#REF!</v>
      </c>
      <c r="H40" s="810" t="e">
        <f t="shared" si="19"/>
        <v>#REF!</v>
      </c>
      <c r="I40" s="809"/>
      <c r="J40" s="810"/>
      <c r="K40" s="805"/>
      <c r="L40" s="810"/>
      <c r="M40" s="805" t="e">
        <f>F11*#REF!</f>
        <v>#REF!</v>
      </c>
      <c r="N40" s="806" t="e">
        <f>M40/C40</f>
        <v>#REF!</v>
      </c>
      <c r="O40" s="809" t="e">
        <f t="shared" si="21"/>
        <v>#REF!</v>
      </c>
      <c r="P40" s="810" t="e">
        <f t="shared" si="22"/>
        <v>#REF!</v>
      </c>
      <c r="Q40" s="809"/>
      <c r="R40" s="808"/>
      <c r="S40" s="740" t="e">
        <f t="shared" si="18"/>
        <v>#REF!</v>
      </c>
      <c r="T40" s="742" t="e">
        <f t="shared" si="13"/>
        <v>#REF!</v>
      </c>
      <c r="U40" s="740" t="e">
        <f t="shared" si="14"/>
        <v>#REF!</v>
      </c>
      <c r="V40" s="742" t="e">
        <f t="shared" si="15"/>
        <v>#REF!</v>
      </c>
      <c r="X40" s="742"/>
      <c r="Y40" s="742"/>
      <c r="Z40" s="27"/>
      <c r="AA40" s="27"/>
      <c r="AB40" s="27"/>
      <c r="AC40" s="27"/>
      <c r="AD40" s="27"/>
      <c r="AE40" s="27"/>
      <c r="AF40" s="27"/>
      <c r="AG40" s="27"/>
    </row>
    <row r="41" spans="2:33" x14ac:dyDescent="0.3">
      <c r="B41" s="756" t="s">
        <v>17</v>
      </c>
      <c r="C41" s="805" t="e">
        <f t="shared" si="16"/>
        <v>#REF!</v>
      </c>
      <c r="D41" s="806" t="e">
        <f t="shared" si="16"/>
        <v>#REF!</v>
      </c>
      <c r="E41" s="809"/>
      <c r="F41" s="810"/>
      <c r="G41" s="809" t="e">
        <f>F12*#REF!</f>
        <v>#REF!</v>
      </c>
      <c r="H41" s="810" t="e">
        <f t="shared" si="19"/>
        <v>#REF!</v>
      </c>
      <c r="I41" s="809"/>
      <c r="J41" s="810"/>
      <c r="K41" s="805"/>
      <c r="L41" s="810"/>
      <c r="M41" s="805" t="e">
        <f>F12*#REF!</f>
        <v>#REF!</v>
      </c>
      <c r="N41" s="806" t="e">
        <f t="shared" si="17"/>
        <v>#REF!</v>
      </c>
      <c r="O41" s="809" t="e">
        <f t="shared" si="21"/>
        <v>#REF!</v>
      </c>
      <c r="P41" s="810" t="e">
        <f t="shared" si="22"/>
        <v>#REF!</v>
      </c>
      <c r="Q41" s="809"/>
      <c r="R41" s="808"/>
      <c r="S41" s="740" t="e">
        <f t="shared" si="18"/>
        <v>#REF!</v>
      </c>
      <c r="T41" s="742" t="e">
        <f t="shared" si="13"/>
        <v>#REF!</v>
      </c>
      <c r="U41" s="740" t="e">
        <f t="shared" si="14"/>
        <v>#REF!</v>
      </c>
      <c r="V41" s="742" t="e">
        <f t="shared" si="15"/>
        <v>#REF!</v>
      </c>
      <c r="X41" s="742"/>
      <c r="Y41" s="742"/>
      <c r="Z41" s="27"/>
      <c r="AA41" s="27"/>
      <c r="AB41" s="27"/>
      <c r="AC41" s="27"/>
      <c r="AD41" s="27"/>
      <c r="AE41" s="27"/>
      <c r="AF41" s="27"/>
      <c r="AG41" s="27"/>
    </row>
    <row r="42" spans="2:33" x14ac:dyDescent="0.3">
      <c r="B42" s="756" t="s">
        <v>16</v>
      </c>
      <c r="C42" s="805" t="e">
        <f t="shared" si="16"/>
        <v>#REF!</v>
      </c>
      <c r="D42" s="806" t="e">
        <f t="shared" si="16"/>
        <v>#REF!</v>
      </c>
      <c r="E42" s="809"/>
      <c r="F42" s="810"/>
      <c r="G42" s="809" t="e">
        <f>F13*#REF!</f>
        <v>#REF!</v>
      </c>
      <c r="H42" s="810" t="e">
        <f t="shared" si="19"/>
        <v>#REF!</v>
      </c>
      <c r="I42" s="809"/>
      <c r="J42" s="810"/>
      <c r="K42" s="805"/>
      <c r="L42" s="810"/>
      <c r="M42" s="805" t="e">
        <f>F13*#REF!</f>
        <v>#REF!</v>
      </c>
      <c r="N42" s="806" t="e">
        <f t="shared" si="17"/>
        <v>#REF!</v>
      </c>
      <c r="O42" s="809" t="e">
        <f t="shared" si="21"/>
        <v>#REF!</v>
      </c>
      <c r="P42" s="810" t="e">
        <f t="shared" si="22"/>
        <v>#REF!</v>
      </c>
      <c r="Q42" s="809"/>
      <c r="R42" s="808"/>
      <c r="S42" s="740" t="e">
        <f t="shared" si="18"/>
        <v>#REF!</v>
      </c>
      <c r="T42" s="742" t="e">
        <f t="shared" si="13"/>
        <v>#REF!</v>
      </c>
      <c r="U42" s="740" t="e">
        <f t="shared" si="14"/>
        <v>#REF!</v>
      </c>
      <c r="V42" s="742" t="e">
        <f t="shared" si="15"/>
        <v>#REF!</v>
      </c>
      <c r="X42" s="742"/>
      <c r="Y42" s="742"/>
      <c r="Z42" s="27"/>
      <c r="AA42" s="27"/>
      <c r="AB42" s="27"/>
      <c r="AC42" s="27"/>
      <c r="AD42" s="27"/>
      <c r="AE42" s="27"/>
      <c r="AF42" s="27"/>
      <c r="AG42" s="27"/>
    </row>
    <row r="43" spans="2:33" x14ac:dyDescent="0.3">
      <c r="B43" s="756" t="s">
        <v>308</v>
      </c>
      <c r="C43" s="805" t="e">
        <f t="shared" si="16"/>
        <v>#REF!</v>
      </c>
      <c r="D43" s="806" t="e">
        <f t="shared" si="16"/>
        <v>#REF!</v>
      </c>
      <c r="E43" s="809"/>
      <c r="F43" s="810"/>
      <c r="G43" s="809" t="e">
        <f>F14*#REF!</f>
        <v>#REF!</v>
      </c>
      <c r="H43" s="810" t="e">
        <f t="shared" si="19"/>
        <v>#REF!</v>
      </c>
      <c r="I43" s="809"/>
      <c r="J43" s="810"/>
      <c r="K43" s="811" t="e">
        <f>F14*#REF!</f>
        <v>#REF!</v>
      </c>
      <c r="L43" s="810" t="e">
        <f t="shared" si="20"/>
        <v>#REF!</v>
      </c>
      <c r="M43" s="805" t="e">
        <f>F14*#REF!</f>
        <v>#REF!</v>
      </c>
      <c r="N43" s="806" t="e">
        <f t="shared" si="17"/>
        <v>#REF!</v>
      </c>
      <c r="O43" s="809" t="e">
        <f t="shared" si="21"/>
        <v>#REF!</v>
      </c>
      <c r="P43" s="810" t="e">
        <f t="shared" si="22"/>
        <v>#REF!</v>
      </c>
      <c r="Q43" s="809"/>
      <c r="R43" s="808"/>
      <c r="S43" s="740" t="e">
        <f t="shared" si="18"/>
        <v>#REF!</v>
      </c>
      <c r="T43" s="742" t="e">
        <f t="shared" si="13"/>
        <v>#REF!</v>
      </c>
      <c r="U43" s="740" t="e">
        <f t="shared" si="14"/>
        <v>#REF!</v>
      </c>
      <c r="V43" s="742" t="e">
        <f t="shared" si="15"/>
        <v>#REF!</v>
      </c>
      <c r="X43" s="742"/>
      <c r="Y43" s="742"/>
      <c r="Z43" s="27"/>
      <c r="AA43" s="27"/>
      <c r="AB43" s="27"/>
      <c r="AC43" s="27"/>
      <c r="AD43" s="27"/>
      <c r="AE43" s="27"/>
      <c r="AF43" s="27"/>
      <c r="AG43" s="27"/>
    </row>
    <row r="44" spans="2:33" x14ac:dyDescent="0.3">
      <c r="B44" s="756" t="s">
        <v>44</v>
      </c>
      <c r="C44" s="805" t="e">
        <f t="shared" si="16"/>
        <v>#REF!</v>
      </c>
      <c r="D44" s="806" t="e">
        <f t="shared" si="16"/>
        <v>#REF!</v>
      </c>
      <c r="E44" s="812" t="e">
        <f>F15*#REF!</f>
        <v>#REF!</v>
      </c>
      <c r="F44" s="810" t="e">
        <f>E44/C44</f>
        <v>#REF!</v>
      </c>
      <c r="G44" s="809" t="e">
        <f>F15*#REF!</f>
        <v>#REF!</v>
      </c>
      <c r="H44" s="810" t="e">
        <f t="shared" si="19"/>
        <v>#REF!</v>
      </c>
      <c r="I44" s="809"/>
      <c r="J44" s="810"/>
      <c r="K44" s="811" t="e">
        <f>F15*#REF!</f>
        <v>#REF!</v>
      </c>
      <c r="L44" s="810" t="e">
        <f t="shared" si="20"/>
        <v>#REF!</v>
      </c>
      <c r="M44" s="805" t="e">
        <f>F15*#REF!</f>
        <v>#REF!</v>
      </c>
      <c r="N44" s="806" t="e">
        <f t="shared" si="17"/>
        <v>#REF!</v>
      </c>
      <c r="O44" s="809" t="e">
        <f t="shared" si="21"/>
        <v>#REF!</v>
      </c>
      <c r="P44" s="810" t="e">
        <f t="shared" si="22"/>
        <v>#REF!</v>
      </c>
      <c r="Q44" s="809"/>
      <c r="R44" s="808"/>
      <c r="S44" s="740" t="e">
        <f t="shared" si="18"/>
        <v>#REF!</v>
      </c>
      <c r="T44" s="742" t="e">
        <f t="shared" si="13"/>
        <v>#REF!</v>
      </c>
      <c r="U44" s="740" t="e">
        <f t="shared" si="14"/>
        <v>#REF!</v>
      </c>
      <c r="V44" s="742" t="e">
        <f t="shared" si="15"/>
        <v>#REF!</v>
      </c>
      <c r="X44" s="742"/>
      <c r="Y44" s="742"/>
      <c r="Z44" s="27"/>
      <c r="AA44" s="27"/>
      <c r="AB44" s="27"/>
      <c r="AC44" s="27"/>
      <c r="AD44" s="27"/>
      <c r="AE44" s="27"/>
      <c r="AF44" s="27"/>
      <c r="AG44" s="27"/>
    </row>
    <row r="45" spans="2:33" x14ac:dyDescent="0.3">
      <c r="B45" s="756" t="s">
        <v>326</v>
      </c>
      <c r="C45" s="805" t="e">
        <f t="shared" si="16"/>
        <v>#REF!</v>
      </c>
      <c r="D45" s="806" t="e">
        <f t="shared" si="16"/>
        <v>#REF!</v>
      </c>
      <c r="E45" s="809"/>
      <c r="F45" s="810"/>
      <c r="G45" s="809" t="e">
        <f>F16</f>
        <v>#REF!</v>
      </c>
      <c r="H45" s="810" t="e">
        <f t="shared" si="19"/>
        <v>#REF!</v>
      </c>
      <c r="I45" s="809"/>
      <c r="J45" s="810"/>
      <c r="K45" s="805"/>
      <c r="L45" s="810"/>
      <c r="M45" s="805"/>
      <c r="N45" s="806"/>
      <c r="O45" s="809" t="e">
        <f t="shared" si="21"/>
        <v>#REF!</v>
      </c>
      <c r="P45" s="810" t="e">
        <f t="shared" si="22"/>
        <v>#REF!</v>
      </c>
      <c r="Q45" s="809"/>
      <c r="R45" s="808"/>
      <c r="S45" s="740" t="e">
        <f t="shared" si="18"/>
        <v>#REF!</v>
      </c>
      <c r="T45" s="742" t="e">
        <f t="shared" si="13"/>
        <v>#REF!</v>
      </c>
      <c r="U45" s="740" t="e">
        <f t="shared" si="14"/>
        <v>#REF!</v>
      </c>
      <c r="V45" s="742" t="e">
        <f t="shared" si="15"/>
        <v>#REF!</v>
      </c>
      <c r="X45" s="742"/>
      <c r="Y45" s="742"/>
      <c r="Z45" s="27"/>
      <c r="AA45" s="27"/>
      <c r="AB45" s="27"/>
      <c r="AC45" s="27"/>
      <c r="AD45" s="27"/>
      <c r="AE45" s="27"/>
      <c r="AF45" s="27"/>
      <c r="AG45" s="27"/>
    </row>
    <row r="46" spans="2:33" x14ac:dyDescent="0.3">
      <c r="B46" s="756" t="s">
        <v>25</v>
      </c>
      <c r="C46" s="805" t="e">
        <f t="shared" si="16"/>
        <v>#REF!</v>
      </c>
      <c r="D46" s="806" t="e">
        <f t="shared" si="16"/>
        <v>#REF!</v>
      </c>
      <c r="E46" s="809" t="e">
        <f>F17*#REF!</f>
        <v>#REF!</v>
      </c>
      <c r="F46" s="810" t="e">
        <f>E46/C46</f>
        <v>#REF!</v>
      </c>
      <c r="G46" s="809" t="e">
        <f>F17*#REF!</f>
        <v>#REF!</v>
      </c>
      <c r="H46" s="810" t="e">
        <f t="shared" si="19"/>
        <v>#REF!</v>
      </c>
      <c r="I46" s="809"/>
      <c r="J46" s="810"/>
      <c r="K46" s="805" t="e">
        <f>F17*#REF!</f>
        <v>#REF!</v>
      </c>
      <c r="L46" s="810" t="e">
        <f t="shared" si="20"/>
        <v>#REF!</v>
      </c>
      <c r="M46" s="805" t="e">
        <f>F17*#REF!</f>
        <v>#REF!</v>
      </c>
      <c r="N46" s="806" t="e">
        <f>M46/C46</f>
        <v>#REF!</v>
      </c>
      <c r="O46" s="809" t="e">
        <f t="shared" si="21"/>
        <v>#REF!</v>
      </c>
      <c r="P46" s="810" t="e">
        <f t="shared" si="22"/>
        <v>#REF!</v>
      </c>
      <c r="Q46" s="809"/>
      <c r="R46" s="808"/>
      <c r="S46" s="740" t="e">
        <f t="shared" si="18"/>
        <v>#REF!</v>
      </c>
      <c r="T46" s="742" t="e">
        <f t="shared" si="13"/>
        <v>#REF!</v>
      </c>
      <c r="U46" s="740" t="e">
        <f t="shared" si="14"/>
        <v>#REF!</v>
      </c>
      <c r="V46" s="742" t="e">
        <f t="shared" si="15"/>
        <v>#REF!</v>
      </c>
      <c r="X46" s="742"/>
      <c r="Y46" s="742"/>
      <c r="Z46" s="27"/>
      <c r="AA46" s="27"/>
      <c r="AB46" s="27"/>
      <c r="AC46" s="27"/>
      <c r="AD46" s="27"/>
      <c r="AE46" s="27"/>
      <c r="AF46" s="27"/>
      <c r="AG46" s="27"/>
    </row>
    <row r="47" spans="2:33" x14ac:dyDescent="0.3">
      <c r="B47" s="756" t="s">
        <v>29</v>
      </c>
      <c r="C47" s="805" t="e">
        <f t="shared" si="16"/>
        <v>#REF!</v>
      </c>
      <c r="D47" s="806" t="e">
        <f t="shared" si="16"/>
        <v>#REF!</v>
      </c>
      <c r="E47" s="809"/>
      <c r="F47" s="810"/>
      <c r="G47" s="809" t="e">
        <f>F18*#REF!</f>
        <v>#REF!</v>
      </c>
      <c r="H47" s="810" t="e">
        <f t="shared" si="19"/>
        <v>#REF!</v>
      </c>
      <c r="I47" s="809"/>
      <c r="J47" s="810"/>
      <c r="K47" s="805" t="e">
        <f>F18*#REF!</f>
        <v>#REF!</v>
      </c>
      <c r="L47" s="810" t="e">
        <f t="shared" si="20"/>
        <v>#REF!</v>
      </c>
      <c r="M47" s="805" t="e">
        <f>F18*#REF!</f>
        <v>#REF!</v>
      </c>
      <c r="N47" s="806" t="e">
        <f t="shared" si="17"/>
        <v>#REF!</v>
      </c>
      <c r="O47" s="809" t="e">
        <f t="shared" si="21"/>
        <v>#REF!</v>
      </c>
      <c r="P47" s="810" t="e">
        <f t="shared" si="22"/>
        <v>#REF!</v>
      </c>
      <c r="Q47" s="809"/>
      <c r="R47" s="808"/>
      <c r="S47" s="740" t="e">
        <f t="shared" si="18"/>
        <v>#REF!</v>
      </c>
      <c r="T47" s="742" t="e">
        <f t="shared" si="13"/>
        <v>#REF!</v>
      </c>
      <c r="U47" s="740" t="e">
        <f t="shared" si="14"/>
        <v>#REF!</v>
      </c>
      <c r="V47" s="742" t="e">
        <f t="shared" si="15"/>
        <v>#REF!</v>
      </c>
      <c r="X47" s="742"/>
      <c r="Y47" s="742"/>
      <c r="Z47" s="27"/>
      <c r="AA47" s="27"/>
      <c r="AB47" s="27"/>
      <c r="AC47" s="27"/>
      <c r="AD47" s="27"/>
      <c r="AE47" s="27"/>
      <c r="AF47" s="27"/>
      <c r="AG47" s="27"/>
    </row>
    <row r="48" spans="2:33" x14ac:dyDescent="0.3">
      <c r="B48" s="756" t="s">
        <v>60</v>
      </c>
      <c r="C48" s="805" t="e">
        <f t="shared" si="16"/>
        <v>#REF!</v>
      </c>
      <c r="D48" s="806" t="e">
        <f t="shared" si="16"/>
        <v>#REF!</v>
      </c>
      <c r="E48" s="809"/>
      <c r="F48" s="810"/>
      <c r="G48" s="809" t="e">
        <f>F19*#REF!</f>
        <v>#REF!</v>
      </c>
      <c r="H48" s="810" t="e">
        <f t="shared" si="19"/>
        <v>#REF!</v>
      </c>
      <c r="I48" s="809"/>
      <c r="J48" s="810"/>
      <c r="K48" s="805" t="e">
        <f>F19*#REF!</f>
        <v>#REF!</v>
      </c>
      <c r="L48" s="810" t="e">
        <f t="shared" si="20"/>
        <v>#REF!</v>
      </c>
      <c r="M48" s="805" t="e">
        <f>F19*#REF!</f>
        <v>#REF!</v>
      </c>
      <c r="N48" s="806" t="e">
        <f t="shared" si="17"/>
        <v>#REF!</v>
      </c>
      <c r="O48" s="809"/>
      <c r="P48" s="810"/>
      <c r="Q48" s="809"/>
      <c r="R48" s="808"/>
      <c r="S48" s="740" t="e">
        <f t="shared" si="18"/>
        <v>#REF!</v>
      </c>
      <c r="T48" s="742" t="e">
        <f t="shared" si="13"/>
        <v>#REF!</v>
      </c>
      <c r="U48" s="740" t="e">
        <f t="shared" si="14"/>
        <v>#REF!</v>
      </c>
      <c r="V48" s="742" t="e">
        <f t="shared" si="15"/>
        <v>#REF!</v>
      </c>
      <c r="X48" s="742"/>
      <c r="Y48" s="742"/>
      <c r="Z48" s="27"/>
      <c r="AA48" s="27"/>
      <c r="AB48" s="27"/>
      <c r="AC48" s="27"/>
      <c r="AD48" s="27"/>
      <c r="AE48" s="27"/>
      <c r="AF48" s="27"/>
      <c r="AG48" s="27"/>
    </row>
    <row r="49" spans="2:33" x14ac:dyDescent="0.3">
      <c r="B49" s="756" t="s">
        <v>33</v>
      </c>
      <c r="C49" s="805" t="e">
        <f t="shared" si="16"/>
        <v>#REF!</v>
      </c>
      <c r="D49" s="806" t="e">
        <f t="shared" si="16"/>
        <v>#REF!</v>
      </c>
      <c r="E49" s="809"/>
      <c r="F49" s="810"/>
      <c r="G49" s="809" t="e">
        <f>F20*#REF!</f>
        <v>#REF!</v>
      </c>
      <c r="H49" s="810" t="e">
        <f t="shared" si="19"/>
        <v>#REF!</v>
      </c>
      <c r="I49" s="809"/>
      <c r="J49" s="810"/>
      <c r="K49" s="805" t="e">
        <f>F20*#REF!</f>
        <v>#REF!</v>
      </c>
      <c r="L49" s="810" t="e">
        <f t="shared" si="20"/>
        <v>#REF!</v>
      </c>
      <c r="M49" s="805"/>
      <c r="N49" s="806"/>
      <c r="O49" s="809"/>
      <c r="P49" s="810"/>
      <c r="Q49" s="809" t="e">
        <f>F20*#REF!</f>
        <v>#REF!</v>
      </c>
      <c r="R49" s="808" t="e">
        <f>Q49/C49</f>
        <v>#REF!</v>
      </c>
      <c r="S49" s="740" t="e">
        <f t="shared" si="18"/>
        <v>#REF!</v>
      </c>
      <c r="T49" s="742" t="e">
        <f t="shared" si="13"/>
        <v>#REF!</v>
      </c>
      <c r="U49" s="740" t="e">
        <f t="shared" si="14"/>
        <v>#REF!</v>
      </c>
      <c r="V49" s="742" t="e">
        <f t="shared" si="15"/>
        <v>#REF!</v>
      </c>
      <c r="X49" s="742"/>
      <c r="Y49" s="742"/>
      <c r="Z49" s="27"/>
      <c r="AA49" s="27"/>
      <c r="AB49" s="27"/>
      <c r="AC49" s="27"/>
      <c r="AD49" s="27"/>
      <c r="AE49" s="27"/>
      <c r="AF49" s="27"/>
      <c r="AG49" s="27"/>
    </row>
    <row r="50" spans="2:33" x14ac:dyDescent="0.3">
      <c r="B50" s="756" t="s">
        <v>66</v>
      </c>
      <c r="C50" s="805" t="e">
        <f t="shared" si="16"/>
        <v>#REF!</v>
      </c>
      <c r="D50" s="806" t="e">
        <f t="shared" si="16"/>
        <v>#REF!</v>
      </c>
      <c r="E50" s="809" t="e">
        <f>F21*#REF!</f>
        <v>#REF!</v>
      </c>
      <c r="F50" s="810" t="e">
        <f>E50/C50</f>
        <v>#REF!</v>
      </c>
      <c r="G50" s="809" t="e">
        <f>F21*#REF!</f>
        <v>#REF!</v>
      </c>
      <c r="H50" s="810" t="e">
        <f t="shared" si="19"/>
        <v>#REF!</v>
      </c>
      <c r="I50" s="809"/>
      <c r="J50" s="810"/>
      <c r="K50" s="805" t="e">
        <f>F21*#REF!</f>
        <v>#REF!</v>
      </c>
      <c r="L50" s="810" t="e">
        <f t="shared" si="20"/>
        <v>#REF!</v>
      </c>
      <c r="M50" s="805"/>
      <c r="N50" s="806"/>
      <c r="O50" s="809"/>
      <c r="P50" s="810"/>
      <c r="Q50" s="809"/>
      <c r="R50" s="808"/>
      <c r="S50" s="740" t="e">
        <f t="shared" si="18"/>
        <v>#REF!</v>
      </c>
      <c r="T50" s="742" t="e">
        <f t="shared" si="13"/>
        <v>#REF!</v>
      </c>
      <c r="U50" s="740" t="e">
        <f t="shared" si="14"/>
        <v>#REF!</v>
      </c>
      <c r="V50" s="742" t="e">
        <f t="shared" si="15"/>
        <v>#REF!</v>
      </c>
      <c r="X50" s="742"/>
      <c r="Y50" s="742"/>
      <c r="Z50" s="27"/>
      <c r="AA50" s="27"/>
      <c r="AB50" s="27"/>
      <c r="AC50" s="27"/>
      <c r="AD50" s="27"/>
      <c r="AE50" s="27"/>
      <c r="AF50" s="27"/>
      <c r="AG50" s="27"/>
    </row>
    <row r="51" spans="2:33" x14ac:dyDescent="0.3">
      <c r="B51" s="756" t="s">
        <v>73</v>
      </c>
      <c r="C51" s="805" t="e">
        <f t="shared" si="16"/>
        <v>#REF!</v>
      </c>
      <c r="D51" s="806" t="e">
        <f t="shared" si="16"/>
        <v>#REF!</v>
      </c>
      <c r="E51" s="809"/>
      <c r="F51" s="810"/>
      <c r="G51" s="809" t="e">
        <f>F22*#REF!</f>
        <v>#REF!</v>
      </c>
      <c r="H51" s="810" t="e">
        <f t="shared" si="19"/>
        <v>#REF!</v>
      </c>
      <c r="I51" s="809"/>
      <c r="J51" s="810"/>
      <c r="K51" s="805" t="e">
        <f>F22*#REF!</f>
        <v>#REF!</v>
      </c>
      <c r="L51" s="810" t="e">
        <f t="shared" si="20"/>
        <v>#REF!</v>
      </c>
      <c r="M51" s="815" t="e">
        <f>F22*#REF!</f>
        <v>#REF!</v>
      </c>
      <c r="N51" s="806" t="e">
        <f t="shared" si="17"/>
        <v>#REF!</v>
      </c>
      <c r="O51" s="809" t="e">
        <f t="shared" si="21"/>
        <v>#REF!</v>
      </c>
      <c r="P51" s="810" t="e">
        <f t="shared" si="22"/>
        <v>#REF!</v>
      </c>
      <c r="Q51" s="809"/>
      <c r="R51" s="808"/>
      <c r="S51" s="740" t="e">
        <f t="shared" si="18"/>
        <v>#REF!</v>
      </c>
      <c r="T51" s="742" t="e">
        <f t="shared" si="13"/>
        <v>#REF!</v>
      </c>
      <c r="U51" s="740" t="e">
        <f t="shared" si="14"/>
        <v>#REF!</v>
      </c>
      <c r="V51" s="742" t="e">
        <f t="shared" si="15"/>
        <v>#REF!</v>
      </c>
      <c r="X51" s="742"/>
      <c r="Y51" s="742"/>
      <c r="Z51" s="27"/>
      <c r="AA51" s="27"/>
      <c r="AB51" s="27"/>
      <c r="AC51" s="27"/>
      <c r="AD51" s="27"/>
      <c r="AE51" s="27"/>
      <c r="AF51" s="27"/>
      <c r="AG51" s="27"/>
    </row>
    <row r="52" spans="2:33" x14ac:dyDescent="0.3">
      <c r="B52" s="756" t="s">
        <v>74</v>
      </c>
      <c r="C52" s="805" t="e">
        <f t="shared" si="16"/>
        <v>#REF!</v>
      </c>
      <c r="D52" s="806" t="e">
        <f t="shared" si="16"/>
        <v>#REF!</v>
      </c>
      <c r="E52" s="809"/>
      <c r="F52" s="810"/>
      <c r="G52" s="887" t="e">
        <f>F23*#REF!</f>
        <v>#REF!</v>
      </c>
      <c r="H52" s="810" t="e">
        <f t="shared" si="19"/>
        <v>#REF!</v>
      </c>
      <c r="I52" s="809"/>
      <c r="J52" s="810"/>
      <c r="K52" s="805" t="e">
        <f>F23*#REF!</f>
        <v>#REF!</v>
      </c>
      <c r="L52" s="810" t="e">
        <f t="shared" si="20"/>
        <v>#REF!</v>
      </c>
      <c r="M52" s="805"/>
      <c r="N52" s="806"/>
      <c r="O52" s="809"/>
      <c r="P52" s="810"/>
      <c r="Q52" s="809"/>
      <c r="R52" s="808"/>
      <c r="S52" s="740" t="e">
        <f t="shared" si="18"/>
        <v>#REF!</v>
      </c>
      <c r="T52" s="742" t="e">
        <f t="shared" si="13"/>
        <v>#REF!</v>
      </c>
      <c r="U52" s="740" t="e">
        <f t="shared" si="14"/>
        <v>#REF!</v>
      </c>
      <c r="V52" s="742" t="e">
        <f t="shared" si="15"/>
        <v>#REF!</v>
      </c>
      <c r="X52" s="742"/>
      <c r="Y52" s="742"/>
      <c r="Z52" s="27"/>
      <c r="AA52" s="27"/>
      <c r="AB52" s="27"/>
      <c r="AC52" s="27"/>
      <c r="AD52" s="27"/>
      <c r="AE52" s="27"/>
      <c r="AF52" s="27"/>
      <c r="AG52" s="27"/>
    </row>
    <row r="53" spans="2:33" x14ac:dyDescent="0.3">
      <c r="B53" s="756" t="s">
        <v>327</v>
      </c>
      <c r="C53" s="805" t="e">
        <f t="shared" si="16"/>
        <v>#REF!</v>
      </c>
      <c r="D53" s="806" t="e">
        <f t="shared" si="16"/>
        <v>#REF!</v>
      </c>
      <c r="E53" s="809" t="e">
        <f>F24*#REF!</f>
        <v>#REF!</v>
      </c>
      <c r="F53" s="810" t="e">
        <f>E53/C53</f>
        <v>#REF!</v>
      </c>
      <c r="G53" s="809" t="e">
        <f>F24*#REF!</f>
        <v>#REF!</v>
      </c>
      <c r="H53" s="810" t="e">
        <f t="shared" si="19"/>
        <v>#REF!</v>
      </c>
      <c r="I53" s="809"/>
      <c r="J53" s="810"/>
      <c r="K53" s="811" t="e">
        <f>F24*#REF!</f>
        <v>#REF!</v>
      </c>
      <c r="L53" s="810" t="e">
        <f t="shared" si="20"/>
        <v>#REF!</v>
      </c>
      <c r="M53" s="811" t="e">
        <f>F24*#REF!</f>
        <v>#REF!</v>
      </c>
      <c r="N53" s="806" t="e">
        <f t="shared" si="17"/>
        <v>#REF!</v>
      </c>
      <c r="O53" s="809" t="e">
        <f t="shared" si="21"/>
        <v>#REF!</v>
      </c>
      <c r="P53" s="810" t="e">
        <f t="shared" si="22"/>
        <v>#REF!</v>
      </c>
      <c r="Q53" s="809"/>
      <c r="R53" s="808"/>
      <c r="S53" s="740" t="e">
        <f t="shared" si="18"/>
        <v>#REF!</v>
      </c>
      <c r="T53" s="742" t="e">
        <f t="shared" si="13"/>
        <v>#REF!</v>
      </c>
      <c r="U53" s="740" t="e">
        <f t="shared" si="14"/>
        <v>#REF!</v>
      </c>
      <c r="V53" s="742" t="e">
        <f t="shared" si="15"/>
        <v>#REF!</v>
      </c>
      <c r="X53" s="742"/>
      <c r="Y53" s="742"/>
      <c r="Z53" s="27"/>
      <c r="AA53" s="27"/>
      <c r="AB53" s="27"/>
      <c r="AC53" s="27"/>
      <c r="AD53" s="27"/>
      <c r="AE53" s="27"/>
      <c r="AF53" s="27"/>
      <c r="AG53" s="27"/>
    </row>
    <row r="54" spans="2:33" x14ac:dyDescent="0.3">
      <c r="B54" s="756" t="s">
        <v>143</v>
      </c>
      <c r="C54" s="805" t="e">
        <f t="shared" si="16"/>
        <v>#REF!</v>
      </c>
      <c r="D54" s="806" t="e">
        <f t="shared" si="16"/>
        <v>#REF!</v>
      </c>
      <c r="E54" s="809" t="e">
        <f>F25*#REF!</f>
        <v>#REF!</v>
      </c>
      <c r="F54" s="810" t="e">
        <f>E54/C54</f>
        <v>#REF!</v>
      </c>
      <c r="G54" s="809" t="e">
        <f>F25*#REF!</f>
        <v>#REF!</v>
      </c>
      <c r="H54" s="810" t="e">
        <f t="shared" si="19"/>
        <v>#REF!</v>
      </c>
      <c r="I54" s="809"/>
      <c r="J54" s="810"/>
      <c r="K54" s="805" t="e">
        <f>F25*#REF!</f>
        <v>#REF!</v>
      </c>
      <c r="L54" s="810" t="e">
        <f t="shared" si="20"/>
        <v>#REF!</v>
      </c>
      <c r="M54" s="805" t="e">
        <f>F25*#REF!</f>
        <v>#REF!</v>
      </c>
      <c r="N54" s="806" t="e">
        <f t="shared" si="17"/>
        <v>#REF!</v>
      </c>
      <c r="O54" s="809" t="e">
        <f t="shared" si="21"/>
        <v>#REF!</v>
      </c>
      <c r="P54" s="810" t="e">
        <f t="shared" si="22"/>
        <v>#REF!</v>
      </c>
      <c r="Q54" s="809"/>
      <c r="R54" s="808"/>
      <c r="S54" s="740" t="e">
        <f t="shared" si="18"/>
        <v>#REF!</v>
      </c>
      <c r="T54" s="742" t="e">
        <f t="shared" si="13"/>
        <v>#REF!</v>
      </c>
      <c r="U54" s="740" t="e">
        <f t="shared" si="14"/>
        <v>#REF!</v>
      </c>
      <c r="V54" s="742" t="e">
        <f t="shared" si="15"/>
        <v>#REF!</v>
      </c>
      <c r="X54" s="742"/>
      <c r="Y54" s="742"/>
      <c r="Z54" s="27"/>
      <c r="AA54" s="27"/>
      <c r="AB54" s="27"/>
      <c r="AC54" s="27"/>
      <c r="AD54" s="27"/>
      <c r="AE54" s="27"/>
      <c r="AF54" s="27"/>
      <c r="AG54" s="27"/>
    </row>
    <row r="55" spans="2:33" x14ac:dyDescent="0.3">
      <c r="B55" s="756" t="s">
        <v>76</v>
      </c>
      <c r="C55" s="805" t="e">
        <f t="shared" si="16"/>
        <v>#REF!</v>
      </c>
      <c r="D55" s="806" t="e">
        <f t="shared" si="16"/>
        <v>#REF!</v>
      </c>
      <c r="E55" s="809" t="e">
        <f>F26*#REF!</f>
        <v>#REF!</v>
      </c>
      <c r="F55" s="810" t="e">
        <f>E55/C55</f>
        <v>#REF!</v>
      </c>
      <c r="G55" s="809" t="e">
        <f>F26*#REF!</f>
        <v>#REF!</v>
      </c>
      <c r="H55" s="810" t="e">
        <f t="shared" si="19"/>
        <v>#REF!</v>
      </c>
      <c r="I55" s="809"/>
      <c r="J55" s="810"/>
      <c r="K55" s="805" t="e">
        <f>F26*#REF!</f>
        <v>#REF!</v>
      </c>
      <c r="L55" s="810" t="e">
        <f t="shared" si="20"/>
        <v>#REF!</v>
      </c>
      <c r="M55" s="805"/>
      <c r="N55" s="806"/>
      <c r="O55" s="809" t="e">
        <f t="shared" si="21"/>
        <v>#REF!</v>
      </c>
      <c r="P55" s="810" t="e">
        <f t="shared" si="22"/>
        <v>#REF!</v>
      </c>
      <c r="Q55" s="809"/>
      <c r="R55" s="808"/>
      <c r="S55" s="740" t="e">
        <f t="shared" si="18"/>
        <v>#REF!</v>
      </c>
      <c r="T55" s="742" t="e">
        <f t="shared" si="13"/>
        <v>#REF!</v>
      </c>
      <c r="U55" s="740" t="e">
        <f t="shared" si="14"/>
        <v>#REF!</v>
      </c>
      <c r="V55" s="742" t="e">
        <f t="shared" si="15"/>
        <v>#REF!</v>
      </c>
      <c r="X55" s="742"/>
      <c r="Y55" s="742"/>
      <c r="Z55" s="27"/>
      <c r="AA55" s="27"/>
      <c r="AB55" s="27"/>
      <c r="AC55" s="27"/>
      <c r="AD55" s="27"/>
      <c r="AE55" s="27"/>
      <c r="AF55" s="27"/>
      <c r="AG55" s="27"/>
    </row>
    <row r="56" spans="2:33" x14ac:dyDescent="0.3">
      <c r="B56" s="756" t="s">
        <v>309</v>
      </c>
      <c r="C56" s="805" t="e">
        <f t="shared" si="16"/>
        <v>#REF!</v>
      </c>
      <c r="D56" s="806" t="e">
        <f t="shared" si="16"/>
        <v>#REF!</v>
      </c>
      <c r="E56" s="809"/>
      <c r="F56" s="810"/>
      <c r="G56" s="809"/>
      <c r="H56" s="810"/>
      <c r="I56" s="809"/>
      <c r="J56" s="810"/>
      <c r="K56" s="805"/>
      <c r="L56" s="810"/>
      <c r="M56" s="805" t="e">
        <f>F27</f>
        <v>#REF!</v>
      </c>
      <c r="N56" s="806" t="e">
        <f t="shared" si="17"/>
        <v>#REF!</v>
      </c>
      <c r="O56" s="809" t="e">
        <f t="shared" si="21"/>
        <v>#REF!</v>
      </c>
      <c r="P56" s="810" t="e">
        <f t="shared" si="22"/>
        <v>#REF!</v>
      </c>
      <c r="Q56" s="809"/>
      <c r="R56" s="808"/>
      <c r="S56" s="740" t="e">
        <f t="shared" si="18"/>
        <v>#REF!</v>
      </c>
      <c r="T56" s="742" t="e">
        <f t="shared" si="13"/>
        <v>#REF!</v>
      </c>
      <c r="U56" s="740" t="e">
        <f t="shared" si="14"/>
        <v>#REF!</v>
      </c>
      <c r="V56" s="742" t="e">
        <f t="shared" si="15"/>
        <v>#REF!</v>
      </c>
      <c r="X56" s="742"/>
      <c r="Y56" s="742"/>
      <c r="Z56" s="27"/>
      <c r="AA56" s="27"/>
      <c r="AB56" s="27"/>
      <c r="AC56" s="27"/>
      <c r="AD56" s="27"/>
      <c r="AE56" s="27"/>
      <c r="AF56" s="27"/>
      <c r="AG56" s="27"/>
    </row>
    <row r="57" spans="2:33" x14ac:dyDescent="0.3">
      <c r="B57" s="756" t="s">
        <v>95</v>
      </c>
      <c r="C57" s="805"/>
      <c r="D57" s="806"/>
      <c r="E57" s="809"/>
      <c r="F57" s="810"/>
      <c r="G57" s="809"/>
      <c r="H57" s="810"/>
      <c r="I57" s="809"/>
      <c r="J57" s="810"/>
      <c r="K57" s="805"/>
      <c r="L57" s="810"/>
      <c r="M57" s="805"/>
      <c r="N57" s="806"/>
      <c r="O57" s="809"/>
      <c r="P57" s="810"/>
      <c r="Q57" s="809"/>
      <c r="R57" s="808"/>
      <c r="S57" s="740">
        <f t="shared" si="18"/>
        <v>0</v>
      </c>
      <c r="T57" s="742">
        <f t="shared" si="13"/>
        <v>0</v>
      </c>
      <c r="U57" s="740">
        <f t="shared" si="14"/>
        <v>0</v>
      </c>
      <c r="V57" s="742">
        <f t="shared" si="15"/>
        <v>0</v>
      </c>
      <c r="X57" s="742"/>
      <c r="Y57" s="742"/>
      <c r="Z57" s="27"/>
      <c r="AA57" s="27"/>
      <c r="AB57" s="27"/>
      <c r="AC57" s="27"/>
      <c r="AD57" s="27"/>
      <c r="AE57" s="27"/>
      <c r="AF57" s="27"/>
      <c r="AG57" s="27"/>
    </row>
    <row r="58" spans="2:33" x14ac:dyDescent="0.3">
      <c r="B58" s="773" t="s">
        <v>119</v>
      </c>
      <c r="C58" s="805" t="e">
        <f t="shared" si="16"/>
        <v>#REF!</v>
      </c>
      <c r="D58" s="806" t="e">
        <f t="shared" si="16"/>
        <v>#REF!</v>
      </c>
      <c r="E58" s="807"/>
      <c r="F58" s="816"/>
      <c r="G58" s="807"/>
      <c r="H58" s="816"/>
      <c r="I58" s="807"/>
      <c r="J58" s="816"/>
      <c r="K58" s="805"/>
      <c r="L58" s="810"/>
      <c r="M58" s="805"/>
      <c r="N58" s="806"/>
      <c r="O58" s="809" t="e">
        <f t="shared" si="21"/>
        <v>#REF!</v>
      </c>
      <c r="P58" s="810" t="e">
        <f t="shared" si="22"/>
        <v>#REF!</v>
      </c>
      <c r="Q58" s="817"/>
      <c r="R58" s="808"/>
      <c r="S58" s="740" t="e">
        <f t="shared" si="18"/>
        <v>#REF!</v>
      </c>
      <c r="T58" s="742" t="e">
        <f t="shared" si="13"/>
        <v>#REF!</v>
      </c>
      <c r="U58" s="740" t="e">
        <f t="shared" si="14"/>
        <v>#REF!</v>
      </c>
      <c r="V58" s="742" t="e">
        <f t="shared" si="15"/>
        <v>#REF!</v>
      </c>
      <c r="X58" s="742"/>
      <c r="Y58" s="742"/>
      <c r="Z58" s="27"/>
      <c r="AA58" s="27"/>
      <c r="AB58" s="27"/>
      <c r="AC58" s="27"/>
      <c r="AD58" s="27"/>
      <c r="AE58" s="27"/>
      <c r="AF58" s="27"/>
      <c r="AG58" s="27"/>
    </row>
    <row r="59" spans="2:33" ht="14.4" thickBot="1" x14ac:dyDescent="0.35">
      <c r="B59" s="774" t="s">
        <v>125</v>
      </c>
      <c r="C59" s="818" t="e">
        <f>SUM(C37:C58)</f>
        <v>#REF!</v>
      </c>
      <c r="D59" s="819" t="e">
        <f>R26</f>
        <v>#REF!</v>
      </c>
      <c r="E59" s="820" t="e">
        <f>SUM(E37:E58)</f>
        <v>#REF!</v>
      </c>
      <c r="F59" s="819" t="e">
        <f>E59/C59</f>
        <v>#REF!</v>
      </c>
      <c r="G59" s="820" t="e">
        <f>SUM(G37:G58)</f>
        <v>#REF!</v>
      </c>
      <c r="H59" s="819" t="e">
        <f>G59/C59</f>
        <v>#REF!</v>
      </c>
      <c r="I59" s="820" t="e">
        <f>SUM(I37:I58)</f>
        <v>#REF!</v>
      </c>
      <c r="J59" s="819" t="e">
        <f>I59/C59</f>
        <v>#REF!</v>
      </c>
      <c r="K59" s="820" t="e">
        <f>SUM(K37:K58)</f>
        <v>#REF!</v>
      </c>
      <c r="L59" s="819" t="e">
        <f>K59/C59</f>
        <v>#REF!</v>
      </c>
      <c r="M59" s="820" t="e">
        <f>SUM(M37:M58)</f>
        <v>#REF!</v>
      </c>
      <c r="N59" s="819" t="e">
        <f t="shared" si="17"/>
        <v>#REF!</v>
      </c>
      <c r="O59" s="818" t="e">
        <f>SUM(O37:O58)</f>
        <v>#REF!</v>
      </c>
      <c r="P59" s="819" t="e">
        <f>O59/C59</f>
        <v>#REF!</v>
      </c>
      <c r="Q59" s="820" t="e">
        <f>SUM(Q37:Q57)</f>
        <v>#REF!</v>
      </c>
      <c r="R59" s="821" t="e">
        <f>Q59/C59</f>
        <v>#REF!</v>
      </c>
      <c r="S59" s="778" t="e">
        <f t="shared" si="18"/>
        <v>#REF!</v>
      </c>
      <c r="T59" s="742" t="e">
        <f t="shared" si="13"/>
        <v>#REF!</v>
      </c>
      <c r="U59" s="740" t="e">
        <f t="shared" si="14"/>
        <v>#REF!</v>
      </c>
      <c r="V59" s="742" t="e">
        <f t="shared" si="15"/>
        <v>#REF!</v>
      </c>
      <c r="X59" s="742"/>
      <c r="Y59" s="742"/>
      <c r="Z59" s="27"/>
      <c r="AA59" s="27"/>
      <c r="AB59" s="27"/>
      <c r="AC59" s="27"/>
      <c r="AD59" s="27"/>
      <c r="AE59" s="27"/>
      <c r="AF59" s="27"/>
      <c r="AG59" s="27"/>
    </row>
    <row r="60" spans="2:33" s="823" customFormat="1" ht="10.199999999999999" x14ac:dyDescent="0.3">
      <c r="B60" s="823" t="s">
        <v>508</v>
      </c>
      <c r="C60" s="824" t="e">
        <f>C59-Q59</f>
        <v>#REF!</v>
      </c>
      <c r="D60" s="824"/>
      <c r="E60" s="824"/>
      <c r="F60" s="825" t="e">
        <f>E59/C60</f>
        <v>#REF!</v>
      </c>
      <c r="H60" s="825" t="e">
        <f>G59/C60</f>
        <v>#REF!</v>
      </c>
      <c r="I60" s="825"/>
      <c r="J60" s="825" t="e">
        <f>I59/C60</f>
        <v>#REF!</v>
      </c>
      <c r="K60" s="825"/>
      <c r="L60" s="825" t="e">
        <f>K59/$C$60</f>
        <v>#REF!</v>
      </c>
      <c r="M60" s="825"/>
      <c r="N60" s="825" t="e">
        <f>M59/$C$60</f>
        <v>#REF!</v>
      </c>
      <c r="O60" s="825"/>
      <c r="P60" s="825"/>
      <c r="Q60" s="825"/>
      <c r="R60" s="825"/>
      <c r="S60" s="825" t="e">
        <f>SUM(E60:R60)</f>
        <v>#REF!</v>
      </c>
      <c r="T60" s="826"/>
      <c r="U60" s="826"/>
      <c r="V60" s="826"/>
      <c r="W60" s="826"/>
    </row>
    <row r="61" spans="2:33" x14ac:dyDescent="0.3">
      <c r="L61" s="740"/>
      <c r="Q61" s="742"/>
      <c r="R61" s="742"/>
      <c r="T61" s="742"/>
      <c r="V61" s="742"/>
      <c r="X61" s="740"/>
      <c r="Y61" s="27"/>
      <c r="Z61" s="27"/>
      <c r="AA61" s="27"/>
      <c r="AB61" s="27"/>
      <c r="AC61" s="27"/>
      <c r="AD61" s="27"/>
      <c r="AE61" s="27"/>
      <c r="AF61" s="27"/>
      <c r="AG61" s="27"/>
    </row>
    <row r="62" spans="2:33" s="7" customFormat="1" x14ac:dyDescent="0.3">
      <c r="C62" s="827"/>
      <c r="D62" s="828"/>
      <c r="E62" s="828"/>
      <c r="K62" s="827"/>
      <c r="L62" s="827"/>
      <c r="M62" s="827"/>
      <c r="Q62" s="817"/>
      <c r="R62" s="817"/>
      <c r="S62" s="817"/>
      <c r="T62" s="817"/>
      <c r="U62" s="817"/>
      <c r="V62" s="817"/>
      <c r="W62" s="817"/>
    </row>
    <row r="63" spans="2:33" s="832" customFormat="1" ht="20.399999999999999" x14ac:dyDescent="0.3">
      <c r="B63" s="829" t="s">
        <v>509</v>
      </c>
      <c r="C63" s="830" t="e">
        <f>C38+C39+C42+C41+C47+C40</f>
        <v>#REF!</v>
      </c>
      <c r="D63" s="830"/>
      <c r="E63" s="830">
        <f>E38+E39+E42+E41+E47+E40</f>
        <v>0</v>
      </c>
      <c r="F63" s="830"/>
      <c r="G63" s="830" t="e">
        <f>G38+G39+G42+G41+G47+G40</f>
        <v>#REF!</v>
      </c>
      <c r="H63" s="831" t="e">
        <f>G63/C63</f>
        <v>#REF!</v>
      </c>
      <c r="K63" s="833"/>
      <c r="L63" s="833"/>
      <c r="M63" s="833"/>
      <c r="Q63" s="834"/>
      <c r="R63" s="834"/>
      <c r="S63" s="834"/>
      <c r="T63" s="834"/>
      <c r="U63" s="834"/>
      <c r="V63" s="834"/>
      <c r="W63" s="834"/>
    </row>
    <row r="64" spans="2:33" s="7" customFormat="1" ht="27.6" x14ac:dyDescent="0.3">
      <c r="C64" s="27" t="s">
        <v>513</v>
      </c>
      <c r="D64" s="740" t="e">
        <f>+C40/C31*1000</f>
        <v>#REF!</v>
      </c>
      <c r="E64" s="828"/>
      <c r="K64" s="827"/>
      <c r="L64" s="827"/>
      <c r="M64" s="827"/>
      <c r="Q64" s="817"/>
      <c r="R64" s="827"/>
      <c r="S64" s="827"/>
      <c r="T64" s="817"/>
      <c r="U64" s="817"/>
      <c r="V64" s="817"/>
      <c r="W64" s="817"/>
      <c r="X64" s="817"/>
      <c r="Y64" s="817"/>
      <c r="Z64" s="817"/>
      <c r="AA64" s="817"/>
    </row>
    <row r="65" spans="2:33" s="7" customFormat="1" x14ac:dyDescent="0.3">
      <c r="C65" s="827"/>
      <c r="D65" s="828"/>
      <c r="E65" s="828"/>
      <c r="K65" s="827"/>
      <c r="L65" s="827"/>
      <c r="M65" s="827"/>
      <c r="Q65" s="817"/>
      <c r="R65" s="827"/>
      <c r="S65" s="827"/>
      <c r="T65" s="817"/>
      <c r="U65" s="817"/>
      <c r="V65" s="817"/>
      <c r="W65" s="817"/>
      <c r="X65" s="817"/>
      <c r="Y65" s="817"/>
      <c r="Z65" s="817"/>
      <c r="AA65" s="817"/>
    </row>
    <row r="66" spans="2:33" s="837" customFormat="1" x14ac:dyDescent="0.3">
      <c r="B66" s="791" t="s">
        <v>510</v>
      </c>
      <c r="C66" s="835" t="e">
        <f>Q30</f>
        <v>#REF!</v>
      </c>
      <c r="D66" s="836" t="e">
        <f>R30</f>
        <v>#REF!</v>
      </c>
      <c r="E66" s="835"/>
      <c r="I66" s="835" t="e">
        <f>P30*(1-#REF!)</f>
        <v>#REF!</v>
      </c>
      <c r="J66" s="836" t="e">
        <f>I66/C66</f>
        <v>#REF!</v>
      </c>
      <c r="K66" s="838"/>
      <c r="L66" s="836"/>
      <c r="M66" s="835" t="e">
        <f>P30*#REF!</f>
        <v>#REF!</v>
      </c>
      <c r="N66" s="836" t="e">
        <f>M66/C66</f>
        <v>#REF!</v>
      </c>
      <c r="O66" s="835" t="e">
        <f>O4*S30</f>
        <v>#REF!</v>
      </c>
      <c r="P66" s="836" t="e">
        <f>O66/C66</f>
        <v>#REF!</v>
      </c>
      <c r="Q66" s="835" t="e">
        <f>C66-I66-M66-O66</f>
        <v>#REF!</v>
      </c>
      <c r="R66" s="836" t="e">
        <f>Q66/C66</f>
        <v>#REF!</v>
      </c>
      <c r="S66" s="840" t="e">
        <f>E66+G66+I66+K66+M66+O66+Q66</f>
        <v>#REF!</v>
      </c>
      <c r="T66" s="839"/>
      <c r="U66" s="839"/>
      <c r="V66" s="839"/>
    </row>
    <row r="67" spans="2:33" s="7" customFormat="1" x14ac:dyDescent="0.3">
      <c r="C67" s="828"/>
      <c r="D67" s="827"/>
      <c r="E67" s="828"/>
      <c r="J67" s="827"/>
      <c r="K67" s="827"/>
      <c r="L67" s="827"/>
      <c r="N67" s="827"/>
      <c r="O67" s="817"/>
      <c r="P67" s="827"/>
      <c r="R67" s="827"/>
      <c r="S67" s="841"/>
      <c r="T67" s="817"/>
      <c r="U67" s="817"/>
      <c r="V67" s="817"/>
    </row>
    <row r="68" spans="2:33" s="844" customFormat="1" ht="27.6" x14ac:dyDescent="0.3">
      <c r="B68" s="799" t="s">
        <v>511</v>
      </c>
      <c r="C68" s="842" t="e">
        <f>Q31</f>
        <v>#REF!</v>
      </c>
      <c r="D68" s="843" t="e">
        <f>R31</f>
        <v>#REF!</v>
      </c>
      <c r="E68" s="842"/>
      <c r="I68" s="842" t="e">
        <f>P31*(1-#REF!)</f>
        <v>#REF!</v>
      </c>
      <c r="J68" s="843" t="e">
        <f>I68/C68</f>
        <v>#REF!</v>
      </c>
      <c r="K68" s="843"/>
      <c r="L68" s="843"/>
      <c r="M68" s="842" t="e">
        <f>P31*#REF!</f>
        <v>#REF!</v>
      </c>
      <c r="N68" s="843" t="e">
        <f>M68/C68</f>
        <v>#REF!</v>
      </c>
      <c r="O68" s="842" t="e">
        <f>O4*S31</f>
        <v>#REF!</v>
      </c>
      <c r="P68" s="843" t="e">
        <f>O68/C68</f>
        <v>#REF!</v>
      </c>
      <c r="Q68" s="842" t="e">
        <f>C68-I68-M68-O68</f>
        <v>#REF!</v>
      </c>
      <c r="R68" s="843" t="e">
        <f>Q68/C68</f>
        <v>#REF!</v>
      </c>
      <c r="S68" s="840" t="e">
        <f>E68+G68+I68+K68+M68+O68+Q68</f>
        <v>#REF!</v>
      </c>
      <c r="T68" s="845"/>
      <c r="U68" s="845"/>
      <c r="V68" s="845"/>
    </row>
    <row r="69" spans="2:33" s="7" customFormat="1" x14ac:dyDescent="0.3">
      <c r="C69" s="846" t="e">
        <f>SUM(C66:C68)</f>
        <v>#REF!</v>
      </c>
      <c r="D69" s="828"/>
      <c r="E69" s="828"/>
      <c r="I69" s="846" t="e">
        <f>SUM(I66:I68)</f>
        <v>#REF!</v>
      </c>
      <c r="K69" s="846"/>
      <c r="L69" s="827"/>
      <c r="M69" s="846" t="e">
        <f>SUM(M66:M68)</f>
        <v>#REF!</v>
      </c>
      <c r="N69" s="827"/>
      <c r="O69" s="846" t="e">
        <f>SUM(O66:O68)</f>
        <v>#REF!</v>
      </c>
      <c r="P69" s="827"/>
      <c r="Q69" s="846" t="e">
        <f>SUM(Q66:Q68)</f>
        <v>#REF!</v>
      </c>
      <c r="R69" s="817"/>
      <c r="S69" s="846" t="e">
        <f>SUM(S66:S68)</f>
        <v>#REF!</v>
      </c>
      <c r="T69" s="817"/>
      <c r="U69" s="817"/>
      <c r="V69" s="817"/>
    </row>
    <row r="70" spans="2:33" s="7" customFormat="1" x14ac:dyDescent="0.3">
      <c r="C70" s="846"/>
      <c r="D70" s="828"/>
      <c r="E70" s="828"/>
      <c r="I70" s="846"/>
      <c r="K70" s="846"/>
      <c r="L70" s="827"/>
      <c r="M70" s="846"/>
      <c r="N70" s="827"/>
      <c r="O70" s="846"/>
      <c r="P70" s="827"/>
      <c r="Q70" s="846"/>
      <c r="S70" s="846"/>
      <c r="T70" s="827"/>
      <c r="U70" s="846"/>
      <c r="V70" s="827"/>
      <c r="W70" s="846"/>
      <c r="X70" s="827"/>
      <c r="Y70" s="846"/>
      <c r="Z70" s="817"/>
      <c r="AA70" s="846"/>
      <c r="AB70" s="817"/>
      <c r="AC70" s="846"/>
      <c r="AD70" s="817"/>
      <c r="AE70" s="817"/>
      <c r="AF70" s="817"/>
    </row>
    <row r="71" spans="2:33" s="7" customFormat="1" x14ac:dyDescent="0.3">
      <c r="B71" s="7">
        <v>1</v>
      </c>
      <c r="C71" s="828">
        <v>2</v>
      </c>
      <c r="D71" s="7">
        <v>3</v>
      </c>
      <c r="E71" s="828">
        <v>4</v>
      </c>
      <c r="F71" s="7">
        <v>5</v>
      </c>
      <c r="G71" s="828">
        <v>6</v>
      </c>
      <c r="H71" s="7">
        <v>7</v>
      </c>
      <c r="I71" s="828">
        <v>8</v>
      </c>
      <c r="J71" s="7">
        <v>9</v>
      </c>
      <c r="K71" s="828">
        <v>10</v>
      </c>
      <c r="L71" s="827"/>
      <c r="M71" s="827"/>
      <c r="Q71" s="817"/>
      <c r="R71" s="827"/>
      <c r="S71" s="827"/>
      <c r="T71" s="817"/>
      <c r="U71" s="817"/>
      <c r="V71" s="817"/>
      <c r="W71" s="817"/>
      <c r="X71" s="817"/>
      <c r="Y71" s="817"/>
      <c r="Z71" s="817"/>
      <c r="AA71" s="817"/>
    </row>
    <row r="72" spans="2:33" ht="20.100000000000001" customHeight="1" x14ac:dyDescent="0.3">
      <c r="B72" s="3858" t="s">
        <v>336</v>
      </c>
      <c r="C72" s="3858" t="s">
        <v>468</v>
      </c>
      <c r="D72" s="3859" t="s">
        <v>469</v>
      </c>
      <c r="E72" s="3859" t="s">
        <v>493</v>
      </c>
      <c r="F72" s="3859"/>
      <c r="G72" s="3859"/>
      <c r="H72" s="3859"/>
      <c r="I72" s="3859"/>
      <c r="J72" s="3859"/>
      <c r="K72" s="3859"/>
      <c r="L72" s="742"/>
      <c r="M72" s="742"/>
      <c r="N72" s="742"/>
      <c r="O72" s="742"/>
      <c r="P72" s="742"/>
      <c r="Q72" s="742"/>
      <c r="R72" s="742"/>
      <c r="S72" s="27"/>
      <c r="T72" s="27"/>
      <c r="U72" s="27"/>
      <c r="V72" s="27"/>
      <c r="W72" s="27"/>
      <c r="X72" s="27"/>
      <c r="Y72" s="27"/>
      <c r="Z72" s="27"/>
      <c r="AA72" s="27"/>
      <c r="AB72" s="27"/>
      <c r="AC72" s="27"/>
      <c r="AD72" s="27"/>
      <c r="AE72" s="27"/>
      <c r="AF72" s="27"/>
      <c r="AG72" s="27"/>
    </row>
    <row r="73" spans="2:33" ht="42" customHeight="1" x14ac:dyDescent="0.3">
      <c r="B73" s="3858"/>
      <c r="C73" s="3858"/>
      <c r="D73" s="3859"/>
      <c r="E73" s="847" t="s">
        <v>436</v>
      </c>
      <c r="F73" s="847" t="s">
        <v>429</v>
      </c>
      <c r="G73" s="847" t="s">
        <v>405</v>
      </c>
      <c r="H73" s="847" t="s">
        <v>435</v>
      </c>
      <c r="I73" s="847" t="s">
        <v>502</v>
      </c>
      <c r="J73" s="847" t="s">
        <v>504</v>
      </c>
      <c r="K73" s="847" t="s">
        <v>536</v>
      </c>
      <c r="L73" s="742"/>
      <c r="M73" s="742"/>
      <c r="N73" s="742"/>
      <c r="O73" s="742"/>
      <c r="P73" s="742"/>
      <c r="Q73" s="742"/>
      <c r="R73" s="742"/>
      <c r="S73" s="27"/>
      <c r="T73" s="27"/>
      <c r="U73" s="27"/>
      <c r="V73" s="27"/>
      <c r="W73" s="27"/>
      <c r="X73" s="27"/>
      <c r="Y73" s="27"/>
      <c r="Z73" s="27"/>
      <c r="AA73" s="27"/>
      <c r="AB73" s="27"/>
      <c r="AC73" s="27"/>
      <c r="AD73" s="27"/>
      <c r="AE73" s="27"/>
      <c r="AF73" s="27"/>
      <c r="AG73" s="27"/>
    </row>
    <row r="74" spans="2:33" x14ac:dyDescent="0.3">
      <c r="B74" s="848" t="s">
        <v>5</v>
      </c>
      <c r="C74" s="849" t="e">
        <f>C37</f>
        <v>#REF!</v>
      </c>
      <c r="D74" s="867" t="e">
        <f>D37</f>
        <v>#REF!</v>
      </c>
      <c r="E74" s="849">
        <f>E37</f>
        <v>0</v>
      </c>
      <c r="F74" s="849">
        <f t="shared" ref="F74:F95" si="23">G37</f>
        <v>0</v>
      </c>
      <c r="G74" s="849" t="e">
        <f>I37</f>
        <v>#REF!</v>
      </c>
      <c r="H74" s="849">
        <f t="shared" ref="H74:H95" si="24">K37</f>
        <v>0</v>
      </c>
      <c r="I74" s="849" t="e">
        <f t="shared" ref="I74:I93" si="25">M37</f>
        <v>#REF!</v>
      </c>
      <c r="J74" s="849" t="e">
        <f t="shared" ref="J74:J95" si="26">O37</f>
        <v>#REF!</v>
      </c>
      <c r="K74" s="849">
        <f t="shared" ref="K74:K85" si="27">Q37</f>
        <v>0</v>
      </c>
      <c r="L74" s="740" t="e">
        <f>SUM(E74:K74)</f>
        <v>#REF!</v>
      </c>
      <c r="M74" s="742" t="e">
        <f>L74-C74</f>
        <v>#REF!</v>
      </c>
      <c r="N74" s="742"/>
      <c r="O74" s="742"/>
      <c r="P74" s="742"/>
      <c r="Q74" s="742"/>
      <c r="R74" s="742"/>
      <c r="S74" s="27"/>
      <c r="T74" s="27"/>
      <c r="U74" s="27"/>
      <c r="V74" s="27"/>
      <c r="W74" s="27"/>
      <c r="X74" s="27"/>
      <c r="Y74" s="27"/>
      <c r="Z74" s="27"/>
      <c r="AA74" s="27"/>
      <c r="AB74" s="27"/>
      <c r="AC74" s="27"/>
      <c r="AD74" s="27"/>
      <c r="AE74" s="27"/>
      <c r="AF74" s="27"/>
      <c r="AG74" s="27"/>
    </row>
    <row r="75" spans="2:33" x14ac:dyDescent="0.3">
      <c r="B75" s="848" t="s">
        <v>8</v>
      </c>
      <c r="C75" s="849" t="e">
        <f t="shared" ref="C75:E90" si="28">C38</f>
        <v>#REF!</v>
      </c>
      <c r="D75" s="867" t="e">
        <f t="shared" si="28"/>
        <v>#REF!</v>
      </c>
      <c r="E75" s="849">
        <f>E38</f>
        <v>0</v>
      </c>
      <c r="F75" s="849" t="e">
        <f t="shared" si="23"/>
        <v>#REF!</v>
      </c>
      <c r="G75" s="849">
        <f t="shared" ref="G75:G95" si="29">I38</f>
        <v>0</v>
      </c>
      <c r="H75" s="849">
        <f t="shared" si="24"/>
        <v>0</v>
      </c>
      <c r="I75" s="849" t="e">
        <f t="shared" si="25"/>
        <v>#REF!</v>
      </c>
      <c r="J75" s="849" t="e">
        <f t="shared" si="26"/>
        <v>#REF!</v>
      </c>
      <c r="K75" s="849">
        <f t="shared" si="27"/>
        <v>0</v>
      </c>
      <c r="L75" s="740" t="e">
        <f t="shared" ref="L75:L96" si="30">SUM(E75:K75)</f>
        <v>#REF!</v>
      </c>
      <c r="M75" s="742" t="e">
        <f t="shared" ref="M75:M97" si="31">L75-C75</f>
        <v>#REF!</v>
      </c>
      <c r="N75" s="742"/>
      <c r="O75" s="742"/>
      <c r="P75" s="742"/>
      <c r="Q75" s="742"/>
      <c r="R75" s="742"/>
      <c r="S75" s="27"/>
      <c r="T75" s="27"/>
      <c r="U75" s="27"/>
      <c r="V75" s="27"/>
      <c r="W75" s="27"/>
      <c r="X75" s="27"/>
      <c r="Y75" s="27"/>
      <c r="Z75" s="27"/>
      <c r="AA75" s="27"/>
      <c r="AB75" s="27"/>
      <c r="AC75" s="27"/>
      <c r="AD75" s="27"/>
      <c r="AE75" s="27"/>
      <c r="AF75" s="27"/>
      <c r="AG75" s="27"/>
    </row>
    <row r="76" spans="2:33" x14ac:dyDescent="0.3">
      <c r="B76" s="848" t="s">
        <v>304</v>
      </c>
      <c r="C76" s="849" t="e">
        <f t="shared" si="28"/>
        <v>#REF!</v>
      </c>
      <c r="D76" s="867" t="e">
        <f t="shared" si="28"/>
        <v>#REF!</v>
      </c>
      <c r="E76" s="849">
        <f>E39</f>
        <v>0</v>
      </c>
      <c r="F76" s="849" t="e">
        <f t="shared" si="23"/>
        <v>#REF!</v>
      </c>
      <c r="G76" s="849">
        <f t="shared" si="29"/>
        <v>0</v>
      </c>
      <c r="H76" s="849" t="e">
        <f t="shared" si="24"/>
        <v>#REF!</v>
      </c>
      <c r="I76" s="849" t="e">
        <f t="shared" si="25"/>
        <v>#REF!</v>
      </c>
      <c r="J76" s="849" t="e">
        <f t="shared" si="26"/>
        <v>#REF!</v>
      </c>
      <c r="K76" s="849">
        <f t="shared" si="27"/>
        <v>0</v>
      </c>
      <c r="L76" s="740" t="e">
        <f t="shared" si="30"/>
        <v>#REF!</v>
      </c>
      <c r="M76" s="742" t="e">
        <f t="shared" si="31"/>
        <v>#REF!</v>
      </c>
      <c r="N76" s="742"/>
      <c r="O76" s="742"/>
      <c r="P76" s="742"/>
      <c r="Q76" s="742"/>
      <c r="R76" s="742"/>
      <c r="S76" s="27"/>
      <c r="T76" s="27"/>
      <c r="U76" s="27"/>
      <c r="V76" s="27"/>
      <c r="W76" s="27"/>
      <c r="X76" s="27"/>
      <c r="Y76" s="27"/>
      <c r="Z76" s="27"/>
      <c r="AA76" s="27"/>
      <c r="AB76" s="27"/>
      <c r="AC76" s="27"/>
      <c r="AD76" s="27"/>
      <c r="AE76" s="27"/>
      <c r="AF76" s="27"/>
      <c r="AG76" s="27"/>
    </row>
    <row r="77" spans="2:33" x14ac:dyDescent="0.3">
      <c r="B77" s="848" t="s">
        <v>14</v>
      </c>
      <c r="C77" s="849" t="e">
        <f t="shared" si="28"/>
        <v>#REF!</v>
      </c>
      <c r="D77" s="867" t="e">
        <f t="shared" si="28"/>
        <v>#REF!</v>
      </c>
      <c r="E77" s="849">
        <f>E40</f>
        <v>0</v>
      </c>
      <c r="F77" s="849" t="e">
        <f t="shared" si="23"/>
        <v>#REF!</v>
      </c>
      <c r="G77" s="849">
        <f t="shared" si="29"/>
        <v>0</v>
      </c>
      <c r="H77" s="849">
        <f t="shared" si="24"/>
        <v>0</v>
      </c>
      <c r="I77" s="849" t="e">
        <f t="shared" si="25"/>
        <v>#REF!</v>
      </c>
      <c r="J77" s="849" t="e">
        <f t="shared" si="26"/>
        <v>#REF!</v>
      </c>
      <c r="K77" s="849">
        <f t="shared" si="27"/>
        <v>0</v>
      </c>
      <c r="L77" s="740" t="e">
        <f t="shared" si="30"/>
        <v>#REF!</v>
      </c>
      <c r="M77" s="742" t="e">
        <f t="shared" si="31"/>
        <v>#REF!</v>
      </c>
      <c r="N77" s="742"/>
      <c r="O77" s="741"/>
      <c r="P77" s="742"/>
      <c r="Q77" s="741"/>
      <c r="T77" s="742"/>
      <c r="V77" s="742"/>
      <c r="X77" s="742"/>
      <c r="Y77" s="742"/>
      <c r="AA77" s="27"/>
      <c r="AB77" s="27"/>
      <c r="AC77" s="27"/>
      <c r="AD77" s="27"/>
      <c r="AE77" s="27"/>
      <c r="AF77" s="27"/>
      <c r="AG77" s="27"/>
    </row>
    <row r="78" spans="2:33" x14ac:dyDescent="0.3">
      <c r="B78" s="848" t="s">
        <v>17</v>
      </c>
      <c r="C78" s="849" t="e">
        <f t="shared" si="28"/>
        <v>#REF!</v>
      </c>
      <c r="D78" s="867" t="e">
        <f t="shared" si="28"/>
        <v>#REF!</v>
      </c>
      <c r="E78" s="849">
        <f>E41</f>
        <v>0</v>
      </c>
      <c r="F78" s="849" t="e">
        <f t="shared" si="23"/>
        <v>#REF!</v>
      </c>
      <c r="G78" s="849">
        <f t="shared" si="29"/>
        <v>0</v>
      </c>
      <c r="H78" s="849">
        <f t="shared" si="24"/>
        <v>0</v>
      </c>
      <c r="I78" s="849" t="e">
        <f t="shared" si="25"/>
        <v>#REF!</v>
      </c>
      <c r="J78" s="849" t="e">
        <f t="shared" si="26"/>
        <v>#REF!</v>
      </c>
      <c r="K78" s="849">
        <f t="shared" si="27"/>
        <v>0</v>
      </c>
      <c r="L78" s="740" t="e">
        <f t="shared" si="30"/>
        <v>#REF!</v>
      </c>
      <c r="M78" s="742" t="e">
        <f t="shared" si="31"/>
        <v>#REF!</v>
      </c>
      <c r="N78" s="742"/>
      <c r="O78" s="741"/>
      <c r="P78" s="742"/>
      <c r="Q78" s="741"/>
      <c r="T78" s="742"/>
      <c r="V78" s="742"/>
      <c r="X78" s="742"/>
      <c r="Y78" s="742"/>
      <c r="AA78" s="27"/>
      <c r="AB78" s="27"/>
      <c r="AC78" s="27"/>
      <c r="AD78" s="27"/>
      <c r="AE78" s="27"/>
      <c r="AF78" s="27"/>
      <c r="AG78" s="27"/>
    </row>
    <row r="79" spans="2:33" x14ac:dyDescent="0.3">
      <c r="B79" s="848" t="s">
        <v>16</v>
      </c>
      <c r="C79" s="849" t="e">
        <f t="shared" si="28"/>
        <v>#REF!</v>
      </c>
      <c r="D79" s="867" t="e">
        <f t="shared" si="28"/>
        <v>#REF!</v>
      </c>
      <c r="E79" s="849">
        <f>E42</f>
        <v>0</v>
      </c>
      <c r="F79" s="849" t="e">
        <f t="shared" si="23"/>
        <v>#REF!</v>
      </c>
      <c r="G79" s="849">
        <f t="shared" si="29"/>
        <v>0</v>
      </c>
      <c r="H79" s="849">
        <f t="shared" si="24"/>
        <v>0</v>
      </c>
      <c r="I79" s="849" t="e">
        <f t="shared" si="25"/>
        <v>#REF!</v>
      </c>
      <c r="J79" s="849" t="e">
        <f t="shared" si="26"/>
        <v>#REF!</v>
      </c>
      <c r="K79" s="849">
        <f t="shared" si="27"/>
        <v>0</v>
      </c>
      <c r="L79" s="740" t="e">
        <f t="shared" si="30"/>
        <v>#REF!</v>
      </c>
      <c r="M79" s="742" t="e">
        <f t="shared" si="31"/>
        <v>#REF!</v>
      </c>
      <c r="N79" s="742"/>
      <c r="O79" s="741"/>
      <c r="P79" s="742"/>
      <c r="Q79" s="741"/>
      <c r="T79" s="742"/>
      <c r="V79" s="742"/>
      <c r="X79" s="742"/>
      <c r="Y79" s="742"/>
      <c r="AA79" s="27"/>
      <c r="AB79" s="27"/>
      <c r="AC79" s="27"/>
      <c r="AD79" s="27"/>
      <c r="AE79" s="27"/>
      <c r="AF79" s="27"/>
      <c r="AG79" s="27"/>
    </row>
    <row r="80" spans="2:33" x14ac:dyDescent="0.3">
      <c r="B80" s="848" t="s">
        <v>308</v>
      </c>
      <c r="C80" s="849" t="e">
        <f t="shared" si="28"/>
        <v>#REF!</v>
      </c>
      <c r="D80" s="867" t="e">
        <f t="shared" si="28"/>
        <v>#REF!</v>
      </c>
      <c r="E80" s="849">
        <f t="shared" si="28"/>
        <v>0</v>
      </c>
      <c r="F80" s="849" t="e">
        <f t="shared" si="23"/>
        <v>#REF!</v>
      </c>
      <c r="G80" s="849">
        <f t="shared" si="29"/>
        <v>0</v>
      </c>
      <c r="H80" s="849" t="e">
        <f t="shared" si="24"/>
        <v>#REF!</v>
      </c>
      <c r="I80" s="849" t="e">
        <f t="shared" si="25"/>
        <v>#REF!</v>
      </c>
      <c r="J80" s="849" t="e">
        <f t="shared" si="26"/>
        <v>#REF!</v>
      </c>
      <c r="K80" s="849">
        <f t="shared" si="27"/>
        <v>0</v>
      </c>
      <c r="L80" s="740" t="e">
        <f t="shared" si="30"/>
        <v>#REF!</v>
      </c>
      <c r="M80" s="742" t="e">
        <f t="shared" si="31"/>
        <v>#REF!</v>
      </c>
      <c r="N80" s="742"/>
      <c r="O80" s="741"/>
      <c r="P80" s="742"/>
      <c r="Q80" s="741"/>
      <c r="T80" s="742"/>
      <c r="V80" s="742"/>
      <c r="X80" s="742"/>
      <c r="Y80" s="742"/>
      <c r="AA80" s="27"/>
      <c r="AB80" s="27"/>
      <c r="AC80" s="27"/>
      <c r="AD80" s="27"/>
      <c r="AE80" s="27"/>
      <c r="AF80" s="27"/>
      <c r="AG80" s="27"/>
    </row>
    <row r="81" spans="2:33" x14ac:dyDescent="0.3">
      <c r="B81" s="848" t="s">
        <v>44</v>
      </c>
      <c r="C81" s="849" t="e">
        <f t="shared" si="28"/>
        <v>#REF!</v>
      </c>
      <c r="D81" s="867" t="e">
        <f t="shared" si="28"/>
        <v>#REF!</v>
      </c>
      <c r="E81" s="849" t="e">
        <f t="shared" si="28"/>
        <v>#REF!</v>
      </c>
      <c r="F81" s="849" t="e">
        <f t="shared" si="23"/>
        <v>#REF!</v>
      </c>
      <c r="G81" s="849">
        <f t="shared" si="29"/>
        <v>0</v>
      </c>
      <c r="H81" s="849" t="e">
        <f t="shared" si="24"/>
        <v>#REF!</v>
      </c>
      <c r="I81" s="849" t="e">
        <f t="shared" si="25"/>
        <v>#REF!</v>
      </c>
      <c r="J81" s="849" t="e">
        <f t="shared" si="26"/>
        <v>#REF!</v>
      </c>
      <c r="K81" s="849">
        <f t="shared" si="27"/>
        <v>0</v>
      </c>
      <c r="L81" s="740" t="e">
        <f t="shared" si="30"/>
        <v>#REF!</v>
      </c>
      <c r="M81" s="742" t="e">
        <f t="shared" si="31"/>
        <v>#REF!</v>
      </c>
      <c r="N81" s="742"/>
      <c r="O81" s="741"/>
      <c r="P81" s="742"/>
      <c r="Q81" s="741"/>
      <c r="T81" s="742"/>
      <c r="V81" s="742"/>
      <c r="X81" s="742"/>
      <c r="Y81" s="742"/>
      <c r="AA81" s="27"/>
      <c r="AB81" s="27"/>
      <c r="AC81" s="27"/>
      <c r="AD81" s="27"/>
      <c r="AE81" s="27"/>
      <c r="AF81" s="27"/>
      <c r="AG81" s="27"/>
    </row>
    <row r="82" spans="2:33" x14ac:dyDescent="0.3">
      <c r="B82" s="848" t="s">
        <v>326</v>
      </c>
      <c r="C82" s="849" t="e">
        <f t="shared" si="28"/>
        <v>#REF!</v>
      </c>
      <c r="D82" s="867" t="e">
        <f t="shared" si="28"/>
        <v>#REF!</v>
      </c>
      <c r="E82" s="849">
        <f t="shared" si="28"/>
        <v>0</v>
      </c>
      <c r="F82" s="849" t="e">
        <f t="shared" si="23"/>
        <v>#REF!</v>
      </c>
      <c r="G82" s="849">
        <f t="shared" si="29"/>
        <v>0</v>
      </c>
      <c r="H82" s="849">
        <f t="shared" si="24"/>
        <v>0</v>
      </c>
      <c r="I82" s="849">
        <f t="shared" si="25"/>
        <v>0</v>
      </c>
      <c r="J82" s="849" t="e">
        <f t="shared" si="26"/>
        <v>#REF!</v>
      </c>
      <c r="K82" s="849">
        <f t="shared" si="27"/>
        <v>0</v>
      </c>
      <c r="L82" s="740" t="e">
        <f t="shared" si="30"/>
        <v>#REF!</v>
      </c>
      <c r="M82" s="742" t="e">
        <f t="shared" si="31"/>
        <v>#REF!</v>
      </c>
      <c r="N82" s="742"/>
      <c r="O82" s="741"/>
      <c r="P82" s="742"/>
      <c r="Q82" s="741"/>
      <c r="T82" s="742"/>
      <c r="V82" s="742"/>
      <c r="X82" s="742"/>
      <c r="Y82" s="742"/>
      <c r="AA82" s="27"/>
      <c r="AB82" s="27"/>
      <c r="AC82" s="27"/>
      <c r="AD82" s="27"/>
      <c r="AE82" s="27"/>
      <c r="AF82" s="27"/>
      <c r="AG82" s="27"/>
    </row>
    <row r="83" spans="2:33" x14ac:dyDescent="0.3">
      <c r="B83" s="848" t="s">
        <v>25</v>
      </c>
      <c r="C83" s="849" t="e">
        <f t="shared" si="28"/>
        <v>#REF!</v>
      </c>
      <c r="D83" s="867" t="e">
        <f t="shared" si="28"/>
        <v>#REF!</v>
      </c>
      <c r="E83" s="849" t="e">
        <f t="shared" si="28"/>
        <v>#REF!</v>
      </c>
      <c r="F83" s="849" t="e">
        <f t="shared" si="23"/>
        <v>#REF!</v>
      </c>
      <c r="G83" s="849">
        <f t="shared" si="29"/>
        <v>0</v>
      </c>
      <c r="H83" s="849" t="e">
        <f t="shared" si="24"/>
        <v>#REF!</v>
      </c>
      <c r="I83" s="849" t="e">
        <f t="shared" si="25"/>
        <v>#REF!</v>
      </c>
      <c r="J83" s="849" t="e">
        <f t="shared" si="26"/>
        <v>#REF!</v>
      </c>
      <c r="K83" s="849">
        <f t="shared" si="27"/>
        <v>0</v>
      </c>
      <c r="L83" s="740" t="e">
        <f t="shared" si="30"/>
        <v>#REF!</v>
      </c>
      <c r="M83" s="742" t="e">
        <f t="shared" si="31"/>
        <v>#REF!</v>
      </c>
      <c r="N83" s="742"/>
      <c r="O83" s="741"/>
      <c r="P83" s="742"/>
      <c r="Q83" s="741"/>
      <c r="T83" s="742"/>
      <c r="V83" s="742"/>
      <c r="X83" s="742"/>
      <c r="Y83" s="742"/>
      <c r="AA83" s="27"/>
      <c r="AB83" s="27"/>
      <c r="AC83" s="27"/>
      <c r="AD83" s="27"/>
      <c r="AE83" s="27"/>
      <c r="AF83" s="27"/>
      <c r="AG83" s="27"/>
    </row>
    <row r="84" spans="2:33" x14ac:dyDescent="0.3">
      <c r="B84" s="848" t="s">
        <v>29</v>
      </c>
      <c r="C84" s="849" t="e">
        <f t="shared" si="28"/>
        <v>#REF!</v>
      </c>
      <c r="D84" s="867" t="e">
        <f t="shared" si="28"/>
        <v>#REF!</v>
      </c>
      <c r="E84" s="849">
        <f t="shared" si="28"/>
        <v>0</v>
      </c>
      <c r="F84" s="849" t="e">
        <f t="shared" si="23"/>
        <v>#REF!</v>
      </c>
      <c r="G84" s="849">
        <f t="shared" si="29"/>
        <v>0</v>
      </c>
      <c r="H84" s="849" t="e">
        <f t="shared" si="24"/>
        <v>#REF!</v>
      </c>
      <c r="I84" s="849" t="e">
        <f t="shared" si="25"/>
        <v>#REF!</v>
      </c>
      <c r="J84" s="849" t="e">
        <f t="shared" si="26"/>
        <v>#REF!</v>
      </c>
      <c r="K84" s="849">
        <f t="shared" si="27"/>
        <v>0</v>
      </c>
      <c r="L84" s="740" t="e">
        <f t="shared" si="30"/>
        <v>#REF!</v>
      </c>
      <c r="M84" s="742" t="e">
        <f t="shared" si="31"/>
        <v>#REF!</v>
      </c>
      <c r="N84" s="742"/>
      <c r="O84" s="741"/>
      <c r="P84" s="742"/>
      <c r="Q84" s="741"/>
      <c r="T84" s="742"/>
      <c r="V84" s="742"/>
      <c r="X84" s="742"/>
      <c r="Y84" s="742"/>
      <c r="AA84" s="27"/>
      <c r="AB84" s="27"/>
      <c r="AC84" s="27"/>
      <c r="AD84" s="27"/>
      <c r="AE84" s="27"/>
      <c r="AF84" s="27"/>
      <c r="AG84" s="27"/>
    </row>
    <row r="85" spans="2:33" x14ac:dyDescent="0.3">
      <c r="B85" s="848" t="s">
        <v>60</v>
      </c>
      <c r="C85" s="849" t="e">
        <f t="shared" si="28"/>
        <v>#REF!</v>
      </c>
      <c r="D85" s="867" t="e">
        <f t="shared" si="28"/>
        <v>#REF!</v>
      </c>
      <c r="E85" s="849">
        <f t="shared" si="28"/>
        <v>0</v>
      </c>
      <c r="F85" s="849" t="e">
        <f t="shared" si="23"/>
        <v>#REF!</v>
      </c>
      <c r="G85" s="849">
        <f t="shared" si="29"/>
        <v>0</v>
      </c>
      <c r="H85" s="849" t="e">
        <f t="shared" si="24"/>
        <v>#REF!</v>
      </c>
      <c r="I85" s="849" t="e">
        <f t="shared" si="25"/>
        <v>#REF!</v>
      </c>
      <c r="J85" s="849">
        <f t="shared" si="26"/>
        <v>0</v>
      </c>
      <c r="K85" s="849">
        <f t="shared" si="27"/>
        <v>0</v>
      </c>
      <c r="L85" s="740" t="e">
        <f t="shared" si="30"/>
        <v>#REF!</v>
      </c>
      <c r="M85" s="742" t="e">
        <f t="shared" si="31"/>
        <v>#REF!</v>
      </c>
      <c r="N85" s="742"/>
      <c r="O85" s="741"/>
      <c r="P85" s="742"/>
      <c r="Q85" s="741"/>
      <c r="T85" s="742"/>
      <c r="V85" s="742"/>
      <c r="X85" s="742"/>
      <c r="Y85" s="742"/>
      <c r="AA85" s="27"/>
      <c r="AB85" s="27"/>
      <c r="AC85" s="27"/>
      <c r="AD85" s="27"/>
      <c r="AE85" s="27"/>
      <c r="AF85" s="27"/>
      <c r="AG85" s="27"/>
    </row>
    <row r="86" spans="2:33" x14ac:dyDescent="0.3">
      <c r="B86" s="848" t="s">
        <v>33</v>
      </c>
      <c r="C86" s="849" t="e">
        <f t="shared" si="28"/>
        <v>#REF!</v>
      </c>
      <c r="D86" s="867" t="e">
        <f t="shared" si="28"/>
        <v>#REF!</v>
      </c>
      <c r="E86" s="849">
        <f t="shared" si="28"/>
        <v>0</v>
      </c>
      <c r="F86" s="849" t="e">
        <f t="shared" si="23"/>
        <v>#REF!</v>
      </c>
      <c r="G86" s="849">
        <f t="shared" si="29"/>
        <v>0</v>
      </c>
      <c r="H86" s="849" t="e">
        <f t="shared" si="24"/>
        <v>#REF!</v>
      </c>
      <c r="I86" s="849">
        <f t="shared" si="25"/>
        <v>0</v>
      </c>
      <c r="J86" s="849">
        <f t="shared" si="26"/>
        <v>0</v>
      </c>
      <c r="K86" s="849" t="e">
        <f>Q49</f>
        <v>#REF!</v>
      </c>
      <c r="L86" s="740" t="e">
        <f t="shared" si="30"/>
        <v>#REF!</v>
      </c>
      <c r="M86" s="742" t="e">
        <f t="shared" si="31"/>
        <v>#REF!</v>
      </c>
      <c r="N86" s="742"/>
      <c r="O86" s="741"/>
      <c r="P86" s="742"/>
      <c r="Q86" s="741"/>
      <c r="T86" s="742"/>
      <c r="V86" s="742"/>
      <c r="X86" s="742"/>
      <c r="Y86" s="742"/>
      <c r="AA86" s="27"/>
      <c r="AB86" s="27"/>
      <c r="AC86" s="27"/>
      <c r="AD86" s="27"/>
      <c r="AE86" s="27"/>
      <c r="AF86" s="27"/>
      <c r="AG86" s="27"/>
    </row>
    <row r="87" spans="2:33" x14ac:dyDescent="0.3">
      <c r="B87" s="848" t="s">
        <v>66</v>
      </c>
      <c r="C87" s="849" t="e">
        <f t="shared" si="28"/>
        <v>#REF!</v>
      </c>
      <c r="D87" s="867" t="e">
        <f t="shared" si="28"/>
        <v>#REF!</v>
      </c>
      <c r="E87" s="849" t="e">
        <f>E50</f>
        <v>#REF!</v>
      </c>
      <c r="F87" s="849" t="e">
        <f t="shared" si="23"/>
        <v>#REF!</v>
      </c>
      <c r="G87" s="849">
        <f t="shared" si="29"/>
        <v>0</v>
      </c>
      <c r="H87" s="849" t="e">
        <f t="shared" si="24"/>
        <v>#REF!</v>
      </c>
      <c r="I87" s="849">
        <f t="shared" si="25"/>
        <v>0</v>
      </c>
      <c r="J87" s="849">
        <f t="shared" si="26"/>
        <v>0</v>
      </c>
      <c r="K87" s="849">
        <f t="shared" ref="K87:K95" si="32">Q50</f>
        <v>0</v>
      </c>
      <c r="L87" s="740" t="e">
        <f t="shared" si="30"/>
        <v>#REF!</v>
      </c>
      <c r="M87" s="742" t="e">
        <f t="shared" si="31"/>
        <v>#REF!</v>
      </c>
      <c r="N87" s="742"/>
      <c r="O87" s="741"/>
      <c r="P87" s="742"/>
      <c r="Q87" s="741"/>
      <c r="T87" s="742"/>
      <c r="V87" s="742"/>
      <c r="X87" s="742"/>
      <c r="Y87" s="742"/>
      <c r="AA87" s="27"/>
      <c r="AB87" s="27"/>
      <c r="AC87" s="27"/>
      <c r="AD87" s="27"/>
      <c r="AE87" s="27"/>
      <c r="AF87" s="27"/>
      <c r="AG87" s="27"/>
    </row>
    <row r="88" spans="2:33" x14ac:dyDescent="0.3">
      <c r="B88" s="848" t="s">
        <v>73</v>
      </c>
      <c r="C88" s="849" t="e">
        <f t="shared" si="28"/>
        <v>#REF!</v>
      </c>
      <c r="D88" s="867" t="e">
        <f t="shared" si="28"/>
        <v>#REF!</v>
      </c>
      <c r="E88" s="849">
        <f t="shared" si="28"/>
        <v>0</v>
      </c>
      <c r="F88" s="849" t="e">
        <f t="shared" si="23"/>
        <v>#REF!</v>
      </c>
      <c r="G88" s="849">
        <f t="shared" si="29"/>
        <v>0</v>
      </c>
      <c r="H88" s="849" t="e">
        <f t="shared" si="24"/>
        <v>#REF!</v>
      </c>
      <c r="I88" s="888" t="e">
        <f t="shared" si="25"/>
        <v>#REF!</v>
      </c>
      <c r="J88" s="849" t="e">
        <f t="shared" si="26"/>
        <v>#REF!</v>
      </c>
      <c r="K88" s="849">
        <f t="shared" si="32"/>
        <v>0</v>
      </c>
      <c r="L88" s="740" t="e">
        <f t="shared" si="30"/>
        <v>#REF!</v>
      </c>
      <c r="M88" s="742" t="e">
        <f t="shared" si="31"/>
        <v>#REF!</v>
      </c>
      <c r="N88" s="742"/>
      <c r="O88" s="741"/>
      <c r="P88" s="742"/>
      <c r="Q88" s="741"/>
      <c r="T88" s="742"/>
      <c r="V88" s="742"/>
      <c r="X88" s="742"/>
      <c r="Y88" s="742"/>
      <c r="AA88" s="27"/>
      <c r="AB88" s="27"/>
      <c r="AC88" s="27"/>
      <c r="AD88" s="27"/>
      <c r="AE88" s="27"/>
      <c r="AF88" s="27"/>
      <c r="AG88" s="27"/>
    </row>
    <row r="89" spans="2:33" x14ac:dyDescent="0.3">
      <c r="B89" s="848" t="s">
        <v>74</v>
      </c>
      <c r="C89" s="849" t="e">
        <f t="shared" si="28"/>
        <v>#REF!</v>
      </c>
      <c r="D89" s="867" t="e">
        <f t="shared" si="28"/>
        <v>#REF!</v>
      </c>
      <c r="E89" s="849">
        <f t="shared" si="28"/>
        <v>0</v>
      </c>
      <c r="F89" s="849" t="e">
        <f t="shared" si="23"/>
        <v>#REF!</v>
      </c>
      <c r="G89" s="849">
        <f t="shared" si="29"/>
        <v>0</v>
      </c>
      <c r="H89" s="849" t="e">
        <f t="shared" si="24"/>
        <v>#REF!</v>
      </c>
      <c r="I89" s="849">
        <f t="shared" si="25"/>
        <v>0</v>
      </c>
      <c r="J89" s="849">
        <f t="shared" si="26"/>
        <v>0</v>
      </c>
      <c r="K89" s="849">
        <f t="shared" si="32"/>
        <v>0</v>
      </c>
      <c r="L89" s="740" t="e">
        <f t="shared" si="30"/>
        <v>#REF!</v>
      </c>
      <c r="M89" s="742" t="e">
        <f t="shared" si="31"/>
        <v>#REF!</v>
      </c>
      <c r="N89" s="742"/>
      <c r="O89" s="741"/>
      <c r="P89" s="742"/>
      <c r="Q89" s="741"/>
      <c r="T89" s="742"/>
      <c r="V89" s="742"/>
      <c r="X89" s="742"/>
      <c r="Y89" s="742"/>
      <c r="AA89" s="27"/>
      <c r="AB89" s="27"/>
      <c r="AC89" s="27"/>
      <c r="AD89" s="27"/>
      <c r="AE89" s="27"/>
      <c r="AF89" s="27"/>
      <c r="AG89" s="27"/>
    </row>
    <row r="90" spans="2:33" x14ac:dyDescent="0.3">
      <c r="B90" s="848" t="s">
        <v>327</v>
      </c>
      <c r="C90" s="849" t="e">
        <f t="shared" si="28"/>
        <v>#REF!</v>
      </c>
      <c r="D90" s="867" t="e">
        <f t="shared" si="28"/>
        <v>#REF!</v>
      </c>
      <c r="E90" s="849" t="e">
        <f t="shared" si="28"/>
        <v>#REF!</v>
      </c>
      <c r="F90" s="849" t="e">
        <f t="shared" si="23"/>
        <v>#REF!</v>
      </c>
      <c r="G90" s="849">
        <f t="shared" si="29"/>
        <v>0</v>
      </c>
      <c r="H90" s="850" t="e">
        <f t="shared" si="24"/>
        <v>#REF!</v>
      </c>
      <c r="I90" s="850" t="e">
        <f t="shared" si="25"/>
        <v>#REF!</v>
      </c>
      <c r="J90" s="849" t="e">
        <f t="shared" si="26"/>
        <v>#REF!</v>
      </c>
      <c r="K90" s="849">
        <f t="shared" si="32"/>
        <v>0</v>
      </c>
      <c r="L90" s="740" t="e">
        <f t="shared" si="30"/>
        <v>#REF!</v>
      </c>
      <c r="M90" s="742" t="e">
        <f t="shared" si="31"/>
        <v>#REF!</v>
      </c>
      <c r="N90" s="742"/>
      <c r="O90" s="741"/>
      <c r="P90" s="742"/>
      <c r="Q90" s="741"/>
      <c r="T90" s="742"/>
      <c r="V90" s="742"/>
      <c r="X90" s="742"/>
      <c r="Y90" s="742"/>
      <c r="AA90" s="27"/>
      <c r="AB90" s="27"/>
      <c r="AC90" s="27"/>
      <c r="AD90" s="27"/>
      <c r="AE90" s="27"/>
      <c r="AF90" s="27"/>
      <c r="AG90" s="27"/>
    </row>
    <row r="91" spans="2:33" x14ac:dyDescent="0.3">
      <c r="B91" s="848" t="s">
        <v>143</v>
      </c>
      <c r="C91" s="849" t="e">
        <f t="shared" ref="C91:E96" si="33">C54</f>
        <v>#REF!</v>
      </c>
      <c r="D91" s="867" t="e">
        <f t="shared" si="33"/>
        <v>#REF!</v>
      </c>
      <c r="E91" s="849" t="e">
        <f t="shared" si="33"/>
        <v>#REF!</v>
      </c>
      <c r="F91" s="849" t="e">
        <f t="shared" si="23"/>
        <v>#REF!</v>
      </c>
      <c r="G91" s="849">
        <f t="shared" si="29"/>
        <v>0</v>
      </c>
      <c r="H91" s="849" t="e">
        <f t="shared" si="24"/>
        <v>#REF!</v>
      </c>
      <c r="I91" s="849" t="e">
        <f t="shared" si="25"/>
        <v>#REF!</v>
      </c>
      <c r="J91" s="849" t="e">
        <f t="shared" si="26"/>
        <v>#REF!</v>
      </c>
      <c r="K91" s="849">
        <f t="shared" si="32"/>
        <v>0</v>
      </c>
      <c r="L91" s="740" t="e">
        <f t="shared" si="30"/>
        <v>#REF!</v>
      </c>
      <c r="M91" s="742" t="e">
        <f t="shared" si="31"/>
        <v>#REF!</v>
      </c>
      <c r="N91" s="742"/>
      <c r="O91" s="741"/>
      <c r="P91" s="742"/>
      <c r="Q91" s="741"/>
      <c r="T91" s="742"/>
      <c r="V91" s="742"/>
      <c r="X91" s="742"/>
      <c r="Y91" s="742"/>
      <c r="AA91" s="27"/>
      <c r="AB91" s="27"/>
      <c r="AC91" s="27"/>
      <c r="AD91" s="27"/>
      <c r="AE91" s="27"/>
      <c r="AF91" s="27"/>
      <c r="AG91" s="27"/>
    </row>
    <row r="92" spans="2:33" x14ac:dyDescent="0.3">
      <c r="B92" s="848" t="s">
        <v>76</v>
      </c>
      <c r="C92" s="849" t="e">
        <f t="shared" si="33"/>
        <v>#REF!</v>
      </c>
      <c r="D92" s="867" t="e">
        <f t="shared" si="33"/>
        <v>#REF!</v>
      </c>
      <c r="E92" s="849" t="e">
        <f t="shared" si="33"/>
        <v>#REF!</v>
      </c>
      <c r="F92" s="849" t="e">
        <f t="shared" si="23"/>
        <v>#REF!</v>
      </c>
      <c r="G92" s="849">
        <f t="shared" si="29"/>
        <v>0</v>
      </c>
      <c r="H92" s="849" t="e">
        <f t="shared" si="24"/>
        <v>#REF!</v>
      </c>
      <c r="I92" s="849">
        <f t="shared" si="25"/>
        <v>0</v>
      </c>
      <c r="J92" s="849" t="e">
        <f t="shared" si="26"/>
        <v>#REF!</v>
      </c>
      <c r="K92" s="849">
        <f t="shared" si="32"/>
        <v>0</v>
      </c>
      <c r="L92" s="740" t="e">
        <f t="shared" si="30"/>
        <v>#REF!</v>
      </c>
      <c r="M92" s="742" t="e">
        <f t="shared" si="31"/>
        <v>#REF!</v>
      </c>
      <c r="N92" s="742"/>
      <c r="O92" s="741"/>
      <c r="P92" s="742"/>
      <c r="Q92" s="741"/>
      <c r="T92" s="742"/>
      <c r="V92" s="742"/>
      <c r="X92" s="742"/>
      <c r="Y92" s="742"/>
      <c r="AA92" s="27"/>
      <c r="AB92" s="27"/>
      <c r="AC92" s="27"/>
      <c r="AD92" s="27"/>
      <c r="AE92" s="27"/>
      <c r="AF92" s="27"/>
      <c r="AG92" s="27"/>
    </row>
    <row r="93" spans="2:33" x14ac:dyDescent="0.3">
      <c r="B93" s="848" t="s">
        <v>309</v>
      </c>
      <c r="C93" s="849" t="e">
        <f t="shared" si="33"/>
        <v>#REF!</v>
      </c>
      <c r="D93" s="867" t="e">
        <f t="shared" si="33"/>
        <v>#REF!</v>
      </c>
      <c r="E93" s="849">
        <f t="shared" si="33"/>
        <v>0</v>
      </c>
      <c r="F93" s="849">
        <f t="shared" si="23"/>
        <v>0</v>
      </c>
      <c r="G93" s="849">
        <f t="shared" si="29"/>
        <v>0</v>
      </c>
      <c r="H93" s="849">
        <f t="shared" si="24"/>
        <v>0</v>
      </c>
      <c r="I93" s="849" t="e">
        <f t="shared" si="25"/>
        <v>#REF!</v>
      </c>
      <c r="J93" s="849" t="e">
        <f t="shared" si="26"/>
        <v>#REF!</v>
      </c>
      <c r="K93" s="849">
        <f t="shared" si="32"/>
        <v>0</v>
      </c>
      <c r="L93" s="740" t="e">
        <f t="shared" si="30"/>
        <v>#REF!</v>
      </c>
      <c r="M93" s="742" t="e">
        <f t="shared" si="31"/>
        <v>#REF!</v>
      </c>
      <c r="N93" s="742"/>
      <c r="O93" s="741"/>
      <c r="P93" s="742"/>
      <c r="Q93" s="741"/>
      <c r="T93" s="742"/>
      <c r="V93" s="742"/>
      <c r="X93" s="742"/>
      <c r="Y93" s="742"/>
      <c r="AA93" s="27"/>
      <c r="AB93" s="27"/>
      <c r="AC93" s="27"/>
      <c r="AD93" s="27"/>
      <c r="AE93" s="27"/>
      <c r="AF93" s="27"/>
      <c r="AG93" s="27"/>
    </row>
    <row r="94" spans="2:33" x14ac:dyDescent="0.3">
      <c r="B94" s="848" t="s">
        <v>95</v>
      </c>
      <c r="C94" s="849">
        <v>0</v>
      </c>
      <c r="D94" s="867"/>
      <c r="E94" s="849"/>
      <c r="F94" s="849"/>
      <c r="G94" s="849"/>
      <c r="H94" s="849"/>
      <c r="I94" s="849"/>
      <c r="J94" s="849"/>
      <c r="K94" s="849"/>
      <c r="L94" s="740">
        <f t="shared" si="30"/>
        <v>0</v>
      </c>
      <c r="M94" s="742">
        <f t="shared" si="31"/>
        <v>0</v>
      </c>
      <c r="N94" s="742"/>
      <c r="O94" s="741"/>
      <c r="P94" s="742"/>
      <c r="Q94" s="741"/>
      <c r="T94" s="742"/>
      <c r="V94" s="742"/>
      <c r="X94" s="742"/>
      <c r="Y94" s="742"/>
      <c r="AA94" s="27"/>
      <c r="AB94" s="27"/>
      <c r="AC94" s="27"/>
      <c r="AD94" s="27"/>
      <c r="AE94" s="27"/>
      <c r="AF94" s="27"/>
      <c r="AG94" s="27"/>
    </row>
    <row r="95" spans="2:33" x14ac:dyDescent="0.3">
      <c r="B95" s="848" t="s">
        <v>119</v>
      </c>
      <c r="C95" s="849" t="e">
        <f t="shared" si="33"/>
        <v>#REF!</v>
      </c>
      <c r="D95" s="867" t="e">
        <f t="shared" si="33"/>
        <v>#REF!</v>
      </c>
      <c r="E95" s="849">
        <f t="shared" si="33"/>
        <v>0</v>
      </c>
      <c r="F95" s="849">
        <f t="shared" si="23"/>
        <v>0</v>
      </c>
      <c r="G95" s="849">
        <f t="shared" si="29"/>
        <v>0</v>
      </c>
      <c r="H95" s="849">
        <f t="shared" si="24"/>
        <v>0</v>
      </c>
      <c r="I95" s="849">
        <f>M58</f>
        <v>0</v>
      </c>
      <c r="J95" s="849" t="e">
        <f t="shared" si="26"/>
        <v>#REF!</v>
      </c>
      <c r="K95" s="849">
        <f t="shared" si="32"/>
        <v>0</v>
      </c>
      <c r="L95" s="740" t="e">
        <f t="shared" si="30"/>
        <v>#REF!</v>
      </c>
      <c r="M95" s="742" t="e">
        <f t="shared" si="31"/>
        <v>#REF!</v>
      </c>
      <c r="N95" s="742"/>
      <c r="O95" s="741"/>
      <c r="P95" s="742"/>
      <c r="Q95" s="741"/>
      <c r="T95" s="742"/>
      <c r="V95" s="742"/>
      <c r="X95" s="742"/>
      <c r="Y95" s="742"/>
      <c r="AA95" s="27"/>
      <c r="AB95" s="27"/>
      <c r="AC95" s="27"/>
      <c r="AD95" s="27"/>
      <c r="AE95" s="27"/>
      <c r="AF95" s="27"/>
      <c r="AG95" s="27"/>
    </row>
    <row r="96" spans="2:33" x14ac:dyDescent="0.3">
      <c r="B96" s="851" t="s">
        <v>427</v>
      </c>
      <c r="C96" s="852" t="e">
        <f t="shared" si="33"/>
        <v>#REF!</v>
      </c>
      <c r="D96" s="853" t="e">
        <f t="shared" si="33"/>
        <v>#REF!</v>
      </c>
      <c r="E96" s="852" t="e">
        <f t="shared" si="33"/>
        <v>#REF!</v>
      </c>
      <c r="F96" s="852" t="e">
        <f>G59</f>
        <v>#REF!</v>
      </c>
      <c r="G96" s="852" t="e">
        <f>I59</f>
        <v>#REF!</v>
      </c>
      <c r="H96" s="852" t="e">
        <f>K59</f>
        <v>#REF!</v>
      </c>
      <c r="I96" s="852" t="e">
        <f>M59</f>
        <v>#REF!</v>
      </c>
      <c r="J96" s="852" t="e">
        <f>O59</f>
        <v>#REF!</v>
      </c>
      <c r="K96" s="852" t="e">
        <f>Q59</f>
        <v>#REF!</v>
      </c>
      <c r="L96" s="740" t="e">
        <f t="shared" si="30"/>
        <v>#REF!</v>
      </c>
      <c r="M96" s="742" t="e">
        <f t="shared" si="31"/>
        <v>#REF!</v>
      </c>
      <c r="N96" s="742"/>
      <c r="O96" s="741"/>
      <c r="P96" s="742"/>
      <c r="Q96" s="741"/>
      <c r="T96" s="742"/>
      <c r="V96" s="742"/>
      <c r="X96" s="742"/>
      <c r="Y96" s="742"/>
      <c r="AA96" s="27"/>
      <c r="AB96" s="27"/>
      <c r="AC96" s="27"/>
      <c r="AD96" s="27"/>
      <c r="AE96" s="27"/>
      <c r="AF96" s="27"/>
      <c r="AG96" s="27"/>
    </row>
    <row r="97" spans="2:33" x14ac:dyDescent="0.3">
      <c r="B97" s="854" t="s">
        <v>428</v>
      </c>
      <c r="C97" s="855" t="e">
        <f>C96-C93</f>
        <v>#REF!</v>
      </c>
      <c r="D97" s="856" t="e">
        <f>(P26-P23)/C97</f>
        <v>#REF!</v>
      </c>
      <c r="E97" s="855" t="e">
        <f>E96-E93</f>
        <v>#REF!</v>
      </c>
      <c r="F97" s="855" t="e">
        <f t="shared" ref="F97:K97" si="34">F96-F93</f>
        <v>#REF!</v>
      </c>
      <c r="G97" s="855" t="e">
        <f t="shared" si="34"/>
        <v>#REF!</v>
      </c>
      <c r="H97" s="855" t="e">
        <f t="shared" si="34"/>
        <v>#REF!</v>
      </c>
      <c r="I97" s="855" t="e">
        <f t="shared" si="34"/>
        <v>#REF!</v>
      </c>
      <c r="J97" s="855" t="e">
        <f t="shared" si="34"/>
        <v>#REF!</v>
      </c>
      <c r="K97" s="855" t="e">
        <f t="shared" si="34"/>
        <v>#REF!</v>
      </c>
      <c r="L97" s="740" t="e">
        <f>L96/#REF!*1000</f>
        <v>#REF!</v>
      </c>
      <c r="M97" s="27" t="e">
        <f t="shared" si="31"/>
        <v>#REF!</v>
      </c>
    </row>
    <row r="100" spans="2:33" ht="20.100000000000001" customHeight="1" x14ac:dyDescent="0.3">
      <c r="B100" s="3858" t="s">
        <v>336</v>
      </c>
      <c r="C100" s="3858" t="s">
        <v>468</v>
      </c>
      <c r="D100" s="3859" t="s">
        <v>469</v>
      </c>
      <c r="E100" s="3859" t="s">
        <v>512</v>
      </c>
      <c r="F100" s="3859"/>
      <c r="G100" s="3859"/>
      <c r="H100" s="3859"/>
      <c r="I100" s="3859"/>
      <c r="J100" s="3859"/>
      <c r="K100" s="3859"/>
      <c r="L100" s="742"/>
      <c r="M100" s="741"/>
      <c r="N100" s="742"/>
      <c r="O100" s="741"/>
      <c r="P100" s="742"/>
      <c r="Q100" s="741"/>
      <c r="T100" s="742"/>
      <c r="V100" s="742"/>
      <c r="X100" s="742"/>
      <c r="Y100" s="742"/>
      <c r="AA100" s="27"/>
      <c r="AB100" s="27"/>
      <c r="AC100" s="27"/>
      <c r="AD100" s="27"/>
      <c r="AE100" s="27"/>
      <c r="AF100" s="27"/>
      <c r="AG100" s="27"/>
    </row>
    <row r="101" spans="2:33" ht="42" customHeight="1" x14ac:dyDescent="0.3">
      <c r="B101" s="3858"/>
      <c r="C101" s="3858"/>
      <c r="D101" s="3859"/>
      <c r="E101" s="847" t="s">
        <v>494</v>
      </c>
      <c r="F101" s="847" t="s">
        <v>495</v>
      </c>
      <c r="G101" s="847" t="s">
        <v>496</v>
      </c>
      <c r="H101" s="847" t="s">
        <v>497</v>
      </c>
      <c r="I101" s="847" t="s">
        <v>503</v>
      </c>
      <c r="J101" s="847" t="s">
        <v>505</v>
      </c>
      <c r="K101" s="847" t="s">
        <v>507</v>
      </c>
      <c r="L101" s="742"/>
      <c r="M101" s="741"/>
      <c r="N101" s="742"/>
      <c r="O101" s="741"/>
      <c r="P101" s="742"/>
      <c r="Q101" s="741"/>
      <c r="T101" s="742"/>
      <c r="V101" s="742"/>
      <c r="X101" s="742"/>
      <c r="Y101" s="742"/>
      <c r="AA101" s="27"/>
      <c r="AB101" s="27"/>
      <c r="AC101" s="27"/>
      <c r="AD101" s="27"/>
      <c r="AE101" s="27"/>
      <c r="AF101" s="27"/>
      <c r="AG101" s="27"/>
    </row>
    <row r="102" spans="2:33" x14ac:dyDescent="0.3">
      <c r="B102" s="848" t="s">
        <v>5</v>
      </c>
      <c r="C102" s="849" t="e">
        <f>C37</f>
        <v>#REF!</v>
      </c>
      <c r="D102" s="867" t="e">
        <f>D37</f>
        <v>#REF!</v>
      </c>
      <c r="E102" s="867">
        <f t="shared" ref="E102:E123" si="35">F37</f>
        <v>0</v>
      </c>
      <c r="F102" s="867">
        <f t="shared" ref="F102:F123" si="36">H37</f>
        <v>0</v>
      </c>
      <c r="G102" s="867" t="e">
        <f>J37</f>
        <v>#REF!</v>
      </c>
      <c r="H102" s="867">
        <f>L37</f>
        <v>0</v>
      </c>
      <c r="I102" s="867" t="e">
        <f t="shared" ref="I102:I123" si="37">N37</f>
        <v>#REF!</v>
      </c>
      <c r="J102" s="867" t="e">
        <f t="shared" ref="J102:J123" si="38">P37</f>
        <v>#REF!</v>
      </c>
      <c r="K102" s="867">
        <f t="shared" ref="K102:K113" si="39">R37</f>
        <v>0</v>
      </c>
      <c r="L102" s="889" t="e">
        <f>SUM(E102:K102)</f>
        <v>#REF!</v>
      </c>
      <c r="M102" s="741"/>
      <c r="N102" s="742"/>
      <c r="O102" s="741"/>
      <c r="P102" s="742"/>
      <c r="Q102" s="741"/>
      <c r="T102" s="742"/>
      <c r="V102" s="742"/>
      <c r="X102" s="742"/>
      <c r="Y102" s="742"/>
      <c r="AA102" s="27"/>
      <c r="AB102" s="27"/>
      <c r="AC102" s="27"/>
      <c r="AD102" s="27"/>
      <c r="AE102" s="27"/>
      <c r="AF102" s="27"/>
      <c r="AG102" s="27"/>
    </row>
    <row r="103" spans="2:33" x14ac:dyDescent="0.3">
      <c r="B103" s="848" t="s">
        <v>8</v>
      </c>
      <c r="C103" s="849" t="e">
        <f t="shared" ref="C103:D118" si="40">C38</f>
        <v>#REF!</v>
      </c>
      <c r="D103" s="867" t="e">
        <f t="shared" si="40"/>
        <v>#REF!</v>
      </c>
      <c r="E103" s="867">
        <f t="shared" si="35"/>
        <v>0</v>
      </c>
      <c r="F103" s="867" t="e">
        <f t="shared" si="36"/>
        <v>#REF!</v>
      </c>
      <c r="G103" s="867">
        <f t="shared" ref="G103:G123" si="41">J38</f>
        <v>0</v>
      </c>
      <c r="H103" s="867">
        <f>L38</f>
        <v>0</v>
      </c>
      <c r="I103" s="867" t="e">
        <f t="shared" si="37"/>
        <v>#REF!</v>
      </c>
      <c r="J103" s="867" t="e">
        <f t="shared" si="38"/>
        <v>#REF!</v>
      </c>
      <c r="K103" s="867">
        <f t="shared" si="39"/>
        <v>0</v>
      </c>
      <c r="L103" s="889" t="e">
        <f t="shared" ref="L103:L124" si="42">SUM(E103:K103)</f>
        <v>#REF!</v>
      </c>
      <c r="M103" s="741"/>
      <c r="N103" s="742"/>
      <c r="O103" s="741"/>
      <c r="P103" s="742"/>
      <c r="Q103" s="741"/>
      <c r="T103" s="742"/>
      <c r="V103" s="742"/>
      <c r="X103" s="742"/>
      <c r="Y103" s="742"/>
      <c r="AA103" s="27"/>
      <c r="AB103" s="27"/>
      <c r="AC103" s="27"/>
      <c r="AD103" s="27"/>
      <c r="AE103" s="27"/>
      <c r="AF103" s="27"/>
      <c r="AG103" s="27"/>
    </row>
    <row r="104" spans="2:33" x14ac:dyDescent="0.3">
      <c r="B104" s="848" t="s">
        <v>304</v>
      </c>
      <c r="C104" s="849" t="e">
        <f t="shared" si="40"/>
        <v>#REF!</v>
      </c>
      <c r="D104" s="867" t="e">
        <f t="shared" si="40"/>
        <v>#REF!</v>
      </c>
      <c r="E104" s="867">
        <f t="shared" si="35"/>
        <v>0</v>
      </c>
      <c r="F104" s="867" t="e">
        <f t="shared" si="36"/>
        <v>#REF!</v>
      </c>
      <c r="G104" s="867">
        <f t="shared" si="41"/>
        <v>0</v>
      </c>
      <c r="H104" s="867" t="e">
        <f>L39</f>
        <v>#REF!</v>
      </c>
      <c r="I104" s="867" t="e">
        <f t="shared" si="37"/>
        <v>#REF!</v>
      </c>
      <c r="J104" s="867" t="e">
        <f t="shared" si="38"/>
        <v>#REF!</v>
      </c>
      <c r="K104" s="867">
        <f t="shared" si="39"/>
        <v>0</v>
      </c>
      <c r="L104" s="889" t="e">
        <f t="shared" si="42"/>
        <v>#REF!</v>
      </c>
      <c r="M104" s="741"/>
      <c r="N104" s="742"/>
      <c r="O104" s="741"/>
      <c r="P104" s="742"/>
      <c r="Q104" s="741"/>
      <c r="T104" s="742"/>
      <c r="V104" s="742"/>
      <c r="X104" s="742"/>
      <c r="Y104" s="742"/>
      <c r="AA104" s="27"/>
      <c r="AB104" s="27"/>
      <c r="AC104" s="27"/>
      <c r="AD104" s="27"/>
      <c r="AE104" s="27"/>
      <c r="AF104" s="27"/>
      <c r="AG104" s="27"/>
    </row>
    <row r="105" spans="2:33" x14ac:dyDescent="0.3">
      <c r="B105" s="848" t="s">
        <v>14</v>
      </c>
      <c r="C105" s="849" t="e">
        <f t="shared" si="40"/>
        <v>#REF!</v>
      </c>
      <c r="D105" s="867" t="e">
        <f t="shared" si="40"/>
        <v>#REF!</v>
      </c>
      <c r="E105" s="867">
        <f t="shared" si="35"/>
        <v>0</v>
      </c>
      <c r="F105" s="867" t="e">
        <f t="shared" si="36"/>
        <v>#REF!</v>
      </c>
      <c r="G105" s="867">
        <f t="shared" si="41"/>
        <v>0</v>
      </c>
      <c r="H105" s="867">
        <f t="shared" ref="H105:H123" si="43">L40</f>
        <v>0</v>
      </c>
      <c r="I105" s="867" t="e">
        <f t="shared" si="37"/>
        <v>#REF!</v>
      </c>
      <c r="J105" s="867" t="e">
        <f t="shared" si="38"/>
        <v>#REF!</v>
      </c>
      <c r="K105" s="867">
        <f t="shared" si="39"/>
        <v>0</v>
      </c>
      <c r="L105" s="889" t="e">
        <f t="shared" si="42"/>
        <v>#REF!</v>
      </c>
      <c r="M105" s="741"/>
      <c r="N105" s="742"/>
      <c r="O105" s="741"/>
      <c r="P105" s="742"/>
      <c r="Q105" s="741"/>
      <c r="T105" s="742"/>
      <c r="V105" s="742"/>
      <c r="X105" s="742"/>
      <c r="Y105" s="742"/>
      <c r="AA105" s="27"/>
      <c r="AB105" s="27"/>
      <c r="AC105" s="27"/>
      <c r="AD105" s="27"/>
      <c r="AE105" s="27"/>
      <c r="AF105" s="27"/>
      <c r="AG105" s="27"/>
    </row>
    <row r="106" spans="2:33" x14ac:dyDescent="0.3">
      <c r="B106" s="848" t="s">
        <v>17</v>
      </c>
      <c r="C106" s="849" t="e">
        <f t="shared" si="40"/>
        <v>#REF!</v>
      </c>
      <c r="D106" s="867" t="e">
        <f t="shared" si="40"/>
        <v>#REF!</v>
      </c>
      <c r="E106" s="867">
        <f t="shared" si="35"/>
        <v>0</v>
      </c>
      <c r="F106" s="867" t="e">
        <f t="shared" si="36"/>
        <v>#REF!</v>
      </c>
      <c r="G106" s="867">
        <f t="shared" si="41"/>
        <v>0</v>
      </c>
      <c r="H106" s="867">
        <f t="shared" si="43"/>
        <v>0</v>
      </c>
      <c r="I106" s="867" t="e">
        <f t="shared" si="37"/>
        <v>#REF!</v>
      </c>
      <c r="J106" s="867" t="e">
        <f t="shared" si="38"/>
        <v>#REF!</v>
      </c>
      <c r="K106" s="867">
        <f t="shared" si="39"/>
        <v>0</v>
      </c>
      <c r="L106" s="889" t="e">
        <f t="shared" si="42"/>
        <v>#REF!</v>
      </c>
      <c r="M106" s="741"/>
      <c r="N106" s="742"/>
      <c r="O106" s="741"/>
      <c r="P106" s="742"/>
      <c r="Q106" s="741"/>
      <c r="T106" s="742"/>
      <c r="V106" s="742"/>
      <c r="X106" s="742"/>
      <c r="Y106" s="742"/>
      <c r="AA106" s="27"/>
      <c r="AB106" s="27"/>
      <c r="AC106" s="27"/>
      <c r="AD106" s="27"/>
      <c r="AE106" s="27"/>
      <c r="AF106" s="27"/>
      <c r="AG106" s="27"/>
    </row>
    <row r="107" spans="2:33" x14ac:dyDescent="0.3">
      <c r="B107" s="848" t="s">
        <v>16</v>
      </c>
      <c r="C107" s="849" t="e">
        <f t="shared" si="40"/>
        <v>#REF!</v>
      </c>
      <c r="D107" s="867" t="e">
        <f t="shared" si="40"/>
        <v>#REF!</v>
      </c>
      <c r="E107" s="867">
        <f t="shared" si="35"/>
        <v>0</v>
      </c>
      <c r="F107" s="867" t="e">
        <f t="shared" si="36"/>
        <v>#REF!</v>
      </c>
      <c r="G107" s="867">
        <f t="shared" si="41"/>
        <v>0</v>
      </c>
      <c r="H107" s="867">
        <f t="shared" si="43"/>
        <v>0</v>
      </c>
      <c r="I107" s="867" t="e">
        <f t="shared" si="37"/>
        <v>#REF!</v>
      </c>
      <c r="J107" s="867" t="e">
        <f t="shared" si="38"/>
        <v>#REF!</v>
      </c>
      <c r="K107" s="867">
        <f t="shared" si="39"/>
        <v>0</v>
      </c>
      <c r="L107" s="889" t="e">
        <f t="shared" si="42"/>
        <v>#REF!</v>
      </c>
      <c r="M107" s="741"/>
      <c r="N107" s="742"/>
      <c r="O107" s="741"/>
      <c r="P107" s="742"/>
      <c r="Q107" s="741"/>
      <c r="T107" s="742"/>
      <c r="V107" s="742"/>
      <c r="X107" s="742"/>
      <c r="Y107" s="742"/>
      <c r="AA107" s="27"/>
      <c r="AB107" s="27"/>
      <c r="AC107" s="27"/>
      <c r="AD107" s="27"/>
      <c r="AE107" s="27"/>
      <c r="AF107" s="27"/>
      <c r="AG107" s="27"/>
    </row>
    <row r="108" spans="2:33" x14ac:dyDescent="0.3">
      <c r="B108" s="848" t="s">
        <v>308</v>
      </c>
      <c r="C108" s="849" t="e">
        <f t="shared" si="40"/>
        <v>#REF!</v>
      </c>
      <c r="D108" s="867" t="e">
        <f t="shared" si="40"/>
        <v>#REF!</v>
      </c>
      <c r="E108" s="867">
        <f t="shared" si="35"/>
        <v>0</v>
      </c>
      <c r="F108" s="867" t="e">
        <f t="shared" si="36"/>
        <v>#REF!</v>
      </c>
      <c r="G108" s="867">
        <f t="shared" si="41"/>
        <v>0</v>
      </c>
      <c r="H108" s="867" t="e">
        <f t="shared" si="43"/>
        <v>#REF!</v>
      </c>
      <c r="I108" s="867" t="e">
        <f t="shared" si="37"/>
        <v>#REF!</v>
      </c>
      <c r="J108" s="867" t="e">
        <f t="shared" si="38"/>
        <v>#REF!</v>
      </c>
      <c r="K108" s="867">
        <f t="shared" si="39"/>
        <v>0</v>
      </c>
      <c r="L108" s="889" t="e">
        <f t="shared" si="42"/>
        <v>#REF!</v>
      </c>
      <c r="M108" s="741"/>
      <c r="N108" s="742"/>
      <c r="O108" s="741"/>
      <c r="P108" s="742"/>
      <c r="Q108" s="741"/>
      <c r="T108" s="742"/>
      <c r="V108" s="742"/>
      <c r="X108" s="742"/>
      <c r="Y108" s="742"/>
      <c r="AA108" s="27"/>
      <c r="AB108" s="27"/>
      <c r="AC108" s="27"/>
      <c r="AD108" s="27"/>
      <c r="AE108" s="27"/>
      <c r="AF108" s="27"/>
      <c r="AG108" s="27"/>
    </row>
    <row r="109" spans="2:33" x14ac:dyDescent="0.3">
      <c r="B109" s="848" t="s">
        <v>44</v>
      </c>
      <c r="C109" s="849" t="e">
        <f t="shared" si="40"/>
        <v>#REF!</v>
      </c>
      <c r="D109" s="867" t="e">
        <f t="shared" si="40"/>
        <v>#REF!</v>
      </c>
      <c r="E109" s="867" t="e">
        <f>F44</f>
        <v>#REF!</v>
      </c>
      <c r="F109" s="867" t="e">
        <f t="shared" si="36"/>
        <v>#REF!</v>
      </c>
      <c r="G109" s="867">
        <f t="shared" si="41"/>
        <v>0</v>
      </c>
      <c r="H109" s="867" t="e">
        <f t="shared" si="43"/>
        <v>#REF!</v>
      </c>
      <c r="I109" s="867" t="e">
        <f t="shared" si="37"/>
        <v>#REF!</v>
      </c>
      <c r="J109" s="867" t="e">
        <f t="shared" si="38"/>
        <v>#REF!</v>
      </c>
      <c r="K109" s="867">
        <f t="shared" si="39"/>
        <v>0</v>
      </c>
      <c r="L109" s="889" t="e">
        <f t="shared" si="42"/>
        <v>#REF!</v>
      </c>
      <c r="M109" s="741"/>
      <c r="N109" s="742"/>
      <c r="O109" s="741"/>
      <c r="P109" s="742"/>
      <c r="Q109" s="741"/>
      <c r="T109" s="742"/>
      <c r="V109" s="742"/>
      <c r="X109" s="742"/>
      <c r="Y109" s="742"/>
      <c r="AA109" s="27"/>
      <c r="AB109" s="27"/>
      <c r="AC109" s="27"/>
      <c r="AD109" s="27"/>
      <c r="AE109" s="27"/>
      <c r="AF109" s="27"/>
      <c r="AG109" s="27"/>
    </row>
    <row r="110" spans="2:33" x14ac:dyDescent="0.3">
      <c r="B110" s="848" t="s">
        <v>326</v>
      </c>
      <c r="C110" s="849" t="e">
        <f t="shared" si="40"/>
        <v>#REF!</v>
      </c>
      <c r="D110" s="867" t="e">
        <f t="shared" si="40"/>
        <v>#REF!</v>
      </c>
      <c r="E110" s="867">
        <f t="shared" si="35"/>
        <v>0</v>
      </c>
      <c r="F110" s="867" t="e">
        <f t="shared" si="36"/>
        <v>#REF!</v>
      </c>
      <c r="G110" s="867">
        <f t="shared" si="41"/>
        <v>0</v>
      </c>
      <c r="H110" s="867">
        <f t="shared" si="43"/>
        <v>0</v>
      </c>
      <c r="I110" s="867">
        <f t="shared" si="37"/>
        <v>0</v>
      </c>
      <c r="J110" s="867" t="e">
        <f t="shared" si="38"/>
        <v>#REF!</v>
      </c>
      <c r="K110" s="867">
        <f t="shared" si="39"/>
        <v>0</v>
      </c>
      <c r="L110" s="889" t="e">
        <f t="shared" si="42"/>
        <v>#REF!</v>
      </c>
      <c r="M110" s="741"/>
      <c r="N110" s="742"/>
      <c r="O110" s="741"/>
      <c r="P110" s="742"/>
      <c r="Q110" s="741"/>
      <c r="T110" s="742"/>
      <c r="V110" s="742"/>
      <c r="X110" s="742"/>
      <c r="Y110" s="742"/>
      <c r="AA110" s="27"/>
      <c r="AB110" s="27"/>
      <c r="AC110" s="27"/>
      <c r="AD110" s="27"/>
      <c r="AE110" s="27"/>
      <c r="AF110" s="27"/>
      <c r="AG110" s="27"/>
    </row>
    <row r="111" spans="2:33" x14ac:dyDescent="0.3">
      <c r="B111" s="848" t="s">
        <v>25</v>
      </c>
      <c r="C111" s="849" t="e">
        <f t="shared" si="40"/>
        <v>#REF!</v>
      </c>
      <c r="D111" s="867" t="e">
        <f t="shared" si="40"/>
        <v>#REF!</v>
      </c>
      <c r="E111" s="867" t="e">
        <f t="shared" si="35"/>
        <v>#REF!</v>
      </c>
      <c r="F111" s="867" t="e">
        <f t="shared" si="36"/>
        <v>#REF!</v>
      </c>
      <c r="G111" s="867">
        <f t="shared" si="41"/>
        <v>0</v>
      </c>
      <c r="H111" s="867" t="e">
        <f t="shared" si="43"/>
        <v>#REF!</v>
      </c>
      <c r="I111" s="867" t="e">
        <f t="shared" si="37"/>
        <v>#REF!</v>
      </c>
      <c r="J111" s="867" t="e">
        <f t="shared" si="38"/>
        <v>#REF!</v>
      </c>
      <c r="K111" s="867">
        <f t="shared" si="39"/>
        <v>0</v>
      </c>
      <c r="L111" s="889" t="e">
        <f t="shared" si="42"/>
        <v>#REF!</v>
      </c>
      <c r="M111" s="741"/>
      <c r="N111" s="742"/>
      <c r="O111" s="741"/>
      <c r="P111" s="742"/>
      <c r="Q111" s="741"/>
      <c r="T111" s="742"/>
      <c r="V111" s="742"/>
      <c r="X111" s="742"/>
      <c r="Y111" s="742"/>
      <c r="AA111" s="27"/>
      <c r="AB111" s="27"/>
      <c r="AC111" s="27"/>
      <c r="AD111" s="27"/>
      <c r="AE111" s="27"/>
      <c r="AF111" s="27"/>
      <c r="AG111" s="27"/>
    </row>
    <row r="112" spans="2:33" x14ac:dyDescent="0.3">
      <c r="B112" s="848" t="s">
        <v>29</v>
      </c>
      <c r="C112" s="849" t="e">
        <f t="shared" si="40"/>
        <v>#REF!</v>
      </c>
      <c r="D112" s="867" t="e">
        <f t="shared" si="40"/>
        <v>#REF!</v>
      </c>
      <c r="E112" s="867">
        <f t="shared" si="35"/>
        <v>0</v>
      </c>
      <c r="F112" s="867" t="e">
        <f t="shared" si="36"/>
        <v>#REF!</v>
      </c>
      <c r="G112" s="867">
        <f t="shared" si="41"/>
        <v>0</v>
      </c>
      <c r="H112" s="867" t="e">
        <f t="shared" si="43"/>
        <v>#REF!</v>
      </c>
      <c r="I112" s="867" t="e">
        <f t="shared" si="37"/>
        <v>#REF!</v>
      </c>
      <c r="J112" s="867" t="e">
        <f t="shared" si="38"/>
        <v>#REF!</v>
      </c>
      <c r="K112" s="867">
        <f t="shared" si="39"/>
        <v>0</v>
      </c>
      <c r="L112" s="889" t="e">
        <f t="shared" si="42"/>
        <v>#REF!</v>
      </c>
      <c r="M112" s="741"/>
      <c r="N112" s="742"/>
      <c r="O112" s="741"/>
      <c r="P112" s="742"/>
      <c r="Q112" s="741"/>
      <c r="T112" s="742"/>
      <c r="V112" s="742"/>
      <c r="X112" s="742"/>
      <c r="Y112" s="742"/>
      <c r="AA112" s="27"/>
      <c r="AB112" s="27"/>
      <c r="AC112" s="27"/>
      <c r="AD112" s="27"/>
      <c r="AE112" s="27"/>
      <c r="AF112" s="27"/>
      <c r="AG112" s="27"/>
    </row>
    <row r="113" spans="2:33" x14ac:dyDescent="0.3">
      <c r="B113" s="848" t="s">
        <v>60</v>
      </c>
      <c r="C113" s="849" t="e">
        <f t="shared" si="40"/>
        <v>#REF!</v>
      </c>
      <c r="D113" s="867" t="e">
        <f t="shared" si="40"/>
        <v>#REF!</v>
      </c>
      <c r="E113" s="867">
        <f t="shared" si="35"/>
        <v>0</v>
      </c>
      <c r="F113" s="867" t="e">
        <f t="shared" si="36"/>
        <v>#REF!</v>
      </c>
      <c r="G113" s="867">
        <f t="shared" si="41"/>
        <v>0</v>
      </c>
      <c r="H113" s="867" t="e">
        <f t="shared" si="43"/>
        <v>#REF!</v>
      </c>
      <c r="I113" s="867" t="e">
        <f t="shared" si="37"/>
        <v>#REF!</v>
      </c>
      <c r="J113" s="867">
        <f t="shared" si="38"/>
        <v>0</v>
      </c>
      <c r="K113" s="867">
        <f t="shared" si="39"/>
        <v>0</v>
      </c>
      <c r="L113" s="889" t="e">
        <f t="shared" si="42"/>
        <v>#REF!</v>
      </c>
      <c r="M113" s="741"/>
      <c r="N113" s="742"/>
      <c r="O113" s="741"/>
      <c r="P113" s="742"/>
      <c r="Q113" s="741"/>
      <c r="T113" s="742"/>
      <c r="V113" s="742"/>
      <c r="X113" s="742"/>
      <c r="Y113" s="742"/>
      <c r="AA113" s="27"/>
      <c r="AB113" s="27"/>
      <c r="AC113" s="27"/>
      <c r="AD113" s="27"/>
      <c r="AE113" s="27"/>
      <c r="AF113" s="27"/>
      <c r="AG113" s="27"/>
    </row>
    <row r="114" spans="2:33" x14ac:dyDescent="0.3">
      <c r="B114" s="848" t="s">
        <v>33</v>
      </c>
      <c r="C114" s="849" t="e">
        <f t="shared" si="40"/>
        <v>#REF!</v>
      </c>
      <c r="D114" s="867" t="e">
        <f t="shared" si="40"/>
        <v>#REF!</v>
      </c>
      <c r="E114" s="867">
        <f t="shared" si="35"/>
        <v>0</v>
      </c>
      <c r="F114" s="867" t="e">
        <f t="shared" si="36"/>
        <v>#REF!</v>
      </c>
      <c r="G114" s="867">
        <f t="shared" si="41"/>
        <v>0</v>
      </c>
      <c r="H114" s="867" t="e">
        <f t="shared" si="43"/>
        <v>#REF!</v>
      </c>
      <c r="I114" s="867">
        <f t="shared" si="37"/>
        <v>0</v>
      </c>
      <c r="J114" s="867">
        <f t="shared" si="38"/>
        <v>0</v>
      </c>
      <c r="K114" s="867" t="e">
        <f>R49</f>
        <v>#REF!</v>
      </c>
      <c r="L114" s="889" t="e">
        <f t="shared" si="42"/>
        <v>#REF!</v>
      </c>
      <c r="M114" s="741"/>
      <c r="N114" s="742"/>
      <c r="O114" s="741"/>
      <c r="P114" s="742"/>
      <c r="Q114" s="741"/>
      <c r="T114" s="742"/>
      <c r="V114" s="742"/>
      <c r="X114" s="742"/>
      <c r="Y114" s="742"/>
      <c r="AA114" s="27"/>
      <c r="AB114" s="27"/>
      <c r="AC114" s="27"/>
      <c r="AD114" s="27"/>
      <c r="AE114" s="27"/>
      <c r="AF114" s="27"/>
      <c r="AG114" s="27"/>
    </row>
    <row r="115" spans="2:33" x14ac:dyDescent="0.3">
      <c r="B115" s="848" t="s">
        <v>66</v>
      </c>
      <c r="C115" s="849" t="e">
        <f t="shared" si="40"/>
        <v>#REF!</v>
      </c>
      <c r="D115" s="867" t="e">
        <f t="shared" si="40"/>
        <v>#REF!</v>
      </c>
      <c r="E115" s="867" t="e">
        <f t="shared" si="35"/>
        <v>#REF!</v>
      </c>
      <c r="F115" s="867" t="e">
        <f t="shared" si="36"/>
        <v>#REF!</v>
      </c>
      <c r="G115" s="867">
        <f t="shared" si="41"/>
        <v>0</v>
      </c>
      <c r="H115" s="867" t="e">
        <f t="shared" si="43"/>
        <v>#REF!</v>
      </c>
      <c r="I115" s="867">
        <f t="shared" si="37"/>
        <v>0</v>
      </c>
      <c r="J115" s="867">
        <f t="shared" si="38"/>
        <v>0</v>
      </c>
      <c r="K115" s="867">
        <f t="shared" ref="K115:K123" si="44">R50</f>
        <v>0</v>
      </c>
      <c r="L115" s="889" t="e">
        <f t="shared" si="42"/>
        <v>#REF!</v>
      </c>
      <c r="M115" s="741"/>
      <c r="N115" s="742"/>
      <c r="O115" s="741"/>
      <c r="P115" s="742"/>
      <c r="Q115" s="741"/>
      <c r="T115" s="742"/>
      <c r="V115" s="742"/>
      <c r="X115" s="742"/>
      <c r="Y115" s="742"/>
      <c r="AA115" s="27"/>
      <c r="AB115" s="27"/>
      <c r="AC115" s="27"/>
      <c r="AD115" s="27"/>
      <c r="AE115" s="27"/>
      <c r="AF115" s="27"/>
      <c r="AG115" s="27"/>
    </row>
    <row r="116" spans="2:33" x14ac:dyDescent="0.3">
      <c r="B116" s="848" t="s">
        <v>73</v>
      </c>
      <c r="C116" s="849" t="e">
        <f t="shared" si="40"/>
        <v>#REF!</v>
      </c>
      <c r="D116" s="867" t="e">
        <f t="shared" si="40"/>
        <v>#REF!</v>
      </c>
      <c r="E116" s="867">
        <f t="shared" si="35"/>
        <v>0</v>
      </c>
      <c r="F116" s="867" t="e">
        <f t="shared" si="36"/>
        <v>#REF!</v>
      </c>
      <c r="G116" s="867">
        <f t="shared" si="41"/>
        <v>0</v>
      </c>
      <c r="H116" s="867" t="e">
        <f t="shared" si="43"/>
        <v>#REF!</v>
      </c>
      <c r="I116" s="890" t="e">
        <f t="shared" si="37"/>
        <v>#REF!</v>
      </c>
      <c r="J116" s="867" t="e">
        <f t="shared" si="38"/>
        <v>#REF!</v>
      </c>
      <c r="K116" s="867">
        <f t="shared" si="44"/>
        <v>0</v>
      </c>
      <c r="L116" s="889" t="e">
        <f t="shared" si="42"/>
        <v>#REF!</v>
      </c>
      <c r="M116" s="741"/>
      <c r="N116" s="742"/>
      <c r="O116" s="741"/>
      <c r="P116" s="742"/>
      <c r="Q116" s="741"/>
      <c r="T116" s="742"/>
      <c r="V116" s="742"/>
      <c r="X116" s="742"/>
      <c r="Y116" s="742"/>
      <c r="AA116" s="27"/>
      <c r="AB116" s="27"/>
      <c r="AC116" s="27"/>
      <c r="AD116" s="27"/>
      <c r="AE116" s="27"/>
      <c r="AF116" s="27"/>
      <c r="AG116" s="27"/>
    </row>
    <row r="117" spans="2:33" x14ac:dyDescent="0.3">
      <c r="B117" s="848" t="s">
        <v>74</v>
      </c>
      <c r="C117" s="849" t="e">
        <f t="shared" si="40"/>
        <v>#REF!</v>
      </c>
      <c r="D117" s="867" t="e">
        <f t="shared" si="40"/>
        <v>#REF!</v>
      </c>
      <c r="E117" s="867">
        <f t="shared" si="35"/>
        <v>0</v>
      </c>
      <c r="F117" s="867" t="e">
        <f t="shared" si="36"/>
        <v>#REF!</v>
      </c>
      <c r="G117" s="867">
        <f t="shared" si="41"/>
        <v>0</v>
      </c>
      <c r="H117" s="867" t="e">
        <f t="shared" si="43"/>
        <v>#REF!</v>
      </c>
      <c r="I117" s="867">
        <f t="shared" si="37"/>
        <v>0</v>
      </c>
      <c r="J117" s="867">
        <f t="shared" si="38"/>
        <v>0</v>
      </c>
      <c r="K117" s="867">
        <f t="shared" si="44"/>
        <v>0</v>
      </c>
      <c r="L117" s="889" t="e">
        <f t="shared" si="42"/>
        <v>#REF!</v>
      </c>
      <c r="M117" s="741"/>
      <c r="N117" s="742"/>
      <c r="O117" s="741"/>
      <c r="P117" s="742"/>
      <c r="Q117" s="741"/>
      <c r="T117" s="742"/>
      <c r="V117" s="742"/>
      <c r="X117" s="742"/>
      <c r="Y117" s="742"/>
      <c r="AA117" s="27"/>
      <c r="AB117" s="27"/>
      <c r="AC117" s="27"/>
      <c r="AD117" s="27"/>
      <c r="AE117" s="27"/>
      <c r="AF117" s="27"/>
      <c r="AG117" s="27"/>
    </row>
    <row r="118" spans="2:33" x14ac:dyDescent="0.3">
      <c r="B118" s="848" t="s">
        <v>327</v>
      </c>
      <c r="C118" s="849" t="e">
        <f t="shared" si="40"/>
        <v>#REF!</v>
      </c>
      <c r="D118" s="867" t="e">
        <f t="shared" si="40"/>
        <v>#REF!</v>
      </c>
      <c r="E118" s="867" t="e">
        <f t="shared" si="35"/>
        <v>#REF!</v>
      </c>
      <c r="F118" s="867" t="e">
        <f t="shared" si="36"/>
        <v>#REF!</v>
      </c>
      <c r="G118" s="867">
        <f t="shared" si="41"/>
        <v>0</v>
      </c>
      <c r="H118" s="867" t="e">
        <f t="shared" si="43"/>
        <v>#REF!</v>
      </c>
      <c r="I118" s="867" t="e">
        <f t="shared" si="37"/>
        <v>#REF!</v>
      </c>
      <c r="J118" s="867" t="e">
        <f t="shared" si="38"/>
        <v>#REF!</v>
      </c>
      <c r="K118" s="867">
        <f t="shared" si="44"/>
        <v>0</v>
      </c>
      <c r="L118" s="889" t="e">
        <f t="shared" si="42"/>
        <v>#REF!</v>
      </c>
      <c r="M118" s="741"/>
      <c r="N118" s="742"/>
      <c r="O118" s="741"/>
      <c r="P118" s="742"/>
      <c r="Q118" s="741"/>
      <c r="T118" s="742"/>
      <c r="V118" s="742"/>
      <c r="X118" s="742"/>
      <c r="Y118" s="742"/>
      <c r="AA118" s="27"/>
      <c r="AB118" s="27"/>
      <c r="AC118" s="27"/>
      <c r="AD118" s="27"/>
      <c r="AE118" s="27"/>
      <c r="AF118" s="27"/>
      <c r="AG118" s="27"/>
    </row>
    <row r="119" spans="2:33" x14ac:dyDescent="0.3">
      <c r="B119" s="848" t="s">
        <v>143</v>
      </c>
      <c r="C119" s="849" t="e">
        <f t="shared" ref="C119:C123" si="45">C54</f>
        <v>#REF!</v>
      </c>
      <c r="D119" s="867" t="e">
        <f>D54</f>
        <v>#REF!</v>
      </c>
      <c r="E119" s="867" t="e">
        <f t="shared" si="35"/>
        <v>#REF!</v>
      </c>
      <c r="F119" s="867" t="e">
        <f t="shared" si="36"/>
        <v>#REF!</v>
      </c>
      <c r="G119" s="867">
        <f t="shared" si="41"/>
        <v>0</v>
      </c>
      <c r="H119" s="867" t="e">
        <f t="shared" si="43"/>
        <v>#REF!</v>
      </c>
      <c r="I119" s="867" t="e">
        <f t="shared" si="37"/>
        <v>#REF!</v>
      </c>
      <c r="J119" s="867" t="e">
        <f t="shared" si="38"/>
        <v>#REF!</v>
      </c>
      <c r="K119" s="867">
        <f t="shared" si="44"/>
        <v>0</v>
      </c>
      <c r="L119" s="889" t="e">
        <f t="shared" si="42"/>
        <v>#REF!</v>
      </c>
      <c r="M119" s="741"/>
      <c r="N119" s="742"/>
      <c r="O119" s="741"/>
      <c r="P119" s="742"/>
      <c r="Q119" s="741"/>
      <c r="T119" s="742"/>
      <c r="V119" s="742"/>
      <c r="X119" s="742"/>
      <c r="Y119" s="742"/>
      <c r="AA119" s="27"/>
      <c r="AB119" s="27"/>
      <c r="AC119" s="27"/>
      <c r="AD119" s="27"/>
      <c r="AE119" s="27"/>
      <c r="AF119" s="27"/>
      <c r="AG119" s="27"/>
    </row>
    <row r="120" spans="2:33" x14ac:dyDescent="0.3">
      <c r="B120" s="848" t="s">
        <v>76</v>
      </c>
      <c r="C120" s="849" t="e">
        <f t="shared" si="45"/>
        <v>#REF!</v>
      </c>
      <c r="D120" s="867" t="e">
        <f>D55</f>
        <v>#REF!</v>
      </c>
      <c r="E120" s="867" t="e">
        <f t="shared" si="35"/>
        <v>#REF!</v>
      </c>
      <c r="F120" s="867" t="e">
        <f t="shared" si="36"/>
        <v>#REF!</v>
      </c>
      <c r="G120" s="867">
        <f t="shared" si="41"/>
        <v>0</v>
      </c>
      <c r="H120" s="867" t="e">
        <f t="shared" si="43"/>
        <v>#REF!</v>
      </c>
      <c r="I120" s="867">
        <f t="shared" si="37"/>
        <v>0</v>
      </c>
      <c r="J120" s="867" t="e">
        <f t="shared" si="38"/>
        <v>#REF!</v>
      </c>
      <c r="K120" s="867">
        <f t="shared" si="44"/>
        <v>0</v>
      </c>
      <c r="L120" s="889" t="e">
        <f t="shared" si="42"/>
        <v>#REF!</v>
      </c>
      <c r="M120" s="741"/>
      <c r="N120" s="742"/>
      <c r="O120" s="741"/>
      <c r="P120" s="742"/>
      <c r="Q120" s="741"/>
      <c r="T120" s="742"/>
      <c r="V120" s="742"/>
      <c r="X120" s="742"/>
      <c r="Y120" s="742"/>
      <c r="AA120" s="27"/>
      <c r="AB120" s="27"/>
      <c r="AC120" s="27"/>
      <c r="AD120" s="27"/>
      <c r="AE120" s="27"/>
      <c r="AF120" s="27"/>
      <c r="AG120" s="27"/>
    </row>
    <row r="121" spans="2:33" x14ac:dyDescent="0.3">
      <c r="B121" s="848" t="s">
        <v>309</v>
      </c>
      <c r="C121" s="849" t="e">
        <f t="shared" si="45"/>
        <v>#REF!</v>
      </c>
      <c r="D121" s="867" t="e">
        <f>D56</f>
        <v>#REF!</v>
      </c>
      <c r="E121" s="867">
        <f t="shared" si="35"/>
        <v>0</v>
      </c>
      <c r="F121" s="867">
        <f t="shared" si="36"/>
        <v>0</v>
      </c>
      <c r="G121" s="867">
        <f t="shared" si="41"/>
        <v>0</v>
      </c>
      <c r="H121" s="867">
        <f t="shared" si="43"/>
        <v>0</v>
      </c>
      <c r="I121" s="867" t="e">
        <f t="shared" si="37"/>
        <v>#REF!</v>
      </c>
      <c r="J121" s="867" t="e">
        <f t="shared" si="38"/>
        <v>#REF!</v>
      </c>
      <c r="K121" s="867">
        <f t="shared" si="44"/>
        <v>0</v>
      </c>
      <c r="L121" s="889" t="e">
        <f t="shared" si="42"/>
        <v>#REF!</v>
      </c>
      <c r="M121" s="741"/>
      <c r="N121" s="742"/>
      <c r="O121" s="741"/>
      <c r="P121" s="742"/>
      <c r="Q121" s="741"/>
      <c r="T121" s="742"/>
      <c r="V121" s="742"/>
      <c r="X121" s="742"/>
      <c r="Y121" s="742"/>
      <c r="AA121" s="27"/>
      <c r="AB121" s="27"/>
      <c r="AC121" s="27"/>
      <c r="AD121" s="27"/>
      <c r="AE121" s="27"/>
      <c r="AF121" s="27"/>
      <c r="AG121" s="27"/>
    </row>
    <row r="122" spans="2:33" x14ac:dyDescent="0.3">
      <c r="B122" s="848" t="s">
        <v>95</v>
      </c>
      <c r="C122" s="849">
        <f t="shared" si="45"/>
        <v>0</v>
      </c>
      <c r="D122" s="867"/>
      <c r="E122" s="867"/>
      <c r="F122" s="867"/>
      <c r="G122" s="867"/>
      <c r="H122" s="867"/>
      <c r="I122" s="867"/>
      <c r="J122" s="867"/>
      <c r="K122" s="867"/>
      <c r="L122" s="889"/>
      <c r="M122" s="741"/>
      <c r="N122" s="742"/>
      <c r="O122" s="741"/>
      <c r="P122" s="742"/>
      <c r="Q122" s="741"/>
      <c r="T122" s="742"/>
      <c r="V122" s="742"/>
      <c r="X122" s="742"/>
      <c r="Y122" s="742"/>
      <c r="AA122" s="27"/>
      <c r="AB122" s="27"/>
      <c r="AC122" s="27"/>
      <c r="AD122" s="27"/>
      <c r="AE122" s="27"/>
      <c r="AF122" s="27"/>
      <c r="AG122" s="27"/>
    </row>
    <row r="123" spans="2:33" x14ac:dyDescent="0.3">
      <c r="B123" s="848" t="s">
        <v>119</v>
      </c>
      <c r="C123" s="849" t="e">
        <f t="shared" si="45"/>
        <v>#REF!</v>
      </c>
      <c r="D123" s="867" t="e">
        <f>D58</f>
        <v>#REF!</v>
      </c>
      <c r="E123" s="867">
        <f t="shared" si="35"/>
        <v>0</v>
      </c>
      <c r="F123" s="867">
        <f t="shared" si="36"/>
        <v>0</v>
      </c>
      <c r="G123" s="867">
        <f t="shared" si="41"/>
        <v>0</v>
      </c>
      <c r="H123" s="867">
        <f t="shared" si="43"/>
        <v>0</v>
      </c>
      <c r="I123" s="867">
        <f t="shared" si="37"/>
        <v>0</v>
      </c>
      <c r="J123" s="867" t="e">
        <f t="shared" si="38"/>
        <v>#REF!</v>
      </c>
      <c r="K123" s="867">
        <f t="shared" si="44"/>
        <v>0</v>
      </c>
      <c r="L123" s="889" t="e">
        <f t="shared" si="42"/>
        <v>#REF!</v>
      </c>
      <c r="M123" s="741"/>
      <c r="N123" s="742"/>
      <c r="O123" s="741"/>
      <c r="P123" s="742"/>
      <c r="Q123" s="741"/>
      <c r="T123" s="742"/>
      <c r="V123" s="742"/>
      <c r="X123" s="742"/>
      <c r="Y123" s="742"/>
      <c r="AA123" s="27"/>
      <c r="AB123" s="27"/>
      <c r="AC123" s="27"/>
      <c r="AD123" s="27"/>
      <c r="AE123" s="27"/>
      <c r="AF123" s="27"/>
      <c r="AG123" s="27"/>
    </row>
    <row r="124" spans="2:33" x14ac:dyDescent="0.3">
      <c r="B124" s="851" t="s">
        <v>427</v>
      </c>
      <c r="C124" s="852" t="e">
        <f>C59</f>
        <v>#REF!</v>
      </c>
      <c r="D124" s="853" t="e">
        <f>D59</f>
        <v>#REF!</v>
      </c>
      <c r="E124" s="853" t="e">
        <f>F59</f>
        <v>#REF!</v>
      </c>
      <c r="F124" s="853" t="e">
        <f>H59</f>
        <v>#REF!</v>
      </c>
      <c r="G124" s="853" t="e">
        <f>J59</f>
        <v>#REF!</v>
      </c>
      <c r="H124" s="853" t="e">
        <f>L59</f>
        <v>#REF!</v>
      </c>
      <c r="I124" s="853" t="e">
        <f>N59</f>
        <v>#REF!</v>
      </c>
      <c r="J124" s="853" t="e">
        <f>P59</f>
        <v>#REF!</v>
      </c>
      <c r="K124" s="853" t="e">
        <f>R59</f>
        <v>#REF!</v>
      </c>
      <c r="L124" s="889" t="e">
        <f t="shared" si="42"/>
        <v>#REF!</v>
      </c>
      <c r="M124" s="741"/>
      <c r="N124" s="742"/>
      <c r="O124" s="741"/>
      <c r="P124" s="742"/>
      <c r="Q124" s="741"/>
      <c r="T124" s="742"/>
      <c r="V124" s="742"/>
      <c r="X124" s="742"/>
      <c r="Y124" s="742"/>
      <c r="AA124" s="27"/>
      <c r="AB124" s="27"/>
      <c r="AC124" s="27"/>
      <c r="AD124" s="27"/>
      <c r="AE124" s="27"/>
      <c r="AF124" s="27"/>
      <c r="AG124" s="27"/>
    </row>
    <row r="125" spans="2:33" x14ac:dyDescent="0.3">
      <c r="B125" s="854" t="s">
        <v>428</v>
      </c>
      <c r="C125" s="855" t="e">
        <f>C97</f>
        <v>#REF!</v>
      </c>
      <c r="D125" s="856" t="e">
        <f>D97</f>
        <v>#REF!</v>
      </c>
      <c r="E125" s="856" t="e">
        <f>E97/$C$97</f>
        <v>#REF!</v>
      </c>
      <c r="F125" s="856" t="e">
        <f t="shared" ref="F125:K125" si="46">F97/$C$97</f>
        <v>#REF!</v>
      </c>
      <c r="G125" s="856" t="e">
        <f t="shared" si="46"/>
        <v>#REF!</v>
      </c>
      <c r="H125" s="856" t="e">
        <f t="shared" si="46"/>
        <v>#REF!</v>
      </c>
      <c r="I125" s="856" t="e">
        <f t="shared" si="46"/>
        <v>#REF!</v>
      </c>
      <c r="J125" s="856" t="e">
        <f t="shared" si="46"/>
        <v>#REF!</v>
      </c>
      <c r="K125" s="856" t="e">
        <f t="shared" si="46"/>
        <v>#REF!</v>
      </c>
    </row>
    <row r="129" spans="2:33" ht="27.6" x14ac:dyDescent="0.3">
      <c r="B129" s="862" t="s">
        <v>144</v>
      </c>
      <c r="C129" s="863" t="s">
        <v>433</v>
      </c>
      <c r="D129" s="863" t="s">
        <v>434</v>
      </c>
      <c r="E129" s="863" t="s">
        <v>494</v>
      </c>
      <c r="F129" s="863" t="s">
        <v>495</v>
      </c>
      <c r="G129" s="863" t="s">
        <v>496</v>
      </c>
      <c r="H129" s="863" t="s">
        <v>497</v>
      </c>
      <c r="I129" s="863" t="s">
        <v>514</v>
      </c>
      <c r="J129" s="864" t="s">
        <v>516</v>
      </c>
      <c r="K129" s="666"/>
      <c r="L129" s="27"/>
      <c r="Q129" s="741"/>
      <c r="R129" s="742"/>
      <c r="S129" s="741"/>
      <c r="T129" s="742"/>
      <c r="U129" s="741"/>
      <c r="V129" s="742"/>
      <c r="W129" s="741"/>
      <c r="Y129" s="742"/>
      <c r="AG129" s="27"/>
    </row>
    <row r="130" spans="2:33" x14ac:dyDescent="0.3">
      <c r="B130" s="865" t="s">
        <v>517</v>
      </c>
      <c r="C130" s="43" t="e">
        <f t="shared" ref="C130:H130" si="47">C124</f>
        <v>#REF!</v>
      </c>
      <c r="D130" s="665" t="e">
        <f t="shared" si="47"/>
        <v>#REF!</v>
      </c>
      <c r="E130" s="663" t="e">
        <f t="shared" si="47"/>
        <v>#REF!</v>
      </c>
      <c r="F130" s="663" t="e">
        <f t="shared" si="47"/>
        <v>#REF!</v>
      </c>
      <c r="G130" s="663" t="e">
        <f t="shared" si="47"/>
        <v>#REF!</v>
      </c>
      <c r="H130" s="663" t="e">
        <f t="shared" si="47"/>
        <v>#REF!</v>
      </c>
      <c r="I130" s="665" t="e">
        <f>I124+J124</f>
        <v>#REF!</v>
      </c>
      <c r="J130" s="866" t="e">
        <f>K124</f>
        <v>#REF!</v>
      </c>
      <c r="K130" s="666" t="e">
        <f>SUM(E130:J130)</f>
        <v>#REF!</v>
      </c>
      <c r="L130" s="27"/>
      <c r="Q130" s="741"/>
      <c r="R130" s="742"/>
      <c r="S130" s="741"/>
      <c r="T130" s="742"/>
      <c r="U130" s="741"/>
      <c r="V130" s="742"/>
      <c r="W130" s="741"/>
      <c r="Y130" s="742"/>
      <c r="AG130" s="27"/>
    </row>
    <row r="134" spans="2:33" x14ac:dyDescent="0.3">
      <c r="B134" s="27" t="s">
        <v>542</v>
      </c>
    </row>
    <row r="137" spans="2:33" ht="14.1" customHeight="1" x14ac:dyDescent="0.3">
      <c r="B137" s="3858" t="s">
        <v>336</v>
      </c>
      <c r="C137" s="3858" t="s">
        <v>468</v>
      </c>
      <c r="D137" s="3859" t="s">
        <v>469</v>
      </c>
      <c r="E137" s="3860" t="s">
        <v>493</v>
      </c>
      <c r="F137" s="3861"/>
      <c r="G137" s="3861"/>
      <c r="H137" s="3861"/>
      <c r="I137" s="3861"/>
      <c r="J137" s="3861"/>
      <c r="K137" s="3862"/>
    </row>
    <row r="138" spans="2:33" ht="41.4" x14ac:dyDescent="0.3">
      <c r="B138" s="3858"/>
      <c r="C138" s="3858"/>
      <c r="D138" s="3859"/>
      <c r="E138" s="847" t="s">
        <v>436</v>
      </c>
      <c r="F138" s="847" t="s">
        <v>429</v>
      </c>
      <c r="G138" s="847" t="s">
        <v>405</v>
      </c>
      <c r="H138" s="847" t="s">
        <v>504</v>
      </c>
      <c r="I138" s="847" t="s">
        <v>519</v>
      </c>
      <c r="J138" s="847" t="s">
        <v>502</v>
      </c>
      <c r="K138" s="847" t="s">
        <v>536</v>
      </c>
    </row>
    <row r="139" spans="2:33" x14ac:dyDescent="0.3">
      <c r="B139" s="848" t="s">
        <v>5</v>
      </c>
      <c r="C139" s="849">
        <v>117202.464775809</v>
      </c>
      <c r="D139" s="867">
        <v>0.46485578596163896</v>
      </c>
      <c r="E139" s="849">
        <v>0</v>
      </c>
      <c r="F139" s="849">
        <v>0</v>
      </c>
      <c r="G139" s="849">
        <v>53392.599002399991</v>
      </c>
      <c r="H139" s="849">
        <v>0</v>
      </c>
      <c r="I139" s="849">
        <v>1089.6448776</v>
      </c>
      <c r="J139" s="849">
        <v>62720.220895809005</v>
      </c>
      <c r="K139" s="849">
        <v>0</v>
      </c>
    </row>
    <row r="140" spans="2:33" x14ac:dyDescent="0.3">
      <c r="B140" s="848" t="s">
        <v>8</v>
      </c>
      <c r="C140" s="849">
        <v>85610.765460526804</v>
      </c>
      <c r="D140" s="867">
        <v>0.82945886321669904</v>
      </c>
      <c r="E140" s="849">
        <v>0</v>
      </c>
      <c r="F140" s="849">
        <v>67460.077788099996</v>
      </c>
      <c r="G140" s="849">
        <v>0</v>
      </c>
      <c r="H140" s="849">
        <v>0</v>
      </c>
      <c r="I140" s="849">
        <v>3550.5304099000004</v>
      </c>
      <c r="J140" s="849">
        <v>14600.157262526802</v>
      </c>
      <c r="K140" s="849">
        <v>0</v>
      </c>
    </row>
    <row r="141" spans="2:33" x14ac:dyDescent="0.3">
      <c r="B141" s="848" t="s">
        <v>304</v>
      </c>
      <c r="C141" s="849">
        <v>34355.162633636799</v>
      </c>
      <c r="D141" s="867">
        <v>0.78534998328266792</v>
      </c>
      <c r="E141" s="849">
        <v>0</v>
      </c>
      <c r="F141" s="849">
        <v>25909.687591919999</v>
      </c>
      <c r="G141" s="849">
        <v>0</v>
      </c>
      <c r="H141" s="849">
        <v>64.753983359999992</v>
      </c>
      <c r="I141" s="849">
        <v>1006.3848247199999</v>
      </c>
      <c r="J141" s="849">
        <v>7374.3362336368009</v>
      </c>
      <c r="K141" s="849">
        <v>0</v>
      </c>
    </row>
    <row r="142" spans="2:33" x14ac:dyDescent="0.3">
      <c r="B142" s="848" t="s">
        <v>14</v>
      </c>
      <c r="C142" s="849">
        <v>40601.967921012998</v>
      </c>
      <c r="D142" s="867">
        <v>0.57984922001319117</v>
      </c>
      <c r="E142" s="849">
        <v>0</v>
      </c>
      <c r="F142" s="849">
        <v>17145.386342776441</v>
      </c>
      <c r="G142" s="849">
        <v>0</v>
      </c>
      <c r="H142" s="849">
        <v>0</v>
      </c>
      <c r="I142" s="849">
        <v>6397.6330872235567</v>
      </c>
      <c r="J142" s="849">
        <v>17058.948491012998</v>
      </c>
      <c r="K142" s="849">
        <v>0</v>
      </c>
    </row>
    <row r="143" spans="2:33" x14ac:dyDescent="0.3">
      <c r="B143" s="848" t="s">
        <v>17</v>
      </c>
      <c r="C143" s="849">
        <v>2624.3077651992003</v>
      </c>
      <c r="D143" s="867">
        <v>0.4888468063891972</v>
      </c>
      <c r="E143" s="849">
        <v>0</v>
      </c>
      <c r="F143" s="849">
        <v>1218.7402465</v>
      </c>
      <c r="G143" s="849">
        <v>0</v>
      </c>
      <c r="H143" s="849">
        <v>0</v>
      </c>
      <c r="I143" s="849">
        <v>64.14422350000001</v>
      </c>
      <c r="J143" s="849">
        <v>1341.4232951992001</v>
      </c>
      <c r="K143" s="849">
        <v>0</v>
      </c>
    </row>
    <row r="144" spans="2:33" x14ac:dyDescent="0.3">
      <c r="B144" s="848" t="s">
        <v>16</v>
      </c>
      <c r="C144" s="849">
        <v>9871.3711782268001</v>
      </c>
      <c r="D144" s="867">
        <v>0.50908885901124801</v>
      </c>
      <c r="E144" s="849">
        <v>0</v>
      </c>
      <c r="F144" s="849">
        <v>4774.1348355</v>
      </c>
      <c r="G144" s="849">
        <v>0</v>
      </c>
      <c r="H144" s="849">
        <v>0</v>
      </c>
      <c r="I144" s="849">
        <v>251.27025450000002</v>
      </c>
      <c r="J144" s="849">
        <v>4845.9660882267999</v>
      </c>
      <c r="K144" s="849">
        <v>0</v>
      </c>
    </row>
    <row r="145" spans="2:11" x14ac:dyDescent="0.3">
      <c r="B145" s="848" t="s">
        <v>308</v>
      </c>
      <c r="C145" s="849">
        <v>108.97330162800003</v>
      </c>
      <c r="D145" s="867">
        <v>0.48019587567083971</v>
      </c>
      <c r="E145" s="849">
        <v>0</v>
      </c>
      <c r="F145" s="849">
        <v>25.818896702000007</v>
      </c>
      <c r="G145" s="849">
        <v>0</v>
      </c>
      <c r="H145" s="849">
        <v>0.41862824000000015</v>
      </c>
      <c r="I145" s="849">
        <v>26.091005058000007</v>
      </c>
      <c r="J145" s="849">
        <v>56.644771628000008</v>
      </c>
      <c r="K145" s="849">
        <v>0</v>
      </c>
    </row>
    <row r="146" spans="2:11" x14ac:dyDescent="0.3">
      <c r="B146" s="848" t="s">
        <v>44</v>
      </c>
      <c r="C146" s="849">
        <v>82.82725885387552</v>
      </c>
      <c r="D146" s="867">
        <v>0.6839410093990439</v>
      </c>
      <c r="E146" s="849">
        <v>0</v>
      </c>
      <c r="F146" s="849">
        <v>46.894008281950875</v>
      </c>
      <c r="G146" s="849">
        <v>0</v>
      </c>
      <c r="H146" s="849">
        <v>5.2570233976383678</v>
      </c>
      <c r="I146" s="849">
        <v>4.4979273466862759</v>
      </c>
      <c r="J146" s="849">
        <v>26.178299827600004</v>
      </c>
      <c r="K146" s="849">
        <v>0</v>
      </c>
    </row>
    <row r="147" spans="2:11" x14ac:dyDescent="0.3">
      <c r="B147" s="848" t="s">
        <v>326</v>
      </c>
      <c r="C147" s="849">
        <v>1165.0357160706262</v>
      </c>
      <c r="D147" s="867">
        <v>0.26129591867788876</v>
      </c>
      <c r="E147" s="849">
        <v>0</v>
      </c>
      <c r="F147" s="849">
        <v>304.41907772322622</v>
      </c>
      <c r="G147" s="849">
        <v>0</v>
      </c>
      <c r="H147" s="849">
        <v>0</v>
      </c>
      <c r="I147" s="849">
        <v>0</v>
      </c>
      <c r="J147" s="849">
        <v>860.6166383474</v>
      </c>
      <c r="K147" s="849">
        <v>0</v>
      </c>
    </row>
    <row r="148" spans="2:11" x14ac:dyDescent="0.3">
      <c r="B148" s="848" t="s">
        <v>25</v>
      </c>
      <c r="C148" s="849">
        <v>12580.876538841001</v>
      </c>
      <c r="D148" s="867">
        <v>0.29741887844205073</v>
      </c>
      <c r="E148" s="849">
        <v>1683.8055855</v>
      </c>
      <c r="F148" s="849">
        <v>1608.9697816999999</v>
      </c>
      <c r="G148" s="849">
        <v>0</v>
      </c>
      <c r="H148" s="849">
        <v>374.17901899999998</v>
      </c>
      <c r="I148" s="849">
        <v>74.835803799999994</v>
      </c>
      <c r="J148" s="849">
        <v>8839.0863488410014</v>
      </c>
      <c r="K148" s="849">
        <v>0</v>
      </c>
    </row>
    <row r="149" spans="2:11" x14ac:dyDescent="0.3">
      <c r="B149" s="848" t="s">
        <v>29</v>
      </c>
      <c r="C149" s="849">
        <v>30423.895780999999</v>
      </c>
      <c r="D149" s="867">
        <v>0.96497719297127504</v>
      </c>
      <c r="E149" s="849">
        <v>0</v>
      </c>
      <c r="F149" s="849">
        <v>11743.346219999999</v>
      </c>
      <c r="G149" s="849">
        <v>0</v>
      </c>
      <c r="H149" s="849">
        <v>17027.852018999998</v>
      </c>
      <c r="I149" s="849">
        <v>587.16731100000004</v>
      </c>
      <c r="J149" s="849">
        <v>1065.530231</v>
      </c>
      <c r="K149" s="849">
        <v>0</v>
      </c>
    </row>
    <row r="150" spans="2:11" x14ac:dyDescent="0.3">
      <c r="B150" s="848" t="s">
        <v>60</v>
      </c>
      <c r="C150" s="849">
        <v>104.7869</v>
      </c>
      <c r="D150" s="867">
        <v>1</v>
      </c>
      <c r="E150" s="849">
        <v>0</v>
      </c>
      <c r="F150" s="849">
        <v>51.701856460000002</v>
      </c>
      <c r="G150" s="849">
        <v>0</v>
      </c>
      <c r="H150" s="849">
        <v>0.83829520000000002</v>
      </c>
      <c r="I150" s="849">
        <v>52.246748340000003</v>
      </c>
      <c r="J150" s="849">
        <v>0</v>
      </c>
      <c r="K150" s="849">
        <v>0</v>
      </c>
    </row>
    <row r="151" spans="2:11" x14ac:dyDescent="0.3">
      <c r="B151" s="848" t="s">
        <v>33</v>
      </c>
      <c r="C151" s="849">
        <v>1318.56799</v>
      </c>
      <c r="D151" s="867">
        <v>1</v>
      </c>
      <c r="E151" s="849">
        <v>0</v>
      </c>
      <c r="F151" s="849">
        <v>11.428767739999998</v>
      </c>
      <c r="G151" s="849">
        <v>0</v>
      </c>
      <c r="H151" s="849">
        <v>1126.05597562</v>
      </c>
      <c r="I151" s="849">
        <v>0</v>
      </c>
      <c r="J151" s="849">
        <v>0</v>
      </c>
      <c r="K151" s="849">
        <v>181.08324664</v>
      </c>
    </row>
    <row r="152" spans="2:11" x14ac:dyDescent="0.3">
      <c r="B152" s="848" t="s">
        <v>66</v>
      </c>
      <c r="C152" s="849">
        <v>73.852999999999994</v>
      </c>
      <c r="D152" s="867">
        <v>1</v>
      </c>
      <c r="E152" s="849">
        <v>11.1785178176399</v>
      </c>
      <c r="F152" s="849">
        <v>34.832721188015306</v>
      </c>
      <c r="G152" s="849">
        <v>0</v>
      </c>
      <c r="H152" s="849">
        <v>27.841760994344789</v>
      </c>
      <c r="I152" s="849">
        <v>0</v>
      </c>
      <c r="J152" s="849">
        <v>0</v>
      </c>
      <c r="K152" s="849">
        <v>0</v>
      </c>
    </row>
    <row r="153" spans="2:11" x14ac:dyDescent="0.3">
      <c r="B153" s="848" t="s">
        <v>73</v>
      </c>
      <c r="C153" s="849">
        <v>472.27297146400014</v>
      </c>
      <c r="D153" s="867">
        <v>0.18311443852465331</v>
      </c>
      <c r="E153" s="849">
        <v>0</v>
      </c>
      <c r="F153" s="849">
        <v>73.153431999999995</v>
      </c>
      <c r="G153" s="849">
        <v>0</v>
      </c>
      <c r="H153" s="849">
        <v>13.300623999999999</v>
      </c>
      <c r="I153" s="849">
        <v>2.5943999999999998E-2</v>
      </c>
      <c r="J153" s="888">
        <v>385.79297146400012</v>
      </c>
      <c r="K153" s="849">
        <v>0</v>
      </c>
    </row>
    <row r="154" spans="2:11" x14ac:dyDescent="0.3">
      <c r="B154" s="848" t="s">
        <v>74</v>
      </c>
      <c r="C154" s="849">
        <v>14</v>
      </c>
      <c r="D154" s="867">
        <v>1</v>
      </c>
      <c r="E154" s="849">
        <v>0</v>
      </c>
      <c r="F154" s="849">
        <v>2.3083511777301928</v>
      </c>
      <c r="G154" s="849">
        <v>0</v>
      </c>
      <c r="H154" s="849">
        <v>11.691648822269809</v>
      </c>
      <c r="I154" s="849">
        <v>0</v>
      </c>
      <c r="J154" s="849">
        <v>0</v>
      </c>
      <c r="K154" s="849">
        <v>0</v>
      </c>
    </row>
    <row r="155" spans="2:11" x14ac:dyDescent="0.3">
      <c r="B155" s="848" t="s">
        <v>327</v>
      </c>
      <c r="C155" s="849">
        <v>169.3025779595981</v>
      </c>
      <c r="D155" s="867">
        <v>3.118676669683124E-2</v>
      </c>
      <c r="E155" s="849">
        <v>2.3759999999991308</v>
      </c>
      <c r="F155" s="849">
        <v>2.2703999999991695</v>
      </c>
      <c r="G155" s="849">
        <v>0</v>
      </c>
      <c r="H155" s="849">
        <v>0.52799999999980685</v>
      </c>
      <c r="I155" s="850">
        <v>0.10559999999996138</v>
      </c>
      <c r="J155" s="850">
        <v>164.02257795960003</v>
      </c>
      <c r="K155" s="849">
        <v>0</v>
      </c>
    </row>
    <row r="156" spans="2:11" x14ac:dyDescent="0.3">
      <c r="B156" s="848" t="s">
        <v>143</v>
      </c>
      <c r="C156" s="849">
        <v>3151.8047146652348</v>
      </c>
      <c r="D156" s="867">
        <v>0.73115276543648389</v>
      </c>
      <c r="E156" s="849">
        <v>5.9915719064324096</v>
      </c>
      <c r="F156" s="849">
        <v>1883.8884744263441</v>
      </c>
      <c r="G156" s="849">
        <v>0</v>
      </c>
      <c r="H156" s="849">
        <v>174.21647543318852</v>
      </c>
      <c r="I156" s="849">
        <v>240.35421147726936</v>
      </c>
      <c r="J156" s="849">
        <v>847.35398142200017</v>
      </c>
      <c r="K156" s="849">
        <v>0</v>
      </c>
    </row>
    <row r="157" spans="2:11" x14ac:dyDescent="0.3">
      <c r="B157" s="848" t="s">
        <v>76</v>
      </c>
      <c r="C157" s="849">
        <v>8624.1095963804</v>
      </c>
      <c r="D157" s="867">
        <v>0.76019719331391711</v>
      </c>
      <c r="E157" s="849">
        <v>4052.7363077616847</v>
      </c>
      <c r="F157" s="849">
        <v>871.83464767610258</v>
      </c>
      <c r="G157" s="849">
        <v>0</v>
      </c>
      <c r="H157" s="849">
        <v>1631.4529545622117</v>
      </c>
      <c r="I157" s="849">
        <v>0</v>
      </c>
      <c r="J157" s="849">
        <v>2068.0856863804006</v>
      </c>
      <c r="K157" s="849">
        <v>0</v>
      </c>
    </row>
    <row r="158" spans="2:11" x14ac:dyDescent="0.3">
      <c r="B158" s="848" t="s">
        <v>309</v>
      </c>
      <c r="C158" s="849">
        <v>21965.615300551803</v>
      </c>
      <c r="D158" s="867">
        <v>0.80331682853230746</v>
      </c>
      <c r="E158" s="849">
        <v>0</v>
      </c>
      <c r="F158" s="849">
        <v>0</v>
      </c>
      <c r="G158" s="849">
        <v>0</v>
      </c>
      <c r="H158" s="849">
        <v>0</v>
      </c>
      <c r="I158" s="849">
        <v>17645.348420000002</v>
      </c>
      <c r="J158" s="849">
        <v>4320.2668805517997</v>
      </c>
      <c r="K158" s="849">
        <v>0</v>
      </c>
    </row>
    <row r="159" spans="2:11" x14ac:dyDescent="0.3">
      <c r="B159" s="848" t="s">
        <v>95</v>
      </c>
      <c r="C159" s="849">
        <v>0</v>
      </c>
      <c r="D159" s="867"/>
      <c r="E159" s="849"/>
      <c r="F159" s="849"/>
      <c r="G159" s="849"/>
      <c r="H159" s="849"/>
      <c r="I159" s="849"/>
      <c r="J159" s="849"/>
      <c r="K159" s="849"/>
    </row>
    <row r="160" spans="2:11" x14ac:dyDescent="0.3">
      <c r="B160" s="848" t="s">
        <v>119</v>
      </c>
      <c r="C160" s="849">
        <v>15039.442502152999</v>
      </c>
      <c r="D160" s="867">
        <v>0</v>
      </c>
      <c r="E160" s="849">
        <v>0</v>
      </c>
      <c r="F160" s="849">
        <v>0</v>
      </c>
      <c r="G160" s="849">
        <v>0</v>
      </c>
      <c r="H160" s="849">
        <v>0</v>
      </c>
      <c r="I160" s="849">
        <v>0</v>
      </c>
      <c r="J160" s="849">
        <v>15039.442502152999</v>
      </c>
      <c r="K160" s="849">
        <v>0</v>
      </c>
    </row>
    <row r="161" spans="2:11" x14ac:dyDescent="0.3">
      <c r="B161" s="851" t="s">
        <v>427</v>
      </c>
      <c r="C161" s="852">
        <v>385561.40388397913</v>
      </c>
      <c r="D161" s="853">
        <v>0.63270682249460808</v>
      </c>
      <c r="E161" s="852">
        <v>5756.0879829857558</v>
      </c>
      <c r="F161" s="852">
        <v>133168.89343987178</v>
      </c>
      <c r="G161" s="852">
        <v>53392.599002399991</v>
      </c>
      <c r="H161" s="852">
        <v>20458.386407629652</v>
      </c>
      <c r="I161" s="852">
        <v>30990.280648465516</v>
      </c>
      <c r="J161" s="852">
        <v>141614.07315598641</v>
      </c>
      <c r="K161" s="852">
        <v>181.08324664</v>
      </c>
    </row>
    <row r="164" spans="2:11" ht="14.1" customHeight="1" x14ac:dyDescent="0.3">
      <c r="B164" s="3858" t="s">
        <v>336</v>
      </c>
      <c r="C164" s="3858" t="s">
        <v>468</v>
      </c>
      <c r="D164" s="3859" t="s">
        <v>469</v>
      </c>
      <c r="E164" s="3860" t="s">
        <v>512</v>
      </c>
      <c r="F164" s="3861"/>
      <c r="G164" s="3861"/>
      <c r="H164" s="3861"/>
      <c r="I164" s="3861"/>
      <c r="J164" s="3861"/>
      <c r="K164" s="3862"/>
    </row>
    <row r="165" spans="2:11" ht="41.4" x14ac:dyDescent="0.3">
      <c r="B165" s="3858"/>
      <c r="C165" s="3858"/>
      <c r="D165" s="3859"/>
      <c r="E165" s="847" t="s">
        <v>436</v>
      </c>
      <c r="F165" s="847" t="s">
        <v>429</v>
      </c>
      <c r="G165" s="847" t="s">
        <v>405</v>
      </c>
      <c r="H165" s="847" t="s">
        <v>504</v>
      </c>
      <c r="I165" s="847" t="s">
        <v>519</v>
      </c>
      <c r="J165" s="847" t="s">
        <v>502</v>
      </c>
      <c r="K165" s="847" t="s">
        <v>536</v>
      </c>
    </row>
    <row r="166" spans="2:11" x14ac:dyDescent="0.3">
      <c r="B166" s="848" t="s">
        <v>5</v>
      </c>
      <c r="C166" s="849">
        <v>117202.464775809</v>
      </c>
      <c r="D166" s="867">
        <v>0.46485578596163896</v>
      </c>
      <c r="E166" s="867">
        <v>0</v>
      </c>
      <c r="F166" s="867">
        <v>0</v>
      </c>
      <c r="G166" s="867">
        <v>0.45555867024240615</v>
      </c>
      <c r="H166" s="867">
        <v>0</v>
      </c>
      <c r="I166" s="867">
        <v>9.2971157192327791E-3</v>
      </c>
      <c r="J166" s="867">
        <v>0.5351442140383611</v>
      </c>
      <c r="K166" s="867">
        <v>0</v>
      </c>
    </row>
    <row r="167" spans="2:11" x14ac:dyDescent="0.3">
      <c r="B167" s="848" t="s">
        <v>8</v>
      </c>
      <c r="C167" s="849">
        <v>85610.765460526804</v>
      </c>
      <c r="D167" s="867">
        <v>0.82945886321669904</v>
      </c>
      <c r="E167" s="867">
        <v>0</v>
      </c>
      <c r="F167" s="867">
        <v>0.78798592005586399</v>
      </c>
      <c r="G167" s="867">
        <v>0</v>
      </c>
      <c r="H167" s="867">
        <v>0</v>
      </c>
      <c r="I167" s="867">
        <v>4.1472943160834955E-2</v>
      </c>
      <c r="J167" s="867">
        <v>0.17054113678330099</v>
      </c>
      <c r="K167" s="867">
        <v>0</v>
      </c>
    </row>
    <row r="168" spans="2:11" x14ac:dyDescent="0.3">
      <c r="B168" s="848" t="s">
        <v>304</v>
      </c>
      <c r="C168" s="849">
        <v>34355.162633636799</v>
      </c>
      <c r="D168" s="867">
        <v>0.78534998328266792</v>
      </c>
      <c r="E168" s="867">
        <v>0</v>
      </c>
      <c r="F168" s="867">
        <v>0.75417158894634606</v>
      </c>
      <c r="G168" s="867">
        <v>0</v>
      </c>
      <c r="H168" s="867">
        <v>1.884839959878403E-3</v>
      </c>
      <c r="I168" s="867">
        <v>2.9293554376443511E-2</v>
      </c>
      <c r="J168" s="867">
        <v>0.21465001671733208</v>
      </c>
      <c r="K168" s="867">
        <v>0</v>
      </c>
    </row>
    <row r="169" spans="2:11" x14ac:dyDescent="0.3">
      <c r="B169" s="848" t="s">
        <v>14</v>
      </c>
      <c r="C169" s="849">
        <v>40601.967921012998</v>
      </c>
      <c r="D169" s="867">
        <v>0.57984922001319117</v>
      </c>
      <c r="E169" s="867">
        <v>0</v>
      </c>
      <c r="F169" s="867">
        <v>0.42227968792377374</v>
      </c>
      <c r="G169" s="867">
        <v>0</v>
      </c>
      <c r="H169" s="867">
        <v>0</v>
      </c>
      <c r="I169" s="867">
        <v>0.15756953208941749</v>
      </c>
      <c r="J169" s="867">
        <v>0.42015077998680872</v>
      </c>
      <c r="K169" s="867">
        <v>0</v>
      </c>
    </row>
    <row r="170" spans="2:11" x14ac:dyDescent="0.3">
      <c r="B170" s="848" t="s">
        <v>17</v>
      </c>
      <c r="C170" s="849">
        <v>2624.3077651992003</v>
      </c>
      <c r="D170" s="867">
        <v>0.4888468063891972</v>
      </c>
      <c r="E170" s="867">
        <v>0</v>
      </c>
      <c r="F170" s="867">
        <v>0.46440446606973723</v>
      </c>
      <c r="G170" s="867">
        <v>0</v>
      </c>
      <c r="H170" s="867">
        <v>0</v>
      </c>
      <c r="I170" s="867">
        <v>2.4442340319459858E-2</v>
      </c>
      <c r="J170" s="867">
        <v>0.5111531936108028</v>
      </c>
      <c r="K170" s="867">
        <v>0</v>
      </c>
    </row>
    <row r="171" spans="2:11" x14ac:dyDescent="0.3">
      <c r="B171" s="848" t="s">
        <v>16</v>
      </c>
      <c r="C171" s="849">
        <v>9871.3711782268001</v>
      </c>
      <c r="D171" s="867">
        <v>0.50908885901124801</v>
      </c>
      <c r="E171" s="867">
        <v>0</v>
      </c>
      <c r="F171" s="867">
        <v>0.48363441606068558</v>
      </c>
      <c r="G171" s="867">
        <v>0</v>
      </c>
      <c r="H171" s="867">
        <v>0</v>
      </c>
      <c r="I171" s="867">
        <v>2.54544429505624E-2</v>
      </c>
      <c r="J171" s="867">
        <v>0.49091114098875205</v>
      </c>
      <c r="K171" s="867">
        <v>0</v>
      </c>
    </row>
    <row r="172" spans="2:11" x14ac:dyDescent="0.3">
      <c r="B172" s="848" t="s">
        <v>308</v>
      </c>
      <c r="C172" s="849">
        <v>108.97330162800003</v>
      </c>
      <c r="D172" s="867">
        <v>0.48019587567083971</v>
      </c>
      <c r="E172" s="867">
        <v>0</v>
      </c>
      <c r="F172" s="867">
        <v>0.23692864505599229</v>
      </c>
      <c r="G172" s="867">
        <v>0</v>
      </c>
      <c r="H172" s="867">
        <v>3.8415670053667176E-3</v>
      </c>
      <c r="I172" s="867">
        <v>0.23942566360948067</v>
      </c>
      <c r="J172" s="867">
        <v>0.51980412432916023</v>
      </c>
      <c r="K172" s="867">
        <v>0</v>
      </c>
    </row>
    <row r="173" spans="2:11" x14ac:dyDescent="0.3">
      <c r="B173" s="848" t="s">
        <v>44</v>
      </c>
      <c r="C173" s="849">
        <v>82.82725885387552</v>
      </c>
      <c r="D173" s="867">
        <v>0.6839410093990439</v>
      </c>
      <c r="E173" s="867">
        <v>0</v>
      </c>
      <c r="F173" s="867">
        <v>0.56616636758052852</v>
      </c>
      <c r="G173" s="867">
        <v>0</v>
      </c>
      <c r="H173" s="867">
        <v>6.3469725672231275E-2</v>
      </c>
      <c r="I173" s="867">
        <v>5.4304916146284084E-2</v>
      </c>
      <c r="J173" s="867">
        <v>0.31605899060095616</v>
      </c>
      <c r="K173" s="867">
        <v>0</v>
      </c>
    </row>
    <row r="174" spans="2:11" x14ac:dyDescent="0.3">
      <c r="B174" s="848" t="s">
        <v>326</v>
      </c>
      <c r="C174" s="849">
        <v>1165.0357160706262</v>
      </c>
      <c r="D174" s="867">
        <v>0.26129591867788876</v>
      </c>
      <c r="E174" s="867">
        <v>0</v>
      </c>
      <c r="F174" s="867">
        <v>0.26129591867788876</v>
      </c>
      <c r="G174" s="867">
        <v>0</v>
      </c>
      <c r="H174" s="867">
        <v>0</v>
      </c>
      <c r="I174" s="867">
        <v>0</v>
      </c>
      <c r="J174" s="867">
        <v>0.73870408132211129</v>
      </c>
      <c r="K174" s="867">
        <v>0</v>
      </c>
    </row>
    <row r="175" spans="2:11" x14ac:dyDescent="0.3">
      <c r="B175" s="848" t="s">
        <v>25</v>
      </c>
      <c r="C175" s="849">
        <v>12580.876538841001</v>
      </c>
      <c r="D175" s="867">
        <v>0.29741887844205073</v>
      </c>
      <c r="E175" s="867">
        <v>0.13383849529892283</v>
      </c>
      <c r="F175" s="867">
        <v>0.12789011773008183</v>
      </c>
      <c r="G175" s="867">
        <v>0</v>
      </c>
      <c r="H175" s="867">
        <v>2.9741887844205075E-2</v>
      </c>
      <c r="I175" s="867">
        <v>5.9483775688410146E-3</v>
      </c>
      <c r="J175" s="867">
        <v>0.70258112155794927</v>
      </c>
      <c r="K175" s="867">
        <v>0</v>
      </c>
    </row>
    <row r="176" spans="2:11" x14ac:dyDescent="0.3">
      <c r="B176" s="848" t="s">
        <v>29</v>
      </c>
      <c r="C176" s="849">
        <v>30423.895780999999</v>
      </c>
      <c r="D176" s="867">
        <v>0.96497719297127504</v>
      </c>
      <c r="E176" s="867">
        <v>0</v>
      </c>
      <c r="F176" s="867">
        <v>0.38599087718851005</v>
      </c>
      <c r="G176" s="867">
        <v>0</v>
      </c>
      <c r="H176" s="867">
        <v>0.55968677192333949</v>
      </c>
      <c r="I176" s="867">
        <v>1.9299543859425505E-2</v>
      </c>
      <c r="J176" s="867">
        <v>3.502280702872488E-2</v>
      </c>
      <c r="K176" s="867">
        <v>0</v>
      </c>
    </row>
    <row r="177" spans="2:11" x14ac:dyDescent="0.3">
      <c r="B177" s="848" t="s">
        <v>60</v>
      </c>
      <c r="C177" s="849">
        <v>104.7869</v>
      </c>
      <c r="D177" s="867">
        <v>1</v>
      </c>
      <c r="E177" s="867">
        <v>0</v>
      </c>
      <c r="F177" s="867">
        <v>0.49340000000000001</v>
      </c>
      <c r="G177" s="867">
        <v>0</v>
      </c>
      <c r="H177" s="867">
        <v>8.0000000000000002E-3</v>
      </c>
      <c r="I177" s="867">
        <v>0.49860000000000004</v>
      </c>
      <c r="J177" s="867">
        <v>0</v>
      </c>
      <c r="K177" s="867">
        <v>0</v>
      </c>
    </row>
    <row r="178" spans="2:11" x14ac:dyDescent="0.3">
      <c r="B178" s="848" t="s">
        <v>33</v>
      </c>
      <c r="C178" s="849">
        <v>1318.56799</v>
      </c>
      <c r="D178" s="867">
        <v>1</v>
      </c>
      <c r="E178" s="867">
        <v>0</v>
      </c>
      <c r="F178" s="867">
        <v>8.6675604342556483E-3</v>
      </c>
      <c r="G178" s="867">
        <v>0</v>
      </c>
      <c r="H178" s="867">
        <v>0.85399917498376399</v>
      </c>
      <c r="I178" s="867">
        <v>0</v>
      </c>
      <c r="J178" s="867">
        <v>0</v>
      </c>
      <c r="K178" s="867">
        <v>0.13733326458198034</v>
      </c>
    </row>
    <row r="179" spans="2:11" x14ac:dyDescent="0.3">
      <c r="B179" s="848" t="s">
        <v>66</v>
      </c>
      <c r="C179" s="849">
        <v>73.852999999999994</v>
      </c>
      <c r="D179" s="867">
        <v>1</v>
      </c>
      <c r="E179" s="867">
        <v>0.15136172962019012</v>
      </c>
      <c r="F179" s="867">
        <v>0.47164937359369707</v>
      </c>
      <c r="G179" s="867">
        <v>0</v>
      </c>
      <c r="H179" s="867">
        <v>0.3769888967861128</v>
      </c>
      <c r="I179" s="867">
        <v>0</v>
      </c>
      <c r="J179" s="867">
        <v>0</v>
      </c>
      <c r="K179" s="867">
        <v>0</v>
      </c>
    </row>
    <row r="180" spans="2:11" x14ac:dyDescent="0.3">
      <c r="B180" s="848" t="s">
        <v>73</v>
      </c>
      <c r="C180" s="849">
        <v>472.27297146400014</v>
      </c>
      <c r="D180" s="867">
        <v>0.18311443852465331</v>
      </c>
      <c r="E180" s="867">
        <v>0</v>
      </c>
      <c r="F180" s="867">
        <v>0.15489650354800422</v>
      </c>
      <c r="G180" s="867">
        <v>0</v>
      </c>
      <c r="H180" s="867">
        <v>2.8163000645091679E-2</v>
      </c>
      <c r="I180" s="867">
        <v>5.4934331557395992E-5</v>
      </c>
      <c r="J180" s="890">
        <v>0.81688556147534663</v>
      </c>
      <c r="K180" s="867">
        <v>0</v>
      </c>
    </row>
    <row r="181" spans="2:11" x14ac:dyDescent="0.3">
      <c r="B181" s="848" t="s">
        <v>74</v>
      </c>
      <c r="C181" s="849">
        <v>14</v>
      </c>
      <c r="D181" s="867">
        <v>1</v>
      </c>
      <c r="E181" s="867">
        <v>0</v>
      </c>
      <c r="F181" s="867">
        <v>0.16488222698072805</v>
      </c>
      <c r="G181" s="867">
        <v>0</v>
      </c>
      <c r="H181" s="867">
        <v>0.83511777301927204</v>
      </c>
      <c r="I181" s="867">
        <v>0</v>
      </c>
      <c r="J181" s="867">
        <v>0</v>
      </c>
      <c r="K181" s="867">
        <v>0</v>
      </c>
    </row>
    <row r="182" spans="2:11" x14ac:dyDescent="0.3">
      <c r="B182" s="848" t="s">
        <v>327</v>
      </c>
      <c r="C182" s="849">
        <v>169.3025779595981</v>
      </c>
      <c r="D182" s="867">
        <v>3.118676669683124E-2</v>
      </c>
      <c r="E182" s="867">
        <v>1.4034045013574057E-2</v>
      </c>
      <c r="F182" s="867">
        <v>1.3410309679637434E-2</v>
      </c>
      <c r="G182" s="867">
        <v>0</v>
      </c>
      <c r="H182" s="867">
        <v>3.118676669683124E-3</v>
      </c>
      <c r="I182" s="867">
        <v>6.2373533393662482E-4</v>
      </c>
      <c r="J182" s="867">
        <v>0.96881323330316871</v>
      </c>
      <c r="K182" s="867">
        <v>0</v>
      </c>
    </row>
    <row r="183" spans="2:11" x14ac:dyDescent="0.3">
      <c r="B183" s="848" t="s">
        <v>143</v>
      </c>
      <c r="C183" s="849">
        <v>3151.8047146652348</v>
      </c>
      <c r="D183" s="867">
        <v>0.73115276543648389</v>
      </c>
      <c r="E183" s="867">
        <v>1.9009971901348581E-3</v>
      </c>
      <c r="F183" s="867">
        <v>0.59771738574432554</v>
      </c>
      <c r="G183" s="867">
        <v>0</v>
      </c>
      <c r="H183" s="867">
        <v>5.527514906699818E-2</v>
      </c>
      <c r="I183" s="867">
        <v>7.6259233435025275E-2</v>
      </c>
      <c r="J183" s="867">
        <v>0.26884723456351606</v>
      </c>
      <c r="K183" s="867">
        <v>0</v>
      </c>
    </row>
    <row r="184" spans="2:11" x14ac:dyDescent="0.3">
      <c r="B184" s="848" t="s">
        <v>76</v>
      </c>
      <c r="C184" s="849">
        <v>8624.1095963804</v>
      </c>
      <c r="D184" s="867">
        <v>0.76019719331391711</v>
      </c>
      <c r="E184" s="867">
        <v>0.46993098388529836</v>
      </c>
      <c r="F184" s="867">
        <v>0.1010927143182431</v>
      </c>
      <c r="G184" s="867">
        <v>0</v>
      </c>
      <c r="H184" s="867">
        <v>0.18917349511037571</v>
      </c>
      <c r="I184" s="867">
        <v>0</v>
      </c>
      <c r="J184" s="867">
        <v>0.23980280668608281</v>
      </c>
      <c r="K184" s="867">
        <v>0</v>
      </c>
    </row>
    <row r="185" spans="2:11" x14ac:dyDescent="0.3">
      <c r="B185" s="848" t="s">
        <v>309</v>
      </c>
      <c r="C185" s="849">
        <v>21965.615300551803</v>
      </c>
      <c r="D185" s="867">
        <v>0.80331682853230746</v>
      </c>
      <c r="E185" s="867">
        <v>0</v>
      </c>
      <c r="F185" s="867">
        <v>0</v>
      </c>
      <c r="G185" s="867">
        <v>0</v>
      </c>
      <c r="H185" s="867">
        <v>0</v>
      </c>
      <c r="I185" s="867">
        <v>0.80331682853230746</v>
      </c>
      <c r="J185" s="867">
        <v>0.19668317146769249</v>
      </c>
      <c r="K185" s="867">
        <v>0</v>
      </c>
    </row>
    <row r="186" spans="2:11" x14ac:dyDescent="0.3">
      <c r="B186" s="848" t="s">
        <v>95</v>
      </c>
      <c r="C186" s="849">
        <v>0</v>
      </c>
      <c r="D186" s="867"/>
      <c r="E186" s="867"/>
      <c r="F186" s="867"/>
      <c r="G186" s="867"/>
      <c r="H186" s="867"/>
      <c r="I186" s="867"/>
      <c r="J186" s="867"/>
      <c r="K186" s="867"/>
    </row>
    <row r="187" spans="2:11" x14ac:dyDescent="0.3">
      <c r="B187" s="848" t="s">
        <v>119</v>
      </c>
      <c r="C187" s="849">
        <v>15039.442502152999</v>
      </c>
      <c r="D187" s="867">
        <v>0</v>
      </c>
      <c r="E187" s="867">
        <v>0</v>
      </c>
      <c r="F187" s="867">
        <v>0</v>
      </c>
      <c r="G187" s="867">
        <v>0</v>
      </c>
      <c r="H187" s="867">
        <v>0</v>
      </c>
      <c r="I187" s="867">
        <v>0</v>
      </c>
      <c r="J187" s="867">
        <v>1</v>
      </c>
      <c r="K187" s="867">
        <v>0</v>
      </c>
    </row>
    <row r="188" spans="2:11" x14ac:dyDescent="0.3">
      <c r="B188" s="851" t="s">
        <v>427</v>
      </c>
      <c r="C188" s="852">
        <v>385561.40388397913</v>
      </c>
      <c r="D188" s="853">
        <v>0.63270682249460808</v>
      </c>
      <c r="E188" s="853">
        <v>1.4929108372885384E-2</v>
      </c>
      <c r="F188" s="853">
        <v>0.34538958541593073</v>
      </c>
      <c r="G188" s="853">
        <v>0.13848014470469813</v>
      </c>
      <c r="H188" s="853">
        <v>5.3061292446652336E-2</v>
      </c>
      <c r="I188" s="853">
        <v>8.0377030315490108E-2</v>
      </c>
      <c r="J188" s="853">
        <v>0.36729317750539181</v>
      </c>
      <c r="K188" s="853">
        <v>4.6966123895142393E-4</v>
      </c>
    </row>
  </sheetData>
  <mergeCells count="34">
    <mergeCell ref="Q2:Q3"/>
    <mergeCell ref="R2:R3"/>
    <mergeCell ref="B35:B36"/>
    <mergeCell ref="C35:C36"/>
    <mergeCell ref="D35:D36"/>
    <mergeCell ref="E35:R35"/>
    <mergeCell ref="K2:K3"/>
    <mergeCell ref="L2:L3"/>
    <mergeCell ref="M2:M3"/>
    <mergeCell ref="N2:N3"/>
    <mergeCell ref="O2:O3"/>
    <mergeCell ref="P2:P3"/>
    <mergeCell ref="B2:B3"/>
    <mergeCell ref="C2:C3"/>
    <mergeCell ref="D2:D3"/>
    <mergeCell ref="E2:E3"/>
    <mergeCell ref="B72:B73"/>
    <mergeCell ref="C72:C73"/>
    <mergeCell ref="D72:D73"/>
    <mergeCell ref="E72:K72"/>
    <mergeCell ref="F2:H2"/>
    <mergeCell ref="J2:J3"/>
    <mergeCell ref="B164:B165"/>
    <mergeCell ref="C164:C165"/>
    <mergeCell ref="D164:D165"/>
    <mergeCell ref="E164:K164"/>
    <mergeCell ref="B100:B101"/>
    <mergeCell ref="C100:C101"/>
    <mergeCell ref="D100:D101"/>
    <mergeCell ref="E100:K100"/>
    <mergeCell ref="B137:B138"/>
    <mergeCell ref="C137:C138"/>
    <mergeCell ref="D137:D138"/>
    <mergeCell ref="E137:K137"/>
  </mergeCells>
  <pageMargins left="0.7" right="0.7" top="0.75" bottom="0.75" header="0.3" footer="0.3"/>
  <pageSetup paperSize="9" orientation="portrait" horizontalDpi="4294967292"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7">
    <tabColor theme="7" tint="0.39997558519241921"/>
  </sheetPr>
  <dimension ref="B2:AF233"/>
  <sheetViews>
    <sheetView workbookViewId="0"/>
  </sheetViews>
  <sheetFormatPr baseColWidth="10" defaultColWidth="11.5546875" defaultRowHeight="13.8" x14ac:dyDescent="0.3"/>
  <cols>
    <col min="1" max="1" width="3.109375" style="2" customWidth="1"/>
    <col min="2" max="2" width="22.88671875" style="2" bestFit="1" customWidth="1"/>
    <col min="3" max="3" width="14.44140625" style="2" customWidth="1"/>
    <col min="4" max="4" width="13.5546875" style="2" customWidth="1"/>
    <col min="5" max="5" width="13.109375" style="2" customWidth="1"/>
    <col min="6" max="6" width="12.5546875" style="2" customWidth="1"/>
    <col min="7" max="7" width="11.88671875" style="2" customWidth="1"/>
    <col min="8" max="8" width="13.109375" style="2" customWidth="1"/>
    <col min="9" max="9" width="12.44140625" style="2" customWidth="1"/>
    <col min="10" max="10" width="14.33203125" style="2" customWidth="1"/>
    <col min="11" max="11" width="16.44140625" style="2" customWidth="1"/>
    <col min="12" max="12" width="16.109375" style="2" customWidth="1"/>
    <col min="13" max="13" width="15.88671875" style="2" customWidth="1"/>
    <col min="14" max="14" width="12.88671875" style="2" customWidth="1"/>
    <col min="15" max="15" width="13.33203125" style="2" customWidth="1"/>
    <col min="16" max="16" width="12.109375" style="2" customWidth="1"/>
    <col min="17" max="17" width="10.88671875" style="2" customWidth="1"/>
    <col min="18" max="18" width="11.88671875" style="2" customWidth="1"/>
    <col min="19" max="19" width="15.5546875" style="2" customWidth="1"/>
    <col min="20" max="23" width="11.5546875" style="2"/>
    <col min="24" max="24" width="11.88671875" style="2" bestFit="1" customWidth="1"/>
    <col min="25" max="16384" width="11.5546875" style="2"/>
  </cols>
  <sheetData>
    <row r="2" spans="2:20" ht="14.1" customHeight="1" x14ac:dyDescent="0.3">
      <c r="B2" s="3858" t="s">
        <v>336</v>
      </c>
      <c r="C2" s="3858" t="s">
        <v>468</v>
      </c>
      <c r="D2" s="3909" t="s">
        <v>15</v>
      </c>
      <c r="E2" s="3859" t="s">
        <v>469</v>
      </c>
      <c r="F2" s="3860" t="s">
        <v>493</v>
      </c>
      <c r="G2" s="3861"/>
      <c r="H2" s="3861"/>
      <c r="I2" s="3861"/>
      <c r="J2" s="3861"/>
      <c r="K2" s="3861"/>
      <c r="L2" s="3861"/>
      <c r="M2" s="3861"/>
      <c r="N2" s="3861"/>
      <c r="O2" s="3861"/>
      <c r="P2" s="3861"/>
      <c r="Q2" s="3861"/>
      <c r="R2" s="3862"/>
    </row>
    <row r="3" spans="2:20" ht="55.2" x14ac:dyDescent="0.3">
      <c r="B3" s="3858"/>
      <c r="C3" s="3858"/>
      <c r="D3" s="3910"/>
      <c r="E3" s="3859"/>
      <c r="F3" s="847" t="s">
        <v>436</v>
      </c>
      <c r="G3" s="847" t="s">
        <v>429</v>
      </c>
      <c r="H3" s="847" t="s">
        <v>405</v>
      </c>
      <c r="I3" s="847" t="s">
        <v>519</v>
      </c>
      <c r="J3" s="847" t="s">
        <v>538</v>
      </c>
      <c r="K3" s="847" t="s">
        <v>498</v>
      </c>
      <c r="L3" s="847" t="s">
        <v>500</v>
      </c>
      <c r="M3" s="847" t="s">
        <v>543</v>
      </c>
      <c r="N3" s="847" t="s">
        <v>544</v>
      </c>
      <c r="O3" s="847" t="s">
        <v>534</v>
      </c>
      <c r="P3" s="847" t="s">
        <v>502</v>
      </c>
      <c r="Q3" s="847" t="s">
        <v>504</v>
      </c>
      <c r="R3" s="847" t="s">
        <v>506</v>
      </c>
    </row>
    <row r="4" spans="2:20" x14ac:dyDescent="0.3">
      <c r="B4" s="848" t="s">
        <v>5</v>
      </c>
      <c r="C4" s="849" t="e">
        <f>'Gestion final Araba 2018'!C72+'Gestion final Bizkaia 2018'!C76+'Gestion final Gipuzkoa 2018'!C74</f>
        <v>#REF!</v>
      </c>
      <c r="D4" s="849" t="e">
        <f>'Gestion final Araba 2018'!Q4+'Gestion final Bizkaia 2018'!R4+'Gestion final Gipuzkoa 2018'!P4</f>
        <v>#REF!</v>
      </c>
      <c r="E4" s="867" t="e">
        <f t="shared" ref="E4:E26" si="0">D4/C4</f>
        <v>#REF!</v>
      </c>
      <c r="F4" s="849">
        <f>'Gestion final Araba 2018'!E72+'Gestion final Bizkaia 2018'!E76+'Gestion final Gipuzkoa 2018'!E74</f>
        <v>0</v>
      </c>
      <c r="G4" s="849">
        <f>'Gestion final Araba 2018'!F72+'Gestion final Bizkaia 2018'!F76+'Gestion final Gipuzkoa 2018'!F74</f>
        <v>0</v>
      </c>
      <c r="H4" s="849" t="e">
        <f>'Gestion final Araba 2018'!G72+'Gestion final Bizkaia 2018'!G76+'Gestion final Gipuzkoa 2018'!G74</f>
        <v>#REF!</v>
      </c>
      <c r="I4" s="849" t="e">
        <f>'Gestion final Araba 2018'!H72+'Gestion final Bizkaia 2018'!H76+'Gestion final Gipuzkoa 2018'!H74</f>
        <v>#REF!</v>
      </c>
      <c r="J4" s="849">
        <f>'Gestion final Bizkaia 2018'!J76</f>
        <v>21063.793831074687</v>
      </c>
      <c r="K4" s="849" t="e">
        <f>'Gestion final Araba 2018'!I72</f>
        <v>#REF!</v>
      </c>
      <c r="L4" s="849" t="e">
        <f>'Gestion final Araba 2018'!J72+'Gestion final Bizkaia 2018'!L76</f>
        <v>#REF!</v>
      </c>
      <c r="M4" s="849">
        <f>'Gestion final Bizkaia 2018'!K76</f>
        <v>0</v>
      </c>
      <c r="N4" s="849">
        <f>'Gestion final Bizkaia 2018'!M76</f>
        <v>0</v>
      </c>
      <c r="O4" s="849">
        <f>'Gestion final Bizkaia 2018'!N76</f>
        <v>59086.457323633906</v>
      </c>
      <c r="P4" s="849" t="e">
        <f>'Gestion final Araba 2018'!K72+'Gestion final Bizkaia 2018'!I76+'Gestion final Gipuzkoa 2018'!I74</f>
        <v>#REF!</v>
      </c>
      <c r="Q4" s="849" t="e">
        <f>'Gestion final Araba 2018'!L72+'Gestion final Bizkaia 2018'!O76+'Gestion final Gipuzkoa 2018'!J74</f>
        <v>#REF!</v>
      </c>
      <c r="R4" s="849" t="e">
        <f>'Gestion final Araba 2018'!M72+'Gestion final Bizkaia 2018'!P76+'Gestion final Gipuzkoa 2018'!K74</f>
        <v>#REF!</v>
      </c>
      <c r="S4" s="3" t="e">
        <f>SUM(F4:R4)</f>
        <v>#REF!</v>
      </c>
      <c r="T4" s="17" t="e">
        <f t="shared" ref="T4:T26" si="1">S4-C4</f>
        <v>#REF!</v>
      </c>
    </row>
    <row r="5" spans="2:20" x14ac:dyDescent="0.3">
      <c r="B5" s="848" t="s">
        <v>8</v>
      </c>
      <c r="C5" s="849" t="e">
        <f>'Gestion final Araba 2018'!C73+'Gestion final Bizkaia 2018'!C77+'Gestion final Gipuzkoa 2018'!C75</f>
        <v>#REF!</v>
      </c>
      <c r="D5" s="849" t="e">
        <f>'Gestion final Araba 2018'!Q5+'Gestion final Bizkaia 2018'!R5+'Gestion final Gipuzkoa 2018'!P5</f>
        <v>#REF!</v>
      </c>
      <c r="E5" s="867" t="e">
        <f t="shared" si="0"/>
        <v>#REF!</v>
      </c>
      <c r="F5" s="849">
        <f>'Gestion final Araba 2018'!E73+'Gestion final Bizkaia 2018'!E77+'Gestion final Gipuzkoa 2018'!E75</f>
        <v>0</v>
      </c>
      <c r="G5" s="849" t="e">
        <f>'Gestion final Araba 2018'!F73+'Gestion final Bizkaia 2018'!F77+'Gestion final Gipuzkoa 2018'!F75</f>
        <v>#REF!</v>
      </c>
      <c r="H5" s="849">
        <f>'Gestion final Araba 2018'!G73+'Gestion final Bizkaia 2018'!G77+'Gestion final Gipuzkoa 2018'!G75</f>
        <v>0</v>
      </c>
      <c r="I5" s="849">
        <f>'Gestion final Araba 2018'!H73+'Gestion final Bizkaia 2018'!H77+'Gestion final Gipuzkoa 2018'!H75</f>
        <v>0</v>
      </c>
      <c r="J5" s="849">
        <f>'Gestion final Bizkaia 2018'!J77</f>
        <v>6866.5988968504389</v>
      </c>
      <c r="K5" s="849">
        <f>'Gestion final Araba 2018'!I73</f>
        <v>0</v>
      </c>
      <c r="L5" s="849">
        <f>'Gestion final Araba 2018'!J73+'Gestion final Bizkaia 2018'!L77</f>
        <v>2142.2885404720223</v>
      </c>
      <c r="M5" s="849">
        <f>'Gestion final Bizkaia 2018'!K77</f>
        <v>2032.8074802016481</v>
      </c>
      <c r="N5" s="849">
        <f>'Gestion final Bizkaia 2018'!M77</f>
        <v>20001.800176873363</v>
      </c>
      <c r="O5" s="849">
        <f>'Gestion final Bizkaia 2018'!N77</f>
        <v>31178.035932909774</v>
      </c>
      <c r="P5" s="849" t="e">
        <f>'Gestion final Araba 2018'!K73+'Gestion final Bizkaia 2018'!I77+'Gestion final Gipuzkoa 2018'!I75</f>
        <v>#REF!</v>
      </c>
      <c r="Q5" s="849" t="e">
        <f>'Gestion final Araba 2018'!L73+'Gestion final Bizkaia 2018'!O77+'Gestion final Gipuzkoa 2018'!J75</f>
        <v>#REF!</v>
      </c>
      <c r="R5" s="849">
        <f>'Gestion final Araba 2018'!M73+'Gestion final Bizkaia 2018'!P77+'Gestion final Gipuzkoa 2018'!K75</f>
        <v>0</v>
      </c>
      <c r="S5" s="3" t="e">
        <f t="shared" ref="S5:S26" si="2">SUM(F5:R5)</f>
        <v>#REF!</v>
      </c>
      <c r="T5" s="17" t="e">
        <f t="shared" si="1"/>
        <v>#REF!</v>
      </c>
    </row>
    <row r="6" spans="2:20" x14ac:dyDescent="0.3">
      <c r="B6" s="848" t="s">
        <v>304</v>
      </c>
      <c r="C6" s="849" t="e">
        <f>'Gestion final Araba 2018'!C74+'Gestion final Bizkaia 2018'!C78+'Gestion final Gipuzkoa 2018'!C76</f>
        <v>#REF!</v>
      </c>
      <c r="D6" s="849" t="e">
        <f>'Gestion final Araba 2018'!Q6+'Gestion final Bizkaia 2018'!R6+'Gestion final Gipuzkoa 2018'!P6</f>
        <v>#REF!</v>
      </c>
      <c r="E6" s="867" t="e">
        <f t="shared" si="0"/>
        <v>#REF!</v>
      </c>
      <c r="F6" s="849">
        <f>'Gestion final Araba 2018'!E74+'Gestion final Bizkaia 2018'!E78+'Gestion final Gipuzkoa 2018'!E76</f>
        <v>0</v>
      </c>
      <c r="G6" s="849" t="e">
        <f>'Gestion final Araba 2018'!F74+'Gestion final Bizkaia 2018'!F78+'Gestion final Gipuzkoa 2018'!F76</f>
        <v>#REF!</v>
      </c>
      <c r="H6" s="849">
        <f>'Gestion final Araba 2018'!G74+'Gestion final Bizkaia 2018'!G78+'Gestion final Gipuzkoa 2018'!G76</f>
        <v>0</v>
      </c>
      <c r="I6" s="849" t="e">
        <f>'Gestion final Araba 2018'!H74+'Gestion final Bizkaia 2018'!H78+'Gestion final Gipuzkoa 2018'!H76</f>
        <v>#REF!</v>
      </c>
      <c r="J6" s="849">
        <f>'Gestion final Bizkaia 2018'!J78</f>
        <v>0</v>
      </c>
      <c r="K6" s="849">
        <f>'Gestion final Araba 2018'!I74</f>
        <v>0</v>
      </c>
      <c r="L6" s="849">
        <f>'Gestion final Araba 2018'!J74+'Gestion final Bizkaia 2018'!L78</f>
        <v>0</v>
      </c>
      <c r="M6" s="849">
        <f>'Gestion final Bizkaia 2018'!K78</f>
        <v>0</v>
      </c>
      <c r="N6" s="849">
        <f>'Gestion final Bizkaia 2018'!M78</f>
        <v>0</v>
      </c>
      <c r="O6" s="849">
        <f>'Gestion final Bizkaia 2018'!N78</f>
        <v>0</v>
      </c>
      <c r="P6" s="849" t="e">
        <f>'Gestion final Araba 2018'!K74+'Gestion final Bizkaia 2018'!I78+'Gestion final Gipuzkoa 2018'!I76</f>
        <v>#REF!</v>
      </c>
      <c r="Q6" s="849" t="e">
        <f>'Gestion final Araba 2018'!L74+'Gestion final Bizkaia 2018'!O78+'Gestion final Gipuzkoa 2018'!J76</f>
        <v>#REF!</v>
      </c>
      <c r="R6" s="849">
        <f>'Gestion final Araba 2018'!M74+'Gestion final Bizkaia 2018'!P78+'Gestion final Gipuzkoa 2018'!K76</f>
        <v>0</v>
      </c>
      <c r="S6" s="3" t="e">
        <f t="shared" si="2"/>
        <v>#REF!</v>
      </c>
      <c r="T6" s="17" t="e">
        <f t="shared" si="1"/>
        <v>#REF!</v>
      </c>
    </row>
    <row r="7" spans="2:20" x14ac:dyDescent="0.3">
      <c r="B7" s="848" t="s">
        <v>14</v>
      </c>
      <c r="C7" s="849" t="e">
        <f>'Gestion final Araba 2018'!C75+'Gestion final Bizkaia 2018'!C79+'Gestion final Gipuzkoa 2018'!C77</f>
        <v>#REF!</v>
      </c>
      <c r="D7" s="849" t="e">
        <f>'Gestion final Araba 2018'!Q7+'Gestion final Bizkaia 2018'!R7+'Gestion final Gipuzkoa 2018'!P7</f>
        <v>#REF!</v>
      </c>
      <c r="E7" s="867" t="e">
        <f t="shared" si="0"/>
        <v>#REF!</v>
      </c>
      <c r="F7" s="849">
        <f>'Gestion final Araba 2018'!E75+'Gestion final Bizkaia 2018'!E79+'Gestion final Gipuzkoa 2018'!E77</f>
        <v>0</v>
      </c>
      <c r="G7" s="849" t="e">
        <f>'Gestion final Araba 2018'!F75+'Gestion final Bizkaia 2018'!F79+'Gestion final Gipuzkoa 2018'!F77</f>
        <v>#REF!</v>
      </c>
      <c r="H7" s="849">
        <f>'Gestion final Araba 2018'!G75+'Gestion final Bizkaia 2018'!G79+'Gestion final Gipuzkoa 2018'!G77</f>
        <v>0</v>
      </c>
      <c r="I7" s="849" t="e">
        <f>'Gestion final Araba 2018'!H75+'Gestion final Bizkaia 2018'!H79+'Gestion final Gipuzkoa 2018'!H77</f>
        <v>#REF!</v>
      </c>
      <c r="J7" s="849">
        <f>'Gestion final Bizkaia 2018'!J79</f>
        <v>0</v>
      </c>
      <c r="K7" s="849">
        <f>'Gestion final Araba 2018'!I75</f>
        <v>0</v>
      </c>
      <c r="L7" s="849">
        <f>'Gestion final Araba 2018'!J75+'Gestion final Bizkaia 2018'!L79</f>
        <v>0</v>
      </c>
      <c r="M7" s="849">
        <f>'Gestion final Bizkaia 2018'!K79</f>
        <v>1675.4974533707421</v>
      </c>
      <c r="N7" s="849">
        <f>'Gestion final Bizkaia 2018'!M79</f>
        <v>19333.446212800489</v>
      </c>
      <c r="O7" s="849">
        <f>'Gestion final Bizkaia 2018'!N79</f>
        <v>21150.227304269785</v>
      </c>
      <c r="P7" s="849" t="e">
        <f>'Gestion final Araba 2018'!K75+'Gestion final Bizkaia 2018'!I79+'Gestion final Gipuzkoa 2018'!I77</f>
        <v>#REF!</v>
      </c>
      <c r="Q7" s="849" t="e">
        <f>'Gestion final Araba 2018'!L75+'Gestion final Bizkaia 2018'!O79+'Gestion final Gipuzkoa 2018'!J77</f>
        <v>#REF!</v>
      </c>
      <c r="R7" s="849">
        <f>'Gestion final Araba 2018'!M75+'Gestion final Bizkaia 2018'!P79+'Gestion final Gipuzkoa 2018'!K77</f>
        <v>0</v>
      </c>
      <c r="S7" s="3" t="e">
        <f t="shared" si="2"/>
        <v>#REF!</v>
      </c>
      <c r="T7" s="17" t="e">
        <f t="shared" si="1"/>
        <v>#REF!</v>
      </c>
    </row>
    <row r="8" spans="2:20" x14ac:dyDescent="0.3">
      <c r="B8" s="848" t="s">
        <v>17</v>
      </c>
      <c r="C8" s="849" t="e">
        <f>'Gestion final Araba 2018'!C76+'Gestion final Bizkaia 2018'!C80+'Gestion final Gipuzkoa 2018'!C78</f>
        <v>#REF!</v>
      </c>
      <c r="D8" s="849" t="e">
        <f>'Gestion final Araba 2018'!Q8+'Gestion final Bizkaia 2018'!R8+'Gestion final Gipuzkoa 2018'!P8</f>
        <v>#REF!</v>
      </c>
      <c r="E8" s="867" t="e">
        <f t="shared" si="0"/>
        <v>#REF!</v>
      </c>
      <c r="F8" s="849">
        <f>'Gestion final Araba 2018'!E76+'Gestion final Bizkaia 2018'!E80+'Gestion final Gipuzkoa 2018'!E78</f>
        <v>0</v>
      </c>
      <c r="G8" s="849" t="e">
        <f>'Gestion final Araba 2018'!F76+'Gestion final Bizkaia 2018'!F80+'Gestion final Gipuzkoa 2018'!F78</f>
        <v>#REF!</v>
      </c>
      <c r="H8" s="849">
        <f>'Gestion final Araba 2018'!G76+'Gestion final Bizkaia 2018'!G80+'Gestion final Gipuzkoa 2018'!G78</f>
        <v>0</v>
      </c>
      <c r="I8" s="849">
        <f>'Gestion final Araba 2018'!H76+'Gestion final Bizkaia 2018'!H80+'Gestion final Gipuzkoa 2018'!H78</f>
        <v>0</v>
      </c>
      <c r="J8" s="849">
        <f>'Gestion final Bizkaia 2018'!J80</f>
        <v>0</v>
      </c>
      <c r="K8" s="849">
        <f>'Gestion final Araba 2018'!I76</f>
        <v>0</v>
      </c>
      <c r="L8" s="849">
        <f>'Gestion final Araba 2018'!J76+'Gestion final Bizkaia 2018'!L80</f>
        <v>0</v>
      </c>
      <c r="M8" s="849">
        <f>'Gestion final Bizkaia 2018'!K80</f>
        <v>0</v>
      </c>
      <c r="N8" s="849">
        <f>'Gestion final Bizkaia 2018'!M80</f>
        <v>0</v>
      </c>
      <c r="O8" s="849">
        <f>'Gestion final Bizkaia 2018'!N80</f>
        <v>0</v>
      </c>
      <c r="P8" s="849" t="e">
        <f>'Gestion final Araba 2018'!K76+'Gestion final Bizkaia 2018'!I80+'Gestion final Gipuzkoa 2018'!I78</f>
        <v>#REF!</v>
      </c>
      <c r="Q8" s="849" t="e">
        <f>'Gestion final Araba 2018'!L76+'Gestion final Bizkaia 2018'!O80+'Gestion final Gipuzkoa 2018'!J78</f>
        <v>#REF!</v>
      </c>
      <c r="R8" s="849">
        <f>'Gestion final Araba 2018'!M76+'Gestion final Bizkaia 2018'!P80+'Gestion final Gipuzkoa 2018'!K78</f>
        <v>0</v>
      </c>
      <c r="S8" s="3" t="e">
        <f t="shared" si="2"/>
        <v>#REF!</v>
      </c>
      <c r="T8" s="17" t="e">
        <f t="shared" si="1"/>
        <v>#REF!</v>
      </c>
    </row>
    <row r="9" spans="2:20" x14ac:dyDescent="0.3">
      <c r="B9" s="848" t="s">
        <v>16</v>
      </c>
      <c r="C9" s="849" t="e">
        <f>'Gestion final Araba 2018'!C77+'Gestion final Bizkaia 2018'!C81+'Gestion final Gipuzkoa 2018'!C79</f>
        <v>#REF!</v>
      </c>
      <c r="D9" s="849" t="e">
        <f>'Gestion final Araba 2018'!Q9+'Gestion final Bizkaia 2018'!R9+'Gestion final Gipuzkoa 2018'!P9</f>
        <v>#REF!</v>
      </c>
      <c r="E9" s="867" t="e">
        <f t="shared" si="0"/>
        <v>#REF!</v>
      </c>
      <c r="F9" s="849">
        <f>'Gestion final Araba 2018'!E77+'Gestion final Bizkaia 2018'!E81+'Gestion final Gipuzkoa 2018'!E79</f>
        <v>0</v>
      </c>
      <c r="G9" s="849" t="e">
        <f>'Gestion final Araba 2018'!F77+'Gestion final Bizkaia 2018'!F81+'Gestion final Gipuzkoa 2018'!F79</f>
        <v>#REF!</v>
      </c>
      <c r="H9" s="849">
        <f>'Gestion final Araba 2018'!G77+'Gestion final Bizkaia 2018'!G81+'Gestion final Gipuzkoa 2018'!G79</f>
        <v>0</v>
      </c>
      <c r="I9" s="849">
        <f>'Gestion final Araba 2018'!H77+'Gestion final Bizkaia 2018'!H81+'Gestion final Gipuzkoa 2018'!H79</f>
        <v>0</v>
      </c>
      <c r="J9" s="849">
        <f>'Gestion final Bizkaia 2018'!J81</f>
        <v>0</v>
      </c>
      <c r="K9" s="849">
        <f>'Gestion final Araba 2018'!I77</f>
        <v>0</v>
      </c>
      <c r="L9" s="849">
        <f>'Gestion final Araba 2018'!J77+'Gestion final Bizkaia 2018'!L81</f>
        <v>0</v>
      </c>
      <c r="M9" s="849">
        <f>'Gestion final Bizkaia 2018'!K81</f>
        <v>391.07115194112555</v>
      </c>
      <c r="N9" s="849">
        <f>'Gestion final Bizkaia 2018'!M81</f>
        <v>3847.9428633793418</v>
      </c>
      <c r="O9" s="849">
        <f>'Gestion final Bizkaia 2018'!N81</f>
        <v>5542.7221784019384</v>
      </c>
      <c r="P9" s="849" t="e">
        <f>'Gestion final Araba 2018'!K77+'Gestion final Bizkaia 2018'!I81+'Gestion final Gipuzkoa 2018'!I79</f>
        <v>#REF!</v>
      </c>
      <c r="Q9" s="849" t="e">
        <f>'Gestion final Araba 2018'!L77+'Gestion final Bizkaia 2018'!O81+'Gestion final Gipuzkoa 2018'!J79</f>
        <v>#REF!</v>
      </c>
      <c r="R9" s="849">
        <f>'Gestion final Araba 2018'!M77+'Gestion final Bizkaia 2018'!P81+'Gestion final Gipuzkoa 2018'!K79</f>
        <v>0</v>
      </c>
      <c r="S9" s="3" t="e">
        <f t="shared" si="2"/>
        <v>#REF!</v>
      </c>
      <c r="T9" s="17" t="e">
        <f t="shared" si="1"/>
        <v>#REF!</v>
      </c>
    </row>
    <row r="10" spans="2:20" x14ac:dyDescent="0.3">
      <c r="B10" s="848" t="s">
        <v>308</v>
      </c>
      <c r="C10" s="849" t="e">
        <f>'Gestion final Araba 2018'!C78+'Gestion final Bizkaia 2018'!C82+'Gestion final Gipuzkoa 2018'!C80</f>
        <v>#REF!</v>
      </c>
      <c r="D10" s="849" t="e">
        <f>'Gestion final Araba 2018'!Q10+'Gestion final Bizkaia 2018'!R10+'Gestion final Gipuzkoa 2018'!P10</f>
        <v>#REF!</v>
      </c>
      <c r="E10" s="867" t="e">
        <f t="shared" si="0"/>
        <v>#REF!</v>
      </c>
      <c r="F10" s="849">
        <f>'Gestion final Araba 2018'!E78+'Gestion final Bizkaia 2018'!E82+'Gestion final Gipuzkoa 2018'!E80</f>
        <v>0</v>
      </c>
      <c r="G10" s="849" t="e">
        <f>'Gestion final Araba 2018'!F78+'Gestion final Bizkaia 2018'!F82+'Gestion final Gipuzkoa 2018'!F80</f>
        <v>#REF!</v>
      </c>
      <c r="H10" s="849">
        <f>'Gestion final Araba 2018'!G78+'Gestion final Bizkaia 2018'!G82+'Gestion final Gipuzkoa 2018'!G80</f>
        <v>0</v>
      </c>
      <c r="I10" s="849" t="e">
        <f>'Gestion final Araba 2018'!H78+'Gestion final Bizkaia 2018'!H82+'Gestion final Gipuzkoa 2018'!H80</f>
        <v>#REF!</v>
      </c>
      <c r="J10" s="849">
        <f>'Gestion final Bizkaia 2018'!J82</f>
        <v>0</v>
      </c>
      <c r="K10" s="849">
        <f>'Gestion final Araba 2018'!I78</f>
        <v>0</v>
      </c>
      <c r="L10" s="849">
        <f>'Gestion final Araba 2018'!J78+'Gestion final Bizkaia 2018'!L82</f>
        <v>0</v>
      </c>
      <c r="M10" s="849">
        <f>'Gestion final Bizkaia 2018'!K82</f>
        <v>0</v>
      </c>
      <c r="N10" s="849">
        <f>'Gestion final Bizkaia 2018'!M82</f>
        <v>0</v>
      </c>
      <c r="O10" s="849">
        <f>'Gestion final Bizkaia 2018'!N82</f>
        <v>0</v>
      </c>
      <c r="P10" s="849" t="e">
        <f>'Gestion final Araba 2018'!K78+'Gestion final Bizkaia 2018'!I82+'Gestion final Gipuzkoa 2018'!I80</f>
        <v>#REF!</v>
      </c>
      <c r="Q10" s="849" t="e">
        <f>'Gestion final Araba 2018'!L78+'Gestion final Bizkaia 2018'!O82+'Gestion final Gipuzkoa 2018'!J80</f>
        <v>#REF!</v>
      </c>
      <c r="R10" s="849">
        <f>'Gestion final Araba 2018'!M78+'Gestion final Bizkaia 2018'!P82+'Gestion final Gipuzkoa 2018'!K80</f>
        <v>0</v>
      </c>
      <c r="S10" s="3" t="e">
        <f t="shared" si="2"/>
        <v>#REF!</v>
      </c>
      <c r="T10" s="17" t="e">
        <f t="shared" si="1"/>
        <v>#REF!</v>
      </c>
    </row>
    <row r="11" spans="2:20" x14ac:dyDescent="0.3">
      <c r="B11" s="848" t="s">
        <v>44</v>
      </c>
      <c r="C11" s="849" t="e">
        <f>'Gestion final Araba 2018'!C79+'Gestion final Bizkaia 2018'!C83+'Gestion final Gipuzkoa 2018'!C81</f>
        <v>#REF!</v>
      </c>
      <c r="D11" s="849" t="e">
        <f>'Gestion final Araba 2018'!Q11+'Gestion final Bizkaia 2018'!R11+'Gestion final Gipuzkoa 2018'!P11</f>
        <v>#REF!</v>
      </c>
      <c r="E11" s="867" t="e">
        <f t="shared" si="0"/>
        <v>#REF!</v>
      </c>
      <c r="F11" s="849" t="e">
        <f>'Gestion final Araba 2018'!E79+'Gestion final Bizkaia 2018'!E83+'Gestion final Gipuzkoa 2018'!E81</f>
        <v>#REF!</v>
      </c>
      <c r="G11" s="849" t="e">
        <f>'Gestion final Araba 2018'!F79+'Gestion final Bizkaia 2018'!F83+'Gestion final Gipuzkoa 2018'!F81</f>
        <v>#REF!</v>
      </c>
      <c r="H11" s="849">
        <f>'Gestion final Araba 2018'!G79+'Gestion final Bizkaia 2018'!G83+'Gestion final Gipuzkoa 2018'!G81</f>
        <v>0</v>
      </c>
      <c r="I11" s="849" t="e">
        <f>'Gestion final Araba 2018'!H79+'Gestion final Bizkaia 2018'!H83+'Gestion final Gipuzkoa 2018'!H81</f>
        <v>#REF!</v>
      </c>
      <c r="J11" s="849">
        <f>'Gestion final Bizkaia 2018'!J83</f>
        <v>0</v>
      </c>
      <c r="K11" s="849">
        <f>'Gestion final Araba 2018'!I79</f>
        <v>0</v>
      </c>
      <c r="L11" s="849">
        <f>'Gestion final Araba 2018'!J79+'Gestion final Bizkaia 2018'!L83</f>
        <v>0</v>
      </c>
      <c r="M11" s="849">
        <f>'Gestion final Bizkaia 2018'!K83</f>
        <v>0</v>
      </c>
      <c r="N11" s="849">
        <f>'Gestion final Bizkaia 2018'!M83</f>
        <v>0</v>
      </c>
      <c r="O11" s="849">
        <f>'Gestion final Bizkaia 2018'!N83</f>
        <v>0</v>
      </c>
      <c r="P11" s="849" t="e">
        <f>'Gestion final Araba 2018'!K79+'Gestion final Bizkaia 2018'!I83+'Gestion final Gipuzkoa 2018'!I81</f>
        <v>#REF!</v>
      </c>
      <c r="Q11" s="849" t="e">
        <f>'Gestion final Araba 2018'!L79+'Gestion final Bizkaia 2018'!O83+'Gestion final Gipuzkoa 2018'!J81</f>
        <v>#REF!</v>
      </c>
      <c r="R11" s="849">
        <f>'Gestion final Araba 2018'!M79+'Gestion final Bizkaia 2018'!P83+'Gestion final Gipuzkoa 2018'!K81</f>
        <v>0</v>
      </c>
      <c r="S11" s="3" t="e">
        <f t="shared" si="2"/>
        <v>#REF!</v>
      </c>
      <c r="T11" s="17" t="e">
        <f t="shared" si="1"/>
        <v>#REF!</v>
      </c>
    </row>
    <row r="12" spans="2:20" x14ac:dyDescent="0.3">
      <c r="B12" s="848" t="s">
        <v>326</v>
      </c>
      <c r="C12" s="849" t="e">
        <f>'Gestion final Araba 2018'!C80+'Gestion final Bizkaia 2018'!C84+'Gestion final Gipuzkoa 2018'!C82</f>
        <v>#REF!</v>
      </c>
      <c r="D12" s="849" t="e">
        <f>'Gestion final Araba 2018'!Q12+'Gestion final Bizkaia 2018'!R12+'Gestion final Gipuzkoa 2018'!P12</f>
        <v>#REF!</v>
      </c>
      <c r="E12" s="867" t="e">
        <f t="shared" si="0"/>
        <v>#REF!</v>
      </c>
      <c r="F12" s="849">
        <f>'Gestion final Araba 2018'!E80+'Gestion final Bizkaia 2018'!E84+'Gestion final Gipuzkoa 2018'!E82</f>
        <v>0</v>
      </c>
      <c r="G12" s="849" t="e">
        <f>'Gestion final Araba 2018'!F80+'Gestion final Bizkaia 2018'!F84+'Gestion final Gipuzkoa 2018'!F82</f>
        <v>#REF!</v>
      </c>
      <c r="H12" s="849">
        <f>'Gestion final Araba 2018'!G80+'Gestion final Bizkaia 2018'!G84+'Gestion final Gipuzkoa 2018'!G82</f>
        <v>0</v>
      </c>
      <c r="I12" s="849">
        <f>'Gestion final Araba 2018'!H80+'Gestion final Bizkaia 2018'!H84+'Gestion final Gipuzkoa 2018'!H82</f>
        <v>0</v>
      </c>
      <c r="J12" s="849">
        <f>'Gestion final Bizkaia 2018'!J84</f>
        <v>0</v>
      </c>
      <c r="K12" s="849">
        <f>'Gestion final Araba 2018'!I80</f>
        <v>0</v>
      </c>
      <c r="L12" s="849">
        <f>'Gestion final Araba 2018'!J80+'Gestion final Bizkaia 2018'!L84</f>
        <v>0</v>
      </c>
      <c r="M12" s="849">
        <f>'Gestion final Bizkaia 2018'!K84</f>
        <v>0</v>
      </c>
      <c r="N12" s="849">
        <f>'Gestion final Bizkaia 2018'!M84</f>
        <v>0</v>
      </c>
      <c r="O12" s="849">
        <f>'Gestion final Bizkaia 2018'!N84</f>
        <v>0</v>
      </c>
      <c r="P12" s="849" t="e">
        <f>'Gestion final Araba 2018'!K80+'Gestion final Bizkaia 2018'!I84+'Gestion final Gipuzkoa 2018'!I82</f>
        <v>#REF!</v>
      </c>
      <c r="Q12" s="849" t="e">
        <f>'Gestion final Araba 2018'!L80+'Gestion final Bizkaia 2018'!O84+'Gestion final Gipuzkoa 2018'!J82</f>
        <v>#REF!</v>
      </c>
      <c r="R12" s="849">
        <f>'Gestion final Araba 2018'!M80+'Gestion final Bizkaia 2018'!P84+'Gestion final Gipuzkoa 2018'!K82</f>
        <v>0</v>
      </c>
      <c r="S12" s="3" t="e">
        <f t="shared" si="2"/>
        <v>#REF!</v>
      </c>
      <c r="T12" s="17" t="e">
        <f t="shared" si="1"/>
        <v>#REF!</v>
      </c>
    </row>
    <row r="13" spans="2:20" x14ac:dyDescent="0.3">
      <c r="B13" s="848" t="s">
        <v>25</v>
      </c>
      <c r="C13" s="849" t="e">
        <f>'Gestion final Araba 2018'!C81+'Gestion final Bizkaia 2018'!C85+'Gestion final Gipuzkoa 2018'!C83</f>
        <v>#REF!</v>
      </c>
      <c r="D13" s="849" t="e">
        <f>'Gestion final Araba 2018'!Q13+'Gestion final Bizkaia 2018'!R13+'Gestion final Gipuzkoa 2018'!P13</f>
        <v>#REF!</v>
      </c>
      <c r="E13" s="867" t="e">
        <f t="shared" si="0"/>
        <v>#REF!</v>
      </c>
      <c r="F13" s="849" t="e">
        <f>'Gestion final Araba 2018'!E81+'Gestion final Bizkaia 2018'!E85+'Gestion final Gipuzkoa 2018'!E83</f>
        <v>#REF!</v>
      </c>
      <c r="G13" s="849" t="e">
        <f>'Gestion final Araba 2018'!F81+'Gestion final Bizkaia 2018'!F85+'Gestion final Gipuzkoa 2018'!F83</f>
        <v>#REF!</v>
      </c>
      <c r="H13" s="849">
        <f>'Gestion final Araba 2018'!G81+'Gestion final Bizkaia 2018'!G85+'Gestion final Gipuzkoa 2018'!G83</f>
        <v>0</v>
      </c>
      <c r="I13" s="849" t="e">
        <f>'Gestion final Araba 2018'!H81+'Gestion final Bizkaia 2018'!H85+'Gestion final Gipuzkoa 2018'!H83</f>
        <v>#REF!</v>
      </c>
      <c r="J13" s="849">
        <f>'Gestion final Bizkaia 2018'!J85</f>
        <v>0</v>
      </c>
      <c r="K13" s="849">
        <f>'Gestion final Araba 2018'!I81</f>
        <v>0</v>
      </c>
      <c r="L13" s="849">
        <f>'Gestion final Araba 2018'!J81+'Gestion final Bizkaia 2018'!L85</f>
        <v>0</v>
      </c>
      <c r="M13" s="849">
        <f>'Gestion final Bizkaia 2018'!K85</f>
        <v>787.22417947956865</v>
      </c>
      <c r="N13" s="849">
        <f>'Gestion final Bizkaia 2018'!M85</f>
        <v>7745.8888191376991</v>
      </c>
      <c r="O13" s="849">
        <f>'Gestion final Bizkaia 2018'!N85</f>
        <v>7563.2539765804677</v>
      </c>
      <c r="P13" s="849" t="e">
        <f>'Gestion final Araba 2018'!K81+'Gestion final Bizkaia 2018'!I85+'Gestion final Gipuzkoa 2018'!I83</f>
        <v>#REF!</v>
      </c>
      <c r="Q13" s="849" t="e">
        <f>'Gestion final Araba 2018'!L81+'Gestion final Bizkaia 2018'!O85+'Gestion final Gipuzkoa 2018'!J83</f>
        <v>#REF!</v>
      </c>
      <c r="R13" s="849">
        <f>'Gestion final Araba 2018'!M81+'Gestion final Bizkaia 2018'!P85+'Gestion final Gipuzkoa 2018'!K83</f>
        <v>0</v>
      </c>
      <c r="S13" s="3" t="e">
        <f t="shared" si="2"/>
        <v>#REF!</v>
      </c>
      <c r="T13" s="17" t="e">
        <f t="shared" si="1"/>
        <v>#REF!</v>
      </c>
    </row>
    <row r="14" spans="2:20" x14ac:dyDescent="0.3">
      <c r="B14" s="848" t="s">
        <v>29</v>
      </c>
      <c r="C14" s="849" t="e">
        <f>'Gestion final Araba 2018'!C82+'Gestion final Bizkaia 2018'!C86+'Gestion final Gipuzkoa 2018'!C84</f>
        <v>#REF!</v>
      </c>
      <c r="D14" s="849" t="e">
        <f>'Gestion final Araba 2018'!Q14+'Gestion final Bizkaia 2018'!R14+'Gestion final Gipuzkoa 2018'!P14</f>
        <v>#REF!</v>
      </c>
      <c r="E14" s="867" t="e">
        <f t="shared" si="0"/>
        <v>#REF!</v>
      </c>
      <c r="F14" s="849">
        <f>'Gestion final Araba 2018'!E82+'Gestion final Bizkaia 2018'!E86+'Gestion final Gipuzkoa 2018'!E84</f>
        <v>0</v>
      </c>
      <c r="G14" s="849" t="e">
        <f>'Gestion final Araba 2018'!F82+'Gestion final Bizkaia 2018'!F86+'Gestion final Gipuzkoa 2018'!F84</f>
        <v>#REF!</v>
      </c>
      <c r="H14" s="849">
        <f>'Gestion final Araba 2018'!G82+'Gestion final Bizkaia 2018'!G86+'Gestion final Gipuzkoa 2018'!G84</f>
        <v>0</v>
      </c>
      <c r="I14" s="849" t="e">
        <f>'Gestion final Araba 2018'!H82+'Gestion final Bizkaia 2018'!H86+'Gestion final Gipuzkoa 2018'!H84</f>
        <v>#REF!</v>
      </c>
      <c r="J14" s="849">
        <f>'Gestion final Bizkaia 2018'!J86</f>
        <v>0</v>
      </c>
      <c r="K14" s="849">
        <f>'Gestion final Araba 2018'!I82</f>
        <v>0</v>
      </c>
      <c r="L14" s="849">
        <f>'Gestion final Araba 2018'!J82+'Gestion final Bizkaia 2018'!L86</f>
        <v>0</v>
      </c>
      <c r="M14" s="849">
        <f>'Gestion final Bizkaia 2018'!K86</f>
        <v>225.25766643392149</v>
      </c>
      <c r="N14" s="849">
        <f>'Gestion final Bizkaia 2018'!M86</f>
        <v>2216.42180885381</v>
      </c>
      <c r="O14" s="849">
        <f>'Gestion final Bizkaia 2018'!N86</f>
        <v>2171.171818153995</v>
      </c>
      <c r="P14" s="849" t="e">
        <f>'Gestion final Araba 2018'!K82+'Gestion final Bizkaia 2018'!I86+'Gestion final Gipuzkoa 2018'!I84</f>
        <v>#REF!</v>
      </c>
      <c r="Q14" s="849" t="e">
        <f>'Gestion final Araba 2018'!L82+'Gestion final Bizkaia 2018'!O86+'Gestion final Gipuzkoa 2018'!J84</f>
        <v>#REF!</v>
      </c>
      <c r="R14" s="849">
        <f>'Gestion final Araba 2018'!M82+'Gestion final Bizkaia 2018'!P86+'Gestion final Gipuzkoa 2018'!K84</f>
        <v>0</v>
      </c>
      <c r="S14" s="3" t="e">
        <f t="shared" si="2"/>
        <v>#REF!</v>
      </c>
      <c r="T14" s="17" t="e">
        <f t="shared" si="1"/>
        <v>#REF!</v>
      </c>
    </row>
    <row r="15" spans="2:20" x14ac:dyDescent="0.3">
      <c r="B15" s="848" t="s">
        <v>60</v>
      </c>
      <c r="C15" s="849" t="e">
        <f>'Gestion final Araba 2018'!C83+'Gestion final Bizkaia 2018'!C87+'Gestion final Gipuzkoa 2018'!C85</f>
        <v>#REF!</v>
      </c>
      <c r="D15" s="849" t="e">
        <f>'Gestion final Araba 2018'!Q15+'Gestion final Bizkaia 2018'!R15+'Gestion final Gipuzkoa 2018'!P15</f>
        <v>#REF!</v>
      </c>
      <c r="E15" s="867" t="e">
        <f t="shared" si="0"/>
        <v>#REF!</v>
      </c>
      <c r="F15" s="849">
        <f>'Gestion final Araba 2018'!E83+'Gestion final Bizkaia 2018'!E87+'Gestion final Gipuzkoa 2018'!E85</f>
        <v>0</v>
      </c>
      <c r="G15" s="849" t="e">
        <f>'Gestion final Araba 2018'!F83+'Gestion final Bizkaia 2018'!F87+'Gestion final Gipuzkoa 2018'!F85</f>
        <v>#REF!</v>
      </c>
      <c r="H15" s="849">
        <f>'Gestion final Araba 2018'!G83+'Gestion final Bizkaia 2018'!G87+'Gestion final Gipuzkoa 2018'!G85</f>
        <v>0</v>
      </c>
      <c r="I15" s="849" t="e">
        <f>'Gestion final Araba 2018'!H83+'Gestion final Bizkaia 2018'!H87+'Gestion final Gipuzkoa 2018'!H85</f>
        <v>#REF!</v>
      </c>
      <c r="J15" s="849">
        <f>'Gestion final Bizkaia 2018'!J87</f>
        <v>0</v>
      </c>
      <c r="K15" s="849">
        <f>'Gestion final Araba 2018'!I83</f>
        <v>0</v>
      </c>
      <c r="L15" s="849">
        <f>'Gestion final Araba 2018'!J83+'Gestion final Bizkaia 2018'!L87</f>
        <v>0</v>
      </c>
      <c r="M15" s="849">
        <f>'Gestion final Bizkaia 2018'!K87</f>
        <v>0</v>
      </c>
      <c r="N15" s="849">
        <f>'Gestion final Bizkaia 2018'!M87</f>
        <v>0</v>
      </c>
      <c r="O15" s="849">
        <f>'Gestion final Bizkaia 2018'!N87</f>
        <v>0</v>
      </c>
      <c r="P15" s="849" t="e">
        <f>'Gestion final Araba 2018'!K83+'Gestion final Bizkaia 2018'!I87+'Gestion final Gipuzkoa 2018'!I85</f>
        <v>#REF!</v>
      </c>
      <c r="Q15" s="849">
        <f>'Gestion final Araba 2018'!L83+'Gestion final Bizkaia 2018'!O87+'Gestion final Gipuzkoa 2018'!J85</f>
        <v>0</v>
      </c>
      <c r="R15" s="849">
        <f>'Gestion final Araba 2018'!M83+'Gestion final Bizkaia 2018'!P87+'Gestion final Gipuzkoa 2018'!K85</f>
        <v>0</v>
      </c>
      <c r="S15" s="3" t="e">
        <f t="shared" si="2"/>
        <v>#REF!</v>
      </c>
      <c r="T15" s="17" t="e">
        <f t="shared" si="1"/>
        <v>#REF!</v>
      </c>
    </row>
    <row r="16" spans="2:20" x14ac:dyDescent="0.3">
      <c r="B16" s="848" t="s">
        <v>33</v>
      </c>
      <c r="C16" s="849" t="e">
        <f>'Gestion final Araba 2018'!C84+'Gestion final Bizkaia 2018'!C88+'Gestion final Gipuzkoa 2018'!C86</f>
        <v>#REF!</v>
      </c>
      <c r="D16" s="849" t="e">
        <f>'Gestion final Araba 2018'!Q16+'Gestion final Bizkaia 2018'!R16+'Gestion final Gipuzkoa 2018'!P16</f>
        <v>#REF!</v>
      </c>
      <c r="E16" s="867" t="e">
        <f t="shared" si="0"/>
        <v>#REF!</v>
      </c>
      <c r="F16" s="849">
        <f>'Gestion final Araba 2018'!E84+'Gestion final Bizkaia 2018'!E88+'Gestion final Gipuzkoa 2018'!E86</f>
        <v>0</v>
      </c>
      <c r="G16" s="849" t="e">
        <f>'Gestion final Araba 2018'!F84+'Gestion final Bizkaia 2018'!F88+'Gestion final Gipuzkoa 2018'!F86</f>
        <v>#REF!</v>
      </c>
      <c r="H16" s="849">
        <f>'Gestion final Araba 2018'!G84+'Gestion final Bizkaia 2018'!G88+'Gestion final Gipuzkoa 2018'!G86</f>
        <v>0</v>
      </c>
      <c r="I16" s="849" t="e">
        <f>'Gestion final Araba 2018'!H84+'Gestion final Bizkaia 2018'!H88+'Gestion final Gipuzkoa 2018'!H86</f>
        <v>#REF!</v>
      </c>
      <c r="J16" s="849">
        <f>'Gestion final Bizkaia 2018'!J88</f>
        <v>0</v>
      </c>
      <c r="K16" s="849">
        <f>'Gestion final Araba 2018'!I84</f>
        <v>0</v>
      </c>
      <c r="L16" s="849">
        <f>'Gestion final Araba 2018'!J84+'Gestion final Bizkaia 2018'!L88</f>
        <v>0</v>
      </c>
      <c r="M16" s="849">
        <f>'Gestion final Bizkaia 2018'!K88</f>
        <v>0</v>
      </c>
      <c r="N16" s="849">
        <f>'Gestion final Bizkaia 2018'!M88</f>
        <v>0</v>
      </c>
      <c r="O16" s="849">
        <f>'Gestion final Bizkaia 2018'!N88</f>
        <v>0</v>
      </c>
      <c r="P16" s="849">
        <f>'Gestion final Araba 2018'!K84+'Gestion final Bizkaia 2018'!I88+'Gestion final Gipuzkoa 2018'!I86</f>
        <v>6.9293612000000007</v>
      </c>
      <c r="Q16" s="849">
        <f>'Gestion final Araba 2018'!L84+'Gestion final Bizkaia 2018'!O88+'Gestion final Gipuzkoa 2018'!J86</f>
        <v>0</v>
      </c>
      <c r="R16" s="849" t="e">
        <f>'Gestion final Araba 2018'!M84+'Gestion final Bizkaia 2018'!P88+'Gestion final Gipuzkoa 2018'!K86</f>
        <v>#REF!</v>
      </c>
      <c r="S16" s="3" t="e">
        <f t="shared" si="2"/>
        <v>#REF!</v>
      </c>
      <c r="T16" s="17" t="e">
        <f t="shared" si="1"/>
        <v>#REF!</v>
      </c>
    </row>
    <row r="17" spans="2:20" x14ac:dyDescent="0.3">
      <c r="B17" s="848" t="s">
        <v>66</v>
      </c>
      <c r="C17" s="849" t="e">
        <f>'Gestion final Araba 2018'!C85+'Gestion final Bizkaia 2018'!C89+'Gestion final Gipuzkoa 2018'!C87</f>
        <v>#REF!</v>
      </c>
      <c r="D17" s="849" t="e">
        <f>'Gestion final Araba 2018'!Q17+'Gestion final Bizkaia 2018'!R17+'Gestion final Gipuzkoa 2018'!P17</f>
        <v>#REF!</v>
      </c>
      <c r="E17" s="867" t="e">
        <f t="shared" si="0"/>
        <v>#REF!</v>
      </c>
      <c r="F17" s="849" t="e">
        <f>'Gestion final Araba 2018'!E85+'Gestion final Bizkaia 2018'!E89+'Gestion final Gipuzkoa 2018'!E87</f>
        <v>#REF!</v>
      </c>
      <c r="G17" s="849" t="e">
        <f>'Gestion final Araba 2018'!F85+'Gestion final Bizkaia 2018'!F89+'Gestion final Gipuzkoa 2018'!F87</f>
        <v>#REF!</v>
      </c>
      <c r="H17" s="849">
        <f>'Gestion final Araba 2018'!G85+'Gestion final Bizkaia 2018'!G89+'Gestion final Gipuzkoa 2018'!G87</f>
        <v>0</v>
      </c>
      <c r="I17" s="849" t="e">
        <f>'Gestion final Araba 2018'!H85+'Gestion final Bizkaia 2018'!H89+'Gestion final Gipuzkoa 2018'!H87</f>
        <v>#REF!</v>
      </c>
      <c r="J17" s="849">
        <f>'Gestion final Bizkaia 2018'!J89</f>
        <v>0</v>
      </c>
      <c r="K17" s="849">
        <f>'Gestion final Araba 2018'!I85</f>
        <v>0</v>
      </c>
      <c r="L17" s="849">
        <f>'Gestion final Araba 2018'!J85+'Gestion final Bizkaia 2018'!L89</f>
        <v>0</v>
      </c>
      <c r="M17" s="849">
        <f>'Gestion final Bizkaia 2018'!K89</f>
        <v>0</v>
      </c>
      <c r="N17" s="849">
        <f>'Gestion final Bizkaia 2018'!M89</f>
        <v>0</v>
      </c>
      <c r="O17" s="849">
        <f>'Gestion final Bizkaia 2018'!N89</f>
        <v>0</v>
      </c>
      <c r="P17" s="849">
        <f>'Gestion final Araba 2018'!K85+'Gestion final Bizkaia 2018'!I89+'Gestion final Gipuzkoa 2018'!I87</f>
        <v>0</v>
      </c>
      <c r="Q17" s="849">
        <f>'Gestion final Araba 2018'!L85+'Gestion final Bizkaia 2018'!O89+'Gestion final Gipuzkoa 2018'!J87</f>
        <v>0</v>
      </c>
      <c r="R17" s="849">
        <f>'Gestion final Araba 2018'!M85+'Gestion final Bizkaia 2018'!P89+'Gestion final Gipuzkoa 2018'!K87</f>
        <v>0</v>
      </c>
      <c r="S17" s="3" t="e">
        <f t="shared" si="2"/>
        <v>#REF!</v>
      </c>
      <c r="T17" s="17" t="e">
        <f t="shared" si="1"/>
        <v>#REF!</v>
      </c>
    </row>
    <row r="18" spans="2:20" x14ac:dyDescent="0.3">
      <c r="B18" s="848" t="s">
        <v>73</v>
      </c>
      <c r="C18" s="849" t="e">
        <f>'Gestion final Araba 2018'!C86+'Gestion final Bizkaia 2018'!C90+'Gestion final Gipuzkoa 2018'!C88</f>
        <v>#REF!</v>
      </c>
      <c r="D18" s="849" t="e">
        <f>'Gestion final Araba 2018'!Q18+'Gestion final Bizkaia 2018'!R18+'Gestion final Gipuzkoa 2018'!P18</f>
        <v>#REF!</v>
      </c>
      <c r="E18" s="867" t="e">
        <f t="shared" si="0"/>
        <v>#REF!</v>
      </c>
      <c r="F18" s="849">
        <f>'Gestion final Araba 2018'!E86+'Gestion final Bizkaia 2018'!E90+'Gestion final Gipuzkoa 2018'!E88</f>
        <v>0</v>
      </c>
      <c r="G18" s="849" t="e">
        <f>'Gestion final Araba 2018'!F86+'Gestion final Bizkaia 2018'!F90+'Gestion final Gipuzkoa 2018'!F88</f>
        <v>#REF!</v>
      </c>
      <c r="H18" s="849">
        <f>'Gestion final Araba 2018'!G86+'Gestion final Bizkaia 2018'!G90+'Gestion final Gipuzkoa 2018'!G88</f>
        <v>0</v>
      </c>
      <c r="I18" s="849" t="e">
        <f>'Gestion final Araba 2018'!H86+'Gestion final Bizkaia 2018'!H90+'Gestion final Gipuzkoa 2018'!H88</f>
        <v>#REF!</v>
      </c>
      <c r="J18" s="849">
        <f>'Gestion final Bizkaia 2018'!J90</f>
        <v>0</v>
      </c>
      <c r="K18" s="849">
        <f>'Gestion final Araba 2018'!I86</f>
        <v>0</v>
      </c>
      <c r="L18" s="849">
        <f>'Gestion final Araba 2018'!J86+'Gestion final Bizkaia 2018'!L90</f>
        <v>0</v>
      </c>
      <c r="M18" s="849">
        <f>'Gestion final Bizkaia 2018'!K90</f>
        <v>0</v>
      </c>
      <c r="N18" s="849">
        <f>'Gestion final Bizkaia 2018'!M90</f>
        <v>0</v>
      </c>
      <c r="O18" s="849">
        <f>'Gestion final Bizkaia 2018'!N90</f>
        <v>205.99524475738502</v>
      </c>
      <c r="P18" s="849" t="e">
        <f>'Gestion final Araba 2018'!K86+'Gestion final Bizkaia 2018'!I90+'Gestion final Gipuzkoa 2018'!I88</f>
        <v>#REF!</v>
      </c>
      <c r="Q18" s="849" t="e">
        <f>'Gestion final Araba 2018'!L86+'Gestion final Bizkaia 2018'!O90+'Gestion final Gipuzkoa 2018'!J88</f>
        <v>#REF!</v>
      </c>
      <c r="R18" s="849">
        <f>'Gestion final Araba 2018'!M86+'Gestion final Bizkaia 2018'!P90+'Gestion final Gipuzkoa 2018'!K88</f>
        <v>0</v>
      </c>
      <c r="S18" s="3" t="e">
        <f t="shared" si="2"/>
        <v>#REF!</v>
      </c>
      <c r="T18" s="17" t="e">
        <f t="shared" si="1"/>
        <v>#REF!</v>
      </c>
    </row>
    <row r="19" spans="2:20" x14ac:dyDescent="0.3">
      <c r="B19" s="848" t="s">
        <v>74</v>
      </c>
      <c r="C19" s="849" t="e">
        <f>'Gestion final Araba 2018'!C87+'Gestion final Bizkaia 2018'!C91+'Gestion final Gipuzkoa 2018'!C89</f>
        <v>#REF!</v>
      </c>
      <c r="D19" s="849" t="e">
        <f>'Gestion final Araba 2018'!Q19+'Gestion final Bizkaia 2018'!R19+'Gestion final Gipuzkoa 2018'!P19</f>
        <v>#REF!</v>
      </c>
      <c r="E19" s="867" t="e">
        <f t="shared" si="0"/>
        <v>#REF!</v>
      </c>
      <c r="F19" s="849">
        <f>'Gestion final Araba 2018'!E87+'Gestion final Bizkaia 2018'!E91+'Gestion final Gipuzkoa 2018'!E89</f>
        <v>0</v>
      </c>
      <c r="G19" s="849" t="e">
        <f>'Gestion final Araba 2018'!F87+'Gestion final Bizkaia 2018'!F91+'Gestion final Gipuzkoa 2018'!F89</f>
        <v>#REF!</v>
      </c>
      <c r="H19" s="849">
        <f>'Gestion final Araba 2018'!G87+'Gestion final Bizkaia 2018'!G91+'Gestion final Gipuzkoa 2018'!G89</f>
        <v>0</v>
      </c>
      <c r="I19" s="849" t="e">
        <f>'Gestion final Araba 2018'!H87+'Gestion final Bizkaia 2018'!H91+'Gestion final Gipuzkoa 2018'!H89</f>
        <v>#REF!</v>
      </c>
      <c r="J19" s="849">
        <f>'Gestion final Bizkaia 2018'!J91</f>
        <v>0</v>
      </c>
      <c r="K19" s="849">
        <f>'Gestion final Araba 2018'!I87</f>
        <v>0</v>
      </c>
      <c r="L19" s="849">
        <f>'Gestion final Araba 2018'!J87+'Gestion final Bizkaia 2018'!L91</f>
        <v>0</v>
      </c>
      <c r="M19" s="849">
        <f>'Gestion final Bizkaia 2018'!K91</f>
        <v>0</v>
      </c>
      <c r="N19" s="849">
        <f>'Gestion final Bizkaia 2018'!M91</f>
        <v>0</v>
      </c>
      <c r="O19" s="849">
        <f>'Gestion final Bizkaia 2018'!N91</f>
        <v>0</v>
      </c>
      <c r="P19" s="849">
        <f>'Gestion final Araba 2018'!K87+'Gestion final Bizkaia 2018'!I91+'Gestion final Gipuzkoa 2018'!I89</f>
        <v>0</v>
      </c>
      <c r="Q19" s="849">
        <f>'Gestion final Araba 2018'!L87+'Gestion final Bizkaia 2018'!O91+'Gestion final Gipuzkoa 2018'!J89</f>
        <v>0</v>
      </c>
      <c r="R19" s="849">
        <f>'Gestion final Araba 2018'!M87+'Gestion final Bizkaia 2018'!P91+'Gestion final Gipuzkoa 2018'!K89</f>
        <v>0</v>
      </c>
      <c r="S19" s="3" t="e">
        <f t="shared" si="2"/>
        <v>#REF!</v>
      </c>
      <c r="T19" s="17" t="e">
        <f t="shared" si="1"/>
        <v>#REF!</v>
      </c>
    </row>
    <row r="20" spans="2:20" x14ac:dyDescent="0.3">
      <c r="B20" s="848" t="s">
        <v>327</v>
      </c>
      <c r="C20" s="849" t="e">
        <f>'Gestion final Araba 2018'!C88+'Gestion final Bizkaia 2018'!C92+'Gestion final Gipuzkoa 2018'!C90</f>
        <v>#REF!</v>
      </c>
      <c r="D20" s="849" t="e">
        <f>'Gestion final Araba 2018'!Q20+'Gestion final Bizkaia 2018'!R20+'Gestion final Gipuzkoa 2018'!P20</f>
        <v>#REF!</v>
      </c>
      <c r="E20" s="867" t="e">
        <f t="shared" si="0"/>
        <v>#REF!</v>
      </c>
      <c r="F20" s="849" t="e">
        <f>'Gestion final Araba 2018'!E88+'Gestion final Bizkaia 2018'!E92+'Gestion final Gipuzkoa 2018'!E90</f>
        <v>#REF!</v>
      </c>
      <c r="G20" s="849" t="e">
        <f>'Gestion final Araba 2018'!F88+'Gestion final Bizkaia 2018'!F92+'Gestion final Gipuzkoa 2018'!F90</f>
        <v>#REF!</v>
      </c>
      <c r="H20" s="849">
        <f>'Gestion final Araba 2018'!G88+'Gestion final Bizkaia 2018'!G92+'Gestion final Gipuzkoa 2018'!G90</f>
        <v>0</v>
      </c>
      <c r="I20" s="849" t="e">
        <f>'Gestion final Araba 2018'!H88+'Gestion final Bizkaia 2018'!H92+'Gestion final Gipuzkoa 2018'!H90</f>
        <v>#REF!</v>
      </c>
      <c r="J20" s="849">
        <f>'Gestion final Bizkaia 2018'!J92</f>
        <v>0</v>
      </c>
      <c r="K20" s="849">
        <f>'Gestion final Araba 2018'!I88</f>
        <v>0</v>
      </c>
      <c r="L20" s="849">
        <f>'Gestion final Araba 2018'!J88+'Gestion final Bizkaia 2018'!L92</f>
        <v>0</v>
      </c>
      <c r="M20" s="849">
        <f>'Gestion final Bizkaia 2018'!K92</f>
        <v>0</v>
      </c>
      <c r="N20" s="849">
        <f>'Gestion final Bizkaia 2018'!M92</f>
        <v>0</v>
      </c>
      <c r="O20" s="849">
        <f>'Gestion final Bizkaia 2018'!N92</f>
        <v>3832.2677838818404</v>
      </c>
      <c r="P20" s="849" t="e">
        <f>'Gestion final Araba 2018'!K88+'Gestion final Bizkaia 2018'!I92+'Gestion final Gipuzkoa 2018'!I90</f>
        <v>#REF!</v>
      </c>
      <c r="Q20" s="849" t="e">
        <f>'Gestion final Araba 2018'!L88+'Gestion final Bizkaia 2018'!O92+'Gestion final Gipuzkoa 2018'!J90</f>
        <v>#REF!</v>
      </c>
      <c r="R20" s="849">
        <f>'Gestion final Araba 2018'!M88+'Gestion final Bizkaia 2018'!P92+'Gestion final Gipuzkoa 2018'!K90</f>
        <v>0</v>
      </c>
      <c r="S20" s="3" t="e">
        <f t="shared" si="2"/>
        <v>#REF!</v>
      </c>
      <c r="T20" s="17" t="e">
        <f t="shared" si="1"/>
        <v>#REF!</v>
      </c>
    </row>
    <row r="21" spans="2:20" x14ac:dyDescent="0.3">
      <c r="B21" s="848" t="s">
        <v>1</v>
      </c>
      <c r="C21" s="849" t="e">
        <f>'Gestion final Araba 2018'!C89+'Gestion final Bizkaia 2018'!C93+'Gestion final Gipuzkoa 2018'!C91</f>
        <v>#REF!</v>
      </c>
      <c r="D21" s="849" t="e">
        <f>'Gestion final Araba 2018'!Q21+'Gestion final Bizkaia 2018'!R21+'Gestion final Gipuzkoa 2018'!P21</f>
        <v>#REF!</v>
      </c>
      <c r="E21" s="867" t="e">
        <f t="shared" si="0"/>
        <v>#REF!</v>
      </c>
      <c r="F21" s="849" t="e">
        <f>'Gestion final Araba 2018'!E89+'Gestion final Bizkaia 2018'!E93+'Gestion final Gipuzkoa 2018'!E91</f>
        <v>#REF!</v>
      </c>
      <c r="G21" s="849" t="e">
        <f>'Gestion final Araba 2018'!F89+'Gestion final Bizkaia 2018'!F93+'Gestion final Gipuzkoa 2018'!F91</f>
        <v>#REF!</v>
      </c>
      <c r="H21" s="849">
        <f>'Gestion final Araba 2018'!G89+'Gestion final Bizkaia 2018'!G93+'Gestion final Gipuzkoa 2018'!G91</f>
        <v>0</v>
      </c>
      <c r="I21" s="849" t="e">
        <f>'Gestion final Araba 2018'!H89+'Gestion final Bizkaia 2018'!H93+'Gestion final Gipuzkoa 2018'!H91</f>
        <v>#REF!</v>
      </c>
      <c r="J21" s="849">
        <f>'Gestion final Bizkaia 2018'!J93</f>
        <v>0</v>
      </c>
      <c r="K21" s="849">
        <f>'Gestion final Araba 2018'!I89</f>
        <v>0</v>
      </c>
      <c r="L21" s="849">
        <f>'Gestion final Araba 2018'!J89+'Gestion final Bizkaia 2018'!L93</f>
        <v>0</v>
      </c>
      <c r="M21" s="849">
        <f>'Gestion final Bizkaia 2018'!K93</f>
        <v>0</v>
      </c>
      <c r="N21" s="849">
        <f>'Gestion final Bizkaia 2018'!M93</f>
        <v>0</v>
      </c>
      <c r="O21" s="849">
        <f>'Gestion final Bizkaia 2018'!N93</f>
        <v>301.21745127812773</v>
      </c>
      <c r="P21" s="849" t="e">
        <f>'Gestion final Araba 2018'!K89+'Gestion final Bizkaia 2018'!I93+'Gestion final Gipuzkoa 2018'!I91</f>
        <v>#REF!</v>
      </c>
      <c r="Q21" s="849" t="e">
        <f>'Gestion final Araba 2018'!L89+'Gestion final Bizkaia 2018'!O93+'Gestion final Gipuzkoa 2018'!J91</f>
        <v>#REF!</v>
      </c>
      <c r="R21" s="849">
        <f>'Gestion final Araba 2018'!M89+'Gestion final Bizkaia 2018'!P93+'Gestion final Gipuzkoa 2018'!K91</f>
        <v>0</v>
      </c>
      <c r="S21" s="3" t="e">
        <f t="shared" si="2"/>
        <v>#REF!</v>
      </c>
      <c r="T21" s="17" t="e">
        <f t="shared" si="1"/>
        <v>#REF!</v>
      </c>
    </row>
    <row r="22" spans="2:20" x14ac:dyDescent="0.3">
      <c r="B22" s="848" t="s">
        <v>76</v>
      </c>
      <c r="C22" s="849" t="e">
        <f>'Gestion final Araba 2018'!C90+'Gestion final Bizkaia 2018'!C94+'Gestion final Gipuzkoa 2018'!C92</f>
        <v>#REF!</v>
      </c>
      <c r="D22" s="849" t="e">
        <f>'Gestion final Araba 2018'!Q22+'Gestion final Bizkaia 2018'!R22+'Gestion final Gipuzkoa 2018'!P22</f>
        <v>#REF!</v>
      </c>
      <c r="E22" s="867" t="e">
        <f t="shared" si="0"/>
        <v>#REF!</v>
      </c>
      <c r="F22" s="849" t="e">
        <f>'Gestion final Araba 2018'!E90+'Gestion final Bizkaia 2018'!E94+'Gestion final Gipuzkoa 2018'!E92</f>
        <v>#REF!</v>
      </c>
      <c r="G22" s="849" t="e">
        <f>'Gestion final Araba 2018'!F90+'Gestion final Bizkaia 2018'!F94+'Gestion final Gipuzkoa 2018'!F92</f>
        <v>#REF!</v>
      </c>
      <c r="H22" s="849">
        <f>'Gestion final Araba 2018'!G90+'Gestion final Bizkaia 2018'!G94+'Gestion final Gipuzkoa 2018'!G92</f>
        <v>0</v>
      </c>
      <c r="I22" s="849" t="e">
        <f>'Gestion final Araba 2018'!H90+'Gestion final Bizkaia 2018'!H94+'Gestion final Gipuzkoa 2018'!H92</f>
        <v>#REF!</v>
      </c>
      <c r="J22" s="849">
        <f>'Gestion final Bizkaia 2018'!J94</f>
        <v>0</v>
      </c>
      <c r="K22" s="849">
        <f>'Gestion final Araba 2018'!I90</f>
        <v>0</v>
      </c>
      <c r="L22" s="849">
        <f>'Gestion final Araba 2018'!J90+'Gestion final Bizkaia 2018'!L94</f>
        <v>0</v>
      </c>
      <c r="M22" s="849">
        <f>'Gestion final Bizkaia 2018'!K94</f>
        <v>0</v>
      </c>
      <c r="N22" s="849">
        <f>'Gestion final Bizkaia 2018'!M94</f>
        <v>0</v>
      </c>
      <c r="O22" s="849">
        <f>'Gestion final Bizkaia 2018'!N94</f>
        <v>0</v>
      </c>
      <c r="P22" s="849" t="e">
        <f>'Gestion final Araba 2018'!K90+'Gestion final Bizkaia 2018'!I94+'Gestion final Gipuzkoa 2018'!I92</f>
        <v>#REF!</v>
      </c>
      <c r="Q22" s="849" t="e">
        <f>'Gestion final Araba 2018'!L90+'Gestion final Bizkaia 2018'!O94+'Gestion final Gipuzkoa 2018'!J92</f>
        <v>#REF!</v>
      </c>
      <c r="R22" s="849">
        <f>'Gestion final Araba 2018'!M90+'Gestion final Bizkaia 2018'!P94+'Gestion final Gipuzkoa 2018'!K92</f>
        <v>0</v>
      </c>
      <c r="S22" s="3" t="e">
        <f t="shared" si="2"/>
        <v>#REF!</v>
      </c>
      <c r="T22" s="17" t="e">
        <f t="shared" si="1"/>
        <v>#REF!</v>
      </c>
    </row>
    <row r="23" spans="2:20" x14ac:dyDescent="0.3">
      <c r="B23" s="848" t="s">
        <v>39</v>
      </c>
      <c r="C23" s="849" t="e">
        <f>'Gestion final Araba 2018'!C91+'Gestion final Bizkaia 2018'!C95+'Gestion final Gipuzkoa 2018'!C93</f>
        <v>#REF!</v>
      </c>
      <c r="D23" s="849" t="e">
        <f>'Gestion final Araba 2018'!Q23+'Gestion final Bizkaia 2018'!R23+'Gestion final Gipuzkoa 2018'!P23</f>
        <v>#REF!</v>
      </c>
      <c r="E23" s="867" t="e">
        <f t="shared" si="0"/>
        <v>#REF!</v>
      </c>
      <c r="F23" s="849">
        <f>'Gestion final Araba 2018'!E91+'Gestion final Bizkaia 2018'!E95+'Gestion final Gipuzkoa 2018'!E93</f>
        <v>0</v>
      </c>
      <c r="G23" s="849" t="e">
        <f>'Gestion final Araba 2018'!F91+'Gestion final Bizkaia 2018'!F95+'Gestion final Gipuzkoa 2018'!F93</f>
        <v>#REF!</v>
      </c>
      <c r="H23" s="849">
        <f>'Gestion final Araba 2018'!G91+'Gestion final Bizkaia 2018'!G95+'Gestion final Gipuzkoa 2018'!G93</f>
        <v>0</v>
      </c>
      <c r="I23" s="849" t="e">
        <f>'Gestion final Araba 2018'!H91+'Gestion final Bizkaia 2018'!H95+'Gestion final Gipuzkoa 2018'!H93</f>
        <v>#REF!</v>
      </c>
      <c r="J23" s="849">
        <f>'Gestion final Bizkaia 2018'!J95</f>
        <v>0</v>
      </c>
      <c r="K23" s="849">
        <f>'Gestion final Araba 2018'!I91</f>
        <v>0</v>
      </c>
      <c r="L23" s="849">
        <f>'Gestion final Araba 2018'!J91+'Gestion final Bizkaia 2018'!L95</f>
        <v>0</v>
      </c>
      <c r="M23" s="849">
        <f>'Gestion final Bizkaia 2018'!K95</f>
        <v>0</v>
      </c>
      <c r="N23" s="849">
        <f>'Gestion final Bizkaia 2018'!M95</f>
        <v>0</v>
      </c>
      <c r="O23" s="849">
        <f>'Gestion final Bizkaia 2018'!N95</f>
        <v>0</v>
      </c>
      <c r="P23" s="849" t="e">
        <f>'Gestion final Araba 2018'!K91+'Gestion final Bizkaia 2018'!I95+'Gestion final Gipuzkoa 2018'!I93</f>
        <v>#REF!</v>
      </c>
      <c r="Q23" s="849" t="e">
        <f>'Gestion final Araba 2018'!L91+'Gestion final Bizkaia 2018'!O95+'Gestion final Gipuzkoa 2018'!J93</f>
        <v>#REF!</v>
      </c>
      <c r="R23" s="849">
        <f>'Gestion final Araba 2018'!M91+'Gestion final Bizkaia 2018'!P95+'Gestion final Gipuzkoa 2018'!K93</f>
        <v>0</v>
      </c>
      <c r="S23" s="3" t="e">
        <f t="shared" si="2"/>
        <v>#REF!</v>
      </c>
      <c r="T23" s="17" t="e">
        <f t="shared" si="1"/>
        <v>#REF!</v>
      </c>
    </row>
    <row r="24" spans="2:20" x14ac:dyDescent="0.3">
      <c r="B24" s="848" t="s">
        <v>95</v>
      </c>
      <c r="C24" s="849" t="e">
        <f>'Gestion final Araba 2018'!C92+'Gestion final Bizkaia 2018'!C96+'Gestion final Gipuzkoa 2018'!C94</f>
        <v>#REF!</v>
      </c>
      <c r="D24" s="849" t="e">
        <f>'Gestion final Araba 2018'!Q24+'Gestion final Bizkaia 2018'!R24+'Gestion final Gipuzkoa 2018'!P24</f>
        <v>#REF!</v>
      </c>
      <c r="E24" s="867" t="e">
        <f t="shared" si="0"/>
        <v>#REF!</v>
      </c>
      <c r="F24" s="849">
        <f>'Gestion final Araba 2018'!E92+'Gestion final Bizkaia 2018'!E96+'Gestion final Gipuzkoa 2018'!E94</f>
        <v>0</v>
      </c>
      <c r="G24" s="849">
        <f>'Gestion final Araba 2018'!F92+'Gestion final Bizkaia 2018'!F96+'Gestion final Gipuzkoa 2018'!F94</f>
        <v>11.7</v>
      </c>
      <c r="H24" s="849">
        <f>'Gestion final Araba 2018'!G92+'Gestion final Bizkaia 2018'!G96+'Gestion final Gipuzkoa 2018'!G94</f>
        <v>0</v>
      </c>
      <c r="I24" s="849">
        <f>'Gestion final Araba 2018'!H92+'Gestion final Bizkaia 2018'!H96+'Gestion final Gipuzkoa 2018'!H94</f>
        <v>0</v>
      </c>
      <c r="J24" s="849">
        <f>'Gestion final Bizkaia 2018'!J96</f>
        <v>0</v>
      </c>
      <c r="K24" s="849">
        <f>'Gestion final Araba 2018'!I92</f>
        <v>0</v>
      </c>
      <c r="L24" s="849">
        <f>'Gestion final Araba 2018'!J92+'Gestion final Bizkaia 2018'!L96</f>
        <v>0</v>
      </c>
      <c r="M24" s="849">
        <f>'Gestion final Bizkaia 2018'!K96</f>
        <v>0</v>
      </c>
      <c r="N24" s="849">
        <f>'Gestion final Bizkaia 2018'!M96</f>
        <v>0</v>
      </c>
      <c r="O24" s="849">
        <f>'Gestion final Bizkaia 2018'!N96</f>
        <v>0</v>
      </c>
      <c r="P24" s="849">
        <f>'Gestion final Araba 2018'!K92+'Gestion final Bizkaia 2018'!I96+'Gestion final Gipuzkoa 2018'!I94</f>
        <v>0</v>
      </c>
      <c r="Q24" s="849">
        <f>'Gestion final Araba 2018'!L92+'Gestion final Bizkaia 2018'!O96+'Gestion final Gipuzkoa 2018'!J94</f>
        <v>0</v>
      </c>
      <c r="R24" s="849">
        <f>'Gestion final Araba 2018'!M92+'Gestion final Bizkaia 2018'!P96+'Gestion final Gipuzkoa 2018'!K94</f>
        <v>0</v>
      </c>
      <c r="S24" s="3">
        <f t="shared" si="2"/>
        <v>11.7</v>
      </c>
      <c r="T24" s="17" t="e">
        <f t="shared" si="1"/>
        <v>#REF!</v>
      </c>
    </row>
    <row r="25" spans="2:20" x14ac:dyDescent="0.3">
      <c r="B25" s="848" t="s">
        <v>119</v>
      </c>
      <c r="C25" s="849" t="e">
        <f>'Gestion final Araba 2018'!C93+'Gestion final Bizkaia 2018'!C97+'Gestion final Gipuzkoa 2018'!C95</f>
        <v>#REF!</v>
      </c>
      <c r="D25" s="849">
        <f>'Gestion final Araba 2018'!Q25+'Gestion final Bizkaia 2018'!R25+'Gestion final Gipuzkoa 2018'!P25</f>
        <v>0</v>
      </c>
      <c r="E25" s="867" t="e">
        <f t="shared" si="0"/>
        <v>#REF!</v>
      </c>
      <c r="F25" s="849">
        <f>'Gestion final Araba 2018'!E93+'Gestion final Bizkaia 2018'!E97+'Gestion final Gipuzkoa 2018'!E95</f>
        <v>0</v>
      </c>
      <c r="G25" s="849">
        <f>'Gestion final Araba 2018'!F93+'Gestion final Bizkaia 2018'!F97+'Gestion final Gipuzkoa 2018'!F95</f>
        <v>0</v>
      </c>
      <c r="H25" s="849">
        <f>'Gestion final Araba 2018'!G93+'Gestion final Bizkaia 2018'!G97+'Gestion final Gipuzkoa 2018'!G95</f>
        <v>0</v>
      </c>
      <c r="I25" s="849">
        <f>'Gestion final Araba 2018'!H93+'Gestion final Bizkaia 2018'!H97+'Gestion final Gipuzkoa 2018'!H95</f>
        <v>1080.6623852982998</v>
      </c>
      <c r="J25" s="849">
        <f>'Gestion final Bizkaia 2018'!J97</f>
        <v>0</v>
      </c>
      <c r="K25" s="849">
        <f>'Gestion final Araba 2018'!I93</f>
        <v>0</v>
      </c>
      <c r="L25" s="849">
        <f>'Gestion final Araba 2018'!J93+'Gestion final Bizkaia 2018'!L97</f>
        <v>0</v>
      </c>
      <c r="M25" s="849">
        <f>'Gestion final Bizkaia 2018'!K97</f>
        <v>1089.7440096718851</v>
      </c>
      <c r="N25" s="849">
        <f>'Gestion final Bizkaia 2018'!M97</f>
        <v>10722.531345289826</v>
      </c>
      <c r="O25" s="849">
        <f>'Gestion final Bizkaia 2018'!N97</f>
        <v>16993.196793586441</v>
      </c>
      <c r="P25" s="849" t="e">
        <f>'Gestion final Araba 2018'!K93+'Gestion final Bizkaia 2018'!I97+'Gestion final Gipuzkoa 2018'!I95</f>
        <v>#REF!</v>
      </c>
      <c r="Q25" s="849" t="e">
        <f>'Gestion final Araba 2018'!L93+'Gestion final Bizkaia 2018'!O97+'Gestion final Gipuzkoa 2018'!J95</f>
        <v>#REF!</v>
      </c>
      <c r="R25" s="849">
        <f>'Gestion final Araba 2018'!M93+'Gestion final Bizkaia 2018'!P97+'Gestion final Gipuzkoa 2018'!K95</f>
        <v>0</v>
      </c>
      <c r="S25" s="3" t="e">
        <f t="shared" si="2"/>
        <v>#REF!</v>
      </c>
      <c r="T25" s="17" t="e">
        <f t="shared" si="1"/>
        <v>#REF!</v>
      </c>
    </row>
    <row r="26" spans="2:20" x14ac:dyDescent="0.3">
      <c r="B26" s="891" t="s">
        <v>427</v>
      </c>
      <c r="C26" s="892" t="e">
        <f>'Gestion final Araba 2018'!C94+'Gestion final Bizkaia 2018'!C98+'Gestion final Gipuzkoa 2018'!C96</f>
        <v>#REF!</v>
      </c>
      <c r="D26" s="892" t="e">
        <f>'Gestion final Araba 2018'!Q26+'Gestion final Bizkaia 2018'!R26+'Gestion final Gipuzkoa 2018'!P26</f>
        <v>#REF!</v>
      </c>
      <c r="E26" s="893" t="e">
        <f t="shared" si="0"/>
        <v>#REF!</v>
      </c>
      <c r="F26" s="892" t="e">
        <f>'Gestion final Araba 2018'!E94+'Gestion final Bizkaia 2018'!E98+'Gestion final Gipuzkoa 2018'!E96</f>
        <v>#REF!</v>
      </c>
      <c r="G26" s="892" t="e">
        <f>'Gestion final Araba 2018'!F94+'Gestion final Bizkaia 2018'!F98+'Gestion final Gipuzkoa 2018'!F96</f>
        <v>#REF!</v>
      </c>
      <c r="H26" s="892" t="e">
        <f>'Gestion final Araba 2018'!G94+'Gestion final Bizkaia 2018'!G98+'Gestion final Gipuzkoa 2018'!G96</f>
        <v>#REF!</v>
      </c>
      <c r="I26" s="892" t="e">
        <f>'Gestion final Araba 2018'!H94+'Gestion final Bizkaia 2018'!H98+'Gestion final Gipuzkoa 2018'!H96</f>
        <v>#REF!</v>
      </c>
      <c r="J26" s="892">
        <f>'Gestion final Bizkaia 2018'!J98</f>
        <v>27930.392727925126</v>
      </c>
      <c r="K26" s="892" t="e">
        <f>'Gestion final Araba 2018'!I94</f>
        <v>#REF!</v>
      </c>
      <c r="L26" s="892" t="e">
        <f>'Gestion final Araba 2018'!J94+'Gestion final Bizkaia 2018'!L98</f>
        <v>#REF!</v>
      </c>
      <c r="M26" s="892">
        <f>'Gestion final Bizkaia 2018'!K98</f>
        <v>6201.6019410988902</v>
      </c>
      <c r="N26" s="892">
        <f>'Gestion final Bizkaia 2018'!M98</f>
        <v>63868.031226334526</v>
      </c>
      <c r="O26" s="892">
        <f>'Gestion final Bizkaia 2018'!N98</f>
        <v>148024.54580745366</v>
      </c>
      <c r="P26" s="892" t="e">
        <f>'Gestion final Araba 2018'!K94+'Gestion final Bizkaia 2018'!I98+'Gestion final Gipuzkoa 2018'!I96</f>
        <v>#REF!</v>
      </c>
      <c r="Q26" s="892" t="e">
        <f>'Gestion final Araba 2018'!L94+'Gestion final Bizkaia 2018'!O98+'Gestion final Gipuzkoa 2018'!J96</f>
        <v>#REF!</v>
      </c>
      <c r="R26" s="892" t="e">
        <f>'Gestion final Araba 2018'!M94+'Gestion final Bizkaia 2018'!P98+'Gestion final Gipuzkoa 2018'!K96</f>
        <v>#REF!</v>
      </c>
      <c r="S26" s="3" t="e">
        <f t="shared" si="2"/>
        <v>#REF!</v>
      </c>
      <c r="T26" s="17" t="e">
        <f t="shared" si="1"/>
        <v>#REF!</v>
      </c>
    </row>
    <row r="27" spans="2:20" x14ac:dyDescent="0.3">
      <c r="B27" s="44" t="s">
        <v>545</v>
      </c>
      <c r="C27" s="894">
        <v>1152697.4026795542</v>
      </c>
      <c r="D27" s="894">
        <v>541934.96257062512</v>
      </c>
      <c r="E27" s="895">
        <v>0.47014503659923762</v>
      </c>
      <c r="F27" s="894">
        <v>17941.884049911223</v>
      </c>
      <c r="G27" s="894">
        <v>397115.67911662912</v>
      </c>
      <c r="H27" s="894">
        <v>58397.840765460802</v>
      </c>
      <c r="I27" s="894">
        <v>43995.497321453979</v>
      </c>
      <c r="J27" s="894">
        <v>39740.954609335284</v>
      </c>
      <c r="K27" s="894">
        <v>16216.995568381375</v>
      </c>
      <c r="L27" s="894">
        <v>7909.9346904664217</v>
      </c>
      <c r="M27" s="894">
        <v>8992.7703110014554</v>
      </c>
      <c r="N27" s="894">
        <v>53826.051850538963</v>
      </c>
      <c r="O27" s="894">
        <v>146058.29844692079</v>
      </c>
      <c r="P27" s="894">
        <v>115309.71061440585</v>
      </c>
      <c r="Q27" s="894">
        <v>188880.75775441746</v>
      </c>
      <c r="R27" s="894">
        <v>53809.063212397785</v>
      </c>
      <c r="S27" s="3"/>
      <c r="T27" s="17" t="e">
        <f>SUM(T4:T25)</f>
        <v>#REF!</v>
      </c>
    </row>
    <row r="28" spans="2:20" s="24" customFormat="1" x14ac:dyDescent="0.3">
      <c r="B28" s="663" t="s">
        <v>546</v>
      </c>
      <c r="C28" s="895" t="e">
        <f t="shared" ref="C28:H28" si="3">(C26-C27)/C27</f>
        <v>#REF!</v>
      </c>
      <c r="D28" s="895" t="e">
        <f t="shared" si="3"/>
        <v>#REF!</v>
      </c>
      <c r="E28" s="895" t="e">
        <f t="shared" si="3"/>
        <v>#REF!</v>
      </c>
      <c r="F28" s="895" t="e">
        <f t="shared" si="3"/>
        <v>#REF!</v>
      </c>
      <c r="G28" s="895" t="e">
        <f t="shared" si="3"/>
        <v>#REF!</v>
      </c>
      <c r="H28" s="895" t="e">
        <f t="shared" si="3"/>
        <v>#REF!</v>
      </c>
      <c r="I28" s="895"/>
      <c r="J28" s="895"/>
      <c r="K28" s="895"/>
      <c r="L28" s="895"/>
      <c r="M28" s="895"/>
      <c r="N28" s="895"/>
      <c r="O28" s="895"/>
      <c r="P28" s="895"/>
      <c r="Q28" s="895"/>
      <c r="R28" s="895" t="e">
        <f>(R26-R27)/R27</f>
        <v>#REF!</v>
      </c>
    </row>
    <row r="29" spans="2:20" x14ac:dyDescent="0.3">
      <c r="B29" s="44" t="s">
        <v>428</v>
      </c>
      <c r="C29" s="894" t="e">
        <f>C26-C23</f>
        <v>#REF!</v>
      </c>
      <c r="D29" s="894" t="e">
        <f>D26-D23</f>
        <v>#REF!</v>
      </c>
      <c r="E29" s="895" t="e">
        <f>D29/C29</f>
        <v>#REF!</v>
      </c>
      <c r="F29" s="894" t="e">
        <f>F26-F23</f>
        <v>#REF!</v>
      </c>
      <c r="G29" s="894" t="e">
        <f t="shared" ref="G29:R29" si="4">G26-G23</f>
        <v>#REF!</v>
      </c>
      <c r="H29" s="894" t="e">
        <f t="shared" si="4"/>
        <v>#REF!</v>
      </c>
      <c r="I29" s="894" t="e">
        <f t="shared" si="4"/>
        <v>#REF!</v>
      </c>
      <c r="J29" s="894">
        <f t="shared" si="4"/>
        <v>27930.392727925126</v>
      </c>
      <c r="K29" s="894" t="e">
        <f t="shared" si="4"/>
        <v>#REF!</v>
      </c>
      <c r="L29" s="894" t="e">
        <f t="shared" si="4"/>
        <v>#REF!</v>
      </c>
      <c r="M29" s="894">
        <f t="shared" si="4"/>
        <v>6201.6019410988902</v>
      </c>
      <c r="N29" s="894">
        <f t="shared" si="4"/>
        <v>63868.031226334526</v>
      </c>
      <c r="O29" s="894">
        <f t="shared" si="4"/>
        <v>148024.54580745366</v>
      </c>
      <c r="P29" s="894" t="e">
        <f t="shared" si="4"/>
        <v>#REF!</v>
      </c>
      <c r="Q29" s="894" t="e">
        <f t="shared" si="4"/>
        <v>#REF!</v>
      </c>
      <c r="R29" s="894" t="e">
        <f t="shared" si="4"/>
        <v>#REF!</v>
      </c>
      <c r="S29" s="2" t="e">
        <f>S26/#REF!*1000</f>
        <v>#REF!</v>
      </c>
    </row>
    <row r="30" spans="2:20" x14ac:dyDescent="0.3">
      <c r="B30" s="44" t="s">
        <v>547</v>
      </c>
      <c r="C30" s="894">
        <v>1033219.2586205077</v>
      </c>
      <c r="D30" s="894">
        <v>429926.97756808641</v>
      </c>
      <c r="E30" s="895">
        <v>0.41610430117427266</v>
      </c>
      <c r="F30" s="894">
        <v>17941.884049911223</v>
      </c>
      <c r="G30" s="894">
        <v>306097.5377166291</v>
      </c>
      <c r="H30" s="894">
        <v>58397.840765460802</v>
      </c>
      <c r="I30" s="894">
        <v>43388.209721453975</v>
      </c>
      <c r="J30" s="894">
        <v>39740.954609335284</v>
      </c>
      <c r="K30" s="894">
        <v>16216.995568381375</v>
      </c>
      <c r="L30" s="894">
        <v>7909.9346904664217</v>
      </c>
      <c r="M30" s="894">
        <v>8992.7703110014554</v>
      </c>
      <c r="N30" s="894">
        <v>53826.051850538963</v>
      </c>
      <c r="O30" s="894">
        <v>146058.29844692079</v>
      </c>
      <c r="P30" s="894">
        <v>92496.987095773977</v>
      </c>
      <c r="Q30" s="894">
        <v>183869.78941160435</v>
      </c>
      <c r="R30" s="894">
        <v>53809.063212397785</v>
      </c>
    </row>
    <row r="31" spans="2:20" s="24" customFormat="1" x14ac:dyDescent="0.3">
      <c r="B31" s="663" t="s">
        <v>548</v>
      </c>
      <c r="C31" s="895" t="e">
        <f t="shared" ref="C31:H31" si="5">(C29-C30)/C30</f>
        <v>#REF!</v>
      </c>
      <c r="D31" s="895" t="e">
        <f t="shared" si="5"/>
        <v>#REF!</v>
      </c>
      <c r="E31" s="895" t="e">
        <f t="shared" si="5"/>
        <v>#REF!</v>
      </c>
      <c r="F31" s="895" t="e">
        <f t="shared" si="5"/>
        <v>#REF!</v>
      </c>
      <c r="G31" s="895" t="e">
        <f t="shared" si="5"/>
        <v>#REF!</v>
      </c>
      <c r="H31" s="895" t="e">
        <f t="shared" si="5"/>
        <v>#REF!</v>
      </c>
      <c r="I31" s="895"/>
      <c r="J31" s="895"/>
      <c r="K31" s="895"/>
      <c r="L31" s="895"/>
      <c r="M31" s="895"/>
      <c r="N31" s="895"/>
      <c r="O31" s="895"/>
      <c r="P31" s="895"/>
      <c r="Q31" s="895"/>
      <c r="R31" s="895" t="e">
        <f>(R29-R30)/R30</f>
        <v>#REF!</v>
      </c>
    </row>
    <row r="32" spans="2:20" x14ac:dyDescent="0.3">
      <c r="B32" s="2" t="s">
        <v>25</v>
      </c>
      <c r="F32" s="24" t="e">
        <f>F13/$D$13</f>
        <v>#REF!</v>
      </c>
      <c r="G32" s="24" t="e">
        <f>G13/$D$13</f>
        <v>#REF!</v>
      </c>
      <c r="H32" s="24"/>
      <c r="I32" s="24" t="e">
        <f>I13/$D$13</f>
        <v>#REF!</v>
      </c>
      <c r="J32" s="24" t="e">
        <f>F32+G32+I32</f>
        <v>#REF!</v>
      </c>
      <c r="K32" s="24" t="e">
        <f>1-J32</f>
        <v>#REF!</v>
      </c>
      <c r="L32" s="24"/>
      <c r="M32" s="24"/>
      <c r="N32" s="24"/>
      <c r="O32" s="24"/>
      <c r="P32" s="24"/>
      <c r="Q32" s="24"/>
    </row>
    <row r="33" spans="2:20" x14ac:dyDescent="0.3">
      <c r="B33" s="2" t="s">
        <v>33</v>
      </c>
      <c r="F33" s="24" t="e">
        <f>F16/$D$16</f>
        <v>#REF!</v>
      </c>
      <c r="G33" s="24" t="e">
        <f>G16/$D$16</f>
        <v>#REF!</v>
      </c>
      <c r="H33" s="24" t="e">
        <f>H16/$D$16</f>
        <v>#REF!</v>
      </c>
      <c r="I33" s="24" t="e">
        <f>I16/$D$16</f>
        <v>#REF!</v>
      </c>
      <c r="J33" s="24" t="e">
        <f>F33+G33+I33+R33</f>
        <v>#REF!</v>
      </c>
      <c r="K33" s="24" t="e">
        <f>1-J33</f>
        <v>#REF!</v>
      </c>
      <c r="L33" s="24"/>
      <c r="M33" s="24"/>
      <c r="N33" s="24"/>
      <c r="O33" s="24"/>
      <c r="P33" s="24"/>
      <c r="Q33" s="14" t="e">
        <f>Q26-Q27</f>
        <v>#REF!</v>
      </c>
      <c r="R33" s="24" t="e">
        <f>R16/$D$16</f>
        <v>#REF!</v>
      </c>
    </row>
    <row r="34" spans="2:20" x14ac:dyDescent="0.3">
      <c r="B34" s="664" t="s">
        <v>549</v>
      </c>
      <c r="C34" s="667" t="e">
        <f>C4+C5+C6+C7+C8+C9+C14</f>
        <v>#REF!</v>
      </c>
      <c r="D34" s="667"/>
      <c r="E34" s="667"/>
      <c r="F34" s="667">
        <f>F5+F6+F7+F8+F9+F14</f>
        <v>0</v>
      </c>
      <c r="G34" s="667" t="e">
        <f>G4+G5+G6+G7+G8+G9+G14</f>
        <v>#REF!</v>
      </c>
      <c r="H34" s="667">
        <f>H5+H6+H7+H8+H9+H14</f>
        <v>0</v>
      </c>
      <c r="I34" s="3"/>
      <c r="P34" s="3" t="e">
        <f>P23+Q23</f>
        <v>#REF!</v>
      </c>
    </row>
    <row r="35" spans="2:20" x14ac:dyDescent="0.3">
      <c r="B35" s="664"/>
      <c r="C35" s="667" t="e">
        <f>C21+C11</f>
        <v>#REF!</v>
      </c>
      <c r="D35" s="667"/>
      <c r="E35" s="664"/>
      <c r="F35" s="664"/>
      <c r="G35" s="666" t="e">
        <f>G34/C34</f>
        <v>#REF!</v>
      </c>
      <c r="H35" s="664"/>
      <c r="I35" s="2" t="e">
        <f>G7/D7</f>
        <v>#REF!</v>
      </c>
      <c r="K35" s="3" t="e">
        <f>SUM(F26:R26)</f>
        <v>#REF!</v>
      </c>
      <c r="L35" s="896" t="e">
        <f>K35-C26</f>
        <v>#REF!</v>
      </c>
    </row>
    <row r="36" spans="2:20" x14ac:dyDescent="0.3">
      <c r="B36" s="664"/>
      <c r="C36" s="664"/>
      <c r="D36" s="664"/>
      <c r="E36" s="664"/>
      <c r="F36" s="664"/>
      <c r="G36" s="666"/>
      <c r="H36" s="664"/>
    </row>
    <row r="37" spans="2:20" x14ac:dyDescent="0.3">
      <c r="B37" s="664" t="s">
        <v>550</v>
      </c>
      <c r="C37" s="667" t="e">
        <f>C4-R4</f>
        <v>#REF!</v>
      </c>
      <c r="D37" s="667"/>
      <c r="E37" s="667"/>
      <c r="F37" s="667">
        <f t="shared" ref="F37:Q37" si="6">F4</f>
        <v>0</v>
      </c>
      <c r="G37" s="667">
        <f t="shared" si="6"/>
        <v>0</v>
      </c>
      <c r="H37" s="667" t="e">
        <f t="shared" si="6"/>
        <v>#REF!</v>
      </c>
      <c r="I37" s="667" t="e">
        <f t="shared" si="6"/>
        <v>#REF!</v>
      </c>
      <c r="J37" s="667">
        <f t="shared" si="6"/>
        <v>21063.793831074687</v>
      </c>
      <c r="K37" s="667" t="e">
        <f t="shared" si="6"/>
        <v>#REF!</v>
      </c>
      <c r="L37" s="667" t="e">
        <f t="shared" si="6"/>
        <v>#REF!</v>
      </c>
      <c r="M37" s="667">
        <f t="shared" si="6"/>
        <v>0</v>
      </c>
      <c r="N37" s="667">
        <f t="shared" si="6"/>
        <v>0</v>
      </c>
      <c r="O37" s="667">
        <f t="shared" si="6"/>
        <v>59086.457323633906</v>
      </c>
      <c r="P37" s="667" t="e">
        <f t="shared" si="6"/>
        <v>#REF!</v>
      </c>
      <c r="Q37" s="667" t="e">
        <f t="shared" si="6"/>
        <v>#REF!</v>
      </c>
      <c r="R37" s="667"/>
    </row>
    <row r="38" spans="2:20" x14ac:dyDescent="0.3">
      <c r="B38" s="664"/>
      <c r="C38" s="667"/>
      <c r="D38" s="667"/>
      <c r="E38" s="667"/>
      <c r="F38" s="667"/>
      <c r="G38" s="667"/>
      <c r="H38" s="666" t="e">
        <f>H37/C37</f>
        <v>#REF!</v>
      </c>
      <c r="I38" s="667"/>
      <c r="J38" s="667"/>
      <c r="K38" s="667"/>
      <c r="L38" s="667"/>
      <c r="M38" s="667"/>
      <c r="N38" s="667"/>
      <c r="O38" s="667"/>
      <c r="P38" s="667"/>
      <c r="Q38" s="667"/>
      <c r="R38" s="667"/>
    </row>
    <row r="39" spans="2:20" x14ac:dyDescent="0.3">
      <c r="B39" s="664"/>
      <c r="C39" s="667"/>
      <c r="D39" s="667"/>
      <c r="E39" s="667"/>
      <c r="F39" s="667"/>
      <c r="G39" s="667"/>
      <c r="H39" s="666"/>
      <c r="I39" s="667"/>
      <c r="J39" s="667"/>
      <c r="K39" s="667"/>
      <c r="L39" s="667"/>
      <c r="M39" s="667"/>
      <c r="N39" s="667"/>
      <c r="O39" s="667"/>
      <c r="P39" s="667"/>
      <c r="Q39" s="667"/>
      <c r="R39" s="667"/>
    </row>
    <row r="40" spans="2:20" s="897" customFormat="1" x14ac:dyDescent="0.3">
      <c r="B40" s="897" t="s">
        <v>551</v>
      </c>
      <c r="C40" s="898" t="e">
        <f>C10+C15</f>
        <v>#REF!</v>
      </c>
      <c r="D40" s="898" t="e">
        <f>D10+D15</f>
        <v>#REF!</v>
      </c>
      <c r="E40" s="899" t="e">
        <f>D40/C40</f>
        <v>#REF!</v>
      </c>
      <c r="F40" s="898">
        <f>F10+F15</f>
        <v>0</v>
      </c>
      <c r="G40" s="898" t="e">
        <f>G10+G15</f>
        <v>#REF!</v>
      </c>
      <c r="H40" s="898">
        <f t="shared" ref="H40:R40" si="7">H10+H15</f>
        <v>0</v>
      </c>
      <c r="I40" s="900" t="e">
        <f t="shared" si="7"/>
        <v>#REF!</v>
      </c>
      <c r="J40" s="898">
        <f t="shared" si="7"/>
        <v>0</v>
      </c>
      <c r="K40" s="898">
        <f t="shared" si="7"/>
        <v>0</v>
      </c>
      <c r="L40" s="898">
        <f t="shared" si="7"/>
        <v>0</v>
      </c>
      <c r="M40" s="898">
        <f t="shared" si="7"/>
        <v>0</v>
      </c>
      <c r="N40" s="898">
        <f t="shared" si="7"/>
        <v>0</v>
      </c>
      <c r="O40" s="898">
        <f t="shared" si="7"/>
        <v>0</v>
      </c>
      <c r="P40" s="898" t="e">
        <f t="shared" si="7"/>
        <v>#REF!</v>
      </c>
      <c r="Q40" s="898" t="e">
        <f t="shared" si="7"/>
        <v>#REF!</v>
      </c>
      <c r="R40" s="898">
        <f t="shared" si="7"/>
        <v>0</v>
      </c>
      <c r="S40" s="898" t="e">
        <f>P40+Q40</f>
        <v>#REF!</v>
      </c>
    </row>
    <row r="41" spans="2:20" x14ac:dyDescent="0.3">
      <c r="B41" s="664"/>
      <c r="C41" s="667"/>
      <c r="D41" s="667"/>
      <c r="E41" s="666"/>
      <c r="F41" s="667"/>
      <c r="G41" s="899" t="e">
        <f>(G40+F40)/C40</f>
        <v>#REF!</v>
      </c>
      <c r="H41" s="666"/>
      <c r="I41" s="899" t="e">
        <f>I40/C40</f>
        <v>#REF!</v>
      </c>
      <c r="J41" s="667"/>
      <c r="K41" s="667"/>
      <c r="L41" s="667"/>
      <c r="M41" s="667"/>
      <c r="N41" s="667"/>
      <c r="O41" s="667"/>
      <c r="P41" s="899" t="e">
        <f>P40/C40</f>
        <v>#REF!</v>
      </c>
      <c r="Q41" s="667"/>
      <c r="R41" s="667"/>
      <c r="S41" s="899" t="e">
        <f>S40/C40</f>
        <v>#REF!</v>
      </c>
      <c r="T41" s="899" t="e">
        <f>S41+I41+G41</f>
        <v>#REF!</v>
      </c>
    </row>
    <row r="42" spans="2:20" x14ac:dyDescent="0.3">
      <c r="B42" s="664"/>
      <c r="C42" s="667"/>
      <c r="D42" s="667"/>
      <c r="E42" s="666"/>
      <c r="F42" s="667"/>
      <c r="G42" s="666"/>
      <c r="H42" s="666"/>
      <c r="I42" s="667"/>
      <c r="J42" s="667"/>
      <c r="K42" s="667"/>
      <c r="L42" s="667"/>
      <c r="M42" s="667"/>
      <c r="N42" s="667"/>
      <c r="O42" s="667"/>
      <c r="P42" s="667"/>
      <c r="Q42" s="667"/>
      <c r="R42" s="667"/>
    </row>
    <row r="43" spans="2:20" s="901" customFormat="1" x14ac:dyDescent="0.3">
      <c r="B43" s="901" t="s">
        <v>552</v>
      </c>
      <c r="C43" s="902" t="e">
        <f>C20+C17</f>
        <v>#REF!</v>
      </c>
      <c r="D43" s="902" t="e">
        <f>D20+D17</f>
        <v>#REF!</v>
      </c>
      <c r="E43" s="903" t="e">
        <f>D43/C43</f>
        <v>#REF!</v>
      </c>
      <c r="F43" s="902" t="e">
        <f>F20+F17</f>
        <v>#REF!</v>
      </c>
      <c r="G43" s="902" t="e">
        <f t="shared" ref="G43:R43" si="8">G20+G17</f>
        <v>#REF!</v>
      </c>
      <c r="H43" s="902">
        <f t="shared" si="8"/>
        <v>0</v>
      </c>
      <c r="I43" s="902" t="e">
        <f t="shared" si="8"/>
        <v>#REF!</v>
      </c>
      <c r="J43" s="902">
        <f t="shared" si="8"/>
        <v>0</v>
      </c>
      <c r="K43" s="902">
        <f t="shared" si="8"/>
        <v>0</v>
      </c>
      <c r="L43" s="902">
        <f t="shared" si="8"/>
        <v>0</v>
      </c>
      <c r="M43" s="902">
        <f t="shared" si="8"/>
        <v>0</v>
      </c>
      <c r="N43" s="902">
        <f t="shared" si="8"/>
        <v>0</v>
      </c>
      <c r="O43" s="902">
        <f t="shared" si="8"/>
        <v>3832.2677838818404</v>
      </c>
      <c r="P43" s="902" t="e">
        <f t="shared" si="8"/>
        <v>#REF!</v>
      </c>
      <c r="Q43" s="902" t="e">
        <f t="shared" si="8"/>
        <v>#REF!</v>
      </c>
      <c r="R43" s="902">
        <f t="shared" si="8"/>
        <v>0</v>
      </c>
    </row>
    <row r="44" spans="2:20" s="901" customFormat="1" x14ac:dyDescent="0.3">
      <c r="C44" s="902"/>
      <c r="D44" s="902"/>
      <c r="E44" s="903"/>
      <c r="F44" s="902"/>
      <c r="G44" s="902"/>
      <c r="H44" s="902"/>
      <c r="I44" s="902"/>
      <c r="J44" s="902"/>
      <c r="K44" s="902"/>
      <c r="L44" s="902"/>
      <c r="M44" s="902"/>
      <c r="N44" s="902"/>
      <c r="O44" s="902"/>
      <c r="P44" s="902"/>
      <c r="Q44" s="902"/>
      <c r="R44" s="902"/>
    </row>
    <row r="45" spans="2:20" s="904" customFormat="1" x14ac:dyDescent="0.3">
      <c r="B45" s="904" t="s">
        <v>553</v>
      </c>
      <c r="C45" s="905" t="e">
        <f>C25+C24</f>
        <v>#REF!</v>
      </c>
      <c r="D45" s="905" t="e">
        <f>D25+D24</f>
        <v>#REF!</v>
      </c>
      <c r="E45" s="906" t="e">
        <f>D45/C45</f>
        <v>#REF!</v>
      </c>
      <c r="F45" s="905">
        <f>F25+F24</f>
        <v>0</v>
      </c>
      <c r="G45" s="905">
        <f t="shared" ref="G45:R45" si="9">G25+G24</f>
        <v>11.7</v>
      </c>
      <c r="H45" s="905">
        <f t="shared" si="9"/>
        <v>0</v>
      </c>
      <c r="I45" s="905">
        <f t="shared" si="9"/>
        <v>1080.6623852982998</v>
      </c>
      <c r="J45" s="905">
        <f t="shared" si="9"/>
        <v>0</v>
      </c>
      <c r="K45" s="905">
        <f t="shared" si="9"/>
        <v>0</v>
      </c>
      <c r="L45" s="905">
        <f t="shared" si="9"/>
        <v>0</v>
      </c>
      <c r="M45" s="905">
        <f t="shared" si="9"/>
        <v>1089.7440096718851</v>
      </c>
      <c r="N45" s="905">
        <f t="shared" si="9"/>
        <v>10722.531345289826</v>
      </c>
      <c r="O45" s="905">
        <f t="shared" si="9"/>
        <v>16993.196793586441</v>
      </c>
      <c r="P45" s="905" t="e">
        <f t="shared" si="9"/>
        <v>#REF!</v>
      </c>
      <c r="Q45" s="905" t="e">
        <f t="shared" si="9"/>
        <v>#REF!</v>
      </c>
      <c r="R45" s="905">
        <f t="shared" si="9"/>
        <v>0</v>
      </c>
    </row>
    <row r="46" spans="2:20" s="904" customFormat="1" x14ac:dyDescent="0.3">
      <c r="C46" s="905"/>
      <c r="D46" s="905"/>
      <c r="E46" s="906"/>
      <c r="F46" s="905"/>
      <c r="G46" s="905"/>
      <c r="H46" s="905"/>
      <c r="I46" s="905"/>
      <c r="J46" s="905"/>
      <c r="K46" s="905"/>
      <c r="L46" s="905"/>
      <c r="M46" s="905"/>
      <c r="N46" s="905"/>
      <c r="O46" s="905"/>
      <c r="P46" s="905"/>
      <c r="Q46" s="905"/>
      <c r="R46" s="905"/>
    </row>
    <row r="47" spans="2:20" s="909" customFormat="1" x14ac:dyDescent="0.3">
      <c r="B47" s="791" t="s">
        <v>510</v>
      </c>
      <c r="C47" s="907" t="e">
        <f>C4*$K$131</f>
        <v>#REF!</v>
      </c>
      <c r="D47" s="907" t="e">
        <f>H131</f>
        <v>#REF!</v>
      </c>
      <c r="E47" s="908" t="e">
        <f>D47/C47</f>
        <v>#REF!</v>
      </c>
      <c r="F47" s="907"/>
      <c r="G47" s="907"/>
      <c r="H47" s="907" t="e">
        <f>'Gestion final Araba 2018'!I65+'Gestion final Bizkaia 2018'!I68+'Gestion final Gipuzkoa 2018'!I66</f>
        <v>#REF!</v>
      </c>
      <c r="I47" s="907" t="e">
        <f>'Gestion final Araba 2018'!K65</f>
        <v>#REF!</v>
      </c>
      <c r="J47" s="907">
        <f>'Gestion final Bizkaia 2018'!O68</f>
        <v>0</v>
      </c>
      <c r="K47" s="907">
        <f>'Gestion final Araba 2018'!M65</f>
        <v>0</v>
      </c>
      <c r="L47" s="907">
        <f>'Gestion final Araba 2018'!O65+'Gestion final Bizkaia 2018'!S68</f>
        <v>0</v>
      </c>
      <c r="M47" s="907"/>
      <c r="N47" s="907"/>
      <c r="O47" s="907">
        <f>'Gestion final Bizkaia 2018'!W68</f>
        <v>4757.9327473229605</v>
      </c>
      <c r="P47" s="907" t="e">
        <f>'Gestion final Araba 2018'!Q65+'Gestion final Bizkaia 2018'!M68+'Gestion final Gipuzkoa 2018'!M66</f>
        <v>#REF!</v>
      </c>
      <c r="Q47" s="907" t="e">
        <f>'Gestion final Araba 2018'!S65+'Gestion final Bizkaia 2018'!Y68+'Gestion final Gipuzkoa 2018'!O66</f>
        <v>#REF!</v>
      </c>
      <c r="R47" s="907" t="e">
        <f>'Gestion final Araba 2018'!U65+'Gestion final Bizkaia 2018'!AA68+'Gestion final Gipuzkoa 2018'!Q66</f>
        <v>#REF!</v>
      </c>
      <c r="S47" s="667" t="e">
        <f>SUM(F47:R47)</f>
        <v>#REF!</v>
      </c>
    </row>
    <row r="48" spans="2:20" s="904" customFormat="1" x14ac:dyDescent="0.3">
      <c r="C48" s="905"/>
      <c r="D48" s="905"/>
      <c r="E48" s="906"/>
      <c r="F48" s="905"/>
      <c r="G48" s="905"/>
      <c r="H48" s="905"/>
      <c r="I48" s="905"/>
      <c r="J48" s="905"/>
      <c r="K48" s="905"/>
      <c r="L48" s="905"/>
      <c r="M48" s="905"/>
      <c r="N48" s="905"/>
      <c r="O48" s="905"/>
      <c r="P48" s="905"/>
      <c r="Q48" s="905"/>
      <c r="R48" s="905"/>
      <c r="S48" s="664"/>
    </row>
    <row r="49" spans="2:23" s="912" customFormat="1" ht="27.6" x14ac:dyDescent="0.3">
      <c r="B49" s="799" t="s">
        <v>511</v>
      </c>
      <c r="C49" s="910" t="e">
        <f>C4*$K$132</f>
        <v>#REF!</v>
      </c>
      <c r="D49" s="910" t="e">
        <f>H132</f>
        <v>#REF!</v>
      </c>
      <c r="E49" s="911" t="e">
        <f>D49/C49</f>
        <v>#REF!</v>
      </c>
      <c r="F49" s="910"/>
      <c r="G49" s="910"/>
      <c r="H49" s="910" t="e">
        <f>'Gestion final Araba 2018'!I67+'Gestion final Bizkaia 2018'!I70+'Gestion final Gipuzkoa 2018'!I68</f>
        <v>#REF!</v>
      </c>
      <c r="I49" s="910">
        <f>'Gestion final Araba 2018'!K67</f>
        <v>0</v>
      </c>
      <c r="J49" s="910">
        <f>'Gestion final Bizkaia 2018'!O70</f>
        <v>21063.793831074687</v>
      </c>
      <c r="K49" s="910" t="e">
        <f>'Gestion final Araba 2018'!M67</f>
        <v>#REF!</v>
      </c>
      <c r="L49" s="910" t="e">
        <f>'Gestion final Araba 2018'!O67+'Gestion final Bizkaia 2018'!S70</f>
        <v>#REF!</v>
      </c>
      <c r="M49" s="910"/>
      <c r="N49" s="910"/>
      <c r="O49" s="910">
        <f>'Gestion final Bizkaia 2018'!W70</f>
        <v>54328.524576310941</v>
      </c>
      <c r="P49" s="910" t="e">
        <f>'Gestion final Araba 2018'!Q67+'Gestion final Bizkaia 2018'!M70+'Gestion final Gipuzkoa 2018'!M68</f>
        <v>#REF!</v>
      </c>
      <c r="Q49" s="910" t="e">
        <f>'Gestion final Araba 2018'!S67+'Gestion final Bizkaia 2018'!Y70+'Gestion final Gipuzkoa 2018'!O68</f>
        <v>#REF!</v>
      </c>
      <c r="R49" s="910" t="e">
        <f>'Gestion final Araba 2018'!U67+'Gestion final Bizkaia 2018'!AA70+'Gestion final Gipuzkoa 2018'!Q68</f>
        <v>#REF!</v>
      </c>
      <c r="S49" s="667" t="e">
        <f>SUM(F49:R49)</f>
        <v>#REF!</v>
      </c>
    </row>
    <row r="50" spans="2:23" s="904" customFormat="1" x14ac:dyDescent="0.3">
      <c r="C50" s="667" t="e">
        <f>SUM(C47:C49)</f>
        <v>#REF!</v>
      </c>
      <c r="D50" s="667" t="e">
        <f>SUM(D47:D49)</f>
        <v>#REF!</v>
      </c>
      <c r="E50" s="906"/>
      <c r="F50" s="905"/>
      <c r="G50" s="905"/>
      <c r="H50" s="667" t="e">
        <f>SUM(H47:H49)</f>
        <v>#REF!</v>
      </c>
      <c r="I50" s="667" t="e">
        <f t="shared" ref="I50:S50" si="10">SUM(I47:I49)</f>
        <v>#REF!</v>
      </c>
      <c r="J50" s="667">
        <f t="shared" si="10"/>
        <v>21063.793831074687</v>
      </c>
      <c r="K50" s="667" t="e">
        <f t="shared" si="10"/>
        <v>#REF!</v>
      </c>
      <c r="L50" s="667" t="e">
        <f t="shared" si="10"/>
        <v>#REF!</v>
      </c>
      <c r="M50" s="667"/>
      <c r="N50" s="667"/>
      <c r="O50" s="667">
        <f t="shared" si="10"/>
        <v>59086.457323633906</v>
      </c>
      <c r="P50" s="667" t="e">
        <f t="shared" si="10"/>
        <v>#REF!</v>
      </c>
      <c r="Q50" s="667" t="e">
        <f t="shared" si="10"/>
        <v>#REF!</v>
      </c>
      <c r="R50" s="667" t="e">
        <f t="shared" si="10"/>
        <v>#REF!</v>
      </c>
      <c r="S50" s="667" t="e">
        <f t="shared" si="10"/>
        <v>#REF!</v>
      </c>
    </row>
    <row r="51" spans="2:23" x14ac:dyDescent="0.3">
      <c r="G51" s="25"/>
    </row>
    <row r="52" spans="2:23" ht="14.1" customHeight="1" x14ac:dyDescent="0.3">
      <c r="B52" s="3858" t="s">
        <v>336</v>
      </c>
      <c r="C52" s="3858" t="s">
        <v>468</v>
      </c>
      <c r="D52" s="3858" t="s">
        <v>15</v>
      </c>
      <c r="E52" s="3859" t="s">
        <v>469</v>
      </c>
      <c r="F52" s="3860" t="s">
        <v>512</v>
      </c>
      <c r="G52" s="3861"/>
      <c r="H52" s="3861"/>
      <c r="I52" s="3861"/>
      <c r="J52" s="3861"/>
      <c r="K52" s="3861"/>
      <c r="L52" s="3861"/>
      <c r="M52" s="3861"/>
      <c r="N52" s="3861"/>
      <c r="O52" s="3861"/>
      <c r="P52" s="3861"/>
      <c r="Q52" s="3861"/>
      <c r="R52" s="3862"/>
    </row>
    <row r="53" spans="2:23" ht="69" x14ac:dyDescent="0.3">
      <c r="B53" s="3858"/>
      <c r="C53" s="3858"/>
      <c r="D53" s="3858"/>
      <c r="E53" s="3859"/>
      <c r="F53" s="847" t="s">
        <v>494</v>
      </c>
      <c r="G53" s="847" t="s">
        <v>495</v>
      </c>
      <c r="H53" s="847" t="s">
        <v>496</v>
      </c>
      <c r="I53" s="847" t="s">
        <v>525</v>
      </c>
      <c r="J53" s="847" t="s">
        <v>554</v>
      </c>
      <c r="K53" s="847" t="s">
        <v>499</v>
      </c>
      <c r="L53" s="847" t="s">
        <v>501</v>
      </c>
      <c r="M53" s="847" t="s">
        <v>555</v>
      </c>
      <c r="N53" s="847" t="s">
        <v>556</v>
      </c>
      <c r="O53" s="847" t="s">
        <v>535</v>
      </c>
      <c r="P53" s="847" t="s">
        <v>503</v>
      </c>
      <c r="Q53" s="847" t="s">
        <v>505</v>
      </c>
      <c r="R53" s="847" t="s">
        <v>507</v>
      </c>
      <c r="W53" s="2" t="s">
        <v>557</v>
      </c>
    </row>
    <row r="54" spans="2:23" x14ac:dyDescent="0.3">
      <c r="B54" s="848" t="s">
        <v>5</v>
      </c>
      <c r="C54" s="849" t="e">
        <f>C4</f>
        <v>#REF!</v>
      </c>
      <c r="D54" s="849" t="e">
        <f>D4</f>
        <v>#REF!</v>
      </c>
      <c r="E54" s="867" t="e">
        <f>E4</f>
        <v>#REF!</v>
      </c>
      <c r="F54" s="867" t="e">
        <f t="shared" ref="F54:F76" si="11">F4/C4</f>
        <v>#REF!</v>
      </c>
      <c r="G54" s="867" t="e">
        <f t="shared" ref="G54:G76" si="12">G4/C4</f>
        <v>#REF!</v>
      </c>
      <c r="H54" s="867" t="e">
        <f t="shared" ref="H54:H76" si="13">H4/C4</f>
        <v>#REF!</v>
      </c>
      <c r="I54" s="867" t="e">
        <f t="shared" ref="I54:I76" si="14">I4/C4</f>
        <v>#REF!</v>
      </c>
      <c r="J54" s="867" t="e">
        <f t="shared" ref="J54:J76" si="15">J4/C4</f>
        <v>#REF!</v>
      </c>
      <c r="K54" s="867" t="e">
        <f t="shared" ref="K54:K76" si="16">K4/C4</f>
        <v>#REF!</v>
      </c>
      <c r="L54" s="867" t="e">
        <f t="shared" ref="L54:L76" si="17">L4/C4</f>
        <v>#REF!</v>
      </c>
      <c r="M54" s="867" t="e">
        <f t="shared" ref="M54:M76" si="18">M4/C4</f>
        <v>#REF!</v>
      </c>
      <c r="N54" s="867" t="e">
        <f t="shared" ref="N54:N76" si="19">N4/C4</f>
        <v>#REF!</v>
      </c>
      <c r="O54" s="867" t="e">
        <f t="shared" ref="O54:O76" si="20">O4/C4</f>
        <v>#REF!</v>
      </c>
      <c r="P54" s="867" t="e">
        <f t="shared" ref="P54:P76" si="21">P4/C4</f>
        <v>#REF!</v>
      </c>
      <c r="Q54" s="867" t="e">
        <f t="shared" ref="Q54:Q75" si="22">Q4/C4</f>
        <v>#REF!</v>
      </c>
      <c r="R54" s="867" t="e">
        <f>R4/C4</f>
        <v>#REF!</v>
      </c>
      <c r="S54" s="17" t="e">
        <f t="shared" ref="S54:S76" si="23">SUM(F54:R54)</f>
        <v>#REF!</v>
      </c>
      <c r="W54" s="24" t="e">
        <f>N54+Q54</f>
        <v>#REF!</v>
      </c>
    </row>
    <row r="55" spans="2:23" x14ac:dyDescent="0.3">
      <c r="B55" s="848" t="s">
        <v>8</v>
      </c>
      <c r="C55" s="849" t="e">
        <f t="shared" ref="C55:E70" si="24">C5</f>
        <v>#REF!</v>
      </c>
      <c r="D55" s="849" t="e">
        <f t="shared" si="24"/>
        <v>#REF!</v>
      </c>
      <c r="E55" s="867" t="e">
        <f t="shared" si="24"/>
        <v>#REF!</v>
      </c>
      <c r="F55" s="867" t="e">
        <f t="shared" si="11"/>
        <v>#REF!</v>
      </c>
      <c r="G55" s="867" t="e">
        <f t="shared" si="12"/>
        <v>#REF!</v>
      </c>
      <c r="H55" s="867" t="e">
        <f t="shared" si="13"/>
        <v>#REF!</v>
      </c>
      <c r="I55" s="867" t="e">
        <f t="shared" si="14"/>
        <v>#REF!</v>
      </c>
      <c r="J55" s="867" t="e">
        <f t="shared" si="15"/>
        <v>#REF!</v>
      </c>
      <c r="K55" s="867" t="e">
        <f t="shared" si="16"/>
        <v>#REF!</v>
      </c>
      <c r="L55" s="867" t="e">
        <f t="shared" si="17"/>
        <v>#REF!</v>
      </c>
      <c r="M55" s="867" t="e">
        <f t="shared" si="18"/>
        <v>#REF!</v>
      </c>
      <c r="N55" s="867" t="e">
        <f t="shared" si="19"/>
        <v>#REF!</v>
      </c>
      <c r="O55" s="867" t="e">
        <f t="shared" si="20"/>
        <v>#REF!</v>
      </c>
      <c r="P55" s="867" t="e">
        <f t="shared" si="21"/>
        <v>#REF!</v>
      </c>
      <c r="Q55" s="867" t="e">
        <f>Q5/C5</f>
        <v>#REF!</v>
      </c>
      <c r="R55" s="867" t="e">
        <f t="shared" ref="R55:R75" si="25">R5/C5</f>
        <v>#REF!</v>
      </c>
      <c r="S55" s="17" t="e">
        <f t="shared" si="23"/>
        <v>#REF!</v>
      </c>
      <c r="W55" s="24" t="e">
        <f>N55+Q55</f>
        <v>#REF!</v>
      </c>
    </row>
    <row r="56" spans="2:23" x14ac:dyDescent="0.3">
      <c r="B56" s="848" t="s">
        <v>304</v>
      </c>
      <c r="C56" s="849" t="e">
        <f t="shared" si="24"/>
        <v>#REF!</v>
      </c>
      <c r="D56" s="849" t="e">
        <f t="shared" si="24"/>
        <v>#REF!</v>
      </c>
      <c r="E56" s="867" t="e">
        <f t="shared" si="24"/>
        <v>#REF!</v>
      </c>
      <c r="F56" s="867" t="e">
        <f t="shared" si="11"/>
        <v>#REF!</v>
      </c>
      <c r="G56" s="867" t="e">
        <f t="shared" si="12"/>
        <v>#REF!</v>
      </c>
      <c r="H56" s="867" t="e">
        <f t="shared" si="13"/>
        <v>#REF!</v>
      </c>
      <c r="I56" s="867" t="e">
        <f t="shared" si="14"/>
        <v>#REF!</v>
      </c>
      <c r="J56" s="867" t="e">
        <f t="shared" si="15"/>
        <v>#REF!</v>
      </c>
      <c r="K56" s="867" t="e">
        <f t="shared" si="16"/>
        <v>#REF!</v>
      </c>
      <c r="L56" s="867" t="e">
        <f t="shared" si="17"/>
        <v>#REF!</v>
      </c>
      <c r="M56" s="867" t="e">
        <f t="shared" si="18"/>
        <v>#REF!</v>
      </c>
      <c r="N56" s="867" t="e">
        <f t="shared" si="19"/>
        <v>#REF!</v>
      </c>
      <c r="O56" s="867" t="e">
        <f t="shared" si="20"/>
        <v>#REF!</v>
      </c>
      <c r="P56" s="867" t="e">
        <f t="shared" si="21"/>
        <v>#REF!</v>
      </c>
      <c r="Q56" s="867" t="e">
        <f t="shared" si="22"/>
        <v>#REF!</v>
      </c>
      <c r="R56" s="867" t="e">
        <f t="shared" si="25"/>
        <v>#REF!</v>
      </c>
      <c r="S56" s="17" t="e">
        <f t="shared" si="23"/>
        <v>#REF!</v>
      </c>
    </row>
    <row r="57" spans="2:23" x14ac:dyDescent="0.3">
      <c r="B57" s="848" t="s">
        <v>14</v>
      </c>
      <c r="C57" s="849" t="e">
        <f t="shared" si="24"/>
        <v>#REF!</v>
      </c>
      <c r="D57" s="849" t="e">
        <f t="shared" si="24"/>
        <v>#REF!</v>
      </c>
      <c r="E57" s="867" t="e">
        <f t="shared" si="24"/>
        <v>#REF!</v>
      </c>
      <c r="F57" s="867" t="e">
        <f t="shared" si="11"/>
        <v>#REF!</v>
      </c>
      <c r="G57" s="867" t="e">
        <f t="shared" si="12"/>
        <v>#REF!</v>
      </c>
      <c r="H57" s="867" t="e">
        <f t="shared" si="13"/>
        <v>#REF!</v>
      </c>
      <c r="I57" s="867" t="e">
        <f t="shared" si="14"/>
        <v>#REF!</v>
      </c>
      <c r="J57" s="867" t="e">
        <f t="shared" si="15"/>
        <v>#REF!</v>
      </c>
      <c r="K57" s="867" t="e">
        <f t="shared" si="16"/>
        <v>#REF!</v>
      </c>
      <c r="L57" s="867" t="e">
        <f t="shared" si="17"/>
        <v>#REF!</v>
      </c>
      <c r="M57" s="867" t="e">
        <f t="shared" si="18"/>
        <v>#REF!</v>
      </c>
      <c r="N57" s="867" t="e">
        <f t="shared" si="19"/>
        <v>#REF!</v>
      </c>
      <c r="O57" s="867" t="e">
        <f t="shared" si="20"/>
        <v>#REF!</v>
      </c>
      <c r="P57" s="867" t="e">
        <f t="shared" si="21"/>
        <v>#REF!</v>
      </c>
      <c r="Q57" s="867" t="e">
        <f t="shared" si="22"/>
        <v>#REF!</v>
      </c>
      <c r="R57" s="867" t="e">
        <f t="shared" si="25"/>
        <v>#REF!</v>
      </c>
      <c r="S57" s="17" t="e">
        <f t="shared" si="23"/>
        <v>#REF!</v>
      </c>
    </row>
    <row r="58" spans="2:23" x14ac:dyDescent="0.3">
      <c r="B58" s="848" t="s">
        <v>17</v>
      </c>
      <c r="C58" s="849" t="e">
        <f t="shared" si="24"/>
        <v>#REF!</v>
      </c>
      <c r="D58" s="849" t="e">
        <f t="shared" si="24"/>
        <v>#REF!</v>
      </c>
      <c r="E58" s="867" t="e">
        <f t="shared" si="24"/>
        <v>#REF!</v>
      </c>
      <c r="F58" s="867" t="e">
        <f t="shared" si="11"/>
        <v>#REF!</v>
      </c>
      <c r="G58" s="867" t="e">
        <f t="shared" si="12"/>
        <v>#REF!</v>
      </c>
      <c r="H58" s="867" t="e">
        <f t="shared" si="13"/>
        <v>#REF!</v>
      </c>
      <c r="I58" s="867" t="e">
        <f t="shared" si="14"/>
        <v>#REF!</v>
      </c>
      <c r="J58" s="867" t="e">
        <f t="shared" si="15"/>
        <v>#REF!</v>
      </c>
      <c r="K58" s="867" t="e">
        <f t="shared" si="16"/>
        <v>#REF!</v>
      </c>
      <c r="L58" s="867" t="e">
        <f t="shared" si="17"/>
        <v>#REF!</v>
      </c>
      <c r="M58" s="867" t="e">
        <f t="shared" si="18"/>
        <v>#REF!</v>
      </c>
      <c r="N58" s="867" t="e">
        <f t="shared" si="19"/>
        <v>#REF!</v>
      </c>
      <c r="O58" s="867" t="e">
        <f t="shared" si="20"/>
        <v>#REF!</v>
      </c>
      <c r="P58" s="867" t="e">
        <f t="shared" si="21"/>
        <v>#REF!</v>
      </c>
      <c r="Q58" s="867" t="e">
        <f t="shared" si="22"/>
        <v>#REF!</v>
      </c>
      <c r="R58" s="867" t="e">
        <f t="shared" si="25"/>
        <v>#REF!</v>
      </c>
      <c r="S58" s="17" t="e">
        <f t="shared" si="23"/>
        <v>#REF!</v>
      </c>
    </row>
    <row r="59" spans="2:23" x14ac:dyDescent="0.3">
      <c r="B59" s="848" t="s">
        <v>16</v>
      </c>
      <c r="C59" s="849" t="e">
        <f t="shared" si="24"/>
        <v>#REF!</v>
      </c>
      <c r="D59" s="849" t="e">
        <f t="shared" si="24"/>
        <v>#REF!</v>
      </c>
      <c r="E59" s="867" t="e">
        <f t="shared" si="24"/>
        <v>#REF!</v>
      </c>
      <c r="F59" s="867" t="e">
        <f t="shared" si="11"/>
        <v>#REF!</v>
      </c>
      <c r="G59" s="867" t="e">
        <f t="shared" si="12"/>
        <v>#REF!</v>
      </c>
      <c r="H59" s="867" t="e">
        <f t="shared" si="13"/>
        <v>#REF!</v>
      </c>
      <c r="I59" s="867" t="e">
        <f t="shared" si="14"/>
        <v>#REF!</v>
      </c>
      <c r="J59" s="867" t="e">
        <f t="shared" si="15"/>
        <v>#REF!</v>
      </c>
      <c r="K59" s="867" t="e">
        <f t="shared" si="16"/>
        <v>#REF!</v>
      </c>
      <c r="L59" s="867" t="e">
        <f t="shared" si="17"/>
        <v>#REF!</v>
      </c>
      <c r="M59" s="867" t="e">
        <f t="shared" si="18"/>
        <v>#REF!</v>
      </c>
      <c r="N59" s="867" t="e">
        <f t="shared" si="19"/>
        <v>#REF!</v>
      </c>
      <c r="O59" s="867" t="e">
        <f t="shared" si="20"/>
        <v>#REF!</v>
      </c>
      <c r="P59" s="867" t="e">
        <f t="shared" si="21"/>
        <v>#REF!</v>
      </c>
      <c r="Q59" s="867" t="e">
        <f t="shared" si="22"/>
        <v>#REF!</v>
      </c>
      <c r="R59" s="867" t="e">
        <f t="shared" si="25"/>
        <v>#REF!</v>
      </c>
      <c r="S59" s="17" t="e">
        <f t="shared" si="23"/>
        <v>#REF!</v>
      </c>
    </row>
    <row r="60" spans="2:23" x14ac:dyDescent="0.3">
      <c r="B60" s="848" t="s">
        <v>308</v>
      </c>
      <c r="C60" s="849" t="e">
        <f t="shared" si="24"/>
        <v>#REF!</v>
      </c>
      <c r="D60" s="849" t="e">
        <f t="shared" si="24"/>
        <v>#REF!</v>
      </c>
      <c r="E60" s="867" t="e">
        <f t="shared" si="24"/>
        <v>#REF!</v>
      </c>
      <c r="F60" s="867" t="e">
        <f t="shared" si="11"/>
        <v>#REF!</v>
      </c>
      <c r="G60" s="867" t="e">
        <f t="shared" si="12"/>
        <v>#REF!</v>
      </c>
      <c r="H60" s="867" t="e">
        <f t="shared" si="13"/>
        <v>#REF!</v>
      </c>
      <c r="I60" s="867" t="e">
        <f t="shared" si="14"/>
        <v>#REF!</v>
      </c>
      <c r="J60" s="867" t="e">
        <f t="shared" si="15"/>
        <v>#REF!</v>
      </c>
      <c r="K60" s="867" t="e">
        <f t="shared" si="16"/>
        <v>#REF!</v>
      </c>
      <c r="L60" s="867" t="e">
        <f t="shared" si="17"/>
        <v>#REF!</v>
      </c>
      <c r="M60" s="867" t="e">
        <f t="shared" si="18"/>
        <v>#REF!</v>
      </c>
      <c r="N60" s="867" t="e">
        <f t="shared" si="19"/>
        <v>#REF!</v>
      </c>
      <c r="O60" s="867" t="e">
        <f t="shared" si="20"/>
        <v>#REF!</v>
      </c>
      <c r="P60" s="867" t="e">
        <f t="shared" si="21"/>
        <v>#REF!</v>
      </c>
      <c r="Q60" s="867" t="e">
        <f t="shared" si="22"/>
        <v>#REF!</v>
      </c>
      <c r="R60" s="867" t="e">
        <f t="shared" si="25"/>
        <v>#REF!</v>
      </c>
      <c r="S60" s="17" t="e">
        <f t="shared" si="23"/>
        <v>#REF!</v>
      </c>
    </row>
    <row r="61" spans="2:23" x14ac:dyDescent="0.3">
      <c r="B61" s="848" t="s">
        <v>44</v>
      </c>
      <c r="C61" s="849" t="e">
        <f t="shared" si="24"/>
        <v>#REF!</v>
      </c>
      <c r="D61" s="849" t="e">
        <f t="shared" si="24"/>
        <v>#REF!</v>
      </c>
      <c r="E61" s="867" t="e">
        <f t="shared" si="24"/>
        <v>#REF!</v>
      </c>
      <c r="F61" s="867" t="e">
        <f t="shared" si="11"/>
        <v>#REF!</v>
      </c>
      <c r="G61" s="867" t="e">
        <f t="shared" si="12"/>
        <v>#REF!</v>
      </c>
      <c r="H61" s="867" t="e">
        <f t="shared" si="13"/>
        <v>#REF!</v>
      </c>
      <c r="I61" s="867" t="e">
        <f t="shared" si="14"/>
        <v>#REF!</v>
      </c>
      <c r="J61" s="867" t="e">
        <f t="shared" si="15"/>
        <v>#REF!</v>
      </c>
      <c r="K61" s="867" t="e">
        <f t="shared" si="16"/>
        <v>#REF!</v>
      </c>
      <c r="L61" s="867" t="e">
        <f t="shared" si="17"/>
        <v>#REF!</v>
      </c>
      <c r="M61" s="867" t="e">
        <f t="shared" si="18"/>
        <v>#REF!</v>
      </c>
      <c r="N61" s="867" t="e">
        <f t="shared" si="19"/>
        <v>#REF!</v>
      </c>
      <c r="O61" s="867" t="e">
        <f t="shared" si="20"/>
        <v>#REF!</v>
      </c>
      <c r="P61" s="867" t="e">
        <f t="shared" si="21"/>
        <v>#REF!</v>
      </c>
      <c r="Q61" s="867" t="e">
        <f t="shared" si="22"/>
        <v>#REF!</v>
      </c>
      <c r="R61" s="867" t="e">
        <f t="shared" si="25"/>
        <v>#REF!</v>
      </c>
      <c r="S61" s="17" t="e">
        <f t="shared" si="23"/>
        <v>#REF!</v>
      </c>
    </row>
    <row r="62" spans="2:23" x14ac:dyDescent="0.3">
      <c r="B62" s="848" t="s">
        <v>326</v>
      </c>
      <c r="C62" s="849" t="e">
        <f t="shared" si="24"/>
        <v>#REF!</v>
      </c>
      <c r="D62" s="849" t="e">
        <f t="shared" si="24"/>
        <v>#REF!</v>
      </c>
      <c r="E62" s="867" t="e">
        <f t="shared" si="24"/>
        <v>#REF!</v>
      </c>
      <c r="F62" s="867" t="e">
        <f t="shared" si="11"/>
        <v>#REF!</v>
      </c>
      <c r="G62" s="867" t="e">
        <f t="shared" si="12"/>
        <v>#REF!</v>
      </c>
      <c r="H62" s="867" t="e">
        <f t="shared" si="13"/>
        <v>#REF!</v>
      </c>
      <c r="I62" s="867" t="e">
        <f t="shared" si="14"/>
        <v>#REF!</v>
      </c>
      <c r="J62" s="867" t="e">
        <f t="shared" si="15"/>
        <v>#REF!</v>
      </c>
      <c r="K62" s="867" t="e">
        <f t="shared" si="16"/>
        <v>#REF!</v>
      </c>
      <c r="L62" s="867" t="e">
        <f t="shared" si="17"/>
        <v>#REF!</v>
      </c>
      <c r="M62" s="867" t="e">
        <f t="shared" si="18"/>
        <v>#REF!</v>
      </c>
      <c r="N62" s="867" t="e">
        <f t="shared" si="19"/>
        <v>#REF!</v>
      </c>
      <c r="O62" s="867" t="e">
        <f t="shared" si="20"/>
        <v>#REF!</v>
      </c>
      <c r="P62" s="867" t="e">
        <f t="shared" si="21"/>
        <v>#REF!</v>
      </c>
      <c r="Q62" s="867" t="e">
        <f t="shared" si="22"/>
        <v>#REF!</v>
      </c>
      <c r="R62" s="867" t="e">
        <f t="shared" si="25"/>
        <v>#REF!</v>
      </c>
      <c r="S62" s="17" t="e">
        <f t="shared" si="23"/>
        <v>#REF!</v>
      </c>
    </row>
    <row r="63" spans="2:23" x14ac:dyDescent="0.3">
      <c r="B63" s="848" t="s">
        <v>25</v>
      </c>
      <c r="C63" s="849" t="e">
        <f t="shared" si="24"/>
        <v>#REF!</v>
      </c>
      <c r="D63" s="849" t="e">
        <f t="shared" si="24"/>
        <v>#REF!</v>
      </c>
      <c r="E63" s="867" t="e">
        <f t="shared" si="24"/>
        <v>#REF!</v>
      </c>
      <c r="F63" s="867" t="e">
        <f t="shared" si="11"/>
        <v>#REF!</v>
      </c>
      <c r="G63" s="867" t="e">
        <f t="shared" si="12"/>
        <v>#REF!</v>
      </c>
      <c r="H63" s="867" t="e">
        <f t="shared" si="13"/>
        <v>#REF!</v>
      </c>
      <c r="I63" s="867" t="e">
        <f t="shared" si="14"/>
        <v>#REF!</v>
      </c>
      <c r="J63" s="867" t="e">
        <f t="shared" si="15"/>
        <v>#REF!</v>
      </c>
      <c r="K63" s="867" t="e">
        <f t="shared" si="16"/>
        <v>#REF!</v>
      </c>
      <c r="L63" s="867" t="e">
        <f t="shared" si="17"/>
        <v>#REF!</v>
      </c>
      <c r="M63" s="867" t="e">
        <f t="shared" si="18"/>
        <v>#REF!</v>
      </c>
      <c r="N63" s="867" t="e">
        <f t="shared" si="19"/>
        <v>#REF!</v>
      </c>
      <c r="O63" s="867" t="e">
        <f t="shared" si="20"/>
        <v>#REF!</v>
      </c>
      <c r="P63" s="867" t="e">
        <f t="shared" si="21"/>
        <v>#REF!</v>
      </c>
      <c r="Q63" s="867" t="e">
        <f t="shared" si="22"/>
        <v>#REF!</v>
      </c>
      <c r="R63" s="867" t="e">
        <f t="shared" si="25"/>
        <v>#REF!</v>
      </c>
      <c r="S63" s="17" t="e">
        <f t="shared" si="23"/>
        <v>#REF!</v>
      </c>
      <c r="W63" s="24" t="e">
        <f>N63+Q63</f>
        <v>#REF!</v>
      </c>
    </row>
    <row r="64" spans="2:23" x14ac:dyDescent="0.3">
      <c r="B64" s="848" t="s">
        <v>29</v>
      </c>
      <c r="C64" s="849" t="e">
        <f t="shared" si="24"/>
        <v>#REF!</v>
      </c>
      <c r="D64" s="849" t="e">
        <f t="shared" si="24"/>
        <v>#REF!</v>
      </c>
      <c r="E64" s="867" t="e">
        <f t="shared" si="24"/>
        <v>#REF!</v>
      </c>
      <c r="F64" s="867" t="e">
        <f t="shared" si="11"/>
        <v>#REF!</v>
      </c>
      <c r="G64" s="867" t="e">
        <f t="shared" si="12"/>
        <v>#REF!</v>
      </c>
      <c r="H64" s="867" t="e">
        <f t="shared" si="13"/>
        <v>#REF!</v>
      </c>
      <c r="I64" s="867" t="e">
        <f t="shared" si="14"/>
        <v>#REF!</v>
      </c>
      <c r="J64" s="867" t="e">
        <f t="shared" si="15"/>
        <v>#REF!</v>
      </c>
      <c r="K64" s="867" t="e">
        <f t="shared" si="16"/>
        <v>#REF!</v>
      </c>
      <c r="L64" s="867" t="e">
        <f t="shared" si="17"/>
        <v>#REF!</v>
      </c>
      <c r="M64" s="867" t="e">
        <f t="shared" si="18"/>
        <v>#REF!</v>
      </c>
      <c r="N64" s="867" t="e">
        <f t="shared" si="19"/>
        <v>#REF!</v>
      </c>
      <c r="O64" s="867" t="e">
        <f t="shared" si="20"/>
        <v>#REF!</v>
      </c>
      <c r="P64" s="867" t="e">
        <f t="shared" si="21"/>
        <v>#REF!</v>
      </c>
      <c r="Q64" s="867" t="e">
        <f t="shared" si="22"/>
        <v>#REF!</v>
      </c>
      <c r="R64" s="867" t="e">
        <f t="shared" si="25"/>
        <v>#REF!</v>
      </c>
      <c r="S64" s="17" t="e">
        <f t="shared" si="23"/>
        <v>#REF!</v>
      </c>
      <c r="T64" s="24" t="e">
        <f>O64+M64+I64</f>
        <v>#REF!</v>
      </c>
      <c r="U64" s="24" t="e">
        <f>Q64+P64+N64</f>
        <v>#REF!</v>
      </c>
      <c r="W64" s="24" t="e">
        <f>N64+Q64</f>
        <v>#REF!</v>
      </c>
    </row>
    <row r="65" spans="2:20" x14ac:dyDescent="0.3">
      <c r="B65" s="848" t="s">
        <v>60</v>
      </c>
      <c r="C65" s="849" t="e">
        <f t="shared" si="24"/>
        <v>#REF!</v>
      </c>
      <c r="D65" s="849" t="e">
        <f t="shared" si="24"/>
        <v>#REF!</v>
      </c>
      <c r="E65" s="867" t="e">
        <f t="shared" si="24"/>
        <v>#REF!</v>
      </c>
      <c r="F65" s="867" t="e">
        <f t="shared" si="11"/>
        <v>#REF!</v>
      </c>
      <c r="G65" s="867" t="e">
        <f t="shared" si="12"/>
        <v>#REF!</v>
      </c>
      <c r="H65" s="867" t="e">
        <f t="shared" si="13"/>
        <v>#REF!</v>
      </c>
      <c r="I65" s="867" t="e">
        <f t="shared" si="14"/>
        <v>#REF!</v>
      </c>
      <c r="J65" s="867" t="e">
        <f t="shared" si="15"/>
        <v>#REF!</v>
      </c>
      <c r="K65" s="867" t="e">
        <f t="shared" si="16"/>
        <v>#REF!</v>
      </c>
      <c r="L65" s="867" t="e">
        <f t="shared" si="17"/>
        <v>#REF!</v>
      </c>
      <c r="M65" s="867" t="e">
        <f t="shared" si="18"/>
        <v>#REF!</v>
      </c>
      <c r="N65" s="867" t="e">
        <f t="shared" si="19"/>
        <v>#REF!</v>
      </c>
      <c r="O65" s="867" t="e">
        <f t="shared" si="20"/>
        <v>#REF!</v>
      </c>
      <c r="P65" s="867" t="e">
        <f t="shared" si="21"/>
        <v>#REF!</v>
      </c>
      <c r="Q65" s="867" t="e">
        <f t="shared" si="22"/>
        <v>#REF!</v>
      </c>
      <c r="R65" s="867" t="e">
        <f t="shared" si="25"/>
        <v>#REF!</v>
      </c>
      <c r="S65" s="17" t="e">
        <f t="shared" si="23"/>
        <v>#REF!</v>
      </c>
    </row>
    <row r="66" spans="2:20" x14ac:dyDescent="0.3">
      <c r="B66" s="848" t="s">
        <v>33</v>
      </c>
      <c r="C66" s="849" t="e">
        <f t="shared" si="24"/>
        <v>#REF!</v>
      </c>
      <c r="D66" s="849" t="e">
        <f t="shared" si="24"/>
        <v>#REF!</v>
      </c>
      <c r="E66" s="867" t="e">
        <f t="shared" si="24"/>
        <v>#REF!</v>
      </c>
      <c r="F66" s="867" t="e">
        <f t="shared" si="11"/>
        <v>#REF!</v>
      </c>
      <c r="G66" s="867" t="e">
        <f t="shared" si="12"/>
        <v>#REF!</v>
      </c>
      <c r="H66" s="867" t="e">
        <f t="shared" si="13"/>
        <v>#REF!</v>
      </c>
      <c r="I66" s="867" t="e">
        <f t="shared" si="14"/>
        <v>#REF!</v>
      </c>
      <c r="J66" s="867" t="e">
        <f t="shared" si="15"/>
        <v>#REF!</v>
      </c>
      <c r="K66" s="867" t="e">
        <f t="shared" si="16"/>
        <v>#REF!</v>
      </c>
      <c r="L66" s="867" t="e">
        <f t="shared" si="17"/>
        <v>#REF!</v>
      </c>
      <c r="M66" s="867" t="e">
        <f t="shared" si="18"/>
        <v>#REF!</v>
      </c>
      <c r="N66" s="867" t="e">
        <f t="shared" si="19"/>
        <v>#REF!</v>
      </c>
      <c r="O66" s="867" t="e">
        <f t="shared" si="20"/>
        <v>#REF!</v>
      </c>
      <c r="P66" s="867" t="e">
        <f t="shared" si="21"/>
        <v>#REF!</v>
      </c>
      <c r="Q66" s="867" t="e">
        <f t="shared" si="22"/>
        <v>#REF!</v>
      </c>
      <c r="R66" s="867" t="e">
        <f t="shared" si="25"/>
        <v>#REF!</v>
      </c>
      <c r="S66" s="17" t="e">
        <f t="shared" si="23"/>
        <v>#REF!</v>
      </c>
    </row>
    <row r="67" spans="2:20" x14ac:dyDescent="0.3">
      <c r="B67" s="848" t="s">
        <v>66</v>
      </c>
      <c r="C67" s="849" t="e">
        <f t="shared" si="24"/>
        <v>#REF!</v>
      </c>
      <c r="D67" s="849" t="e">
        <f t="shared" si="24"/>
        <v>#REF!</v>
      </c>
      <c r="E67" s="867" t="e">
        <f t="shared" si="24"/>
        <v>#REF!</v>
      </c>
      <c r="F67" s="867" t="e">
        <f t="shared" si="11"/>
        <v>#REF!</v>
      </c>
      <c r="G67" s="867" t="e">
        <f t="shared" si="12"/>
        <v>#REF!</v>
      </c>
      <c r="H67" s="867" t="e">
        <f t="shared" si="13"/>
        <v>#REF!</v>
      </c>
      <c r="I67" s="867" t="e">
        <f t="shared" si="14"/>
        <v>#REF!</v>
      </c>
      <c r="J67" s="867" t="e">
        <f t="shared" si="15"/>
        <v>#REF!</v>
      </c>
      <c r="K67" s="867" t="e">
        <f t="shared" si="16"/>
        <v>#REF!</v>
      </c>
      <c r="L67" s="867" t="e">
        <f t="shared" si="17"/>
        <v>#REF!</v>
      </c>
      <c r="M67" s="867" t="e">
        <f t="shared" si="18"/>
        <v>#REF!</v>
      </c>
      <c r="N67" s="867" t="e">
        <f t="shared" si="19"/>
        <v>#REF!</v>
      </c>
      <c r="O67" s="867" t="e">
        <f t="shared" si="20"/>
        <v>#REF!</v>
      </c>
      <c r="P67" s="867" t="e">
        <f t="shared" si="21"/>
        <v>#REF!</v>
      </c>
      <c r="Q67" s="867" t="e">
        <f t="shared" si="22"/>
        <v>#REF!</v>
      </c>
      <c r="R67" s="867" t="e">
        <f t="shared" si="25"/>
        <v>#REF!</v>
      </c>
      <c r="S67" s="17" t="e">
        <f t="shared" si="23"/>
        <v>#REF!</v>
      </c>
    </row>
    <row r="68" spans="2:20" x14ac:dyDescent="0.3">
      <c r="B68" s="848" t="s">
        <v>73</v>
      </c>
      <c r="C68" s="849" t="e">
        <f t="shared" si="24"/>
        <v>#REF!</v>
      </c>
      <c r="D68" s="849" t="e">
        <f t="shared" si="24"/>
        <v>#REF!</v>
      </c>
      <c r="E68" s="867" t="e">
        <f t="shared" si="24"/>
        <v>#REF!</v>
      </c>
      <c r="F68" s="867" t="e">
        <f t="shared" si="11"/>
        <v>#REF!</v>
      </c>
      <c r="G68" s="867" t="e">
        <f t="shared" si="12"/>
        <v>#REF!</v>
      </c>
      <c r="H68" s="867" t="e">
        <f t="shared" si="13"/>
        <v>#REF!</v>
      </c>
      <c r="I68" s="867" t="e">
        <f t="shared" si="14"/>
        <v>#REF!</v>
      </c>
      <c r="J68" s="867" t="e">
        <f t="shared" si="15"/>
        <v>#REF!</v>
      </c>
      <c r="K68" s="867" t="e">
        <f t="shared" si="16"/>
        <v>#REF!</v>
      </c>
      <c r="L68" s="867" t="e">
        <f t="shared" si="17"/>
        <v>#REF!</v>
      </c>
      <c r="M68" s="867" t="e">
        <f t="shared" si="18"/>
        <v>#REF!</v>
      </c>
      <c r="N68" s="867" t="e">
        <f t="shared" si="19"/>
        <v>#REF!</v>
      </c>
      <c r="O68" s="867" t="e">
        <f t="shared" si="20"/>
        <v>#REF!</v>
      </c>
      <c r="P68" s="867" t="e">
        <f t="shared" si="21"/>
        <v>#REF!</v>
      </c>
      <c r="Q68" s="867" t="e">
        <f t="shared" si="22"/>
        <v>#REF!</v>
      </c>
      <c r="R68" s="867" t="e">
        <f t="shared" si="25"/>
        <v>#REF!</v>
      </c>
      <c r="S68" s="17" t="e">
        <f t="shared" si="23"/>
        <v>#REF!</v>
      </c>
    </row>
    <row r="69" spans="2:20" x14ac:dyDescent="0.3">
      <c r="B69" s="848" t="s">
        <v>74</v>
      </c>
      <c r="C69" s="849" t="e">
        <f t="shared" si="24"/>
        <v>#REF!</v>
      </c>
      <c r="D69" s="849" t="e">
        <f t="shared" si="24"/>
        <v>#REF!</v>
      </c>
      <c r="E69" s="867" t="e">
        <f t="shared" si="24"/>
        <v>#REF!</v>
      </c>
      <c r="F69" s="867" t="e">
        <f t="shared" si="11"/>
        <v>#REF!</v>
      </c>
      <c r="G69" s="867" t="e">
        <f t="shared" si="12"/>
        <v>#REF!</v>
      </c>
      <c r="H69" s="867" t="e">
        <f t="shared" si="13"/>
        <v>#REF!</v>
      </c>
      <c r="I69" s="867" t="e">
        <f t="shared" si="14"/>
        <v>#REF!</v>
      </c>
      <c r="J69" s="867" t="e">
        <f t="shared" si="15"/>
        <v>#REF!</v>
      </c>
      <c r="K69" s="867" t="e">
        <f t="shared" si="16"/>
        <v>#REF!</v>
      </c>
      <c r="L69" s="867" t="e">
        <f t="shared" si="17"/>
        <v>#REF!</v>
      </c>
      <c r="M69" s="867" t="e">
        <f t="shared" si="18"/>
        <v>#REF!</v>
      </c>
      <c r="N69" s="867" t="e">
        <f t="shared" si="19"/>
        <v>#REF!</v>
      </c>
      <c r="O69" s="867" t="e">
        <f t="shared" si="20"/>
        <v>#REF!</v>
      </c>
      <c r="P69" s="867" t="e">
        <f t="shared" si="21"/>
        <v>#REF!</v>
      </c>
      <c r="Q69" s="867" t="e">
        <f t="shared" si="22"/>
        <v>#REF!</v>
      </c>
      <c r="R69" s="867" t="e">
        <f t="shared" si="25"/>
        <v>#REF!</v>
      </c>
      <c r="S69" s="17" t="e">
        <f t="shared" si="23"/>
        <v>#REF!</v>
      </c>
    </row>
    <row r="70" spans="2:20" x14ac:dyDescent="0.3">
      <c r="B70" s="848" t="s">
        <v>327</v>
      </c>
      <c r="C70" s="849" t="e">
        <f t="shared" si="24"/>
        <v>#REF!</v>
      </c>
      <c r="D70" s="849" t="e">
        <f t="shared" si="24"/>
        <v>#REF!</v>
      </c>
      <c r="E70" s="867" t="e">
        <f t="shared" si="24"/>
        <v>#REF!</v>
      </c>
      <c r="F70" s="867" t="e">
        <f t="shared" si="11"/>
        <v>#REF!</v>
      </c>
      <c r="G70" s="867" t="e">
        <f t="shared" si="12"/>
        <v>#REF!</v>
      </c>
      <c r="H70" s="867" t="e">
        <f t="shared" si="13"/>
        <v>#REF!</v>
      </c>
      <c r="I70" s="867" t="e">
        <f t="shared" si="14"/>
        <v>#REF!</v>
      </c>
      <c r="J70" s="867" t="e">
        <f t="shared" si="15"/>
        <v>#REF!</v>
      </c>
      <c r="K70" s="867" t="e">
        <f t="shared" si="16"/>
        <v>#REF!</v>
      </c>
      <c r="L70" s="867" t="e">
        <f t="shared" si="17"/>
        <v>#REF!</v>
      </c>
      <c r="M70" s="867" t="e">
        <f t="shared" si="18"/>
        <v>#REF!</v>
      </c>
      <c r="N70" s="867" t="e">
        <f t="shared" si="19"/>
        <v>#REF!</v>
      </c>
      <c r="O70" s="867" t="e">
        <f t="shared" si="20"/>
        <v>#REF!</v>
      </c>
      <c r="P70" s="867" t="e">
        <f t="shared" si="21"/>
        <v>#REF!</v>
      </c>
      <c r="Q70" s="867" t="e">
        <f t="shared" si="22"/>
        <v>#REF!</v>
      </c>
      <c r="R70" s="867" t="e">
        <f t="shared" si="25"/>
        <v>#REF!</v>
      </c>
      <c r="S70" s="17" t="e">
        <f t="shared" si="23"/>
        <v>#REF!</v>
      </c>
    </row>
    <row r="71" spans="2:20" x14ac:dyDescent="0.3">
      <c r="B71" s="848" t="s">
        <v>1</v>
      </c>
      <c r="C71" s="849" t="e">
        <f t="shared" ref="C71:E76" si="26">C21</f>
        <v>#REF!</v>
      </c>
      <c r="D71" s="849" t="e">
        <f t="shared" si="26"/>
        <v>#REF!</v>
      </c>
      <c r="E71" s="867" t="e">
        <f t="shared" si="26"/>
        <v>#REF!</v>
      </c>
      <c r="F71" s="867" t="e">
        <f t="shared" si="11"/>
        <v>#REF!</v>
      </c>
      <c r="G71" s="867" t="e">
        <f t="shared" si="12"/>
        <v>#REF!</v>
      </c>
      <c r="H71" s="867" t="e">
        <f t="shared" si="13"/>
        <v>#REF!</v>
      </c>
      <c r="I71" s="867" t="e">
        <f t="shared" si="14"/>
        <v>#REF!</v>
      </c>
      <c r="J71" s="867" t="e">
        <f t="shared" si="15"/>
        <v>#REF!</v>
      </c>
      <c r="K71" s="867" t="e">
        <f t="shared" si="16"/>
        <v>#REF!</v>
      </c>
      <c r="L71" s="867" t="e">
        <f t="shared" si="17"/>
        <v>#REF!</v>
      </c>
      <c r="M71" s="867" t="e">
        <f t="shared" si="18"/>
        <v>#REF!</v>
      </c>
      <c r="N71" s="867" t="e">
        <f t="shared" si="19"/>
        <v>#REF!</v>
      </c>
      <c r="O71" s="867" t="e">
        <f t="shared" si="20"/>
        <v>#REF!</v>
      </c>
      <c r="P71" s="867" t="e">
        <f t="shared" si="21"/>
        <v>#REF!</v>
      </c>
      <c r="Q71" s="867" t="e">
        <f t="shared" si="22"/>
        <v>#REF!</v>
      </c>
      <c r="R71" s="867" t="e">
        <f t="shared" si="25"/>
        <v>#REF!</v>
      </c>
      <c r="S71" s="17" t="e">
        <f t="shared" si="23"/>
        <v>#REF!</v>
      </c>
    </row>
    <row r="72" spans="2:20" x14ac:dyDescent="0.3">
      <c r="B72" s="848" t="s">
        <v>76</v>
      </c>
      <c r="C72" s="849" t="e">
        <f t="shared" si="26"/>
        <v>#REF!</v>
      </c>
      <c r="D72" s="849" t="e">
        <f t="shared" si="26"/>
        <v>#REF!</v>
      </c>
      <c r="E72" s="867" t="e">
        <f t="shared" si="26"/>
        <v>#REF!</v>
      </c>
      <c r="F72" s="867" t="e">
        <f t="shared" si="11"/>
        <v>#REF!</v>
      </c>
      <c r="G72" s="867" t="e">
        <f t="shared" si="12"/>
        <v>#REF!</v>
      </c>
      <c r="H72" s="867" t="e">
        <f t="shared" si="13"/>
        <v>#REF!</v>
      </c>
      <c r="I72" s="867" t="e">
        <f t="shared" si="14"/>
        <v>#REF!</v>
      </c>
      <c r="J72" s="867" t="e">
        <f t="shared" si="15"/>
        <v>#REF!</v>
      </c>
      <c r="K72" s="867" t="e">
        <f t="shared" si="16"/>
        <v>#REF!</v>
      </c>
      <c r="L72" s="867" t="e">
        <f t="shared" si="17"/>
        <v>#REF!</v>
      </c>
      <c r="M72" s="867" t="e">
        <f t="shared" si="18"/>
        <v>#REF!</v>
      </c>
      <c r="N72" s="867" t="e">
        <f t="shared" si="19"/>
        <v>#REF!</v>
      </c>
      <c r="O72" s="867" t="e">
        <f t="shared" si="20"/>
        <v>#REF!</v>
      </c>
      <c r="P72" s="867" t="e">
        <f t="shared" si="21"/>
        <v>#REF!</v>
      </c>
      <c r="Q72" s="867" t="e">
        <f t="shared" si="22"/>
        <v>#REF!</v>
      </c>
      <c r="R72" s="867" t="e">
        <f t="shared" si="25"/>
        <v>#REF!</v>
      </c>
      <c r="S72" s="17" t="e">
        <f t="shared" si="23"/>
        <v>#REF!</v>
      </c>
    </row>
    <row r="73" spans="2:20" x14ac:dyDescent="0.3">
      <c r="B73" s="848" t="s">
        <v>39</v>
      </c>
      <c r="C73" s="849" t="e">
        <f t="shared" si="26"/>
        <v>#REF!</v>
      </c>
      <c r="D73" s="849" t="e">
        <f t="shared" si="26"/>
        <v>#REF!</v>
      </c>
      <c r="E73" s="867" t="e">
        <f t="shared" si="26"/>
        <v>#REF!</v>
      </c>
      <c r="F73" s="867" t="e">
        <f t="shared" si="11"/>
        <v>#REF!</v>
      </c>
      <c r="G73" s="867" t="e">
        <f t="shared" si="12"/>
        <v>#REF!</v>
      </c>
      <c r="H73" s="867" t="e">
        <f t="shared" si="13"/>
        <v>#REF!</v>
      </c>
      <c r="I73" s="867" t="e">
        <f t="shared" si="14"/>
        <v>#REF!</v>
      </c>
      <c r="J73" s="867" t="e">
        <f t="shared" si="15"/>
        <v>#REF!</v>
      </c>
      <c r="K73" s="867" t="e">
        <f t="shared" si="16"/>
        <v>#REF!</v>
      </c>
      <c r="L73" s="867" t="e">
        <f t="shared" si="17"/>
        <v>#REF!</v>
      </c>
      <c r="M73" s="867" t="e">
        <f t="shared" si="18"/>
        <v>#REF!</v>
      </c>
      <c r="N73" s="867" t="e">
        <f t="shared" si="19"/>
        <v>#REF!</v>
      </c>
      <c r="O73" s="867" t="e">
        <f t="shared" si="20"/>
        <v>#REF!</v>
      </c>
      <c r="P73" s="867" t="e">
        <f t="shared" si="21"/>
        <v>#REF!</v>
      </c>
      <c r="Q73" s="867" t="e">
        <f t="shared" si="22"/>
        <v>#REF!</v>
      </c>
      <c r="R73" s="867" t="e">
        <f t="shared" si="25"/>
        <v>#REF!</v>
      </c>
      <c r="S73" s="17" t="e">
        <f t="shared" si="23"/>
        <v>#REF!</v>
      </c>
      <c r="T73" s="24" t="e">
        <f>P73+Q73</f>
        <v>#REF!</v>
      </c>
    </row>
    <row r="74" spans="2:20" x14ac:dyDescent="0.3">
      <c r="B74" s="848" t="s">
        <v>95</v>
      </c>
      <c r="C74" s="849" t="e">
        <f t="shared" si="26"/>
        <v>#REF!</v>
      </c>
      <c r="D74" s="849" t="e">
        <f t="shared" si="26"/>
        <v>#REF!</v>
      </c>
      <c r="E74" s="867" t="e">
        <f t="shared" si="26"/>
        <v>#REF!</v>
      </c>
      <c r="F74" s="867" t="e">
        <f t="shared" si="11"/>
        <v>#REF!</v>
      </c>
      <c r="G74" s="867" t="e">
        <f t="shared" si="12"/>
        <v>#REF!</v>
      </c>
      <c r="H74" s="867" t="e">
        <f t="shared" si="13"/>
        <v>#REF!</v>
      </c>
      <c r="I74" s="867" t="e">
        <f t="shared" si="14"/>
        <v>#REF!</v>
      </c>
      <c r="J74" s="867" t="e">
        <f t="shared" si="15"/>
        <v>#REF!</v>
      </c>
      <c r="K74" s="867" t="e">
        <f t="shared" si="16"/>
        <v>#REF!</v>
      </c>
      <c r="L74" s="867" t="e">
        <f t="shared" si="17"/>
        <v>#REF!</v>
      </c>
      <c r="M74" s="867" t="e">
        <f t="shared" si="18"/>
        <v>#REF!</v>
      </c>
      <c r="N74" s="867" t="e">
        <f t="shared" si="19"/>
        <v>#REF!</v>
      </c>
      <c r="O74" s="867" t="e">
        <f t="shared" si="20"/>
        <v>#REF!</v>
      </c>
      <c r="P74" s="867" t="e">
        <f t="shared" si="21"/>
        <v>#REF!</v>
      </c>
      <c r="Q74" s="867" t="e">
        <f t="shared" si="22"/>
        <v>#REF!</v>
      </c>
      <c r="R74" s="867" t="e">
        <f t="shared" si="25"/>
        <v>#REF!</v>
      </c>
      <c r="S74" s="17" t="e">
        <f t="shared" si="23"/>
        <v>#REF!</v>
      </c>
    </row>
    <row r="75" spans="2:20" x14ac:dyDescent="0.3">
      <c r="B75" s="848" t="s">
        <v>119</v>
      </c>
      <c r="C75" s="849" t="e">
        <f t="shared" si="26"/>
        <v>#REF!</v>
      </c>
      <c r="D75" s="849">
        <f t="shared" si="26"/>
        <v>0</v>
      </c>
      <c r="E75" s="867" t="e">
        <f t="shared" si="26"/>
        <v>#REF!</v>
      </c>
      <c r="F75" s="867" t="e">
        <f t="shared" si="11"/>
        <v>#REF!</v>
      </c>
      <c r="G75" s="867" t="e">
        <f t="shared" si="12"/>
        <v>#REF!</v>
      </c>
      <c r="H75" s="867" t="e">
        <f t="shared" si="13"/>
        <v>#REF!</v>
      </c>
      <c r="I75" s="867" t="e">
        <f t="shared" si="14"/>
        <v>#REF!</v>
      </c>
      <c r="J75" s="867" t="e">
        <f t="shared" si="15"/>
        <v>#REF!</v>
      </c>
      <c r="K75" s="867" t="e">
        <f t="shared" si="16"/>
        <v>#REF!</v>
      </c>
      <c r="L75" s="867" t="e">
        <f t="shared" si="17"/>
        <v>#REF!</v>
      </c>
      <c r="M75" s="867" t="e">
        <f t="shared" si="18"/>
        <v>#REF!</v>
      </c>
      <c r="N75" s="867" t="e">
        <f t="shared" si="19"/>
        <v>#REF!</v>
      </c>
      <c r="O75" s="867" t="e">
        <f t="shared" si="20"/>
        <v>#REF!</v>
      </c>
      <c r="P75" s="867" t="e">
        <f t="shared" si="21"/>
        <v>#REF!</v>
      </c>
      <c r="Q75" s="867" t="e">
        <f t="shared" si="22"/>
        <v>#REF!</v>
      </c>
      <c r="R75" s="867" t="e">
        <f t="shared" si="25"/>
        <v>#REF!</v>
      </c>
      <c r="S75" s="17" t="e">
        <f t="shared" si="23"/>
        <v>#REF!</v>
      </c>
    </row>
    <row r="76" spans="2:20" x14ac:dyDescent="0.3">
      <c r="B76" s="891" t="s">
        <v>427</v>
      </c>
      <c r="C76" s="892" t="e">
        <f t="shared" si="26"/>
        <v>#REF!</v>
      </c>
      <c r="D76" s="892" t="e">
        <f>D26</f>
        <v>#REF!</v>
      </c>
      <c r="E76" s="893" t="e">
        <f>D76/C76</f>
        <v>#REF!</v>
      </c>
      <c r="F76" s="893" t="e">
        <f t="shared" si="11"/>
        <v>#REF!</v>
      </c>
      <c r="G76" s="893" t="e">
        <f t="shared" si="12"/>
        <v>#REF!</v>
      </c>
      <c r="H76" s="893" t="e">
        <f t="shared" si="13"/>
        <v>#REF!</v>
      </c>
      <c r="I76" s="893" t="e">
        <f t="shared" si="14"/>
        <v>#REF!</v>
      </c>
      <c r="J76" s="893" t="e">
        <f t="shared" si="15"/>
        <v>#REF!</v>
      </c>
      <c r="K76" s="893" t="e">
        <f t="shared" si="16"/>
        <v>#REF!</v>
      </c>
      <c r="L76" s="893" t="e">
        <f t="shared" si="17"/>
        <v>#REF!</v>
      </c>
      <c r="M76" s="893" t="e">
        <f t="shared" si="18"/>
        <v>#REF!</v>
      </c>
      <c r="N76" s="893" t="e">
        <f t="shared" si="19"/>
        <v>#REF!</v>
      </c>
      <c r="O76" s="893" t="e">
        <f t="shared" si="20"/>
        <v>#REF!</v>
      </c>
      <c r="P76" s="893" t="e">
        <f t="shared" si="21"/>
        <v>#REF!</v>
      </c>
      <c r="Q76" s="893" t="e">
        <f>Q26/C26</f>
        <v>#REF!</v>
      </c>
      <c r="R76" s="893" t="e">
        <f>R26/C26</f>
        <v>#REF!</v>
      </c>
      <c r="S76" s="17" t="e">
        <f t="shared" si="23"/>
        <v>#REF!</v>
      </c>
    </row>
    <row r="77" spans="2:20" x14ac:dyDescent="0.3">
      <c r="B77" s="44" t="s">
        <v>545</v>
      </c>
      <c r="C77" s="894">
        <v>1152697.4026795542</v>
      </c>
      <c r="D77" s="894">
        <v>541934.96257062512</v>
      </c>
      <c r="E77" s="895">
        <v>0.47014503659923762</v>
      </c>
      <c r="F77" s="895">
        <v>1.5565129242248326E-2</v>
      </c>
      <c r="G77" s="895">
        <v>0.34450991057453251</v>
      </c>
      <c r="H77" s="895">
        <v>5.0661900191420139E-2</v>
      </c>
      <c r="I77" s="895">
        <v>3.8167429907608262E-2</v>
      </c>
      <c r="J77" s="895">
        <v>3.4476484910049829E-2</v>
      </c>
      <c r="K77" s="895">
        <v>1.4068736106009639E-2</v>
      </c>
      <c r="L77" s="895">
        <v>6.8621085395690401E-3</v>
      </c>
      <c r="M77" s="895">
        <v>7.8015013221136003E-3</v>
      </c>
      <c r="N77" s="895">
        <v>4.6695734479331015E-2</v>
      </c>
      <c r="O77" s="895">
        <v>0.12671000915539019</v>
      </c>
      <c r="P77" s="895">
        <v>0.10003467548929798</v>
      </c>
      <c r="Q77" s="895">
        <v>0.16385979296504552</v>
      </c>
      <c r="R77" s="895">
        <v>4.6680996319861161E-2</v>
      </c>
    </row>
    <row r="78" spans="2:20" s="24" customFormat="1" x14ac:dyDescent="0.3">
      <c r="B78" s="663" t="s">
        <v>546</v>
      </c>
      <c r="C78" s="895" t="e">
        <f t="shared" ref="C78:H78" si="27">(C76-C77)/C77</f>
        <v>#REF!</v>
      </c>
      <c r="D78" s="895" t="e">
        <f t="shared" si="27"/>
        <v>#REF!</v>
      </c>
      <c r="E78" s="895" t="e">
        <f t="shared" si="27"/>
        <v>#REF!</v>
      </c>
      <c r="F78" s="895" t="e">
        <f t="shared" si="27"/>
        <v>#REF!</v>
      </c>
      <c r="G78" s="895" t="e">
        <f t="shared" si="27"/>
        <v>#REF!</v>
      </c>
      <c r="H78" s="895" t="e">
        <f t="shared" si="27"/>
        <v>#REF!</v>
      </c>
      <c r="I78" s="895"/>
      <c r="J78" s="895"/>
      <c r="K78" s="895"/>
      <c r="L78" s="895"/>
      <c r="M78" s="895"/>
      <c r="N78" s="895"/>
      <c r="O78" s="895"/>
      <c r="P78" s="895"/>
      <c r="Q78" s="895"/>
      <c r="R78" s="895" t="s">
        <v>48</v>
      </c>
    </row>
    <row r="79" spans="2:20" x14ac:dyDescent="0.3">
      <c r="B79" s="44" t="s">
        <v>428</v>
      </c>
      <c r="C79" s="894" t="e">
        <f>C76-C73</f>
        <v>#REF!</v>
      </c>
      <c r="D79" s="894" t="e">
        <f>D76-D73</f>
        <v>#REF!</v>
      </c>
      <c r="E79" s="895" t="e">
        <f>D79/C79</f>
        <v>#REF!</v>
      </c>
      <c r="F79" s="895" t="e">
        <f>F29/$C$29</f>
        <v>#REF!</v>
      </c>
      <c r="G79" s="895" t="e">
        <f>G29/$C$29</f>
        <v>#REF!</v>
      </c>
      <c r="H79" s="895" t="e">
        <f>H29/$C$29</f>
        <v>#REF!</v>
      </c>
      <c r="I79" s="895" t="e">
        <f>I29/$C$29</f>
        <v>#REF!</v>
      </c>
      <c r="J79" s="895" t="e">
        <f t="shared" ref="J79:R79" si="28">J29/$C$29</f>
        <v>#REF!</v>
      </c>
      <c r="K79" s="895" t="e">
        <f t="shared" si="28"/>
        <v>#REF!</v>
      </c>
      <c r="L79" s="895" t="e">
        <f t="shared" si="28"/>
        <v>#REF!</v>
      </c>
      <c r="M79" s="895" t="e">
        <f t="shared" si="28"/>
        <v>#REF!</v>
      </c>
      <c r="N79" s="895" t="e">
        <f t="shared" si="28"/>
        <v>#REF!</v>
      </c>
      <c r="O79" s="895" t="e">
        <f t="shared" si="28"/>
        <v>#REF!</v>
      </c>
      <c r="P79" s="895" t="e">
        <f t="shared" si="28"/>
        <v>#REF!</v>
      </c>
      <c r="Q79" s="895" t="e">
        <f t="shared" si="28"/>
        <v>#REF!</v>
      </c>
      <c r="R79" s="895" t="e">
        <f t="shared" si="28"/>
        <v>#REF!</v>
      </c>
    </row>
    <row r="80" spans="2:20" x14ac:dyDescent="0.3">
      <c r="B80" s="44" t="s">
        <v>547</v>
      </c>
      <c r="C80" s="894">
        <v>1033219.2586205077</v>
      </c>
      <c r="D80" s="894">
        <v>429926.97756808641</v>
      </c>
      <c r="E80" s="913">
        <v>0.41610430117427266</v>
      </c>
      <c r="F80" s="895">
        <v>1.7365030607217048E-2</v>
      </c>
      <c r="G80" s="895">
        <v>0.29625612875752255</v>
      </c>
      <c r="H80" s="895">
        <v>5.6520279000054734E-2</v>
      </c>
      <c r="I80" s="895">
        <v>4.1993225890294875E-2</v>
      </c>
      <c r="J80" s="895">
        <v>3.8463234475899166E-2</v>
      </c>
      <c r="K80" s="895">
        <v>1.5695599392943307E-2</v>
      </c>
      <c r="L80" s="895">
        <v>7.6556206482516513E-3</v>
      </c>
      <c r="M80" s="895">
        <v>8.7036417836501255E-3</v>
      </c>
      <c r="N80" s="895">
        <v>5.2095478671588327E-2</v>
      </c>
      <c r="O80" s="895">
        <v>0.14136234611221732</v>
      </c>
      <c r="P80" s="895">
        <v>8.9523096210256864E-2</v>
      </c>
      <c r="Q80" s="895">
        <v>0.17795815155158476</v>
      </c>
      <c r="R80" s="895">
        <v>5.2079036238871911E-2</v>
      </c>
    </row>
    <row r="81" spans="2:19" s="24" customFormat="1" x14ac:dyDescent="0.3">
      <c r="B81" s="663" t="s">
        <v>548</v>
      </c>
      <c r="C81" s="895" t="e">
        <f t="shared" ref="C81:H81" si="29">(C79-C80)/C80</f>
        <v>#REF!</v>
      </c>
      <c r="D81" s="895" t="e">
        <f t="shared" si="29"/>
        <v>#REF!</v>
      </c>
      <c r="E81" s="895" t="e">
        <f t="shared" si="29"/>
        <v>#REF!</v>
      </c>
      <c r="F81" s="895" t="e">
        <f t="shared" si="29"/>
        <v>#REF!</v>
      </c>
      <c r="G81" s="895" t="e">
        <f t="shared" si="29"/>
        <v>#REF!</v>
      </c>
      <c r="H81" s="895" t="e">
        <f t="shared" si="29"/>
        <v>#REF!</v>
      </c>
      <c r="I81" s="895"/>
      <c r="J81" s="895"/>
      <c r="K81" s="895"/>
      <c r="L81" s="895"/>
      <c r="M81" s="895"/>
      <c r="N81" s="895"/>
      <c r="O81" s="895"/>
      <c r="P81" s="895"/>
      <c r="Q81" s="895"/>
      <c r="R81" s="895" t="s">
        <v>48</v>
      </c>
    </row>
    <row r="83" spans="2:19" s="897" customFormat="1" x14ac:dyDescent="0.3">
      <c r="B83" s="897" t="s">
        <v>551</v>
      </c>
      <c r="C83" s="898" t="e">
        <f>C60+C65</f>
        <v>#REF!</v>
      </c>
      <c r="D83" s="898" t="e">
        <f>D60+D65</f>
        <v>#REF!</v>
      </c>
      <c r="E83" s="899" t="e">
        <f>D83/C83</f>
        <v>#REF!</v>
      </c>
      <c r="F83" s="899" t="e">
        <f>F40/$C$40</f>
        <v>#REF!</v>
      </c>
      <c r="G83" s="899" t="e">
        <f t="shared" ref="G83:R83" si="30">G40/$C$40</f>
        <v>#REF!</v>
      </c>
      <c r="H83" s="899" t="e">
        <f t="shared" si="30"/>
        <v>#REF!</v>
      </c>
      <c r="I83" s="899" t="e">
        <f t="shared" si="30"/>
        <v>#REF!</v>
      </c>
      <c r="J83" s="899" t="e">
        <f t="shared" si="30"/>
        <v>#REF!</v>
      </c>
      <c r="K83" s="899" t="e">
        <f t="shared" si="30"/>
        <v>#REF!</v>
      </c>
      <c r="L83" s="899" t="e">
        <f t="shared" si="30"/>
        <v>#REF!</v>
      </c>
      <c r="M83" s="899" t="e">
        <f t="shared" si="30"/>
        <v>#REF!</v>
      </c>
      <c r="N83" s="899" t="e">
        <f t="shared" si="30"/>
        <v>#REF!</v>
      </c>
      <c r="O83" s="899" t="e">
        <f t="shared" si="30"/>
        <v>#REF!</v>
      </c>
      <c r="P83" s="899" t="e">
        <f t="shared" si="30"/>
        <v>#REF!</v>
      </c>
      <c r="Q83" s="899" t="e">
        <f t="shared" si="30"/>
        <v>#REF!</v>
      </c>
      <c r="R83" s="899" t="e">
        <f t="shared" si="30"/>
        <v>#REF!</v>
      </c>
      <c r="S83" s="914" t="e">
        <f t="shared" ref="S83:S91" si="31">SUM(F83:R83)</f>
        <v>#REF!</v>
      </c>
    </row>
    <row r="84" spans="2:19" s="664" customFormat="1" x14ac:dyDescent="0.3">
      <c r="B84" s="664" t="s">
        <v>29</v>
      </c>
      <c r="E84" s="915" t="e">
        <f>SUM(G84:Q84)</f>
        <v>#REF!</v>
      </c>
      <c r="G84" s="915" t="e">
        <f>G64</f>
        <v>#REF!</v>
      </c>
      <c r="I84" s="915" t="e">
        <f>I64+M64+O64</f>
        <v>#REF!</v>
      </c>
      <c r="P84" s="915" t="e">
        <f>N64+P64+Q64</f>
        <v>#REF!</v>
      </c>
      <c r="S84" s="916"/>
    </row>
    <row r="85" spans="2:19" s="901" customFormat="1" x14ac:dyDescent="0.3">
      <c r="B85" s="901" t="s">
        <v>552</v>
      </c>
      <c r="C85" s="902" t="e">
        <f>C70+C67</f>
        <v>#REF!</v>
      </c>
      <c r="D85" s="902" t="e">
        <f>D70+D67</f>
        <v>#REF!</v>
      </c>
      <c r="E85" s="903" t="e">
        <f>D85/C85</f>
        <v>#REF!</v>
      </c>
      <c r="F85" s="903" t="e">
        <f>F43/$C$43</f>
        <v>#REF!</v>
      </c>
      <c r="G85" s="903" t="e">
        <f t="shared" ref="G85:R85" si="32">G43/$C$43</f>
        <v>#REF!</v>
      </c>
      <c r="H85" s="903" t="e">
        <f t="shared" si="32"/>
        <v>#REF!</v>
      </c>
      <c r="I85" s="903" t="e">
        <f t="shared" si="32"/>
        <v>#REF!</v>
      </c>
      <c r="J85" s="903" t="e">
        <f t="shared" si="32"/>
        <v>#REF!</v>
      </c>
      <c r="K85" s="903" t="e">
        <f t="shared" si="32"/>
        <v>#REF!</v>
      </c>
      <c r="L85" s="903" t="e">
        <f t="shared" si="32"/>
        <v>#REF!</v>
      </c>
      <c r="M85" s="903" t="e">
        <f t="shared" si="32"/>
        <v>#REF!</v>
      </c>
      <c r="N85" s="903" t="e">
        <f t="shared" si="32"/>
        <v>#REF!</v>
      </c>
      <c r="O85" s="903" t="e">
        <f t="shared" si="32"/>
        <v>#REF!</v>
      </c>
      <c r="P85" s="903" t="e">
        <f t="shared" si="32"/>
        <v>#REF!</v>
      </c>
      <c r="Q85" s="903" t="e">
        <f t="shared" si="32"/>
        <v>#REF!</v>
      </c>
      <c r="R85" s="903" t="e">
        <f t="shared" si="32"/>
        <v>#REF!</v>
      </c>
      <c r="S85" s="917" t="e">
        <f t="shared" si="31"/>
        <v>#REF!</v>
      </c>
    </row>
    <row r="86" spans="2:19" s="664" customFormat="1" x14ac:dyDescent="0.3">
      <c r="C86" s="667"/>
      <c r="D86" s="667"/>
      <c r="E86" s="666"/>
      <c r="F86" s="666"/>
      <c r="G86" s="666"/>
      <c r="H86" s="666"/>
      <c r="I86" s="666"/>
      <c r="J86" s="666"/>
      <c r="K86" s="666"/>
      <c r="L86" s="666"/>
      <c r="M86" s="666"/>
      <c r="N86" s="666"/>
      <c r="O86" s="666"/>
      <c r="P86" s="666" t="e">
        <f>P73+Q73</f>
        <v>#REF!</v>
      </c>
      <c r="Q86" s="666"/>
      <c r="R86" s="666"/>
      <c r="S86" s="917"/>
    </row>
    <row r="87" spans="2:19" s="904" customFormat="1" x14ac:dyDescent="0.3">
      <c r="B87" s="904" t="s">
        <v>553</v>
      </c>
      <c r="C87" s="905" t="e">
        <f>C75+C74</f>
        <v>#REF!</v>
      </c>
      <c r="D87" s="905" t="e">
        <f>D75+D74</f>
        <v>#REF!</v>
      </c>
      <c r="E87" s="906" t="e">
        <f>D87/C87</f>
        <v>#REF!</v>
      </c>
      <c r="F87" s="906" t="e">
        <f>F45/$C$45</f>
        <v>#REF!</v>
      </c>
      <c r="G87" s="906" t="e">
        <f t="shared" ref="G87:R87" si="33">G45/$C$45</f>
        <v>#REF!</v>
      </c>
      <c r="H87" s="906" t="e">
        <f t="shared" si="33"/>
        <v>#REF!</v>
      </c>
      <c r="I87" s="906" t="e">
        <f t="shared" si="33"/>
        <v>#REF!</v>
      </c>
      <c r="J87" s="906" t="e">
        <f t="shared" si="33"/>
        <v>#REF!</v>
      </c>
      <c r="K87" s="906" t="e">
        <f t="shared" si="33"/>
        <v>#REF!</v>
      </c>
      <c r="L87" s="906" t="e">
        <f t="shared" si="33"/>
        <v>#REF!</v>
      </c>
      <c r="M87" s="906" t="e">
        <f t="shared" si="33"/>
        <v>#REF!</v>
      </c>
      <c r="N87" s="906" t="e">
        <f t="shared" si="33"/>
        <v>#REF!</v>
      </c>
      <c r="O87" s="906" t="e">
        <f t="shared" si="33"/>
        <v>#REF!</v>
      </c>
      <c r="P87" s="906" t="e">
        <f t="shared" si="33"/>
        <v>#REF!</v>
      </c>
      <c r="Q87" s="906" t="e">
        <f t="shared" si="33"/>
        <v>#REF!</v>
      </c>
      <c r="R87" s="906" t="e">
        <f t="shared" si="33"/>
        <v>#REF!</v>
      </c>
      <c r="S87" s="918" t="e">
        <f t="shared" si="31"/>
        <v>#REF!</v>
      </c>
    </row>
    <row r="88" spans="2:19" s="904" customFormat="1" x14ac:dyDescent="0.3">
      <c r="C88" s="905"/>
      <c r="D88" s="905"/>
      <c r="E88" s="906"/>
      <c r="F88" s="906"/>
      <c r="G88" s="906"/>
      <c r="H88" s="906"/>
      <c r="I88" s="906"/>
      <c r="J88" s="906"/>
      <c r="K88" s="906"/>
      <c r="L88" s="906"/>
      <c r="M88" s="906"/>
      <c r="N88" s="906"/>
      <c r="O88" s="906"/>
      <c r="P88" s="906"/>
      <c r="Q88" s="906"/>
      <c r="R88" s="906"/>
      <c r="S88" s="918"/>
    </row>
    <row r="89" spans="2:19" s="909" customFormat="1" x14ac:dyDescent="0.3">
      <c r="B89" s="791" t="s">
        <v>510</v>
      </c>
      <c r="C89" s="907" t="e">
        <f>C47</f>
        <v>#REF!</v>
      </c>
      <c r="D89" s="907" t="e">
        <f t="shared" ref="D89:E91" si="34">D47</f>
        <v>#REF!</v>
      </c>
      <c r="E89" s="908" t="e">
        <f t="shared" si="34"/>
        <v>#REF!</v>
      </c>
      <c r="F89" s="908" t="e">
        <f>F47/$C$47</f>
        <v>#REF!</v>
      </c>
      <c r="G89" s="908" t="e">
        <f t="shared" ref="G89:R89" si="35">G47/$C$47</f>
        <v>#REF!</v>
      </c>
      <c r="H89" s="908" t="e">
        <f t="shared" si="35"/>
        <v>#REF!</v>
      </c>
      <c r="I89" s="908" t="e">
        <f t="shared" si="35"/>
        <v>#REF!</v>
      </c>
      <c r="J89" s="908" t="e">
        <f t="shared" si="35"/>
        <v>#REF!</v>
      </c>
      <c r="K89" s="908" t="e">
        <f t="shared" si="35"/>
        <v>#REF!</v>
      </c>
      <c r="L89" s="908" t="e">
        <f t="shared" si="35"/>
        <v>#REF!</v>
      </c>
      <c r="M89" s="908" t="e">
        <f t="shared" si="35"/>
        <v>#REF!</v>
      </c>
      <c r="N89" s="908" t="e">
        <f t="shared" si="35"/>
        <v>#REF!</v>
      </c>
      <c r="O89" s="908" t="e">
        <f t="shared" si="35"/>
        <v>#REF!</v>
      </c>
      <c r="P89" s="908" t="e">
        <f t="shared" si="35"/>
        <v>#REF!</v>
      </c>
      <c r="Q89" s="908" t="e">
        <f t="shared" si="35"/>
        <v>#REF!</v>
      </c>
      <c r="R89" s="908" t="e">
        <f t="shared" si="35"/>
        <v>#REF!</v>
      </c>
      <c r="S89" s="919" t="e">
        <f t="shared" si="31"/>
        <v>#REF!</v>
      </c>
    </row>
    <row r="90" spans="2:19" s="904" customFormat="1" x14ac:dyDescent="0.3">
      <c r="C90" s="905"/>
      <c r="D90" s="905"/>
      <c r="E90" s="906"/>
      <c r="F90" s="906"/>
      <c r="G90" s="906"/>
      <c r="H90" s="906"/>
      <c r="I90" s="906"/>
      <c r="J90" s="906"/>
      <c r="K90" s="906"/>
      <c r="L90" s="906"/>
      <c r="M90" s="906"/>
      <c r="N90" s="906"/>
      <c r="O90" s="906"/>
      <c r="P90" s="906"/>
      <c r="Q90" s="906"/>
      <c r="R90" s="906"/>
      <c r="S90" s="918"/>
    </row>
    <row r="91" spans="2:19" s="912" customFormat="1" ht="27.6" x14ac:dyDescent="0.3">
      <c r="B91" s="799" t="s">
        <v>511</v>
      </c>
      <c r="C91" s="910" t="e">
        <f>C49</f>
        <v>#REF!</v>
      </c>
      <c r="D91" s="910" t="e">
        <f t="shared" si="34"/>
        <v>#REF!</v>
      </c>
      <c r="E91" s="911" t="e">
        <f t="shared" si="34"/>
        <v>#REF!</v>
      </c>
      <c r="F91" s="911" t="e">
        <f>F49/$C$49</f>
        <v>#REF!</v>
      </c>
      <c r="G91" s="911" t="e">
        <f t="shared" ref="G91:R91" si="36">G49/$C$49</f>
        <v>#REF!</v>
      </c>
      <c r="H91" s="911" t="e">
        <f t="shared" si="36"/>
        <v>#REF!</v>
      </c>
      <c r="I91" s="911" t="e">
        <f t="shared" si="36"/>
        <v>#REF!</v>
      </c>
      <c r="J91" s="911" t="e">
        <f t="shared" si="36"/>
        <v>#REF!</v>
      </c>
      <c r="K91" s="911" t="e">
        <f t="shared" si="36"/>
        <v>#REF!</v>
      </c>
      <c r="L91" s="911" t="e">
        <f t="shared" si="36"/>
        <v>#REF!</v>
      </c>
      <c r="M91" s="911" t="e">
        <f t="shared" si="36"/>
        <v>#REF!</v>
      </c>
      <c r="N91" s="911" t="e">
        <f t="shared" si="36"/>
        <v>#REF!</v>
      </c>
      <c r="O91" s="911" t="e">
        <f t="shared" si="36"/>
        <v>#REF!</v>
      </c>
      <c r="P91" s="911" t="e">
        <f t="shared" si="36"/>
        <v>#REF!</v>
      </c>
      <c r="Q91" s="911" t="e">
        <f t="shared" si="36"/>
        <v>#REF!</v>
      </c>
      <c r="R91" s="911" t="e">
        <f t="shared" si="36"/>
        <v>#REF!</v>
      </c>
      <c r="S91" s="920" t="e">
        <f t="shared" si="31"/>
        <v>#REF!</v>
      </c>
    </row>
    <row r="92" spans="2:19" s="664" customFormat="1" x14ac:dyDescent="0.3">
      <c r="C92" s="667"/>
      <c r="D92" s="667"/>
      <c r="E92" s="666"/>
      <c r="F92" s="666"/>
      <c r="G92" s="666"/>
      <c r="H92" s="666"/>
      <c r="I92" s="666"/>
      <c r="J92" s="666"/>
      <c r="K92" s="666"/>
      <c r="L92" s="666"/>
      <c r="M92" s="666"/>
      <c r="N92" s="666"/>
      <c r="O92" s="666"/>
      <c r="P92" s="666"/>
      <c r="Q92" s="666"/>
      <c r="R92" s="666"/>
      <c r="S92" s="916"/>
    </row>
    <row r="94" spans="2:19" ht="69" x14ac:dyDescent="0.3">
      <c r="B94" s="862" t="s">
        <v>151</v>
      </c>
      <c r="C94" s="863" t="s">
        <v>433</v>
      </c>
      <c r="D94" s="863" t="s">
        <v>434</v>
      </c>
      <c r="E94" s="863" t="s">
        <v>494</v>
      </c>
      <c r="F94" s="863" t="s">
        <v>495</v>
      </c>
      <c r="G94" s="863" t="s">
        <v>496</v>
      </c>
      <c r="H94" s="863" t="s">
        <v>497</v>
      </c>
      <c r="I94" s="863" t="s">
        <v>514</v>
      </c>
      <c r="J94" s="864" t="s">
        <v>515</v>
      </c>
      <c r="K94" s="864" t="s">
        <v>516</v>
      </c>
      <c r="L94" s="666"/>
    </row>
    <row r="95" spans="2:19" x14ac:dyDescent="0.3">
      <c r="B95" s="921">
        <v>2018</v>
      </c>
      <c r="C95" s="43" t="e">
        <f>C76</f>
        <v>#REF!</v>
      </c>
      <c r="D95" s="665" t="e">
        <f t="shared" ref="D95:G96" si="37">E76</f>
        <v>#REF!</v>
      </c>
      <c r="E95" s="663" t="e">
        <f t="shared" si="37"/>
        <v>#REF!</v>
      </c>
      <c r="F95" s="665" t="e">
        <f t="shared" si="37"/>
        <v>#REF!</v>
      </c>
      <c r="G95" s="665" t="e">
        <f t="shared" si="37"/>
        <v>#REF!</v>
      </c>
      <c r="H95" s="665" t="e">
        <f>I76+J76+M76+O76</f>
        <v>#REF!</v>
      </c>
      <c r="I95" s="665" t="e">
        <f>Q76+P76+N76+L76</f>
        <v>#REF!</v>
      </c>
      <c r="J95" s="866" t="e">
        <f>K76</f>
        <v>#REF!</v>
      </c>
      <c r="K95" s="866" t="e">
        <f>R76</f>
        <v>#REF!</v>
      </c>
      <c r="L95" s="666" t="e">
        <f>SUM(E95:K95)</f>
        <v>#REF!</v>
      </c>
    </row>
    <row r="96" spans="2:19" x14ac:dyDescent="0.3">
      <c r="B96" s="922">
        <v>2017</v>
      </c>
      <c r="C96" s="43">
        <f>C77</f>
        <v>1152697.4026795542</v>
      </c>
      <c r="D96" s="665">
        <f t="shared" si="37"/>
        <v>0.47014503659923762</v>
      </c>
      <c r="E96" s="663">
        <f t="shared" si="37"/>
        <v>1.5565129242248326E-2</v>
      </c>
      <c r="F96" s="665">
        <f t="shared" si="37"/>
        <v>0.34450991057453251</v>
      </c>
      <c r="G96" s="665">
        <f t="shared" si="37"/>
        <v>5.0661900191420139E-2</v>
      </c>
      <c r="H96" s="665">
        <f>I77+J77+M77+O77</f>
        <v>0.20715542529516187</v>
      </c>
      <c r="I96" s="665">
        <f>Q77+P77+N77+L77</f>
        <v>0.31745231147324354</v>
      </c>
      <c r="J96" s="866">
        <f>L77</f>
        <v>6.8621085395690401E-3</v>
      </c>
      <c r="K96" s="866">
        <f>1-J96-I96-H96-G96-F96-E96</f>
        <v>5.7793214683824659E-2</v>
      </c>
      <c r="L96" s="666">
        <f>SUM(E96:K96)</f>
        <v>1.0000000000000002</v>
      </c>
    </row>
    <row r="97" spans="2:12" ht="27.6" x14ac:dyDescent="0.3">
      <c r="B97" s="923" t="s">
        <v>558</v>
      </c>
      <c r="C97" s="43" t="e">
        <f>C95</f>
        <v>#REF!</v>
      </c>
      <c r="D97" s="665" t="e">
        <f>D95</f>
        <v>#REF!</v>
      </c>
      <c r="E97" s="924" t="e">
        <f t="shared" ref="E97:J97" si="38">E95/($E$95+$F$95+$G$95+$H$95+$I$95+$J$95)</f>
        <v>#REF!</v>
      </c>
      <c r="F97" s="925" t="e">
        <f t="shared" si="38"/>
        <v>#REF!</v>
      </c>
      <c r="G97" s="925" t="e">
        <f t="shared" si="38"/>
        <v>#REF!</v>
      </c>
      <c r="H97" s="925" t="e">
        <f t="shared" si="38"/>
        <v>#REF!</v>
      </c>
      <c r="I97" s="925" t="e">
        <f t="shared" si="38"/>
        <v>#REF!</v>
      </c>
      <c r="J97" s="866" t="e">
        <f t="shared" si="38"/>
        <v>#REF!</v>
      </c>
      <c r="K97" s="866"/>
      <c r="L97" s="666" t="e">
        <f>SUM(E97:K97)</f>
        <v>#REF!</v>
      </c>
    </row>
    <row r="98" spans="2:12" s="664" customFormat="1" x14ac:dyDescent="0.3">
      <c r="B98" s="664" t="s">
        <v>559</v>
      </c>
      <c r="C98" s="667" t="e">
        <f>C79</f>
        <v>#REF!</v>
      </c>
      <c r="D98" s="866" t="e">
        <f>E79</f>
        <v>#REF!</v>
      </c>
      <c r="E98" s="915" t="e">
        <f>F79</f>
        <v>#REF!</v>
      </c>
      <c r="F98" s="866" t="e">
        <f>G79</f>
        <v>#REF!</v>
      </c>
      <c r="G98" s="866" t="e">
        <f>H79</f>
        <v>#REF!</v>
      </c>
      <c r="H98" s="866" t="e">
        <f>I79+J79+M79+O79</f>
        <v>#REF!</v>
      </c>
      <c r="I98" s="866" t="e">
        <f>Q79+P79+N79+L79</f>
        <v>#REF!</v>
      </c>
      <c r="J98" s="866" t="e">
        <f>K79</f>
        <v>#REF!</v>
      </c>
      <c r="K98" s="866" t="e">
        <f>R79</f>
        <v>#REF!</v>
      </c>
      <c r="L98" s="666" t="e">
        <f>SUM(E98:K98)</f>
        <v>#REF!</v>
      </c>
    </row>
    <row r="100" spans="2:12" x14ac:dyDescent="0.3">
      <c r="E100" s="3" t="e">
        <f>F26</f>
        <v>#REF!</v>
      </c>
      <c r="F100" s="3" t="e">
        <f>G26</f>
        <v>#REF!</v>
      </c>
      <c r="G100" s="3" t="e">
        <f>H26</f>
        <v>#REF!</v>
      </c>
      <c r="H100" s="3" t="e">
        <f>I26+J26+M26+O26</f>
        <v>#REF!</v>
      </c>
      <c r="I100" s="3" t="e">
        <f>Q26+P26+N26+L26</f>
        <v>#REF!</v>
      </c>
      <c r="K100" s="3" t="e">
        <f>R26</f>
        <v>#REF!</v>
      </c>
    </row>
    <row r="122" spans="3:3" x14ac:dyDescent="0.3">
      <c r="C122" s="661" t="s">
        <v>558</v>
      </c>
    </row>
    <row r="129" spans="2:32" x14ac:dyDescent="0.3">
      <c r="B129" s="3904" t="s">
        <v>336</v>
      </c>
      <c r="C129" s="3906" t="s">
        <v>462</v>
      </c>
      <c r="D129" s="3906" t="s">
        <v>463</v>
      </c>
      <c r="E129" s="3904" t="s">
        <v>464</v>
      </c>
      <c r="F129" s="3904" t="s">
        <v>465</v>
      </c>
      <c r="G129" s="3904" t="s">
        <v>466</v>
      </c>
      <c r="H129" s="3904" t="s">
        <v>467</v>
      </c>
      <c r="I129" s="3905" t="s">
        <v>468</v>
      </c>
      <c r="J129" s="3906" t="s">
        <v>469</v>
      </c>
      <c r="K129" s="3906" t="s">
        <v>560</v>
      </c>
    </row>
    <row r="130" spans="2:32" x14ac:dyDescent="0.3">
      <c r="B130" s="3904"/>
      <c r="C130" s="3906"/>
      <c r="D130" s="3906"/>
      <c r="E130" s="3904"/>
      <c r="F130" s="3904"/>
      <c r="G130" s="3904"/>
      <c r="H130" s="3904"/>
      <c r="I130" s="3905"/>
      <c r="J130" s="3906"/>
      <c r="K130" s="3906"/>
    </row>
    <row r="131" spans="2:32" x14ac:dyDescent="0.3">
      <c r="B131" s="791" t="s">
        <v>118</v>
      </c>
      <c r="C131" s="792" t="s">
        <v>48</v>
      </c>
      <c r="D131" s="792" t="s">
        <v>48</v>
      </c>
      <c r="E131" s="793" t="e">
        <f>'Gestion final Araba 2018'!N30+'Gestion final Bizkaia 2018'!O30+'Gestion final Gipuzkoa 2018'!M30</f>
        <v>#REF!</v>
      </c>
      <c r="F131" s="793" t="e">
        <f>'Gestion final Araba 2018'!O30+'Gestion final Bizkaia 2018'!P30+'Gestion final Gipuzkoa 2018'!N30</f>
        <v>#REF!</v>
      </c>
      <c r="G131" s="793" t="e">
        <f>'Gestion final Araba 2018'!P30+'Gestion final Bizkaia 2018'!Q30+'Gestion final Gipuzkoa 2018'!O30</f>
        <v>#REF!</v>
      </c>
      <c r="H131" s="793" t="e">
        <f>'Gestion final Araba 2018'!Q30+'Gestion final Bizkaia 2018'!R30+'Gestion final Gipuzkoa 2018'!P30</f>
        <v>#REF!</v>
      </c>
      <c r="I131" s="793" t="e">
        <f>G131+H131</f>
        <v>#REF!</v>
      </c>
      <c r="J131" s="792" t="e">
        <f>H131/I131</f>
        <v>#REF!</v>
      </c>
      <c r="K131" s="908" t="e">
        <f>I131/$I$133</f>
        <v>#REF!</v>
      </c>
      <c r="M131" s="2" t="e">
        <f>(D147+D155)/(C147+C155)</f>
        <v>#REF!</v>
      </c>
    </row>
    <row r="132" spans="2:32" ht="27.6" x14ac:dyDescent="0.3">
      <c r="B132" s="799" t="s">
        <v>438</v>
      </c>
      <c r="C132" s="799" t="s">
        <v>48</v>
      </c>
      <c r="D132" s="799" t="s">
        <v>48</v>
      </c>
      <c r="E132" s="800" t="e">
        <f>'Gestion final Araba 2018'!N31+'Gestion final Bizkaia 2018'!O31+'Gestion final Gipuzkoa 2018'!M31</f>
        <v>#REF!</v>
      </c>
      <c r="F132" s="800" t="e">
        <f>'Gestion final Araba 2018'!O31+'Gestion final Bizkaia 2018'!P31+'Gestion final Gipuzkoa 2018'!N31</f>
        <v>#REF!</v>
      </c>
      <c r="G132" s="800" t="e">
        <f>'Gestion final Araba 2018'!P31+'Gestion final Bizkaia 2018'!Q31+'Gestion final Gipuzkoa 2018'!O31</f>
        <v>#REF!</v>
      </c>
      <c r="H132" s="800" t="e">
        <f>'Gestion final Araba 2018'!Q31+'Gestion final Bizkaia 2018'!R31+'Gestion final Gipuzkoa 2018'!P31</f>
        <v>#REF!</v>
      </c>
      <c r="I132" s="800" t="e">
        <f>G132+H132</f>
        <v>#REF!</v>
      </c>
      <c r="J132" s="799" t="e">
        <f>H132/I132</f>
        <v>#REF!</v>
      </c>
      <c r="K132" s="911" t="e">
        <f>I132/$I$133</f>
        <v>#REF!</v>
      </c>
    </row>
    <row r="133" spans="2:32" x14ac:dyDescent="0.3">
      <c r="B133" s="801" t="s">
        <v>492</v>
      </c>
      <c r="C133" s="801" t="s">
        <v>48</v>
      </c>
      <c r="D133" s="801" t="s">
        <v>48</v>
      </c>
      <c r="E133" s="802" t="e">
        <f>SUM(E131:E132)</f>
        <v>#REF!</v>
      </c>
      <c r="F133" s="802" t="e">
        <f>SUM(F131:F132)</f>
        <v>#REF!</v>
      </c>
      <c r="G133" s="802" t="e">
        <f>SUM(G131:G132)</f>
        <v>#REF!</v>
      </c>
      <c r="H133" s="802" t="e">
        <f>SUM(H131:H132)</f>
        <v>#REF!</v>
      </c>
      <c r="I133" s="802" t="e">
        <f>SUM(I131:I132)</f>
        <v>#REF!</v>
      </c>
      <c r="J133" s="801" t="e">
        <f>H133/I133</f>
        <v>#REF!</v>
      </c>
      <c r="K133" s="926" t="e">
        <f>SUM(K131:K132)</f>
        <v>#REF!</v>
      </c>
    </row>
    <row r="134" spans="2:32" x14ac:dyDescent="0.3">
      <c r="B134" s="801"/>
      <c r="C134" s="801"/>
      <c r="D134" s="801"/>
      <c r="E134" s="802"/>
      <c r="F134" s="802"/>
      <c r="G134" s="802"/>
      <c r="H134" s="802"/>
      <c r="I134" s="802"/>
      <c r="J134" s="801"/>
      <c r="K134" s="926"/>
    </row>
    <row r="136" spans="2:32" x14ac:dyDescent="0.3">
      <c r="B136" s="927" t="s">
        <v>561</v>
      </c>
    </row>
    <row r="137" spans="2:32" s="39" customFormat="1" ht="14.1" customHeight="1" x14ac:dyDescent="0.3">
      <c r="B137" s="3858" t="s">
        <v>336</v>
      </c>
      <c r="C137" s="3858" t="s">
        <v>468</v>
      </c>
      <c r="D137" s="3858" t="s">
        <v>15</v>
      </c>
      <c r="E137" s="3859" t="s">
        <v>469</v>
      </c>
      <c r="F137" s="3907" t="s">
        <v>562</v>
      </c>
      <c r="G137" s="3908"/>
      <c r="H137" s="3908"/>
      <c r="I137" s="3908"/>
      <c r="J137" s="3908"/>
      <c r="K137" s="3908"/>
      <c r="L137" s="3908"/>
      <c r="M137" s="3908"/>
      <c r="N137" s="3908"/>
      <c r="O137" s="3908"/>
      <c r="P137" s="3908"/>
      <c r="Q137" s="3908"/>
      <c r="R137" s="3908"/>
      <c r="S137" s="3908"/>
      <c r="T137" s="3901" t="s">
        <v>563</v>
      </c>
      <c r="U137" s="3902"/>
      <c r="V137" s="3902"/>
      <c r="W137" s="3903"/>
      <c r="X137" s="38"/>
      <c r="Y137" s="38"/>
      <c r="Z137" s="38"/>
    </row>
    <row r="138" spans="2:32" s="39" customFormat="1" ht="69" x14ac:dyDescent="0.3">
      <c r="B138" s="3858"/>
      <c r="C138" s="3858"/>
      <c r="D138" s="3858"/>
      <c r="E138" s="3859"/>
      <c r="F138" s="847" t="s">
        <v>564</v>
      </c>
      <c r="G138" s="847" t="s">
        <v>494</v>
      </c>
      <c r="H138" s="847" t="s">
        <v>565</v>
      </c>
      <c r="I138" s="847" t="s">
        <v>495</v>
      </c>
      <c r="J138" s="847" t="s">
        <v>566</v>
      </c>
      <c r="K138" s="847" t="s">
        <v>496</v>
      </c>
      <c r="L138" s="847" t="s">
        <v>567</v>
      </c>
      <c r="M138" s="847" t="s">
        <v>497</v>
      </c>
      <c r="N138" s="847" t="s">
        <v>568</v>
      </c>
      <c r="O138" s="847" t="s">
        <v>501</v>
      </c>
      <c r="P138" s="847" t="s">
        <v>569</v>
      </c>
      <c r="Q138" s="847" t="s">
        <v>514</v>
      </c>
      <c r="R138" s="847" t="s">
        <v>570</v>
      </c>
      <c r="S138" s="847" t="s">
        <v>507</v>
      </c>
      <c r="T138" s="928" t="s">
        <v>571</v>
      </c>
      <c r="U138" s="928" t="s">
        <v>572</v>
      </c>
      <c r="V138" s="928" t="s">
        <v>573</v>
      </c>
      <c r="W138" s="928" t="s">
        <v>499</v>
      </c>
      <c r="X138" s="929"/>
      <c r="Y138" s="929"/>
      <c r="Z138" s="929"/>
      <c r="AA138" s="930" t="s">
        <v>574</v>
      </c>
      <c r="AB138" s="930" t="s">
        <v>575</v>
      </c>
      <c r="AC138" s="930" t="s">
        <v>576</v>
      </c>
      <c r="AD138" s="930" t="s">
        <v>577</v>
      </c>
      <c r="AE138" s="930" t="s">
        <v>578</v>
      </c>
      <c r="AF138" s="930" t="s">
        <v>579</v>
      </c>
    </row>
    <row r="139" spans="2:32" x14ac:dyDescent="0.3">
      <c r="B139" s="848" t="s">
        <v>118</v>
      </c>
      <c r="C139" s="849" t="e">
        <f>C47</f>
        <v>#REF!</v>
      </c>
      <c r="D139" s="849" t="e">
        <f>D47</f>
        <v>#REF!</v>
      </c>
      <c r="E139" s="890" t="e">
        <f>E47</f>
        <v>#REF!</v>
      </c>
      <c r="F139" s="849">
        <f>F47</f>
        <v>0</v>
      </c>
      <c r="G139" s="890" t="e">
        <f>F139/C139</f>
        <v>#REF!</v>
      </c>
      <c r="H139" s="849">
        <f>G47</f>
        <v>0</v>
      </c>
      <c r="I139" s="890" t="e">
        <f>H139/C139</f>
        <v>#REF!</v>
      </c>
      <c r="J139" s="849" t="e">
        <f>H47</f>
        <v>#REF!</v>
      </c>
      <c r="K139" s="890" t="e">
        <f>J139/C139</f>
        <v>#REF!</v>
      </c>
      <c r="L139" s="849" t="e">
        <f>AA139+AB139+AD139</f>
        <v>#REF!</v>
      </c>
      <c r="M139" s="890" t="e">
        <f>L139/C139</f>
        <v>#REF!</v>
      </c>
      <c r="N139" s="849">
        <f>L47</f>
        <v>0</v>
      </c>
      <c r="O139" s="890" t="e">
        <f>N139/C139</f>
        <v>#REF!</v>
      </c>
      <c r="P139" s="849" t="e">
        <f>AC139+AE139+AF139</f>
        <v>#REF!</v>
      </c>
      <c r="Q139" s="890" t="e">
        <f>P139/C139</f>
        <v>#REF!</v>
      </c>
      <c r="R139" s="849" t="e">
        <f>R47</f>
        <v>#REF!</v>
      </c>
      <c r="S139" s="890" t="e">
        <f>R139/C139</f>
        <v>#REF!</v>
      </c>
      <c r="T139" s="849">
        <f>J47</f>
        <v>0</v>
      </c>
      <c r="U139" s="890" t="e">
        <f>T139/C139</f>
        <v>#REF!</v>
      </c>
      <c r="V139" s="849">
        <f>K47</f>
        <v>0</v>
      </c>
      <c r="W139" s="890" t="e">
        <f>V139/C139</f>
        <v>#REF!</v>
      </c>
      <c r="X139" s="931" t="e">
        <f>F139+H139+J139+L139+N139+P139+R139+T139+V139</f>
        <v>#REF!</v>
      </c>
      <c r="Y139" s="932" t="e">
        <f>X139-C139</f>
        <v>#REF!</v>
      </c>
      <c r="Z139" s="932" t="e">
        <f>G139+I139+K139+M139+O139+Q139+S139+U139+W139</f>
        <v>#REF!</v>
      </c>
      <c r="AA139" s="933" t="e">
        <f>I47</f>
        <v>#REF!</v>
      </c>
      <c r="AB139" s="933">
        <f>M47</f>
        <v>0</v>
      </c>
      <c r="AC139" s="933">
        <f>N47</f>
        <v>0</v>
      </c>
      <c r="AD139" s="933">
        <f>O47</f>
        <v>4757.9327473229605</v>
      </c>
      <c r="AE139" s="933" t="e">
        <f>P47</f>
        <v>#REF!</v>
      </c>
      <c r="AF139" s="933" t="e">
        <f>Q47</f>
        <v>#REF!</v>
      </c>
    </row>
    <row r="140" spans="2:32" ht="27.6" x14ac:dyDescent="0.3">
      <c r="B140" s="848" t="s">
        <v>438</v>
      </c>
      <c r="C140" s="849" t="e">
        <f>C49</f>
        <v>#REF!</v>
      </c>
      <c r="D140" s="849" t="e">
        <f>D49</f>
        <v>#REF!</v>
      </c>
      <c r="E140" s="890" t="e">
        <f>E49</f>
        <v>#REF!</v>
      </c>
      <c r="F140" s="849">
        <f>F49</f>
        <v>0</v>
      </c>
      <c r="G140" s="890" t="e">
        <f t="shared" ref="G140:G158" si="39">F140/C140</f>
        <v>#REF!</v>
      </c>
      <c r="H140" s="849">
        <f>G49</f>
        <v>0</v>
      </c>
      <c r="I140" s="890" t="e">
        <f t="shared" ref="I140:I158" si="40">H140/C140</f>
        <v>#REF!</v>
      </c>
      <c r="J140" s="849" t="e">
        <f>H49</f>
        <v>#REF!</v>
      </c>
      <c r="K140" s="890" t="e">
        <f t="shared" ref="K140:K158" si="41">J140/C140</f>
        <v>#REF!</v>
      </c>
      <c r="L140" s="849">
        <f t="shared" ref="L140:L158" si="42">AA140+AB140+AD140</f>
        <v>54328.524576310941</v>
      </c>
      <c r="M140" s="890" t="e">
        <f t="shared" ref="M140:M158" si="43">L140/C140</f>
        <v>#REF!</v>
      </c>
      <c r="N140" s="849" t="e">
        <f>L49</f>
        <v>#REF!</v>
      </c>
      <c r="O140" s="890" t="e">
        <f t="shared" ref="O140:O158" si="44">N140/C140</f>
        <v>#REF!</v>
      </c>
      <c r="P140" s="849" t="e">
        <f t="shared" ref="P140:P158" si="45">AC140+AE140+AF140</f>
        <v>#REF!</v>
      </c>
      <c r="Q140" s="890" t="e">
        <f t="shared" ref="Q140:Q158" si="46">P140/C140</f>
        <v>#REF!</v>
      </c>
      <c r="R140" s="849" t="e">
        <f>R49</f>
        <v>#REF!</v>
      </c>
      <c r="S140" s="890" t="e">
        <f t="shared" ref="S140:S158" si="47">R140/C140</f>
        <v>#REF!</v>
      </c>
      <c r="T140" s="849">
        <f>J49</f>
        <v>21063.793831074687</v>
      </c>
      <c r="U140" s="890" t="e">
        <f t="shared" ref="U140:U158" si="48">T140/C140</f>
        <v>#REF!</v>
      </c>
      <c r="V140" s="849" t="e">
        <f>K49</f>
        <v>#REF!</v>
      </c>
      <c r="W140" s="890" t="e">
        <f t="shared" ref="W140:W159" si="49">V140/C140</f>
        <v>#REF!</v>
      </c>
      <c r="X140" s="931" t="e">
        <f t="shared" ref="X140:X159" si="50">F140+H140+J140+L140+N140+P140+R140+T140+V140</f>
        <v>#REF!</v>
      </c>
      <c r="Y140" s="932" t="e">
        <f t="shared" ref="Y140:Y159" si="51">X140-C140</f>
        <v>#REF!</v>
      </c>
      <c r="Z140" s="932" t="e">
        <f t="shared" ref="Z140:Z159" si="52">G140+I140+K140+M140+O140+Q140+S140+U140+W140</f>
        <v>#REF!</v>
      </c>
      <c r="AA140" s="933">
        <f>I49</f>
        <v>0</v>
      </c>
      <c r="AB140" s="933">
        <f>M49</f>
        <v>0</v>
      </c>
      <c r="AC140" s="933">
        <f>N49</f>
        <v>0</v>
      </c>
      <c r="AD140" s="933">
        <f>O49</f>
        <v>54328.524576310941</v>
      </c>
      <c r="AE140" s="933" t="e">
        <f>P49</f>
        <v>#REF!</v>
      </c>
      <c r="AF140" s="933" t="e">
        <f>Q49</f>
        <v>#REF!</v>
      </c>
    </row>
    <row r="141" spans="2:32" x14ac:dyDescent="0.3">
      <c r="B141" s="848" t="s">
        <v>130</v>
      </c>
      <c r="C141" s="849" t="e">
        <f t="shared" ref="C141:E143" si="53">C55</f>
        <v>#REF!</v>
      </c>
      <c r="D141" s="849" t="e">
        <f t="shared" si="53"/>
        <v>#REF!</v>
      </c>
      <c r="E141" s="890" t="e">
        <f t="shared" si="53"/>
        <v>#REF!</v>
      </c>
      <c r="F141" s="849">
        <f>F5</f>
        <v>0</v>
      </c>
      <c r="G141" s="890" t="e">
        <f t="shared" si="39"/>
        <v>#REF!</v>
      </c>
      <c r="H141" s="849" t="e">
        <f>G5</f>
        <v>#REF!</v>
      </c>
      <c r="I141" s="890" t="e">
        <f t="shared" si="40"/>
        <v>#REF!</v>
      </c>
      <c r="J141" s="849">
        <f>H5</f>
        <v>0</v>
      </c>
      <c r="K141" s="890" t="e">
        <f t="shared" si="41"/>
        <v>#REF!</v>
      </c>
      <c r="L141" s="849">
        <f t="shared" si="42"/>
        <v>33210.843413111419</v>
      </c>
      <c r="M141" s="890" t="e">
        <f t="shared" si="43"/>
        <v>#REF!</v>
      </c>
      <c r="N141" s="849">
        <f>L5</f>
        <v>2142.2885404720223</v>
      </c>
      <c r="O141" s="890" t="e">
        <f t="shared" si="44"/>
        <v>#REF!</v>
      </c>
      <c r="P141" s="849" t="e">
        <f t="shared" si="45"/>
        <v>#REF!</v>
      </c>
      <c r="Q141" s="890" t="e">
        <f t="shared" si="46"/>
        <v>#REF!</v>
      </c>
      <c r="R141" s="849">
        <f>R5</f>
        <v>0</v>
      </c>
      <c r="S141" s="890" t="e">
        <f t="shared" si="47"/>
        <v>#REF!</v>
      </c>
      <c r="T141" s="849">
        <f>J5</f>
        <v>6866.5988968504389</v>
      </c>
      <c r="U141" s="890" t="e">
        <f t="shared" si="48"/>
        <v>#REF!</v>
      </c>
      <c r="V141" s="849">
        <f>K5</f>
        <v>0</v>
      </c>
      <c r="W141" s="890" t="e">
        <f t="shared" si="49"/>
        <v>#REF!</v>
      </c>
      <c r="X141" s="931" t="e">
        <f t="shared" si="50"/>
        <v>#REF!</v>
      </c>
      <c r="Y141" s="932" t="e">
        <f t="shared" si="51"/>
        <v>#REF!</v>
      </c>
      <c r="Z141" s="932" t="e">
        <f t="shared" si="52"/>
        <v>#REF!</v>
      </c>
      <c r="AA141" s="933">
        <f>I5</f>
        <v>0</v>
      </c>
      <c r="AB141" s="933">
        <f t="shared" ref="AB141:AF143" si="54">M5</f>
        <v>2032.8074802016481</v>
      </c>
      <c r="AC141" s="933">
        <f t="shared" si="54"/>
        <v>20001.800176873363</v>
      </c>
      <c r="AD141" s="933">
        <f t="shared" si="54"/>
        <v>31178.035932909774</v>
      </c>
      <c r="AE141" s="933" t="e">
        <f t="shared" si="54"/>
        <v>#REF!</v>
      </c>
      <c r="AF141" s="933" t="e">
        <f t="shared" si="54"/>
        <v>#REF!</v>
      </c>
    </row>
    <row r="142" spans="2:32" x14ac:dyDescent="0.3">
      <c r="B142" s="848" t="s">
        <v>12</v>
      </c>
      <c r="C142" s="849" t="e">
        <f t="shared" si="53"/>
        <v>#REF!</v>
      </c>
      <c r="D142" s="849" t="e">
        <f t="shared" si="53"/>
        <v>#REF!</v>
      </c>
      <c r="E142" s="890" t="e">
        <f t="shared" si="53"/>
        <v>#REF!</v>
      </c>
      <c r="F142" s="849">
        <f>F6</f>
        <v>0</v>
      </c>
      <c r="G142" s="890" t="e">
        <f t="shared" si="39"/>
        <v>#REF!</v>
      </c>
      <c r="H142" s="849" t="e">
        <f>G6</f>
        <v>#REF!</v>
      </c>
      <c r="I142" s="890" t="e">
        <f t="shared" si="40"/>
        <v>#REF!</v>
      </c>
      <c r="J142" s="849">
        <f>H6</f>
        <v>0</v>
      </c>
      <c r="K142" s="890" t="e">
        <f t="shared" si="41"/>
        <v>#REF!</v>
      </c>
      <c r="L142" s="849" t="e">
        <f t="shared" si="42"/>
        <v>#REF!</v>
      </c>
      <c r="M142" s="890" t="e">
        <f t="shared" si="43"/>
        <v>#REF!</v>
      </c>
      <c r="N142" s="849">
        <f>L6</f>
        <v>0</v>
      </c>
      <c r="O142" s="890" t="e">
        <f t="shared" si="44"/>
        <v>#REF!</v>
      </c>
      <c r="P142" s="849" t="e">
        <f t="shared" si="45"/>
        <v>#REF!</v>
      </c>
      <c r="Q142" s="890" t="e">
        <f t="shared" si="46"/>
        <v>#REF!</v>
      </c>
      <c r="R142" s="849">
        <f>R6</f>
        <v>0</v>
      </c>
      <c r="S142" s="890" t="e">
        <f t="shared" si="47"/>
        <v>#REF!</v>
      </c>
      <c r="T142" s="849">
        <f>J6</f>
        <v>0</v>
      </c>
      <c r="U142" s="890" t="e">
        <f t="shared" si="48"/>
        <v>#REF!</v>
      </c>
      <c r="V142" s="849">
        <f>K6</f>
        <v>0</v>
      </c>
      <c r="W142" s="890" t="e">
        <f t="shared" si="49"/>
        <v>#REF!</v>
      </c>
      <c r="X142" s="931" t="e">
        <f t="shared" si="50"/>
        <v>#REF!</v>
      </c>
      <c r="Y142" s="932" t="e">
        <f t="shared" si="51"/>
        <v>#REF!</v>
      </c>
      <c r="Z142" s="932" t="e">
        <f t="shared" si="52"/>
        <v>#REF!</v>
      </c>
      <c r="AA142" s="933" t="e">
        <f>I6</f>
        <v>#REF!</v>
      </c>
      <c r="AB142" s="933">
        <f t="shared" si="54"/>
        <v>0</v>
      </c>
      <c r="AC142" s="933">
        <f t="shared" si="54"/>
        <v>0</v>
      </c>
      <c r="AD142" s="933">
        <f t="shared" si="54"/>
        <v>0</v>
      </c>
      <c r="AE142" s="933" t="e">
        <f t="shared" si="54"/>
        <v>#REF!</v>
      </c>
      <c r="AF142" s="933" t="e">
        <f t="shared" si="54"/>
        <v>#REF!</v>
      </c>
    </row>
    <row r="143" spans="2:32" x14ac:dyDescent="0.3">
      <c r="B143" s="848" t="s">
        <v>14</v>
      </c>
      <c r="C143" s="849" t="e">
        <f t="shared" si="53"/>
        <v>#REF!</v>
      </c>
      <c r="D143" s="849" t="e">
        <f t="shared" si="53"/>
        <v>#REF!</v>
      </c>
      <c r="E143" s="890" t="e">
        <f t="shared" si="53"/>
        <v>#REF!</v>
      </c>
      <c r="F143" s="849">
        <f>F7</f>
        <v>0</v>
      </c>
      <c r="G143" s="890" t="e">
        <f t="shared" si="39"/>
        <v>#REF!</v>
      </c>
      <c r="H143" s="849" t="e">
        <f>G7</f>
        <v>#REF!</v>
      </c>
      <c r="I143" s="890" t="e">
        <f t="shared" si="40"/>
        <v>#REF!</v>
      </c>
      <c r="J143" s="849">
        <f>H7</f>
        <v>0</v>
      </c>
      <c r="K143" s="890" t="e">
        <f t="shared" si="41"/>
        <v>#REF!</v>
      </c>
      <c r="L143" s="849" t="e">
        <f t="shared" si="42"/>
        <v>#REF!</v>
      </c>
      <c r="M143" s="890" t="e">
        <f t="shared" si="43"/>
        <v>#REF!</v>
      </c>
      <c r="N143" s="849">
        <f>L7</f>
        <v>0</v>
      </c>
      <c r="O143" s="890" t="e">
        <f t="shared" si="44"/>
        <v>#REF!</v>
      </c>
      <c r="P143" s="849" t="e">
        <f t="shared" si="45"/>
        <v>#REF!</v>
      </c>
      <c r="Q143" s="890" t="e">
        <f t="shared" si="46"/>
        <v>#REF!</v>
      </c>
      <c r="R143" s="849">
        <f>R7</f>
        <v>0</v>
      </c>
      <c r="S143" s="890" t="e">
        <f t="shared" si="47"/>
        <v>#REF!</v>
      </c>
      <c r="T143" s="849">
        <f>J7</f>
        <v>0</v>
      </c>
      <c r="U143" s="890" t="e">
        <f t="shared" si="48"/>
        <v>#REF!</v>
      </c>
      <c r="V143" s="849">
        <f>K7</f>
        <v>0</v>
      </c>
      <c r="W143" s="890" t="e">
        <f t="shared" si="49"/>
        <v>#REF!</v>
      </c>
      <c r="X143" s="931" t="e">
        <f t="shared" si="50"/>
        <v>#REF!</v>
      </c>
      <c r="Y143" s="932" t="e">
        <f t="shared" si="51"/>
        <v>#REF!</v>
      </c>
      <c r="Z143" s="932" t="e">
        <f t="shared" si="52"/>
        <v>#REF!</v>
      </c>
      <c r="AA143" s="933" t="e">
        <f>I7</f>
        <v>#REF!</v>
      </c>
      <c r="AB143" s="933">
        <f t="shared" si="54"/>
        <v>1675.4974533707421</v>
      </c>
      <c r="AC143" s="933">
        <f t="shared" si="54"/>
        <v>19333.446212800489</v>
      </c>
      <c r="AD143" s="933">
        <f t="shared" si="54"/>
        <v>21150.227304269785</v>
      </c>
      <c r="AE143" s="933" t="e">
        <f t="shared" si="54"/>
        <v>#REF!</v>
      </c>
      <c r="AF143" s="933" t="e">
        <f t="shared" si="54"/>
        <v>#REF!</v>
      </c>
    </row>
    <row r="144" spans="2:32" x14ac:dyDescent="0.3">
      <c r="B144" s="848" t="s">
        <v>16</v>
      </c>
      <c r="C144" s="849" t="e">
        <f>C59</f>
        <v>#REF!</v>
      </c>
      <c r="D144" s="849" t="e">
        <f>D59</f>
        <v>#REF!</v>
      </c>
      <c r="E144" s="890" t="e">
        <f>E59</f>
        <v>#REF!</v>
      </c>
      <c r="F144" s="849">
        <f>F9</f>
        <v>0</v>
      </c>
      <c r="G144" s="890" t="e">
        <f t="shared" si="39"/>
        <v>#REF!</v>
      </c>
      <c r="H144" s="849" t="e">
        <f>G9</f>
        <v>#REF!</v>
      </c>
      <c r="I144" s="890" t="e">
        <f t="shared" si="40"/>
        <v>#REF!</v>
      </c>
      <c r="J144" s="849">
        <f>H9</f>
        <v>0</v>
      </c>
      <c r="K144" s="890" t="e">
        <f t="shared" si="41"/>
        <v>#REF!</v>
      </c>
      <c r="L144" s="849">
        <f t="shared" si="42"/>
        <v>5933.7933303430636</v>
      </c>
      <c r="M144" s="890" t="e">
        <f t="shared" si="43"/>
        <v>#REF!</v>
      </c>
      <c r="N144" s="849">
        <f>L9</f>
        <v>0</v>
      </c>
      <c r="O144" s="890" t="e">
        <f t="shared" si="44"/>
        <v>#REF!</v>
      </c>
      <c r="P144" s="849" t="e">
        <f t="shared" si="45"/>
        <v>#REF!</v>
      </c>
      <c r="Q144" s="890" t="e">
        <f t="shared" si="46"/>
        <v>#REF!</v>
      </c>
      <c r="R144" s="849">
        <f>R9</f>
        <v>0</v>
      </c>
      <c r="S144" s="890" t="e">
        <f t="shared" si="47"/>
        <v>#REF!</v>
      </c>
      <c r="T144" s="849">
        <f>J9</f>
        <v>0</v>
      </c>
      <c r="U144" s="890" t="e">
        <f t="shared" si="48"/>
        <v>#REF!</v>
      </c>
      <c r="V144" s="849">
        <f>K9</f>
        <v>0</v>
      </c>
      <c r="W144" s="890" t="e">
        <f t="shared" si="49"/>
        <v>#REF!</v>
      </c>
      <c r="X144" s="931" t="e">
        <f t="shared" si="50"/>
        <v>#REF!</v>
      </c>
      <c r="Y144" s="932" t="e">
        <f t="shared" si="51"/>
        <v>#REF!</v>
      </c>
      <c r="Z144" s="932" t="e">
        <f t="shared" si="52"/>
        <v>#REF!</v>
      </c>
      <c r="AA144" s="933">
        <f>I9</f>
        <v>0</v>
      </c>
      <c r="AB144" s="933">
        <f>M9</f>
        <v>391.07115194112555</v>
      </c>
      <c r="AC144" s="933">
        <f>N9</f>
        <v>3847.9428633793418</v>
      </c>
      <c r="AD144" s="933">
        <f>O9</f>
        <v>5542.7221784019384</v>
      </c>
      <c r="AE144" s="933" t="e">
        <f>P9</f>
        <v>#REF!</v>
      </c>
      <c r="AF144" s="933" t="e">
        <f>Q9</f>
        <v>#REF!</v>
      </c>
    </row>
    <row r="145" spans="2:32" x14ac:dyDescent="0.3">
      <c r="B145" s="848" t="s">
        <v>17</v>
      </c>
      <c r="C145" s="849" t="e">
        <f>C58</f>
        <v>#REF!</v>
      </c>
      <c r="D145" s="849" t="e">
        <f>D58</f>
        <v>#REF!</v>
      </c>
      <c r="E145" s="890" t="e">
        <f>E58</f>
        <v>#REF!</v>
      </c>
      <c r="F145" s="849">
        <f>F8</f>
        <v>0</v>
      </c>
      <c r="G145" s="890" t="e">
        <f t="shared" si="39"/>
        <v>#REF!</v>
      </c>
      <c r="H145" s="849" t="e">
        <f>G8</f>
        <v>#REF!</v>
      </c>
      <c r="I145" s="890" t="e">
        <f t="shared" si="40"/>
        <v>#REF!</v>
      </c>
      <c r="J145" s="849">
        <f>H8</f>
        <v>0</v>
      </c>
      <c r="K145" s="890" t="e">
        <f t="shared" si="41"/>
        <v>#REF!</v>
      </c>
      <c r="L145" s="849">
        <f t="shared" si="42"/>
        <v>0</v>
      </c>
      <c r="M145" s="890" t="e">
        <f t="shared" si="43"/>
        <v>#REF!</v>
      </c>
      <c r="N145" s="849">
        <f>L8</f>
        <v>0</v>
      </c>
      <c r="O145" s="890" t="e">
        <f t="shared" si="44"/>
        <v>#REF!</v>
      </c>
      <c r="P145" s="849" t="e">
        <f t="shared" si="45"/>
        <v>#REF!</v>
      </c>
      <c r="Q145" s="890" t="e">
        <f t="shared" si="46"/>
        <v>#REF!</v>
      </c>
      <c r="R145" s="849">
        <f>R8</f>
        <v>0</v>
      </c>
      <c r="S145" s="890" t="e">
        <f t="shared" si="47"/>
        <v>#REF!</v>
      </c>
      <c r="T145" s="849">
        <f>J8</f>
        <v>0</v>
      </c>
      <c r="U145" s="890" t="e">
        <f t="shared" si="48"/>
        <v>#REF!</v>
      </c>
      <c r="V145" s="849">
        <f>K8</f>
        <v>0</v>
      </c>
      <c r="W145" s="890" t="e">
        <f t="shared" si="49"/>
        <v>#REF!</v>
      </c>
      <c r="X145" s="931" t="e">
        <f t="shared" si="50"/>
        <v>#REF!</v>
      </c>
      <c r="Y145" s="932" t="e">
        <f t="shared" si="51"/>
        <v>#REF!</v>
      </c>
      <c r="Z145" s="932" t="e">
        <f t="shared" si="52"/>
        <v>#REF!</v>
      </c>
      <c r="AA145" s="933">
        <f>I8</f>
        <v>0</v>
      </c>
      <c r="AB145" s="933">
        <f>M8</f>
        <v>0</v>
      </c>
      <c r="AC145" s="933">
        <f>N8</f>
        <v>0</v>
      </c>
      <c r="AD145" s="933">
        <f>O8</f>
        <v>0</v>
      </c>
      <c r="AE145" s="933" t="e">
        <f>P8</f>
        <v>#REF!</v>
      </c>
      <c r="AF145" s="933" t="e">
        <f>Q8</f>
        <v>#REF!</v>
      </c>
    </row>
    <row r="146" spans="2:32" x14ac:dyDescent="0.3">
      <c r="B146" s="848" t="s">
        <v>439</v>
      </c>
      <c r="C146" s="849" t="e">
        <f>C83</f>
        <v>#REF!</v>
      </c>
      <c r="D146" s="849" t="e">
        <f>D83</f>
        <v>#REF!</v>
      </c>
      <c r="E146" s="890" t="e">
        <f>E83</f>
        <v>#REF!</v>
      </c>
      <c r="F146" s="849">
        <f>F40</f>
        <v>0</v>
      </c>
      <c r="G146" s="890" t="e">
        <f t="shared" si="39"/>
        <v>#REF!</v>
      </c>
      <c r="H146" s="849" t="e">
        <f>G40</f>
        <v>#REF!</v>
      </c>
      <c r="I146" s="890" t="e">
        <f t="shared" si="40"/>
        <v>#REF!</v>
      </c>
      <c r="J146" s="849">
        <f>H40</f>
        <v>0</v>
      </c>
      <c r="K146" s="890" t="e">
        <f t="shared" si="41"/>
        <v>#REF!</v>
      </c>
      <c r="L146" s="849" t="e">
        <f t="shared" si="42"/>
        <v>#REF!</v>
      </c>
      <c r="M146" s="890" t="e">
        <f t="shared" si="43"/>
        <v>#REF!</v>
      </c>
      <c r="N146" s="849">
        <f>L40</f>
        <v>0</v>
      </c>
      <c r="O146" s="890" t="e">
        <f t="shared" si="44"/>
        <v>#REF!</v>
      </c>
      <c r="P146" s="849" t="e">
        <f t="shared" si="45"/>
        <v>#REF!</v>
      </c>
      <c r="Q146" s="890" t="e">
        <f t="shared" si="46"/>
        <v>#REF!</v>
      </c>
      <c r="R146" s="849">
        <f>R40</f>
        <v>0</v>
      </c>
      <c r="S146" s="890" t="e">
        <f t="shared" si="47"/>
        <v>#REF!</v>
      </c>
      <c r="T146" s="849">
        <f>J40</f>
        <v>0</v>
      </c>
      <c r="U146" s="890" t="e">
        <f t="shared" si="48"/>
        <v>#REF!</v>
      </c>
      <c r="V146" s="849">
        <f>K40</f>
        <v>0</v>
      </c>
      <c r="W146" s="890" t="e">
        <f t="shared" si="49"/>
        <v>#REF!</v>
      </c>
      <c r="X146" s="931" t="e">
        <f t="shared" si="50"/>
        <v>#REF!</v>
      </c>
      <c r="Y146" s="932" t="e">
        <f t="shared" si="51"/>
        <v>#REF!</v>
      </c>
      <c r="Z146" s="932" t="e">
        <f t="shared" si="52"/>
        <v>#REF!</v>
      </c>
      <c r="AA146" s="933" t="e">
        <f>I40</f>
        <v>#REF!</v>
      </c>
      <c r="AB146" s="933">
        <f>M40</f>
        <v>0</v>
      </c>
      <c r="AC146" s="933">
        <f>N40</f>
        <v>0</v>
      </c>
      <c r="AD146" s="933">
        <f>O40</f>
        <v>0</v>
      </c>
      <c r="AE146" s="933" t="e">
        <f>P40</f>
        <v>#REF!</v>
      </c>
      <c r="AF146" s="933" t="e">
        <f>Q40</f>
        <v>#REF!</v>
      </c>
    </row>
    <row r="147" spans="2:32" x14ac:dyDescent="0.3">
      <c r="B147" s="848" t="s">
        <v>44</v>
      </c>
      <c r="C147" s="849" t="e">
        <f>C61</f>
        <v>#REF!</v>
      </c>
      <c r="D147" s="849" t="e">
        <f>D61</f>
        <v>#REF!</v>
      </c>
      <c r="E147" s="890" t="e">
        <f>E61</f>
        <v>#REF!</v>
      </c>
      <c r="F147" s="849" t="e">
        <f>F11</f>
        <v>#REF!</v>
      </c>
      <c r="G147" s="890" t="e">
        <f t="shared" si="39"/>
        <v>#REF!</v>
      </c>
      <c r="H147" s="849" t="e">
        <f>G11</f>
        <v>#REF!</v>
      </c>
      <c r="I147" s="890" t="e">
        <f t="shared" si="40"/>
        <v>#REF!</v>
      </c>
      <c r="J147" s="849">
        <f>H11</f>
        <v>0</v>
      </c>
      <c r="K147" s="890" t="e">
        <f t="shared" si="41"/>
        <v>#REF!</v>
      </c>
      <c r="L147" s="849" t="e">
        <f t="shared" si="42"/>
        <v>#REF!</v>
      </c>
      <c r="M147" s="890" t="e">
        <f t="shared" si="43"/>
        <v>#REF!</v>
      </c>
      <c r="N147" s="849">
        <f>L11</f>
        <v>0</v>
      </c>
      <c r="O147" s="890" t="e">
        <f t="shared" si="44"/>
        <v>#REF!</v>
      </c>
      <c r="P147" s="849" t="e">
        <f t="shared" si="45"/>
        <v>#REF!</v>
      </c>
      <c r="Q147" s="890" t="e">
        <f t="shared" si="46"/>
        <v>#REF!</v>
      </c>
      <c r="R147" s="849">
        <f>R11</f>
        <v>0</v>
      </c>
      <c r="S147" s="890" t="e">
        <f t="shared" si="47"/>
        <v>#REF!</v>
      </c>
      <c r="T147" s="849">
        <f>J11</f>
        <v>0</v>
      </c>
      <c r="U147" s="890" t="e">
        <f t="shared" si="48"/>
        <v>#REF!</v>
      </c>
      <c r="V147" s="849">
        <f>K11</f>
        <v>0</v>
      </c>
      <c r="W147" s="890" t="e">
        <f t="shared" si="49"/>
        <v>#REF!</v>
      </c>
      <c r="X147" s="931" t="e">
        <f t="shared" si="50"/>
        <v>#REF!</v>
      </c>
      <c r="Y147" s="932" t="e">
        <f t="shared" si="51"/>
        <v>#REF!</v>
      </c>
      <c r="Z147" s="932" t="e">
        <f t="shared" si="52"/>
        <v>#REF!</v>
      </c>
      <c r="AA147" s="933" t="e">
        <f>I11</f>
        <v>#REF!</v>
      </c>
      <c r="AB147" s="933">
        <f t="shared" ref="AB147:AF150" si="55">M11</f>
        <v>0</v>
      </c>
      <c r="AC147" s="933">
        <f t="shared" si="55"/>
        <v>0</v>
      </c>
      <c r="AD147" s="933">
        <f t="shared" si="55"/>
        <v>0</v>
      </c>
      <c r="AE147" s="933" t="e">
        <f t="shared" si="55"/>
        <v>#REF!</v>
      </c>
      <c r="AF147" s="933" t="e">
        <f t="shared" si="55"/>
        <v>#REF!</v>
      </c>
    </row>
    <row r="148" spans="2:32" x14ac:dyDescent="0.3">
      <c r="B148" s="848" t="s">
        <v>326</v>
      </c>
      <c r="C148" s="849" t="e">
        <f t="shared" ref="C148:D150" si="56">C62</f>
        <v>#REF!</v>
      </c>
      <c r="D148" s="849" t="e">
        <f t="shared" si="56"/>
        <v>#REF!</v>
      </c>
      <c r="E148" s="890" t="e">
        <f>E62</f>
        <v>#REF!</v>
      </c>
      <c r="F148" s="849">
        <f>F12</f>
        <v>0</v>
      </c>
      <c r="G148" s="890" t="e">
        <f t="shared" si="39"/>
        <v>#REF!</v>
      </c>
      <c r="H148" s="849" t="e">
        <f>G12</f>
        <v>#REF!</v>
      </c>
      <c r="I148" s="890" t="e">
        <f t="shared" si="40"/>
        <v>#REF!</v>
      </c>
      <c r="J148" s="849">
        <f>H12</f>
        <v>0</v>
      </c>
      <c r="K148" s="890" t="e">
        <f t="shared" si="41"/>
        <v>#REF!</v>
      </c>
      <c r="L148" s="849">
        <f t="shared" si="42"/>
        <v>0</v>
      </c>
      <c r="M148" s="890" t="e">
        <f t="shared" si="43"/>
        <v>#REF!</v>
      </c>
      <c r="N148" s="849">
        <f>L12</f>
        <v>0</v>
      </c>
      <c r="O148" s="890" t="e">
        <f t="shared" si="44"/>
        <v>#REF!</v>
      </c>
      <c r="P148" s="849" t="e">
        <f t="shared" si="45"/>
        <v>#REF!</v>
      </c>
      <c r="Q148" s="890" t="e">
        <f t="shared" si="46"/>
        <v>#REF!</v>
      </c>
      <c r="R148" s="849">
        <f>R12</f>
        <v>0</v>
      </c>
      <c r="S148" s="890" t="e">
        <f t="shared" si="47"/>
        <v>#REF!</v>
      </c>
      <c r="T148" s="849">
        <f>J12</f>
        <v>0</v>
      </c>
      <c r="U148" s="890" t="e">
        <f t="shared" si="48"/>
        <v>#REF!</v>
      </c>
      <c r="V148" s="849">
        <f>K12</f>
        <v>0</v>
      </c>
      <c r="W148" s="890" t="e">
        <f t="shared" si="49"/>
        <v>#REF!</v>
      </c>
      <c r="X148" s="931" t="e">
        <f t="shared" si="50"/>
        <v>#REF!</v>
      </c>
      <c r="Y148" s="932" t="e">
        <f t="shared" si="51"/>
        <v>#REF!</v>
      </c>
      <c r="Z148" s="932" t="e">
        <f t="shared" si="52"/>
        <v>#REF!</v>
      </c>
      <c r="AA148" s="933">
        <f>I12</f>
        <v>0</v>
      </c>
      <c r="AB148" s="933">
        <f t="shared" si="55"/>
        <v>0</v>
      </c>
      <c r="AC148" s="933">
        <f t="shared" si="55"/>
        <v>0</v>
      </c>
      <c r="AD148" s="933">
        <f t="shared" si="55"/>
        <v>0</v>
      </c>
      <c r="AE148" s="933" t="e">
        <f t="shared" si="55"/>
        <v>#REF!</v>
      </c>
      <c r="AF148" s="933" t="e">
        <f t="shared" si="55"/>
        <v>#REF!</v>
      </c>
    </row>
    <row r="149" spans="2:32" x14ac:dyDescent="0.3">
      <c r="B149" s="848" t="s">
        <v>25</v>
      </c>
      <c r="C149" s="849" t="e">
        <f t="shared" si="56"/>
        <v>#REF!</v>
      </c>
      <c r="D149" s="849" t="e">
        <f t="shared" si="56"/>
        <v>#REF!</v>
      </c>
      <c r="E149" s="890" t="e">
        <f>E63</f>
        <v>#REF!</v>
      </c>
      <c r="F149" s="849" t="e">
        <f>F13</f>
        <v>#REF!</v>
      </c>
      <c r="G149" s="890" t="e">
        <f t="shared" si="39"/>
        <v>#REF!</v>
      </c>
      <c r="H149" s="849" t="e">
        <f>G13</f>
        <v>#REF!</v>
      </c>
      <c r="I149" s="890" t="e">
        <f t="shared" si="40"/>
        <v>#REF!</v>
      </c>
      <c r="J149" s="849">
        <f>H13</f>
        <v>0</v>
      </c>
      <c r="K149" s="890" t="e">
        <f t="shared" si="41"/>
        <v>#REF!</v>
      </c>
      <c r="L149" s="849" t="e">
        <f t="shared" si="42"/>
        <v>#REF!</v>
      </c>
      <c r="M149" s="890" t="e">
        <f t="shared" si="43"/>
        <v>#REF!</v>
      </c>
      <c r="N149" s="849">
        <f>L13</f>
        <v>0</v>
      </c>
      <c r="O149" s="890" t="e">
        <f t="shared" si="44"/>
        <v>#REF!</v>
      </c>
      <c r="P149" s="849" t="e">
        <f t="shared" si="45"/>
        <v>#REF!</v>
      </c>
      <c r="Q149" s="890" t="e">
        <f t="shared" si="46"/>
        <v>#REF!</v>
      </c>
      <c r="R149" s="849">
        <f>R13</f>
        <v>0</v>
      </c>
      <c r="S149" s="890" t="e">
        <f t="shared" si="47"/>
        <v>#REF!</v>
      </c>
      <c r="T149" s="849">
        <f>J13</f>
        <v>0</v>
      </c>
      <c r="U149" s="890" t="e">
        <f t="shared" si="48"/>
        <v>#REF!</v>
      </c>
      <c r="V149" s="849">
        <f>K13</f>
        <v>0</v>
      </c>
      <c r="W149" s="890" t="e">
        <f t="shared" si="49"/>
        <v>#REF!</v>
      </c>
      <c r="X149" s="931" t="e">
        <f t="shared" si="50"/>
        <v>#REF!</v>
      </c>
      <c r="Y149" s="932" t="e">
        <f t="shared" si="51"/>
        <v>#REF!</v>
      </c>
      <c r="Z149" s="932" t="e">
        <f t="shared" si="52"/>
        <v>#REF!</v>
      </c>
      <c r="AA149" s="933" t="e">
        <f>I13</f>
        <v>#REF!</v>
      </c>
      <c r="AB149" s="933">
        <f t="shared" si="55"/>
        <v>787.22417947956865</v>
      </c>
      <c r="AC149" s="933">
        <f t="shared" si="55"/>
        <v>7745.8888191376991</v>
      </c>
      <c r="AD149" s="933">
        <f t="shared" si="55"/>
        <v>7563.2539765804677</v>
      </c>
      <c r="AE149" s="933" t="e">
        <f t="shared" si="55"/>
        <v>#REF!</v>
      </c>
      <c r="AF149" s="933" t="e">
        <f t="shared" si="55"/>
        <v>#REF!</v>
      </c>
    </row>
    <row r="150" spans="2:32" x14ac:dyDescent="0.3">
      <c r="B150" s="848" t="s">
        <v>29</v>
      </c>
      <c r="C150" s="849" t="e">
        <f t="shared" si="56"/>
        <v>#REF!</v>
      </c>
      <c r="D150" s="849" t="e">
        <f t="shared" si="56"/>
        <v>#REF!</v>
      </c>
      <c r="E150" s="890" t="e">
        <f>E64</f>
        <v>#REF!</v>
      </c>
      <c r="F150" s="849">
        <f>F14</f>
        <v>0</v>
      </c>
      <c r="G150" s="890" t="e">
        <f t="shared" si="39"/>
        <v>#REF!</v>
      </c>
      <c r="H150" s="849" t="e">
        <f>G14</f>
        <v>#REF!</v>
      </c>
      <c r="I150" s="890" t="e">
        <f t="shared" si="40"/>
        <v>#REF!</v>
      </c>
      <c r="J150" s="849">
        <f>H14</f>
        <v>0</v>
      </c>
      <c r="K150" s="890" t="e">
        <f t="shared" si="41"/>
        <v>#REF!</v>
      </c>
      <c r="L150" s="849" t="e">
        <f t="shared" si="42"/>
        <v>#REF!</v>
      </c>
      <c r="M150" s="890" t="e">
        <f t="shared" si="43"/>
        <v>#REF!</v>
      </c>
      <c r="N150" s="849">
        <f>L14</f>
        <v>0</v>
      </c>
      <c r="O150" s="890" t="e">
        <f t="shared" si="44"/>
        <v>#REF!</v>
      </c>
      <c r="P150" s="849" t="e">
        <f t="shared" si="45"/>
        <v>#REF!</v>
      </c>
      <c r="Q150" s="890" t="e">
        <f t="shared" si="46"/>
        <v>#REF!</v>
      </c>
      <c r="R150" s="849">
        <f>R14</f>
        <v>0</v>
      </c>
      <c r="S150" s="890" t="e">
        <f t="shared" si="47"/>
        <v>#REF!</v>
      </c>
      <c r="T150" s="849">
        <f>J14</f>
        <v>0</v>
      </c>
      <c r="U150" s="890" t="e">
        <f t="shared" si="48"/>
        <v>#REF!</v>
      </c>
      <c r="V150" s="849">
        <f>K14</f>
        <v>0</v>
      </c>
      <c r="W150" s="890" t="e">
        <f t="shared" si="49"/>
        <v>#REF!</v>
      </c>
      <c r="X150" s="931" t="e">
        <f t="shared" si="50"/>
        <v>#REF!</v>
      </c>
      <c r="Y150" s="932" t="e">
        <f t="shared" si="51"/>
        <v>#REF!</v>
      </c>
      <c r="Z150" s="932" t="e">
        <f t="shared" si="52"/>
        <v>#REF!</v>
      </c>
      <c r="AA150" s="933" t="e">
        <f>I14</f>
        <v>#REF!</v>
      </c>
      <c r="AB150" s="933">
        <f t="shared" si="55"/>
        <v>225.25766643392149</v>
      </c>
      <c r="AC150" s="933">
        <f t="shared" si="55"/>
        <v>2216.42180885381</v>
      </c>
      <c r="AD150" s="933">
        <f t="shared" si="55"/>
        <v>2171.171818153995</v>
      </c>
      <c r="AE150" s="933" t="e">
        <f t="shared" si="55"/>
        <v>#REF!</v>
      </c>
      <c r="AF150" s="933" t="e">
        <f t="shared" si="55"/>
        <v>#REF!</v>
      </c>
    </row>
    <row r="151" spans="2:32" x14ac:dyDescent="0.3">
      <c r="B151" s="848" t="s">
        <v>33</v>
      </c>
      <c r="C151" s="849" t="e">
        <f>C66</f>
        <v>#REF!</v>
      </c>
      <c r="D151" s="849" t="e">
        <f>D66</f>
        <v>#REF!</v>
      </c>
      <c r="E151" s="890" t="e">
        <f>E66</f>
        <v>#REF!</v>
      </c>
      <c r="F151" s="849">
        <f>F16</f>
        <v>0</v>
      </c>
      <c r="G151" s="890" t="e">
        <f t="shared" si="39"/>
        <v>#REF!</v>
      </c>
      <c r="H151" s="849" t="e">
        <f>G16</f>
        <v>#REF!</v>
      </c>
      <c r="I151" s="890" t="e">
        <f t="shared" si="40"/>
        <v>#REF!</v>
      </c>
      <c r="J151" s="849">
        <f>H16</f>
        <v>0</v>
      </c>
      <c r="K151" s="890" t="e">
        <f t="shared" si="41"/>
        <v>#REF!</v>
      </c>
      <c r="L151" s="849" t="e">
        <f t="shared" si="42"/>
        <v>#REF!</v>
      </c>
      <c r="M151" s="890" t="e">
        <f t="shared" si="43"/>
        <v>#REF!</v>
      </c>
      <c r="N151" s="849">
        <f>L16</f>
        <v>0</v>
      </c>
      <c r="O151" s="890" t="e">
        <f t="shared" si="44"/>
        <v>#REF!</v>
      </c>
      <c r="P151" s="849">
        <f t="shared" si="45"/>
        <v>6.9293612000000007</v>
      </c>
      <c r="Q151" s="890" t="e">
        <f t="shared" si="46"/>
        <v>#REF!</v>
      </c>
      <c r="R151" s="849" t="e">
        <f>R16</f>
        <v>#REF!</v>
      </c>
      <c r="S151" s="890" t="e">
        <f t="shared" si="47"/>
        <v>#REF!</v>
      </c>
      <c r="T151" s="849">
        <f>J16</f>
        <v>0</v>
      </c>
      <c r="U151" s="890" t="e">
        <f t="shared" si="48"/>
        <v>#REF!</v>
      </c>
      <c r="V151" s="849">
        <f>K16</f>
        <v>0</v>
      </c>
      <c r="W151" s="890" t="e">
        <f t="shared" si="49"/>
        <v>#REF!</v>
      </c>
      <c r="X151" s="931" t="e">
        <f t="shared" si="50"/>
        <v>#REF!</v>
      </c>
      <c r="Y151" s="932" t="e">
        <f t="shared" si="51"/>
        <v>#REF!</v>
      </c>
      <c r="Z151" s="932" t="e">
        <f t="shared" si="52"/>
        <v>#REF!</v>
      </c>
      <c r="AA151" s="933" t="e">
        <f>I16</f>
        <v>#REF!</v>
      </c>
      <c r="AB151" s="933">
        <f>M16</f>
        <v>0</v>
      </c>
      <c r="AC151" s="933">
        <f>N16</f>
        <v>0</v>
      </c>
      <c r="AD151" s="933">
        <f>O16</f>
        <v>0</v>
      </c>
      <c r="AE151" s="933">
        <f>P16</f>
        <v>6.9293612000000007</v>
      </c>
      <c r="AF151" s="933">
        <f>Q16</f>
        <v>0</v>
      </c>
    </row>
    <row r="152" spans="2:32" x14ac:dyDescent="0.3">
      <c r="B152" s="848" t="s">
        <v>73</v>
      </c>
      <c r="C152" s="849" t="e">
        <f t="shared" ref="C152:E153" si="57">C68</f>
        <v>#REF!</v>
      </c>
      <c r="D152" s="849" t="e">
        <f t="shared" si="57"/>
        <v>#REF!</v>
      </c>
      <c r="E152" s="890" t="e">
        <f t="shared" si="57"/>
        <v>#REF!</v>
      </c>
      <c r="F152" s="849">
        <f>F18</f>
        <v>0</v>
      </c>
      <c r="G152" s="890" t="e">
        <f t="shared" si="39"/>
        <v>#REF!</v>
      </c>
      <c r="H152" s="849" t="e">
        <f>G18</f>
        <v>#REF!</v>
      </c>
      <c r="I152" s="890" t="e">
        <f t="shared" si="40"/>
        <v>#REF!</v>
      </c>
      <c r="J152" s="849">
        <f>H18</f>
        <v>0</v>
      </c>
      <c r="K152" s="890" t="e">
        <f t="shared" si="41"/>
        <v>#REF!</v>
      </c>
      <c r="L152" s="849" t="e">
        <f t="shared" si="42"/>
        <v>#REF!</v>
      </c>
      <c r="M152" s="890" t="e">
        <f t="shared" si="43"/>
        <v>#REF!</v>
      </c>
      <c r="N152" s="849">
        <f>L18</f>
        <v>0</v>
      </c>
      <c r="O152" s="890" t="e">
        <f t="shared" si="44"/>
        <v>#REF!</v>
      </c>
      <c r="P152" s="849" t="e">
        <f t="shared" si="45"/>
        <v>#REF!</v>
      </c>
      <c r="Q152" s="890" t="e">
        <f t="shared" si="46"/>
        <v>#REF!</v>
      </c>
      <c r="R152" s="849">
        <f>R18</f>
        <v>0</v>
      </c>
      <c r="S152" s="890" t="e">
        <f t="shared" si="47"/>
        <v>#REF!</v>
      </c>
      <c r="T152" s="849">
        <f>J18</f>
        <v>0</v>
      </c>
      <c r="U152" s="890" t="e">
        <f t="shared" si="48"/>
        <v>#REF!</v>
      </c>
      <c r="V152" s="849">
        <f>K18</f>
        <v>0</v>
      </c>
      <c r="W152" s="890" t="e">
        <f t="shared" si="49"/>
        <v>#REF!</v>
      </c>
      <c r="X152" s="931" t="e">
        <f t="shared" si="50"/>
        <v>#REF!</v>
      </c>
      <c r="Y152" s="932" t="e">
        <f t="shared" si="51"/>
        <v>#REF!</v>
      </c>
      <c r="Z152" s="932" t="e">
        <f t="shared" si="52"/>
        <v>#REF!</v>
      </c>
      <c r="AA152" s="933" t="e">
        <f>I18</f>
        <v>#REF!</v>
      </c>
      <c r="AB152" s="933">
        <f t="shared" ref="AB152:AF153" si="58">M18</f>
        <v>0</v>
      </c>
      <c r="AC152" s="933">
        <f t="shared" si="58"/>
        <v>0</v>
      </c>
      <c r="AD152" s="933">
        <f t="shared" si="58"/>
        <v>205.99524475738502</v>
      </c>
      <c r="AE152" s="933" t="e">
        <f t="shared" si="58"/>
        <v>#REF!</v>
      </c>
      <c r="AF152" s="933" t="e">
        <f t="shared" si="58"/>
        <v>#REF!</v>
      </c>
    </row>
    <row r="153" spans="2:32" x14ac:dyDescent="0.3">
      <c r="B153" s="848" t="s">
        <v>74</v>
      </c>
      <c r="C153" s="849" t="e">
        <f t="shared" si="57"/>
        <v>#REF!</v>
      </c>
      <c r="D153" s="849" t="e">
        <f t="shared" si="57"/>
        <v>#REF!</v>
      </c>
      <c r="E153" s="890" t="e">
        <f t="shared" si="57"/>
        <v>#REF!</v>
      </c>
      <c r="F153" s="849">
        <f>F19</f>
        <v>0</v>
      </c>
      <c r="G153" s="890" t="e">
        <f t="shared" si="39"/>
        <v>#REF!</v>
      </c>
      <c r="H153" s="849" t="e">
        <f>G19</f>
        <v>#REF!</v>
      </c>
      <c r="I153" s="890" t="e">
        <f t="shared" si="40"/>
        <v>#REF!</v>
      </c>
      <c r="J153" s="849">
        <f>H19</f>
        <v>0</v>
      </c>
      <c r="K153" s="890" t="e">
        <f t="shared" si="41"/>
        <v>#REF!</v>
      </c>
      <c r="L153" s="849" t="e">
        <f t="shared" si="42"/>
        <v>#REF!</v>
      </c>
      <c r="M153" s="890" t="e">
        <f t="shared" si="43"/>
        <v>#REF!</v>
      </c>
      <c r="N153" s="849">
        <f>L19</f>
        <v>0</v>
      </c>
      <c r="O153" s="890" t="e">
        <f t="shared" si="44"/>
        <v>#REF!</v>
      </c>
      <c r="P153" s="849">
        <f t="shared" si="45"/>
        <v>0</v>
      </c>
      <c r="Q153" s="890" t="e">
        <f t="shared" si="46"/>
        <v>#REF!</v>
      </c>
      <c r="R153" s="849">
        <f>R19</f>
        <v>0</v>
      </c>
      <c r="S153" s="890" t="e">
        <f t="shared" si="47"/>
        <v>#REF!</v>
      </c>
      <c r="T153" s="849">
        <f>J19</f>
        <v>0</v>
      </c>
      <c r="U153" s="890" t="e">
        <f t="shared" si="48"/>
        <v>#REF!</v>
      </c>
      <c r="V153" s="849">
        <f>K19</f>
        <v>0</v>
      </c>
      <c r="W153" s="890" t="e">
        <f t="shared" si="49"/>
        <v>#REF!</v>
      </c>
      <c r="X153" s="931" t="e">
        <f t="shared" si="50"/>
        <v>#REF!</v>
      </c>
      <c r="Y153" s="932" t="e">
        <f t="shared" si="51"/>
        <v>#REF!</v>
      </c>
      <c r="Z153" s="932" t="e">
        <f t="shared" si="52"/>
        <v>#REF!</v>
      </c>
      <c r="AA153" s="933" t="e">
        <f>I19</f>
        <v>#REF!</v>
      </c>
      <c r="AB153" s="933">
        <f t="shared" si="58"/>
        <v>0</v>
      </c>
      <c r="AC153" s="933">
        <f t="shared" si="58"/>
        <v>0</v>
      </c>
      <c r="AD153" s="933">
        <f t="shared" si="58"/>
        <v>0</v>
      </c>
      <c r="AE153" s="933">
        <f t="shared" si="58"/>
        <v>0</v>
      </c>
      <c r="AF153" s="933">
        <f t="shared" si="58"/>
        <v>0</v>
      </c>
    </row>
    <row r="154" spans="2:32" x14ac:dyDescent="0.3">
      <c r="B154" s="848" t="s">
        <v>35</v>
      </c>
      <c r="C154" s="849" t="e">
        <f>C85</f>
        <v>#REF!</v>
      </c>
      <c r="D154" s="849" t="e">
        <f>D85</f>
        <v>#REF!</v>
      </c>
      <c r="E154" s="890" t="e">
        <f>E85</f>
        <v>#REF!</v>
      </c>
      <c r="F154" s="849" t="e">
        <f>F43</f>
        <v>#REF!</v>
      </c>
      <c r="G154" s="890" t="e">
        <f t="shared" si="39"/>
        <v>#REF!</v>
      </c>
      <c r="H154" s="849" t="e">
        <f>G43</f>
        <v>#REF!</v>
      </c>
      <c r="I154" s="890" t="e">
        <f t="shared" si="40"/>
        <v>#REF!</v>
      </c>
      <c r="J154" s="849">
        <f>H43</f>
        <v>0</v>
      </c>
      <c r="K154" s="890" t="e">
        <f t="shared" si="41"/>
        <v>#REF!</v>
      </c>
      <c r="L154" s="849" t="e">
        <f t="shared" si="42"/>
        <v>#REF!</v>
      </c>
      <c r="M154" s="890" t="e">
        <f t="shared" si="43"/>
        <v>#REF!</v>
      </c>
      <c r="N154" s="849">
        <f>L43</f>
        <v>0</v>
      </c>
      <c r="O154" s="890" t="e">
        <f t="shared" si="44"/>
        <v>#REF!</v>
      </c>
      <c r="P154" s="849" t="e">
        <f t="shared" si="45"/>
        <v>#REF!</v>
      </c>
      <c r="Q154" s="890" t="e">
        <f t="shared" si="46"/>
        <v>#REF!</v>
      </c>
      <c r="R154" s="849">
        <f>R43</f>
        <v>0</v>
      </c>
      <c r="S154" s="890" t="e">
        <f t="shared" si="47"/>
        <v>#REF!</v>
      </c>
      <c r="T154" s="849">
        <f>J43</f>
        <v>0</v>
      </c>
      <c r="U154" s="890" t="e">
        <f t="shared" si="48"/>
        <v>#REF!</v>
      </c>
      <c r="V154" s="849">
        <f>K43</f>
        <v>0</v>
      </c>
      <c r="W154" s="890" t="e">
        <f t="shared" si="49"/>
        <v>#REF!</v>
      </c>
      <c r="X154" s="931" t="e">
        <f t="shared" si="50"/>
        <v>#REF!</v>
      </c>
      <c r="Y154" s="932" t="e">
        <f t="shared" si="51"/>
        <v>#REF!</v>
      </c>
      <c r="Z154" s="932" t="e">
        <f t="shared" si="52"/>
        <v>#REF!</v>
      </c>
      <c r="AA154" s="933" t="e">
        <f>I43</f>
        <v>#REF!</v>
      </c>
      <c r="AB154" s="933">
        <f>M43</f>
        <v>0</v>
      </c>
      <c r="AC154" s="933">
        <f>N43</f>
        <v>0</v>
      </c>
      <c r="AD154" s="933">
        <f>O43</f>
        <v>3832.2677838818404</v>
      </c>
      <c r="AE154" s="933" t="e">
        <f>P43</f>
        <v>#REF!</v>
      </c>
      <c r="AF154" s="933" t="e">
        <f>Q43</f>
        <v>#REF!</v>
      </c>
    </row>
    <row r="155" spans="2:32" x14ac:dyDescent="0.3">
      <c r="B155" s="848" t="s">
        <v>143</v>
      </c>
      <c r="C155" s="849" t="e">
        <f t="shared" ref="C155:E157" si="59">C71</f>
        <v>#REF!</v>
      </c>
      <c r="D155" s="849" t="e">
        <f t="shared" si="59"/>
        <v>#REF!</v>
      </c>
      <c r="E155" s="890" t="e">
        <f t="shared" si="59"/>
        <v>#REF!</v>
      </c>
      <c r="F155" s="849" t="e">
        <f>F21</f>
        <v>#REF!</v>
      </c>
      <c r="G155" s="890" t="e">
        <f t="shared" si="39"/>
        <v>#REF!</v>
      </c>
      <c r="H155" s="849" t="e">
        <f>G21</f>
        <v>#REF!</v>
      </c>
      <c r="I155" s="890" t="e">
        <f t="shared" si="40"/>
        <v>#REF!</v>
      </c>
      <c r="J155" s="849">
        <f>H21</f>
        <v>0</v>
      </c>
      <c r="K155" s="890" t="e">
        <f t="shared" si="41"/>
        <v>#REF!</v>
      </c>
      <c r="L155" s="849" t="e">
        <f t="shared" si="42"/>
        <v>#REF!</v>
      </c>
      <c r="M155" s="890" t="e">
        <f t="shared" si="43"/>
        <v>#REF!</v>
      </c>
      <c r="N155" s="849">
        <f>L21</f>
        <v>0</v>
      </c>
      <c r="O155" s="890" t="e">
        <f t="shared" si="44"/>
        <v>#REF!</v>
      </c>
      <c r="P155" s="849" t="e">
        <f t="shared" si="45"/>
        <v>#REF!</v>
      </c>
      <c r="Q155" s="890" t="e">
        <f t="shared" si="46"/>
        <v>#REF!</v>
      </c>
      <c r="R155" s="849">
        <f>R21</f>
        <v>0</v>
      </c>
      <c r="S155" s="890" t="e">
        <f t="shared" si="47"/>
        <v>#REF!</v>
      </c>
      <c r="T155" s="849">
        <f>J21</f>
        <v>0</v>
      </c>
      <c r="U155" s="890" t="e">
        <f t="shared" si="48"/>
        <v>#REF!</v>
      </c>
      <c r="V155" s="849">
        <f>K21</f>
        <v>0</v>
      </c>
      <c r="W155" s="890" t="e">
        <f t="shared" si="49"/>
        <v>#REF!</v>
      </c>
      <c r="X155" s="931" t="e">
        <f t="shared" si="50"/>
        <v>#REF!</v>
      </c>
      <c r="Y155" s="932" t="e">
        <f t="shared" si="51"/>
        <v>#REF!</v>
      </c>
      <c r="Z155" s="932" t="e">
        <f t="shared" si="52"/>
        <v>#REF!</v>
      </c>
      <c r="AA155" s="933" t="e">
        <f>I21</f>
        <v>#REF!</v>
      </c>
      <c r="AB155" s="933">
        <f t="shared" ref="AB155:AF157" si="60">M21</f>
        <v>0</v>
      </c>
      <c r="AC155" s="933">
        <f t="shared" si="60"/>
        <v>0</v>
      </c>
      <c r="AD155" s="933">
        <f t="shared" si="60"/>
        <v>301.21745127812773</v>
      </c>
      <c r="AE155" s="933" t="e">
        <f t="shared" si="60"/>
        <v>#REF!</v>
      </c>
      <c r="AF155" s="933" t="e">
        <f t="shared" si="60"/>
        <v>#REF!</v>
      </c>
    </row>
    <row r="156" spans="2:32" x14ac:dyDescent="0.3">
      <c r="B156" s="848" t="s">
        <v>76</v>
      </c>
      <c r="C156" s="849" t="e">
        <f t="shared" si="59"/>
        <v>#REF!</v>
      </c>
      <c r="D156" s="849" t="e">
        <f t="shared" si="59"/>
        <v>#REF!</v>
      </c>
      <c r="E156" s="890" t="e">
        <f t="shared" si="59"/>
        <v>#REF!</v>
      </c>
      <c r="F156" s="849" t="e">
        <f>F22</f>
        <v>#REF!</v>
      </c>
      <c r="G156" s="890" t="e">
        <f t="shared" si="39"/>
        <v>#REF!</v>
      </c>
      <c r="H156" s="849" t="e">
        <f>G22</f>
        <v>#REF!</v>
      </c>
      <c r="I156" s="890" t="e">
        <f t="shared" si="40"/>
        <v>#REF!</v>
      </c>
      <c r="J156" s="849">
        <f>H22</f>
        <v>0</v>
      </c>
      <c r="K156" s="890" t="e">
        <f t="shared" si="41"/>
        <v>#REF!</v>
      </c>
      <c r="L156" s="849" t="e">
        <f t="shared" si="42"/>
        <v>#REF!</v>
      </c>
      <c r="M156" s="890" t="e">
        <f t="shared" si="43"/>
        <v>#REF!</v>
      </c>
      <c r="N156" s="849">
        <f>L22</f>
        <v>0</v>
      </c>
      <c r="O156" s="890" t="e">
        <f t="shared" si="44"/>
        <v>#REF!</v>
      </c>
      <c r="P156" s="849" t="e">
        <f t="shared" si="45"/>
        <v>#REF!</v>
      </c>
      <c r="Q156" s="890" t="e">
        <f t="shared" si="46"/>
        <v>#REF!</v>
      </c>
      <c r="R156" s="849">
        <f>R22</f>
        <v>0</v>
      </c>
      <c r="S156" s="890" t="e">
        <f t="shared" si="47"/>
        <v>#REF!</v>
      </c>
      <c r="T156" s="849">
        <f>J22</f>
        <v>0</v>
      </c>
      <c r="U156" s="890" t="e">
        <f t="shared" si="48"/>
        <v>#REF!</v>
      </c>
      <c r="V156" s="849">
        <f>K22</f>
        <v>0</v>
      </c>
      <c r="W156" s="890" t="e">
        <f t="shared" si="49"/>
        <v>#REF!</v>
      </c>
      <c r="X156" s="931" t="e">
        <f t="shared" si="50"/>
        <v>#REF!</v>
      </c>
      <c r="Y156" s="932" t="e">
        <f t="shared" si="51"/>
        <v>#REF!</v>
      </c>
      <c r="Z156" s="932" t="e">
        <f t="shared" si="52"/>
        <v>#REF!</v>
      </c>
      <c r="AA156" s="933" t="e">
        <f>I22</f>
        <v>#REF!</v>
      </c>
      <c r="AB156" s="933">
        <f t="shared" si="60"/>
        <v>0</v>
      </c>
      <c r="AC156" s="933">
        <f t="shared" si="60"/>
        <v>0</v>
      </c>
      <c r="AD156" s="933">
        <f t="shared" si="60"/>
        <v>0</v>
      </c>
      <c r="AE156" s="933" t="e">
        <f t="shared" si="60"/>
        <v>#REF!</v>
      </c>
      <c r="AF156" s="933" t="e">
        <f t="shared" si="60"/>
        <v>#REF!</v>
      </c>
    </row>
    <row r="157" spans="2:32" x14ac:dyDescent="0.3">
      <c r="B157" s="848" t="s">
        <v>309</v>
      </c>
      <c r="C157" s="849" t="e">
        <f t="shared" si="59"/>
        <v>#REF!</v>
      </c>
      <c r="D157" s="849" t="e">
        <f t="shared" si="59"/>
        <v>#REF!</v>
      </c>
      <c r="E157" s="890" t="e">
        <f t="shared" si="59"/>
        <v>#REF!</v>
      </c>
      <c r="F157" s="849">
        <f>F23</f>
        <v>0</v>
      </c>
      <c r="G157" s="890" t="e">
        <f t="shared" si="39"/>
        <v>#REF!</v>
      </c>
      <c r="H157" s="849" t="e">
        <f>G23</f>
        <v>#REF!</v>
      </c>
      <c r="I157" s="890" t="e">
        <f t="shared" si="40"/>
        <v>#REF!</v>
      </c>
      <c r="J157" s="849">
        <f>H23</f>
        <v>0</v>
      </c>
      <c r="K157" s="890" t="e">
        <f t="shared" si="41"/>
        <v>#REF!</v>
      </c>
      <c r="L157" s="849" t="e">
        <f t="shared" si="42"/>
        <v>#REF!</v>
      </c>
      <c r="M157" s="890" t="e">
        <f t="shared" si="43"/>
        <v>#REF!</v>
      </c>
      <c r="N157" s="849">
        <f>L23</f>
        <v>0</v>
      </c>
      <c r="O157" s="890" t="e">
        <f t="shared" si="44"/>
        <v>#REF!</v>
      </c>
      <c r="P157" s="849" t="e">
        <f t="shared" si="45"/>
        <v>#REF!</v>
      </c>
      <c r="Q157" s="890" t="e">
        <f t="shared" si="46"/>
        <v>#REF!</v>
      </c>
      <c r="R157" s="849">
        <f>R23</f>
        <v>0</v>
      </c>
      <c r="S157" s="890" t="e">
        <f t="shared" si="47"/>
        <v>#REF!</v>
      </c>
      <c r="T157" s="849">
        <f>J23</f>
        <v>0</v>
      </c>
      <c r="U157" s="890" t="e">
        <f t="shared" si="48"/>
        <v>#REF!</v>
      </c>
      <c r="V157" s="849">
        <f>K23</f>
        <v>0</v>
      </c>
      <c r="W157" s="890" t="e">
        <f t="shared" si="49"/>
        <v>#REF!</v>
      </c>
      <c r="X157" s="931" t="e">
        <f t="shared" si="50"/>
        <v>#REF!</v>
      </c>
      <c r="Y157" s="932" t="e">
        <f t="shared" si="51"/>
        <v>#REF!</v>
      </c>
      <c r="Z157" s="932" t="e">
        <f t="shared" si="52"/>
        <v>#REF!</v>
      </c>
      <c r="AA157" s="933" t="e">
        <f>I23</f>
        <v>#REF!</v>
      </c>
      <c r="AB157" s="933">
        <f t="shared" si="60"/>
        <v>0</v>
      </c>
      <c r="AC157" s="933">
        <f t="shared" si="60"/>
        <v>0</v>
      </c>
      <c r="AD157" s="933">
        <f t="shared" si="60"/>
        <v>0</v>
      </c>
      <c r="AE157" s="933" t="e">
        <f t="shared" si="60"/>
        <v>#REF!</v>
      </c>
      <c r="AF157" s="933" t="e">
        <f t="shared" si="60"/>
        <v>#REF!</v>
      </c>
    </row>
    <row r="158" spans="2:32" x14ac:dyDescent="0.3">
      <c r="B158" s="848" t="s">
        <v>119</v>
      </c>
      <c r="C158" s="849" t="e">
        <f>C87</f>
        <v>#REF!</v>
      </c>
      <c r="D158" s="849" t="e">
        <f>D87</f>
        <v>#REF!</v>
      </c>
      <c r="E158" s="890" t="e">
        <f>E87</f>
        <v>#REF!</v>
      </c>
      <c r="F158" s="849">
        <f>F45</f>
        <v>0</v>
      </c>
      <c r="G158" s="890" t="e">
        <f t="shared" si="39"/>
        <v>#REF!</v>
      </c>
      <c r="H158" s="849">
        <f>G45</f>
        <v>11.7</v>
      </c>
      <c r="I158" s="890" t="e">
        <f t="shared" si="40"/>
        <v>#REF!</v>
      </c>
      <c r="J158" s="849">
        <f>H45</f>
        <v>0</v>
      </c>
      <c r="K158" s="890" t="e">
        <f t="shared" si="41"/>
        <v>#REF!</v>
      </c>
      <c r="L158" s="849">
        <f t="shared" si="42"/>
        <v>19163.603188556626</v>
      </c>
      <c r="M158" s="890" t="e">
        <f t="shared" si="43"/>
        <v>#REF!</v>
      </c>
      <c r="N158" s="849">
        <f>L45</f>
        <v>0</v>
      </c>
      <c r="O158" s="890" t="e">
        <f t="shared" si="44"/>
        <v>#REF!</v>
      </c>
      <c r="P158" s="849" t="e">
        <f t="shared" si="45"/>
        <v>#REF!</v>
      </c>
      <c r="Q158" s="890" t="e">
        <f t="shared" si="46"/>
        <v>#REF!</v>
      </c>
      <c r="R158" s="849">
        <f>R45</f>
        <v>0</v>
      </c>
      <c r="S158" s="890" t="e">
        <f t="shared" si="47"/>
        <v>#REF!</v>
      </c>
      <c r="T158" s="849">
        <f>J45</f>
        <v>0</v>
      </c>
      <c r="U158" s="890" t="e">
        <f t="shared" si="48"/>
        <v>#REF!</v>
      </c>
      <c r="V158" s="849">
        <f>K45</f>
        <v>0</v>
      </c>
      <c r="W158" s="890" t="e">
        <f t="shared" si="49"/>
        <v>#REF!</v>
      </c>
      <c r="X158" s="931" t="e">
        <f t="shared" si="50"/>
        <v>#REF!</v>
      </c>
      <c r="Y158" s="932" t="e">
        <f t="shared" si="51"/>
        <v>#REF!</v>
      </c>
      <c r="Z158" s="932" t="e">
        <f t="shared" si="52"/>
        <v>#REF!</v>
      </c>
      <c r="AA158" s="933">
        <f>I45</f>
        <v>1080.6623852982998</v>
      </c>
      <c r="AB158" s="933">
        <f>M45</f>
        <v>1089.7440096718851</v>
      </c>
      <c r="AC158" s="933">
        <f>N45</f>
        <v>10722.531345289826</v>
      </c>
      <c r="AD158" s="933">
        <f>O45</f>
        <v>16993.196793586441</v>
      </c>
      <c r="AE158" s="933" t="e">
        <f>P45</f>
        <v>#REF!</v>
      </c>
      <c r="AF158" s="933" t="e">
        <f>Q45</f>
        <v>#REF!</v>
      </c>
    </row>
    <row r="159" spans="2:32" s="39" customFormat="1" x14ac:dyDescent="0.3">
      <c r="B159" s="891" t="s">
        <v>427</v>
      </c>
      <c r="C159" s="892" t="e">
        <f>SUM(C139:C158)</f>
        <v>#REF!</v>
      </c>
      <c r="D159" s="892" t="e">
        <f>SUM(D139:D158)</f>
        <v>#REF!</v>
      </c>
      <c r="E159" s="934" t="e">
        <f>D159/$C$159</f>
        <v>#REF!</v>
      </c>
      <c r="F159" s="892" t="e">
        <f>SUM(F139:F158)</f>
        <v>#REF!</v>
      </c>
      <c r="G159" s="934" t="e">
        <f>F159/$C$159</f>
        <v>#REF!</v>
      </c>
      <c r="H159" s="892" t="e">
        <f>SUM(H139:H158)</f>
        <v>#REF!</v>
      </c>
      <c r="I159" s="934" t="e">
        <f>H159/$C$159</f>
        <v>#REF!</v>
      </c>
      <c r="J159" s="892" t="e">
        <f>SUM(J139:J158)</f>
        <v>#REF!</v>
      </c>
      <c r="K159" s="934" t="e">
        <f>J159/$C$159</f>
        <v>#REF!</v>
      </c>
      <c r="L159" s="892" t="e">
        <f>SUM(L139:L158)</f>
        <v>#REF!</v>
      </c>
      <c r="M159" s="934" t="e">
        <f>L159/$C$159</f>
        <v>#REF!</v>
      </c>
      <c r="N159" s="892" t="e">
        <f>SUM(N139:N158)</f>
        <v>#REF!</v>
      </c>
      <c r="O159" s="934" t="e">
        <f>N159/$C$159</f>
        <v>#REF!</v>
      </c>
      <c r="P159" s="892" t="e">
        <f>SUM(P139:P158)</f>
        <v>#REF!</v>
      </c>
      <c r="Q159" s="934" t="e">
        <f>P159/$C$159</f>
        <v>#REF!</v>
      </c>
      <c r="R159" s="892" t="e">
        <f>SUM(R139:R158)</f>
        <v>#REF!</v>
      </c>
      <c r="S159" s="934" t="e">
        <f>R159/$C$159</f>
        <v>#REF!</v>
      </c>
      <c r="T159" s="935">
        <f>SUM(T139:T158)</f>
        <v>27930.392727925126</v>
      </c>
      <c r="U159" s="936" t="e">
        <f>T159/C159</f>
        <v>#REF!</v>
      </c>
      <c r="V159" s="935" t="e">
        <f>SUM(V139:V158)</f>
        <v>#REF!</v>
      </c>
      <c r="W159" s="936" t="e">
        <f t="shared" si="49"/>
        <v>#REF!</v>
      </c>
      <c r="X159" s="937" t="e">
        <f t="shared" si="50"/>
        <v>#REF!</v>
      </c>
      <c r="Y159" s="938" t="e">
        <f t="shared" si="51"/>
        <v>#REF!</v>
      </c>
      <c r="Z159" s="938" t="e">
        <f t="shared" si="52"/>
        <v>#REF!</v>
      </c>
      <c r="AA159" s="939" t="e">
        <f t="shared" ref="AA159:AF159" si="61">SUM(AA139:AA158)</f>
        <v>#REF!</v>
      </c>
      <c r="AB159" s="939">
        <f t="shared" si="61"/>
        <v>6201.6019410988902</v>
      </c>
      <c r="AC159" s="939">
        <f t="shared" si="61"/>
        <v>63868.031226334526</v>
      </c>
      <c r="AD159" s="939">
        <f t="shared" si="61"/>
        <v>148024.54580745366</v>
      </c>
      <c r="AE159" s="939" t="e">
        <f t="shared" si="61"/>
        <v>#REF!</v>
      </c>
      <c r="AF159" s="939" t="e">
        <f t="shared" si="61"/>
        <v>#REF!</v>
      </c>
    </row>
    <row r="162" spans="2:19" x14ac:dyDescent="0.3">
      <c r="P162" s="3"/>
    </row>
    <row r="164" spans="2:19" ht="18" customHeight="1" x14ac:dyDescent="0.3">
      <c r="B164" s="940" t="s">
        <v>518</v>
      </c>
    </row>
    <row r="167" spans="2:19" ht="14.1" customHeight="1" x14ac:dyDescent="0.3">
      <c r="B167" s="3858" t="s">
        <v>336</v>
      </c>
      <c r="C167" s="3858" t="s">
        <v>580</v>
      </c>
      <c r="D167" s="3859" t="s">
        <v>469</v>
      </c>
      <c r="E167" s="3860" t="s">
        <v>493</v>
      </c>
      <c r="F167" s="3861"/>
      <c r="G167" s="3861"/>
      <c r="H167" s="3861"/>
      <c r="I167" s="3861"/>
      <c r="J167" s="3861"/>
      <c r="K167" s="3861"/>
      <c r="L167" s="3861"/>
      <c r="M167" s="3861"/>
      <c r="N167" s="3861"/>
      <c r="O167" s="3861"/>
      <c r="P167" s="3861"/>
      <c r="Q167" s="3862"/>
    </row>
    <row r="168" spans="2:19" ht="69" customHeight="1" x14ac:dyDescent="0.3">
      <c r="B168" s="3858"/>
      <c r="C168" s="3858"/>
      <c r="D168" s="3859"/>
      <c r="E168" s="847" t="s">
        <v>436</v>
      </c>
      <c r="F168" s="847" t="s">
        <v>429</v>
      </c>
      <c r="G168" s="847" t="s">
        <v>405</v>
      </c>
      <c r="H168" s="847" t="s">
        <v>534</v>
      </c>
      <c r="I168" s="847" t="s">
        <v>504</v>
      </c>
      <c r="J168" s="847" t="s">
        <v>519</v>
      </c>
      <c r="K168" s="847" t="s">
        <v>538</v>
      </c>
      <c r="L168" s="847" t="s">
        <v>498</v>
      </c>
      <c r="M168" s="847" t="s">
        <v>500</v>
      </c>
      <c r="N168" s="847" t="s">
        <v>543</v>
      </c>
      <c r="O168" s="847" t="s">
        <v>544</v>
      </c>
      <c r="P168" s="847" t="s">
        <v>502</v>
      </c>
      <c r="Q168" s="847" t="s">
        <v>506</v>
      </c>
    </row>
    <row r="169" spans="2:19" x14ac:dyDescent="0.3">
      <c r="B169" s="848" t="s">
        <v>5</v>
      </c>
      <c r="C169" s="849">
        <v>309861.14231861487</v>
      </c>
      <c r="D169" s="867">
        <v>0.23323367018923682</v>
      </c>
      <c r="E169" s="849">
        <v>0</v>
      </c>
      <c r="F169" s="849">
        <v>0</v>
      </c>
      <c r="G169" s="849">
        <v>69263.787319396331</v>
      </c>
      <c r="H169" s="849">
        <v>801.16529319999995</v>
      </c>
      <c r="I169" s="849">
        <v>21063.793831074687</v>
      </c>
      <c r="J169" s="849">
        <v>13962.769203767313</v>
      </c>
      <c r="K169" s="849">
        <v>7139.2297520867023</v>
      </c>
      <c r="L169" s="849">
        <v>0</v>
      </c>
      <c r="M169" s="849">
        <v>0</v>
      </c>
      <c r="N169" s="849">
        <v>59079.047323633902</v>
      </c>
      <c r="O169" s="849">
        <v>10053.168938319332</v>
      </c>
      <c r="P169" s="849">
        <v>74315.04837684588</v>
      </c>
      <c r="Q169" s="849">
        <v>50961.35682188232</v>
      </c>
      <c r="R169" s="3">
        <f>SUM(E169:Q169)</f>
        <v>306639.36686020647</v>
      </c>
      <c r="S169" s="17">
        <f>R169-C169</f>
        <v>-3221.7754584084032</v>
      </c>
    </row>
    <row r="170" spans="2:19" x14ac:dyDescent="0.3">
      <c r="B170" s="848" t="s">
        <v>8</v>
      </c>
      <c r="C170" s="849">
        <v>268418.71908486437</v>
      </c>
      <c r="D170" s="867">
        <v>0.64684583552339558</v>
      </c>
      <c r="E170" s="849">
        <v>0</v>
      </c>
      <c r="F170" s="849">
        <v>169300.7660034463</v>
      </c>
      <c r="G170" s="849">
        <v>0</v>
      </c>
      <c r="H170" s="849">
        <v>0</v>
      </c>
      <c r="I170" s="849">
        <v>6866.5988968504389</v>
      </c>
      <c r="J170" s="849">
        <v>0</v>
      </c>
      <c r="K170" s="849">
        <v>2142.2885404720223</v>
      </c>
      <c r="L170" s="849">
        <v>2032.8074802016481</v>
      </c>
      <c r="M170" s="849">
        <v>20001.800176873363</v>
      </c>
      <c r="N170" s="849">
        <v>31174.369932909776</v>
      </c>
      <c r="O170" s="849">
        <v>16175.788656948256</v>
      </c>
      <c r="P170" s="849">
        <v>18540.935729887351</v>
      </c>
      <c r="Q170" s="849">
        <v>0</v>
      </c>
      <c r="R170" s="3">
        <f t="shared" ref="R170:R193" si="62">SUM(E170:Q170)</f>
        <v>266235.35541758913</v>
      </c>
      <c r="S170" s="17">
        <f t="shared" ref="S170:S192" si="63">R170-C170</f>
        <v>-2183.3636672752327</v>
      </c>
    </row>
    <row r="171" spans="2:19" x14ac:dyDescent="0.3">
      <c r="B171" s="848" t="s">
        <v>304</v>
      </c>
      <c r="C171" s="849">
        <v>88183.32836203539</v>
      </c>
      <c r="D171" s="867">
        <v>0.69432932452893237</v>
      </c>
      <c r="E171" s="849">
        <v>0</v>
      </c>
      <c r="F171" s="849">
        <v>59500.360858749598</v>
      </c>
      <c r="G171" s="849">
        <v>0</v>
      </c>
      <c r="H171" s="849">
        <v>128.30598335999997</v>
      </c>
      <c r="I171" s="849">
        <v>0</v>
      </c>
      <c r="J171" s="849">
        <v>0</v>
      </c>
      <c r="K171" s="849">
        <v>0</v>
      </c>
      <c r="L171" s="849">
        <v>0</v>
      </c>
      <c r="M171" s="849">
        <v>0</v>
      </c>
      <c r="N171" s="849">
        <v>0</v>
      </c>
      <c r="O171" s="849">
        <v>19521.741153913779</v>
      </c>
      <c r="P171" s="849">
        <v>8418.1999347947349</v>
      </c>
      <c r="Q171" s="849">
        <v>0</v>
      </c>
      <c r="R171" s="3">
        <f t="shared" si="62"/>
        <v>87568.607930818107</v>
      </c>
      <c r="S171" s="17">
        <f t="shared" si="63"/>
        <v>-614.72043121728348</v>
      </c>
    </row>
    <row r="172" spans="2:19" x14ac:dyDescent="0.3">
      <c r="B172" s="848" t="s">
        <v>14</v>
      </c>
      <c r="C172" s="849">
        <v>132409.79506049567</v>
      </c>
      <c r="D172" s="867">
        <v>0.36868059804560854</v>
      </c>
      <c r="E172" s="849">
        <v>0</v>
      </c>
      <c r="F172" s="849">
        <v>44562.324432561647</v>
      </c>
      <c r="G172" s="849">
        <v>0</v>
      </c>
      <c r="H172" s="849">
        <v>3864.5870728251834</v>
      </c>
      <c r="I172" s="849">
        <v>0</v>
      </c>
      <c r="J172" s="849">
        <v>0</v>
      </c>
      <c r="K172" s="849">
        <v>0</v>
      </c>
      <c r="L172" s="849">
        <v>1675.4974533707421</v>
      </c>
      <c r="M172" s="849">
        <v>19333.446212800489</v>
      </c>
      <c r="N172" s="849">
        <v>21147.409304269786</v>
      </c>
      <c r="O172" s="849">
        <v>19290.37991111468</v>
      </c>
      <c r="P172" s="849">
        <v>21241.833355016992</v>
      </c>
      <c r="Q172" s="849">
        <v>0</v>
      </c>
      <c r="R172" s="3">
        <f t="shared" si="62"/>
        <v>131115.47774195953</v>
      </c>
      <c r="S172" s="17">
        <f t="shared" si="63"/>
        <v>-1294.3173185361375</v>
      </c>
    </row>
    <row r="173" spans="2:19" x14ac:dyDescent="0.3">
      <c r="B173" s="848" t="s">
        <v>17</v>
      </c>
      <c r="C173" s="849">
        <v>12022.562243261784</v>
      </c>
      <c r="D173" s="867">
        <v>0.17395979556455851</v>
      </c>
      <c r="E173" s="849">
        <v>0</v>
      </c>
      <c r="F173" s="849">
        <v>3382.5043228998211</v>
      </c>
      <c r="G173" s="849">
        <v>0</v>
      </c>
      <c r="H173" s="849">
        <v>0</v>
      </c>
      <c r="I173" s="849">
        <v>0</v>
      </c>
      <c r="J173" s="849">
        <v>0</v>
      </c>
      <c r="K173" s="849">
        <v>0</v>
      </c>
      <c r="L173" s="849">
        <v>0</v>
      </c>
      <c r="M173" s="849">
        <v>0</v>
      </c>
      <c r="N173" s="849">
        <v>0</v>
      </c>
      <c r="O173" s="849">
        <v>6865.4418214740581</v>
      </c>
      <c r="P173" s="849">
        <v>1617.2469920829267</v>
      </c>
      <c r="Q173" s="849">
        <v>0</v>
      </c>
      <c r="R173" s="3">
        <f t="shared" si="62"/>
        <v>11865.193136456806</v>
      </c>
      <c r="S173" s="17">
        <f t="shared" si="63"/>
        <v>-157.36910680497749</v>
      </c>
    </row>
    <row r="174" spans="2:19" x14ac:dyDescent="0.3">
      <c r="B174" s="848" t="s">
        <v>16</v>
      </c>
      <c r="C174" s="849">
        <v>26815.347622589397</v>
      </c>
      <c r="D174" s="867">
        <v>0.27724358433217677</v>
      </c>
      <c r="E174" s="849">
        <v>0</v>
      </c>
      <c r="F174" s="849">
        <v>9124.1336703127854</v>
      </c>
      <c r="G174" s="849">
        <v>0</v>
      </c>
      <c r="H174" s="849">
        <v>0</v>
      </c>
      <c r="I174" s="849">
        <v>0</v>
      </c>
      <c r="J174" s="849">
        <v>0</v>
      </c>
      <c r="K174" s="849">
        <v>0</v>
      </c>
      <c r="L174" s="849">
        <v>391.07115194112555</v>
      </c>
      <c r="M174" s="849">
        <v>3847.9428633793418</v>
      </c>
      <c r="N174" s="849">
        <v>5542.0921784019392</v>
      </c>
      <c r="O174" s="849">
        <v>1853.6087712248291</v>
      </c>
      <c r="P174" s="849">
        <v>5625.3098589081774</v>
      </c>
      <c r="Q174" s="849">
        <v>0</v>
      </c>
      <c r="R174" s="3">
        <f t="shared" si="62"/>
        <v>26384.158494168198</v>
      </c>
      <c r="S174" s="17">
        <f t="shared" si="63"/>
        <v>-431.18912842119971</v>
      </c>
    </row>
    <row r="175" spans="2:19" x14ac:dyDescent="0.3">
      <c r="B175" s="848" t="s">
        <v>308</v>
      </c>
      <c r="C175" s="849">
        <v>520.78086674054055</v>
      </c>
      <c r="D175" s="867">
        <v>0.63260499960751315</v>
      </c>
      <c r="E175" s="849">
        <v>0</v>
      </c>
      <c r="F175" s="849">
        <v>162.54992937200004</v>
      </c>
      <c r="G175" s="849">
        <v>0</v>
      </c>
      <c r="H175" s="849">
        <v>2.6355886400000004</v>
      </c>
      <c r="I175" s="849">
        <v>0</v>
      </c>
      <c r="J175" s="849">
        <v>0</v>
      </c>
      <c r="K175" s="849">
        <v>0</v>
      </c>
      <c r="L175" s="849">
        <v>0</v>
      </c>
      <c r="M175" s="849">
        <v>0</v>
      </c>
      <c r="N175" s="849">
        <v>0</v>
      </c>
      <c r="O175" s="849">
        <v>288.30552526065645</v>
      </c>
      <c r="P175" s="849">
        <v>63.834024956593495</v>
      </c>
      <c r="Q175" s="849">
        <v>0</v>
      </c>
      <c r="R175" s="3">
        <f t="shared" si="62"/>
        <v>517.32506822924995</v>
      </c>
      <c r="S175" s="17">
        <f t="shared" si="63"/>
        <v>-3.4557985112905953</v>
      </c>
    </row>
    <row r="176" spans="2:19" x14ac:dyDescent="0.3">
      <c r="B176" s="848" t="s">
        <v>44</v>
      </c>
      <c r="C176" s="849">
        <v>694.89413338626298</v>
      </c>
      <c r="D176" s="867">
        <v>0.96113621139697214</v>
      </c>
      <c r="E176" s="849">
        <v>0</v>
      </c>
      <c r="F176" s="849">
        <v>552.87761577612298</v>
      </c>
      <c r="G176" s="849">
        <v>0</v>
      </c>
      <c r="H176" s="849">
        <v>61.979998482754539</v>
      </c>
      <c r="I176" s="849">
        <v>0</v>
      </c>
      <c r="J176" s="849">
        <v>0</v>
      </c>
      <c r="K176" s="849">
        <v>0</v>
      </c>
      <c r="L176" s="849">
        <v>0</v>
      </c>
      <c r="M176" s="849">
        <v>0</v>
      </c>
      <c r="N176" s="849">
        <v>0</v>
      </c>
      <c r="O176" s="849">
        <v>53.705653344463592</v>
      </c>
      <c r="P176" s="849">
        <v>26.330865782921897</v>
      </c>
      <c r="Q176" s="849">
        <v>0</v>
      </c>
      <c r="R176" s="3">
        <f t="shared" si="62"/>
        <v>694.89413338626309</v>
      </c>
      <c r="S176" s="17">
        <f t="shared" si="63"/>
        <v>0</v>
      </c>
    </row>
    <row r="177" spans="2:19" x14ac:dyDescent="0.3">
      <c r="B177" s="848" t="s">
        <v>326</v>
      </c>
      <c r="C177" s="849">
        <v>2721.351729450339</v>
      </c>
      <c r="D177" s="867">
        <v>0.19433653944837384</v>
      </c>
      <c r="E177" s="849">
        <v>0</v>
      </c>
      <c r="F177" s="849">
        <v>528.85807772322619</v>
      </c>
      <c r="G177" s="849">
        <v>0</v>
      </c>
      <c r="H177" s="849">
        <v>0</v>
      </c>
      <c r="I177" s="849">
        <v>0</v>
      </c>
      <c r="J177" s="849">
        <v>0</v>
      </c>
      <c r="K177" s="849">
        <v>0</v>
      </c>
      <c r="L177" s="849">
        <v>0</v>
      </c>
      <c r="M177" s="849">
        <v>0</v>
      </c>
      <c r="N177" s="849">
        <v>0</v>
      </c>
      <c r="O177" s="849">
        <v>1209.4118471665022</v>
      </c>
      <c r="P177" s="849">
        <v>938.59173928152154</v>
      </c>
      <c r="Q177" s="849">
        <v>0</v>
      </c>
      <c r="R177" s="3">
        <f t="shared" si="62"/>
        <v>2676.8616641712497</v>
      </c>
      <c r="S177" s="17">
        <f t="shared" si="63"/>
        <v>-44.490065279089322</v>
      </c>
    </row>
    <row r="178" spans="2:19" x14ac:dyDescent="0.3">
      <c r="B178" s="848" t="s">
        <v>25</v>
      </c>
      <c r="C178" s="849">
        <v>40342.941190739788</v>
      </c>
      <c r="D178" s="867">
        <v>0.24138227959034508</v>
      </c>
      <c r="E178" s="849">
        <v>4816.5660013800007</v>
      </c>
      <c r="F178" s="849">
        <v>3357.9375514800004</v>
      </c>
      <c r="G178" s="849">
        <v>0</v>
      </c>
      <c r="H178" s="849">
        <v>1488.7317533400001</v>
      </c>
      <c r="I178" s="849">
        <v>0</v>
      </c>
      <c r="J178" s="849">
        <v>0</v>
      </c>
      <c r="K178" s="849">
        <v>0</v>
      </c>
      <c r="L178" s="849">
        <v>787.22417947956865</v>
      </c>
      <c r="M178" s="849">
        <v>7745.8888191376991</v>
      </c>
      <c r="N178" s="849">
        <v>7562.241976580468</v>
      </c>
      <c r="O178" s="849">
        <v>4231.4662226848932</v>
      </c>
      <c r="P178" s="849">
        <v>10066.255939690189</v>
      </c>
      <c r="Q178" s="849">
        <v>0</v>
      </c>
      <c r="R178" s="3">
        <f t="shared" si="62"/>
        <v>40056.312443772818</v>
      </c>
      <c r="S178" s="17">
        <f t="shared" si="63"/>
        <v>-286.62874696696963</v>
      </c>
    </row>
    <row r="179" spans="2:19" x14ac:dyDescent="0.3">
      <c r="B179" s="848" t="s">
        <v>29</v>
      </c>
      <c r="C179" s="849">
        <v>49329.009149848091</v>
      </c>
      <c r="D179" s="867">
        <v>0.85166126938370446</v>
      </c>
      <c r="E179" s="849">
        <v>0</v>
      </c>
      <c r="F179" s="849">
        <v>14622.622810453118</v>
      </c>
      <c r="G179" s="849">
        <v>0</v>
      </c>
      <c r="H179" s="849">
        <v>26664.03160854688</v>
      </c>
      <c r="I179" s="849">
        <v>0</v>
      </c>
      <c r="J179" s="849">
        <v>0</v>
      </c>
      <c r="K179" s="849">
        <v>0</v>
      </c>
      <c r="L179" s="849">
        <v>225.25766643392149</v>
      </c>
      <c r="M179" s="849">
        <v>2216.42180885381</v>
      </c>
      <c r="N179" s="849">
        <v>2170.883818153995</v>
      </c>
      <c r="O179" s="849">
        <v>1920.882349962214</v>
      </c>
      <c r="P179" s="849">
        <v>1421.6488647782187</v>
      </c>
      <c r="Q179" s="849">
        <v>0</v>
      </c>
      <c r="R179" s="3">
        <f t="shared" si="62"/>
        <v>49241.748927182161</v>
      </c>
      <c r="S179" s="17">
        <f t="shared" si="63"/>
        <v>-87.260222665929177</v>
      </c>
    </row>
    <row r="180" spans="2:19" x14ac:dyDescent="0.3">
      <c r="B180" s="848" t="s">
        <v>60</v>
      </c>
      <c r="C180" s="849">
        <v>299.54545000000002</v>
      </c>
      <c r="D180" s="867">
        <v>1</v>
      </c>
      <c r="E180" s="849">
        <v>0</v>
      </c>
      <c r="F180" s="849">
        <v>147.79572503000003</v>
      </c>
      <c r="G180" s="849">
        <v>0</v>
      </c>
      <c r="H180" s="849">
        <v>2.3963635999999999</v>
      </c>
      <c r="I180" s="849">
        <v>0</v>
      </c>
      <c r="J180" s="849">
        <v>0</v>
      </c>
      <c r="K180" s="849">
        <v>0</v>
      </c>
      <c r="L180" s="849">
        <v>0</v>
      </c>
      <c r="M180" s="849">
        <v>0</v>
      </c>
      <c r="N180" s="849">
        <v>0</v>
      </c>
      <c r="O180" s="849">
        <v>149.35336137000002</v>
      </c>
      <c r="P180" s="849">
        <v>0</v>
      </c>
      <c r="Q180" s="849">
        <v>0</v>
      </c>
      <c r="R180" s="3">
        <f t="shared" si="62"/>
        <v>299.54545000000007</v>
      </c>
      <c r="S180" s="17">
        <f t="shared" si="63"/>
        <v>0</v>
      </c>
    </row>
    <row r="181" spans="2:19" x14ac:dyDescent="0.3">
      <c r="B181" s="848" t="s">
        <v>33</v>
      </c>
      <c r="C181" s="849">
        <v>3204.8412900000003</v>
      </c>
      <c r="D181" s="867">
        <v>1</v>
      </c>
      <c r="E181" s="849">
        <v>0</v>
      </c>
      <c r="F181" s="849">
        <v>1543.3485526400002</v>
      </c>
      <c r="G181" s="849">
        <v>0</v>
      </c>
      <c r="H181" s="849">
        <v>1286.1068067200001</v>
      </c>
      <c r="I181" s="849">
        <v>0</v>
      </c>
      <c r="J181" s="849">
        <v>0</v>
      </c>
      <c r="K181" s="849">
        <v>0</v>
      </c>
      <c r="L181" s="849">
        <v>0</v>
      </c>
      <c r="M181" s="849">
        <v>0</v>
      </c>
      <c r="N181" s="849">
        <v>0</v>
      </c>
      <c r="O181" s="849">
        <v>6.9293612000000007</v>
      </c>
      <c r="P181" s="849">
        <v>0</v>
      </c>
      <c r="Q181" s="849">
        <v>368.45656944000001</v>
      </c>
      <c r="R181" s="3">
        <f t="shared" si="62"/>
        <v>3204.8412900000003</v>
      </c>
      <c r="S181" s="17">
        <f t="shared" si="63"/>
        <v>0</v>
      </c>
    </row>
    <row r="182" spans="2:19" x14ac:dyDescent="0.3">
      <c r="B182" s="848" t="s">
        <v>66</v>
      </c>
      <c r="C182" s="849">
        <v>155.57599999999999</v>
      </c>
      <c r="D182" s="867">
        <v>1</v>
      </c>
      <c r="E182" s="849">
        <v>23.548252447390698</v>
      </c>
      <c r="F182" s="849">
        <v>73.377322946213013</v>
      </c>
      <c r="G182" s="849">
        <v>0</v>
      </c>
      <c r="H182" s="849">
        <v>58.650424606396285</v>
      </c>
      <c r="I182" s="849">
        <v>0</v>
      </c>
      <c r="J182" s="849">
        <v>0</v>
      </c>
      <c r="K182" s="849">
        <v>0</v>
      </c>
      <c r="L182" s="849">
        <v>0</v>
      </c>
      <c r="M182" s="849">
        <v>0</v>
      </c>
      <c r="N182" s="849">
        <v>0</v>
      </c>
      <c r="O182" s="849">
        <v>0</v>
      </c>
      <c r="P182" s="849">
        <v>0</v>
      </c>
      <c r="Q182" s="849">
        <v>0</v>
      </c>
      <c r="R182" s="3">
        <f t="shared" si="62"/>
        <v>155.57599999999999</v>
      </c>
      <c r="S182" s="17">
        <f t="shared" si="63"/>
        <v>0</v>
      </c>
    </row>
    <row r="183" spans="2:19" x14ac:dyDescent="0.3">
      <c r="B183" s="848" t="s">
        <v>73</v>
      </c>
      <c r="C183" s="849">
        <v>1154.4939846588343</v>
      </c>
      <c r="D183" s="867">
        <v>0.22117741919240763</v>
      </c>
      <c r="E183" s="849">
        <v>0</v>
      </c>
      <c r="F183" s="849">
        <v>215.99887319999999</v>
      </c>
      <c r="G183" s="849">
        <v>0</v>
      </c>
      <c r="H183" s="849">
        <v>73.017167917499023</v>
      </c>
      <c r="I183" s="849">
        <v>0</v>
      </c>
      <c r="J183" s="849">
        <v>0</v>
      </c>
      <c r="K183" s="849">
        <v>0</v>
      </c>
      <c r="L183" s="849">
        <v>0</v>
      </c>
      <c r="M183" s="849">
        <v>0</v>
      </c>
      <c r="N183" s="849">
        <v>205.97124475738502</v>
      </c>
      <c r="O183" s="849">
        <v>235.39507367049529</v>
      </c>
      <c r="P183" s="849">
        <v>409.07135118852204</v>
      </c>
      <c r="Q183" s="849">
        <v>0</v>
      </c>
      <c r="R183" s="3">
        <f t="shared" si="62"/>
        <v>1139.4537107339015</v>
      </c>
      <c r="S183" s="17">
        <f t="shared" si="63"/>
        <v>-15.040273924932762</v>
      </c>
    </row>
    <row r="184" spans="2:19" x14ac:dyDescent="0.3">
      <c r="B184" s="848" t="s">
        <v>74</v>
      </c>
      <c r="C184" s="849">
        <v>16.190999999999999</v>
      </c>
      <c r="D184" s="867">
        <v>1</v>
      </c>
      <c r="E184" s="849">
        <v>0</v>
      </c>
      <c r="F184" s="849">
        <v>2.669608137044968</v>
      </c>
      <c r="G184" s="849">
        <v>0</v>
      </c>
      <c r="H184" s="849">
        <v>13.521391862955033</v>
      </c>
      <c r="I184" s="849">
        <v>0</v>
      </c>
      <c r="J184" s="849">
        <v>0</v>
      </c>
      <c r="K184" s="849">
        <v>0</v>
      </c>
      <c r="L184" s="849">
        <v>0</v>
      </c>
      <c r="M184" s="849">
        <v>0</v>
      </c>
      <c r="N184" s="849">
        <v>0</v>
      </c>
      <c r="O184" s="849">
        <v>0</v>
      </c>
      <c r="P184" s="849">
        <v>0</v>
      </c>
      <c r="Q184" s="849">
        <v>0</v>
      </c>
      <c r="R184" s="3">
        <f t="shared" si="62"/>
        <v>16.191000000000003</v>
      </c>
      <c r="S184" s="17">
        <f t="shared" si="63"/>
        <v>0</v>
      </c>
    </row>
    <row r="185" spans="2:19" x14ac:dyDescent="0.3">
      <c r="B185" s="848" t="s">
        <v>327</v>
      </c>
      <c r="C185" s="849">
        <v>29155.971612163932</v>
      </c>
      <c r="D185" s="867">
        <v>0.69467825965108099</v>
      </c>
      <c r="E185" s="849">
        <v>10905.373648958463</v>
      </c>
      <c r="F185" s="849">
        <v>5513.302319275258</v>
      </c>
      <c r="G185" s="849">
        <v>0</v>
      </c>
      <c r="H185" s="849">
        <v>4487.7391380754598</v>
      </c>
      <c r="I185" s="849">
        <v>0</v>
      </c>
      <c r="J185" s="849">
        <v>0</v>
      </c>
      <c r="K185" s="849">
        <v>0</v>
      </c>
      <c r="L185" s="849">
        <v>0</v>
      </c>
      <c r="M185" s="849">
        <v>0</v>
      </c>
      <c r="N185" s="849">
        <v>3831.7697838818403</v>
      </c>
      <c r="O185" s="849">
        <v>3857.5263338534728</v>
      </c>
      <c r="P185" s="849">
        <v>382.3577609217574</v>
      </c>
      <c r="Q185" s="849">
        <v>0</v>
      </c>
      <c r="R185" s="3">
        <f t="shared" si="62"/>
        <v>28978.068984966249</v>
      </c>
      <c r="S185" s="17">
        <f t="shared" si="63"/>
        <v>-177.90262719768361</v>
      </c>
    </row>
    <row r="186" spans="2:19" x14ac:dyDescent="0.3">
      <c r="B186" s="848" t="s">
        <v>1</v>
      </c>
      <c r="C186" s="849">
        <v>19676.276830332863</v>
      </c>
      <c r="D186" s="867">
        <v>0.89287232523562998</v>
      </c>
      <c r="E186" s="849">
        <v>59.594155806004672</v>
      </c>
      <c r="F186" s="849">
        <v>14430.695862810266</v>
      </c>
      <c r="G186" s="849">
        <v>0</v>
      </c>
      <c r="H186" s="849">
        <v>1351.5897687816878</v>
      </c>
      <c r="I186" s="849">
        <v>0</v>
      </c>
      <c r="J186" s="849">
        <v>0</v>
      </c>
      <c r="K186" s="849">
        <v>0</v>
      </c>
      <c r="L186" s="849">
        <v>0</v>
      </c>
      <c r="M186" s="849">
        <v>0</v>
      </c>
      <c r="N186" s="849">
        <v>301.17745127812776</v>
      </c>
      <c r="O186" s="849">
        <v>2551.7763589910728</v>
      </c>
      <c r="P186" s="849">
        <v>969.15544819507215</v>
      </c>
      <c r="Q186" s="849">
        <v>0</v>
      </c>
      <c r="R186" s="3">
        <f t="shared" si="62"/>
        <v>19663.989045862232</v>
      </c>
      <c r="S186" s="17">
        <f t="shared" si="63"/>
        <v>-12.287784470630868</v>
      </c>
    </row>
    <row r="187" spans="2:19" x14ac:dyDescent="0.3">
      <c r="B187" s="848" t="s">
        <v>76</v>
      </c>
      <c r="C187" s="849">
        <v>15237.232713675621</v>
      </c>
      <c r="D187" s="867">
        <v>0.86427419432110741</v>
      </c>
      <c r="E187" s="849">
        <v>4252.9022393788764</v>
      </c>
      <c r="F187" s="849">
        <v>2016.5894467916503</v>
      </c>
      <c r="G187" s="849">
        <v>0</v>
      </c>
      <c r="H187" s="849">
        <v>6754.3470711246928</v>
      </c>
      <c r="I187" s="849">
        <v>0</v>
      </c>
      <c r="J187" s="849">
        <v>0</v>
      </c>
      <c r="K187" s="849">
        <v>0</v>
      </c>
      <c r="L187" s="849">
        <v>0</v>
      </c>
      <c r="M187" s="849">
        <v>0</v>
      </c>
      <c r="N187" s="849">
        <v>0</v>
      </c>
      <c r="O187" s="849">
        <v>145.30826999999999</v>
      </c>
      <c r="P187" s="849">
        <v>2068.0856863804006</v>
      </c>
      <c r="Q187" s="849">
        <v>0</v>
      </c>
      <c r="R187" s="3">
        <f t="shared" si="62"/>
        <v>15237.232713675619</v>
      </c>
      <c r="S187" s="17">
        <f t="shared" si="63"/>
        <v>0</v>
      </c>
    </row>
    <row r="188" spans="2:19" x14ac:dyDescent="0.3">
      <c r="B188" s="848" t="s">
        <v>39</v>
      </c>
      <c r="C188" s="849">
        <v>126729.99284702016</v>
      </c>
      <c r="D188" s="867">
        <v>0.95183389275190289</v>
      </c>
      <c r="E188" s="849">
        <v>0</v>
      </c>
      <c r="F188" s="849">
        <v>95869.786579999985</v>
      </c>
      <c r="G188" s="849">
        <v>0</v>
      </c>
      <c r="H188" s="849">
        <v>1961.73972</v>
      </c>
      <c r="I188" s="849">
        <v>0</v>
      </c>
      <c r="J188" s="849">
        <v>0</v>
      </c>
      <c r="K188" s="849">
        <v>0</v>
      </c>
      <c r="L188" s="849">
        <v>0</v>
      </c>
      <c r="M188" s="849">
        <v>0</v>
      </c>
      <c r="N188" s="849">
        <v>0</v>
      </c>
      <c r="O188" s="849">
        <v>24386.872099573804</v>
      </c>
      <c r="P188" s="849">
        <v>4494.1481332115291</v>
      </c>
      <c r="Q188" s="849">
        <v>0</v>
      </c>
      <c r="R188" s="3">
        <f t="shared" si="62"/>
        <v>126712.54653278532</v>
      </c>
      <c r="S188" s="17">
        <f t="shared" si="63"/>
        <v>-17.446314234839519</v>
      </c>
    </row>
    <row r="189" spans="2:19" x14ac:dyDescent="0.3">
      <c r="B189" s="848" t="s">
        <v>95</v>
      </c>
      <c r="C189" s="849">
        <v>11.7</v>
      </c>
      <c r="D189" s="867">
        <v>1</v>
      </c>
      <c r="E189" s="849">
        <v>0</v>
      </c>
      <c r="F189" s="849">
        <v>11.7</v>
      </c>
      <c r="G189" s="849">
        <v>0</v>
      </c>
      <c r="H189" s="849">
        <v>0</v>
      </c>
      <c r="I189" s="849">
        <v>0</v>
      </c>
      <c r="J189" s="849">
        <v>0</v>
      </c>
      <c r="K189" s="849">
        <v>0</v>
      </c>
      <c r="L189" s="849">
        <v>0</v>
      </c>
      <c r="M189" s="849">
        <v>0</v>
      </c>
      <c r="N189" s="849">
        <v>0</v>
      </c>
      <c r="O189" s="849">
        <v>0</v>
      </c>
      <c r="P189" s="849">
        <v>0</v>
      </c>
      <c r="Q189" s="849">
        <v>0</v>
      </c>
      <c r="R189" s="3">
        <f t="shared" si="62"/>
        <v>11.7</v>
      </c>
      <c r="S189" s="17">
        <f t="shared" si="63"/>
        <v>0</v>
      </c>
    </row>
    <row r="190" spans="2:19" x14ac:dyDescent="0.3">
      <c r="B190" s="848" t="s">
        <v>119</v>
      </c>
      <c r="C190" s="849">
        <v>67042.777330645025</v>
      </c>
      <c r="D190" s="867">
        <v>0</v>
      </c>
      <c r="E190" s="849">
        <v>0</v>
      </c>
      <c r="F190" s="849">
        <v>0</v>
      </c>
      <c r="G190" s="849">
        <v>0</v>
      </c>
      <c r="H190" s="849">
        <v>1080.6623852982998</v>
      </c>
      <c r="I190" s="849">
        <v>0</v>
      </c>
      <c r="J190" s="849">
        <v>0</v>
      </c>
      <c r="K190" s="849">
        <v>0</v>
      </c>
      <c r="L190" s="849">
        <v>1089.7440096718851</v>
      </c>
      <c r="M190" s="849">
        <v>10722.531345289826</v>
      </c>
      <c r="N190" s="849">
        <v>16991.01079358644</v>
      </c>
      <c r="O190" s="849">
        <v>17856.65519317882</v>
      </c>
      <c r="P190" s="849">
        <v>18478.687115266108</v>
      </c>
      <c r="Q190" s="849">
        <v>0</v>
      </c>
      <c r="R190" s="3">
        <f t="shared" si="62"/>
        <v>66219.290842291375</v>
      </c>
      <c r="S190" s="17">
        <f t="shared" si="63"/>
        <v>-823.4864883536502</v>
      </c>
    </row>
    <row r="191" spans="2:19" x14ac:dyDescent="0.3">
      <c r="B191" s="891" t="s">
        <v>427</v>
      </c>
      <c r="C191" s="892">
        <v>1194004.4708205229</v>
      </c>
      <c r="D191" s="893">
        <v>0.49773946538880554</v>
      </c>
      <c r="E191" s="892">
        <v>20057.984297970739</v>
      </c>
      <c r="F191" s="892">
        <v>424920.19956360507</v>
      </c>
      <c r="G191" s="892">
        <v>69263.787319396331</v>
      </c>
      <c r="H191" s="892">
        <v>50081.207536381815</v>
      </c>
      <c r="I191" s="892">
        <v>27930.392727925126</v>
      </c>
      <c r="J191" s="892">
        <v>13962.769203767313</v>
      </c>
      <c r="K191" s="892">
        <v>9281.5182925587251</v>
      </c>
      <c r="L191" s="892">
        <v>6201.6019410988902</v>
      </c>
      <c r="M191" s="892">
        <v>63868.031226334526</v>
      </c>
      <c r="N191" s="892">
        <v>148005.97380745367</v>
      </c>
      <c r="O191" s="892">
        <v>130653.71690325132</v>
      </c>
      <c r="P191" s="892">
        <v>169076.74117718887</v>
      </c>
      <c r="Q191" s="892">
        <v>51329.813391322328</v>
      </c>
      <c r="R191" s="3">
        <f t="shared" si="62"/>
        <v>1184633.7373882546</v>
      </c>
      <c r="S191" s="17">
        <f t="shared" si="63"/>
        <v>-9370.7334322682582</v>
      </c>
    </row>
    <row r="192" spans="2:19" x14ac:dyDescent="0.3">
      <c r="B192" s="44" t="s">
        <v>545</v>
      </c>
      <c r="C192" s="43">
        <v>1152697.4026795542</v>
      </c>
      <c r="D192" s="663">
        <v>0.47014503659923762</v>
      </c>
      <c r="E192" s="43">
        <v>17941.884049911223</v>
      </c>
      <c r="F192" s="43">
        <v>397115.67911662912</v>
      </c>
      <c r="G192" s="43">
        <v>58397.840765460802</v>
      </c>
      <c r="H192" s="43">
        <v>43995.497321453979</v>
      </c>
      <c r="I192" s="43">
        <v>39740.954609335284</v>
      </c>
      <c r="J192" s="43">
        <v>16216.995568381375</v>
      </c>
      <c r="K192" s="43">
        <v>7909.9346904664217</v>
      </c>
      <c r="L192" s="43">
        <v>8992.7703110014554</v>
      </c>
      <c r="M192" s="43">
        <v>53826.051850538963</v>
      </c>
      <c r="N192" s="43">
        <v>146058.29844692079</v>
      </c>
      <c r="O192" s="43">
        <v>115309.71061440585</v>
      </c>
      <c r="P192" s="43">
        <v>188880.75775441746</v>
      </c>
      <c r="Q192" s="43">
        <v>53809.063212397785</v>
      </c>
      <c r="R192" s="3">
        <f t="shared" si="62"/>
        <v>1148195.4383113205</v>
      </c>
      <c r="S192" s="17">
        <f t="shared" si="63"/>
        <v>-4501.96436823369</v>
      </c>
    </row>
    <row r="193" spans="2:18" x14ac:dyDescent="0.3">
      <c r="B193" s="663" t="s">
        <v>546</v>
      </c>
      <c r="C193" s="663">
        <v>3.5835135955842784E-2</v>
      </c>
      <c r="D193" s="663">
        <v>5.8693438495427609E-2</v>
      </c>
      <c r="E193" s="663">
        <v>0.11794191970993073</v>
      </c>
      <c r="F193" s="663">
        <v>7.0016173898815065E-2</v>
      </c>
      <c r="G193" s="663">
        <v>0.18606760817708445</v>
      </c>
      <c r="H193" s="663"/>
      <c r="I193" s="663"/>
      <c r="J193" s="663"/>
      <c r="K193" s="663"/>
      <c r="L193" s="663"/>
      <c r="M193" s="663"/>
      <c r="N193" s="663"/>
      <c r="O193" s="663"/>
      <c r="P193" s="663"/>
      <c r="Q193" s="663">
        <v>-4.6074948587921695E-2</v>
      </c>
      <c r="R193" s="3">
        <f t="shared" si="62"/>
        <v>0.32795075319790856</v>
      </c>
    </row>
    <row r="194" spans="2:18" x14ac:dyDescent="0.3">
      <c r="C194" s="535"/>
      <c r="D194" s="535"/>
      <c r="E194" s="535"/>
      <c r="F194" s="535"/>
      <c r="G194" s="535"/>
      <c r="O194" s="3">
        <f>I191+M191+O191+P191</f>
        <v>391528.88203469984</v>
      </c>
    </row>
    <row r="196" spans="2:18" ht="14.1" customHeight="1" x14ac:dyDescent="0.3">
      <c r="B196" s="3858" t="s">
        <v>336</v>
      </c>
      <c r="C196" s="3858" t="s">
        <v>468</v>
      </c>
      <c r="D196" s="3859" t="s">
        <v>469</v>
      </c>
      <c r="E196" s="3860" t="s">
        <v>512</v>
      </c>
      <c r="F196" s="3861"/>
      <c r="G196" s="3861"/>
      <c r="H196" s="3861"/>
      <c r="I196" s="3861"/>
      <c r="J196" s="3861"/>
      <c r="K196" s="3861"/>
      <c r="L196" s="3861"/>
      <c r="M196" s="3861"/>
      <c r="N196" s="3861"/>
      <c r="O196" s="3861"/>
      <c r="P196" s="3861"/>
      <c r="Q196" s="3862"/>
    </row>
    <row r="197" spans="2:18" ht="41.4" x14ac:dyDescent="0.3">
      <c r="B197" s="3858"/>
      <c r="C197" s="3858"/>
      <c r="D197" s="3859"/>
      <c r="E197" s="847" t="s">
        <v>436</v>
      </c>
      <c r="F197" s="847" t="s">
        <v>429</v>
      </c>
      <c r="G197" s="847" t="s">
        <v>405</v>
      </c>
      <c r="H197" s="847" t="s">
        <v>534</v>
      </c>
      <c r="I197" s="847" t="s">
        <v>504</v>
      </c>
      <c r="J197" s="847" t="s">
        <v>519</v>
      </c>
      <c r="K197" s="847" t="s">
        <v>538</v>
      </c>
      <c r="L197" s="847" t="s">
        <v>498</v>
      </c>
      <c r="M197" s="847" t="s">
        <v>500</v>
      </c>
      <c r="N197" s="847" t="s">
        <v>543</v>
      </c>
      <c r="O197" s="847" t="s">
        <v>544</v>
      </c>
      <c r="P197" s="847" t="s">
        <v>502</v>
      </c>
      <c r="Q197" s="847" t="s">
        <v>506</v>
      </c>
    </row>
    <row r="198" spans="2:18" x14ac:dyDescent="0.3">
      <c r="B198" s="848" t="s">
        <v>5</v>
      </c>
      <c r="C198" s="849">
        <v>309861.14231861487</v>
      </c>
      <c r="D198" s="867">
        <v>0.23323367018923682</v>
      </c>
      <c r="E198" s="867">
        <v>0</v>
      </c>
      <c r="F198" s="867">
        <v>0</v>
      </c>
      <c r="G198" s="867">
        <v>0.22353169810552045</v>
      </c>
      <c r="H198" s="867">
        <v>2.5855623173821562E-3</v>
      </c>
      <c r="I198" s="867">
        <v>6.797817136237054E-2</v>
      </c>
      <c r="J198" s="867">
        <v>4.506137523178072E-2</v>
      </c>
      <c r="K198" s="867">
        <v>2.3040093697020536E-2</v>
      </c>
      <c r="L198" s="867">
        <v>0</v>
      </c>
      <c r="M198" s="867">
        <v>0</v>
      </c>
      <c r="N198" s="867">
        <v>0.19066297529777335</v>
      </c>
      <c r="O198" s="867">
        <v>3.2444109845764901E-2</v>
      </c>
      <c r="P198" s="867">
        <v>0.23983339059800984</v>
      </c>
      <c r="Q198" s="867">
        <v>0.16446514216190838</v>
      </c>
    </row>
    <row r="199" spans="2:18" x14ac:dyDescent="0.3">
      <c r="B199" s="848" t="s">
        <v>8</v>
      </c>
      <c r="C199" s="849">
        <v>268418.71908486437</v>
      </c>
      <c r="D199" s="867">
        <v>0.64684583552339558</v>
      </c>
      <c r="E199" s="867">
        <v>0</v>
      </c>
      <c r="F199" s="867">
        <v>0.63073382728541927</v>
      </c>
      <c r="G199" s="867">
        <v>0</v>
      </c>
      <c r="H199" s="867">
        <v>0</v>
      </c>
      <c r="I199" s="867">
        <v>2.5581669267557554E-2</v>
      </c>
      <c r="J199" s="867">
        <v>0</v>
      </c>
      <c r="K199" s="867">
        <v>7.9811443396192779E-3</v>
      </c>
      <c r="L199" s="867">
        <v>7.5732701770287016E-3</v>
      </c>
      <c r="M199" s="867">
        <v>7.4517158285631754E-2</v>
      </c>
      <c r="N199" s="867">
        <v>0.11614081923643171</v>
      </c>
      <c r="O199" s="867">
        <v>6.0263265960352239E-2</v>
      </c>
      <c r="P199" s="867">
        <v>6.9074674795781929E-2</v>
      </c>
      <c r="Q199" s="867">
        <v>0</v>
      </c>
    </row>
    <row r="200" spans="2:18" x14ac:dyDescent="0.3">
      <c r="B200" s="848" t="s">
        <v>304</v>
      </c>
      <c r="C200" s="849">
        <v>88183.32836203539</v>
      </c>
      <c r="D200" s="867">
        <v>0.69432932452893237</v>
      </c>
      <c r="E200" s="867">
        <v>0</v>
      </c>
      <c r="F200" s="867">
        <v>0.67473480491087523</v>
      </c>
      <c r="G200" s="867">
        <v>0</v>
      </c>
      <c r="H200" s="867">
        <v>1.4549913883182273E-3</v>
      </c>
      <c r="I200" s="867">
        <v>0</v>
      </c>
      <c r="J200" s="867">
        <v>0</v>
      </c>
      <c r="K200" s="867">
        <v>0</v>
      </c>
      <c r="L200" s="867">
        <v>0</v>
      </c>
      <c r="M200" s="867">
        <v>0</v>
      </c>
      <c r="N200" s="867">
        <v>0</v>
      </c>
      <c r="O200" s="867">
        <v>0.22137677854217014</v>
      </c>
      <c r="P200" s="867">
        <v>9.5462488104712223E-2</v>
      </c>
      <c r="Q200" s="867">
        <v>0</v>
      </c>
    </row>
    <row r="201" spans="2:18" x14ac:dyDescent="0.3">
      <c r="B201" s="848" t="s">
        <v>14</v>
      </c>
      <c r="C201" s="849">
        <v>132409.79506049567</v>
      </c>
      <c r="D201" s="867">
        <v>0.36868059804560854</v>
      </c>
      <c r="E201" s="867">
        <v>0</v>
      </c>
      <c r="F201" s="867">
        <v>0.33654854923838462</v>
      </c>
      <c r="G201" s="867">
        <v>0</v>
      </c>
      <c r="H201" s="867">
        <v>2.9186564869007784E-2</v>
      </c>
      <c r="I201" s="867">
        <v>0</v>
      </c>
      <c r="J201" s="867">
        <v>0</v>
      </c>
      <c r="K201" s="867">
        <v>0</v>
      </c>
      <c r="L201" s="867">
        <v>1.2653878458200447E-2</v>
      </c>
      <c r="M201" s="867">
        <v>0.14601220554693392</v>
      </c>
      <c r="N201" s="867">
        <v>0.15971181961733202</v>
      </c>
      <c r="O201" s="867">
        <v>0.1456869554272873</v>
      </c>
      <c r="P201" s="867">
        <v>0.16042493944886765</v>
      </c>
      <c r="Q201" s="867">
        <v>0</v>
      </c>
    </row>
    <row r="202" spans="2:18" x14ac:dyDescent="0.3">
      <c r="B202" s="848" t="s">
        <v>17</v>
      </c>
      <c r="C202" s="849">
        <v>12022.562243261784</v>
      </c>
      <c r="D202" s="867">
        <v>0.17395979556455851</v>
      </c>
      <c r="E202" s="867">
        <v>0</v>
      </c>
      <c r="F202" s="867">
        <v>0.28134637645944349</v>
      </c>
      <c r="G202" s="867">
        <v>0</v>
      </c>
      <c r="H202" s="867">
        <v>0</v>
      </c>
      <c r="I202" s="867">
        <v>0</v>
      </c>
      <c r="J202" s="867">
        <v>0</v>
      </c>
      <c r="K202" s="867">
        <v>0</v>
      </c>
      <c r="L202" s="867">
        <v>0</v>
      </c>
      <c r="M202" s="867">
        <v>0</v>
      </c>
      <c r="N202" s="867">
        <v>0</v>
      </c>
      <c r="O202" s="867">
        <v>0.57104647766094063</v>
      </c>
      <c r="P202" s="867">
        <v>0.13451766431813117</v>
      </c>
      <c r="Q202" s="867">
        <v>0</v>
      </c>
    </row>
    <row r="203" spans="2:18" x14ac:dyDescent="0.3">
      <c r="B203" s="848" t="s">
        <v>16</v>
      </c>
      <c r="C203" s="849">
        <v>26815.347622589397</v>
      </c>
      <c r="D203" s="867">
        <v>0.27724358433217677</v>
      </c>
      <c r="E203" s="867">
        <v>0</v>
      </c>
      <c r="F203" s="867">
        <v>0.34025789255950439</v>
      </c>
      <c r="G203" s="867">
        <v>0</v>
      </c>
      <c r="H203" s="867">
        <v>0</v>
      </c>
      <c r="I203" s="867">
        <v>0</v>
      </c>
      <c r="J203" s="867">
        <v>0</v>
      </c>
      <c r="K203" s="867">
        <v>0</v>
      </c>
      <c r="L203" s="867">
        <v>1.4583855389280318E-2</v>
      </c>
      <c r="M203" s="867">
        <v>0.14349778035835767</v>
      </c>
      <c r="N203" s="867">
        <v>0.20667612653782083</v>
      </c>
      <c r="O203" s="867">
        <v>6.9124920449039368E-2</v>
      </c>
      <c r="P203" s="867">
        <v>0.20977948666119045</v>
      </c>
      <c r="Q203" s="867">
        <v>0</v>
      </c>
    </row>
    <row r="204" spans="2:18" x14ac:dyDescent="0.3">
      <c r="B204" s="848" t="s">
        <v>308</v>
      </c>
      <c r="C204" s="849">
        <v>520.78086674054055</v>
      </c>
      <c r="D204" s="867">
        <v>0.63260499960751315</v>
      </c>
      <c r="E204" s="867">
        <v>0</v>
      </c>
      <c r="F204" s="867">
        <v>0.31212730680634704</v>
      </c>
      <c r="G204" s="867">
        <v>0</v>
      </c>
      <c r="H204" s="867">
        <v>5.0608399968601059E-3</v>
      </c>
      <c r="I204" s="867">
        <v>0</v>
      </c>
      <c r="J204" s="867">
        <v>0</v>
      </c>
      <c r="K204" s="867">
        <v>0</v>
      </c>
      <c r="L204" s="867">
        <v>0</v>
      </c>
      <c r="M204" s="867">
        <v>0</v>
      </c>
      <c r="N204" s="867">
        <v>0</v>
      </c>
      <c r="O204" s="867">
        <v>0.55360237611089858</v>
      </c>
      <c r="P204" s="867">
        <v>0.12257367548104718</v>
      </c>
      <c r="Q204" s="867">
        <v>0</v>
      </c>
    </row>
    <row r="205" spans="2:18" x14ac:dyDescent="0.3">
      <c r="B205" s="848" t="s">
        <v>44</v>
      </c>
      <c r="C205" s="849">
        <v>694.89413338626298</v>
      </c>
      <c r="D205" s="867">
        <v>0.96113621139697214</v>
      </c>
      <c r="E205" s="867">
        <v>0</v>
      </c>
      <c r="F205" s="867">
        <v>0.79562855579441349</v>
      </c>
      <c r="G205" s="867">
        <v>0</v>
      </c>
      <c r="H205" s="867">
        <v>8.9193440417639006E-2</v>
      </c>
      <c r="I205" s="867">
        <v>0</v>
      </c>
      <c r="J205" s="867">
        <v>0</v>
      </c>
      <c r="K205" s="867">
        <v>0</v>
      </c>
      <c r="L205" s="867">
        <v>0</v>
      </c>
      <c r="M205" s="867">
        <v>0</v>
      </c>
      <c r="N205" s="867">
        <v>0</v>
      </c>
      <c r="O205" s="867">
        <v>7.7286094045365669E-2</v>
      </c>
      <c r="P205" s="867">
        <v>3.7891909742581831E-2</v>
      </c>
      <c r="Q205" s="867">
        <v>0</v>
      </c>
    </row>
    <row r="206" spans="2:18" x14ac:dyDescent="0.3">
      <c r="B206" s="848" t="s">
        <v>326</v>
      </c>
      <c r="C206" s="849">
        <v>2721.351729450339</v>
      </c>
      <c r="D206" s="867">
        <v>0.19433653944837384</v>
      </c>
      <c r="E206" s="867">
        <v>0</v>
      </c>
      <c r="F206" s="867">
        <v>0.19433653944837384</v>
      </c>
      <c r="G206" s="867">
        <v>0</v>
      </c>
      <c r="H206" s="867">
        <v>0</v>
      </c>
      <c r="I206" s="867">
        <v>0</v>
      </c>
      <c r="J206" s="867">
        <v>0</v>
      </c>
      <c r="K206" s="867">
        <v>0</v>
      </c>
      <c r="L206" s="867">
        <v>0</v>
      </c>
      <c r="M206" s="867">
        <v>0</v>
      </c>
      <c r="N206" s="867">
        <v>0</v>
      </c>
      <c r="O206" s="867">
        <v>0.44441585190120947</v>
      </c>
      <c r="P206" s="867">
        <v>0.34489909155223353</v>
      </c>
      <c r="Q206" s="867">
        <v>0</v>
      </c>
    </row>
    <row r="207" spans="2:18" x14ac:dyDescent="0.3">
      <c r="B207" s="848" t="s">
        <v>25</v>
      </c>
      <c r="C207" s="849">
        <v>40342.941190739788</v>
      </c>
      <c r="D207" s="867">
        <v>0.24138227959034508</v>
      </c>
      <c r="E207" s="867">
        <v>0.11939055158639704</v>
      </c>
      <c r="F207" s="867">
        <v>8.3234822558023419E-2</v>
      </c>
      <c r="G207" s="867">
        <v>0</v>
      </c>
      <c r="H207" s="867">
        <v>3.6901914173816351E-2</v>
      </c>
      <c r="I207" s="867">
        <v>0</v>
      </c>
      <c r="J207" s="867">
        <v>0</v>
      </c>
      <c r="K207" s="867">
        <v>0</v>
      </c>
      <c r="L207" s="867">
        <v>1.9513306572210606E-2</v>
      </c>
      <c r="M207" s="867">
        <v>0.19200109338869101</v>
      </c>
      <c r="N207" s="867">
        <v>0.18744895025938973</v>
      </c>
      <c r="O207" s="867">
        <v>0.10488740031815461</v>
      </c>
      <c r="P207" s="867">
        <v>0.24951715572985469</v>
      </c>
      <c r="Q207" s="867">
        <v>0</v>
      </c>
    </row>
    <row r="208" spans="2:18" x14ac:dyDescent="0.3">
      <c r="B208" s="848" t="s">
        <v>29</v>
      </c>
      <c r="C208" s="849">
        <v>49329.009149848091</v>
      </c>
      <c r="D208" s="867">
        <v>0.85166126938370446</v>
      </c>
      <c r="E208" s="867">
        <v>0</v>
      </c>
      <c r="F208" s="867">
        <v>0.29643049926329501</v>
      </c>
      <c r="G208" s="867">
        <v>0</v>
      </c>
      <c r="H208" s="867">
        <v>0.5405345063297099</v>
      </c>
      <c r="I208" s="867">
        <v>0</v>
      </c>
      <c r="J208" s="867">
        <v>0</v>
      </c>
      <c r="K208" s="867">
        <v>0</v>
      </c>
      <c r="L208" s="867">
        <v>4.5664340378224521E-3</v>
      </c>
      <c r="M208" s="867">
        <v>4.4931407442645448E-2</v>
      </c>
      <c r="N208" s="867">
        <v>4.4008259147461107E-2</v>
      </c>
      <c r="O208" s="867">
        <v>3.8940217593406282E-2</v>
      </c>
      <c r="P208" s="867">
        <v>2.8819732836304023E-2</v>
      </c>
      <c r="Q208" s="867">
        <v>0</v>
      </c>
    </row>
    <row r="209" spans="2:17" x14ac:dyDescent="0.3">
      <c r="B209" s="848" t="s">
        <v>60</v>
      </c>
      <c r="C209" s="849">
        <v>299.54545000000002</v>
      </c>
      <c r="D209" s="867">
        <v>1</v>
      </c>
      <c r="E209" s="867">
        <v>0</v>
      </c>
      <c r="F209" s="867">
        <v>0.49340000000000006</v>
      </c>
      <c r="G209" s="867">
        <v>0</v>
      </c>
      <c r="H209" s="867">
        <v>8.0000000000000002E-3</v>
      </c>
      <c r="I209" s="867">
        <v>0</v>
      </c>
      <c r="J209" s="867">
        <v>0</v>
      </c>
      <c r="K209" s="867">
        <v>0</v>
      </c>
      <c r="L209" s="867">
        <v>0</v>
      </c>
      <c r="M209" s="867">
        <v>0</v>
      </c>
      <c r="N209" s="867">
        <v>0</v>
      </c>
      <c r="O209" s="867">
        <v>0.49860000000000004</v>
      </c>
      <c r="P209" s="867">
        <v>0</v>
      </c>
      <c r="Q209" s="867">
        <v>0</v>
      </c>
    </row>
    <row r="210" spans="2:17" x14ac:dyDescent="0.3">
      <c r="B210" s="848" t="s">
        <v>33</v>
      </c>
      <c r="C210" s="849">
        <v>3204.8412900000003</v>
      </c>
      <c r="D210" s="867">
        <v>1</v>
      </c>
      <c r="E210" s="867">
        <v>0</v>
      </c>
      <c r="F210" s="867">
        <v>0.48156785718396683</v>
      </c>
      <c r="G210" s="867">
        <v>0</v>
      </c>
      <c r="H210" s="867">
        <v>0.40130124718906129</v>
      </c>
      <c r="I210" s="867">
        <v>0</v>
      </c>
      <c r="J210" s="867">
        <v>0</v>
      </c>
      <c r="K210" s="867">
        <v>0</v>
      </c>
      <c r="L210" s="867">
        <v>0</v>
      </c>
      <c r="M210" s="867">
        <v>0</v>
      </c>
      <c r="N210" s="867">
        <v>0</v>
      </c>
      <c r="O210" s="867">
        <v>2.1621542450858777E-3</v>
      </c>
      <c r="P210" s="867">
        <v>0</v>
      </c>
      <c r="Q210" s="867">
        <v>0.11496874138188602</v>
      </c>
    </row>
    <row r="211" spans="2:17" x14ac:dyDescent="0.3">
      <c r="B211" s="848" t="s">
        <v>66</v>
      </c>
      <c r="C211" s="849">
        <v>155.57599999999999</v>
      </c>
      <c r="D211" s="867">
        <v>1</v>
      </c>
      <c r="E211" s="867">
        <v>0.15136172962019012</v>
      </c>
      <c r="F211" s="867">
        <v>0.47164937359369707</v>
      </c>
      <c r="G211" s="867">
        <v>0</v>
      </c>
      <c r="H211" s="867">
        <v>0.3769888967861128</v>
      </c>
      <c r="I211" s="867">
        <v>0</v>
      </c>
      <c r="J211" s="867">
        <v>0</v>
      </c>
      <c r="K211" s="867">
        <v>0</v>
      </c>
      <c r="L211" s="867">
        <v>0</v>
      </c>
      <c r="M211" s="867">
        <v>0</v>
      </c>
      <c r="N211" s="867">
        <v>0</v>
      </c>
      <c r="O211" s="867">
        <v>0</v>
      </c>
      <c r="P211" s="867">
        <v>0</v>
      </c>
      <c r="Q211" s="867">
        <v>0</v>
      </c>
    </row>
    <row r="212" spans="2:17" x14ac:dyDescent="0.3">
      <c r="B212" s="848" t="s">
        <v>73</v>
      </c>
      <c r="C212" s="849">
        <v>1154.4939846588343</v>
      </c>
      <c r="D212" s="867">
        <v>0.22117741919240763</v>
      </c>
      <c r="E212" s="867">
        <v>0</v>
      </c>
      <c r="F212" s="867">
        <v>0.1870939788948576</v>
      </c>
      <c r="G212" s="867">
        <v>0</v>
      </c>
      <c r="H212" s="867">
        <v>6.3246035828481512E-2</v>
      </c>
      <c r="I212" s="867">
        <v>0</v>
      </c>
      <c r="J212" s="867">
        <v>0</v>
      </c>
      <c r="K212" s="867">
        <v>0</v>
      </c>
      <c r="L212" s="867">
        <v>0</v>
      </c>
      <c r="M212" s="867">
        <v>0</v>
      </c>
      <c r="N212" s="867">
        <v>0.1784082442129413</v>
      </c>
      <c r="O212" s="867">
        <v>0.20389458654482046</v>
      </c>
      <c r="P212" s="867">
        <v>0.35432956483476796</v>
      </c>
      <c r="Q212" s="867">
        <v>0</v>
      </c>
    </row>
    <row r="213" spans="2:17" x14ac:dyDescent="0.3">
      <c r="B213" s="848" t="s">
        <v>74</v>
      </c>
      <c r="C213" s="849">
        <v>16.190999999999999</v>
      </c>
      <c r="D213" s="867">
        <v>1</v>
      </c>
      <c r="E213" s="867">
        <v>0</v>
      </c>
      <c r="F213" s="867">
        <v>0.16488222698072807</v>
      </c>
      <c r="G213" s="867">
        <v>0</v>
      </c>
      <c r="H213" s="867">
        <v>0.83511777301927204</v>
      </c>
      <c r="I213" s="867">
        <v>0</v>
      </c>
      <c r="J213" s="867">
        <v>0</v>
      </c>
      <c r="K213" s="867">
        <v>0</v>
      </c>
      <c r="L213" s="867">
        <v>0</v>
      </c>
      <c r="M213" s="867">
        <v>0</v>
      </c>
      <c r="N213" s="867">
        <v>0</v>
      </c>
      <c r="O213" s="867">
        <v>0</v>
      </c>
      <c r="P213" s="867">
        <v>0</v>
      </c>
      <c r="Q213" s="867">
        <v>0</v>
      </c>
    </row>
    <row r="214" spans="2:17" x14ac:dyDescent="0.3">
      <c r="B214" s="848" t="s">
        <v>327</v>
      </c>
      <c r="C214" s="849">
        <v>29155.971612163932</v>
      </c>
      <c r="D214" s="867">
        <v>0.69467825965108099</v>
      </c>
      <c r="E214" s="867">
        <v>0.37403567934634419</v>
      </c>
      <c r="F214" s="867">
        <v>0.18909684755541115</v>
      </c>
      <c r="G214" s="867">
        <v>0</v>
      </c>
      <c r="H214" s="867">
        <v>0.15392178308347529</v>
      </c>
      <c r="I214" s="867">
        <v>0</v>
      </c>
      <c r="J214" s="867">
        <v>0</v>
      </c>
      <c r="K214" s="867">
        <v>0</v>
      </c>
      <c r="L214" s="867">
        <v>0</v>
      </c>
      <c r="M214" s="867">
        <v>0</v>
      </c>
      <c r="N214" s="867">
        <v>0.13142315525795129</v>
      </c>
      <c r="O214" s="867">
        <v>0.13230656090514592</v>
      </c>
      <c r="P214" s="867">
        <v>1.3114217766703989E-2</v>
      </c>
      <c r="Q214" s="867">
        <v>0</v>
      </c>
    </row>
    <row r="215" spans="2:17" x14ac:dyDescent="0.3">
      <c r="B215" s="848" t="s">
        <v>1</v>
      </c>
      <c r="C215" s="849">
        <v>19676.276830332863</v>
      </c>
      <c r="D215" s="867">
        <v>0.89287232523562998</v>
      </c>
      <c r="E215" s="867">
        <v>3.0287313153743891E-3</v>
      </c>
      <c r="F215" s="867">
        <v>0.7334058159094391</v>
      </c>
      <c r="G215" s="867">
        <v>0</v>
      </c>
      <c r="H215" s="867">
        <v>6.8691337311237805E-2</v>
      </c>
      <c r="I215" s="867">
        <v>0</v>
      </c>
      <c r="J215" s="867">
        <v>0</v>
      </c>
      <c r="K215" s="867">
        <v>0</v>
      </c>
      <c r="L215" s="867">
        <v>0</v>
      </c>
      <c r="M215" s="867">
        <v>0</v>
      </c>
      <c r="N215" s="867">
        <v>1.5306628071721064E-2</v>
      </c>
      <c r="O215" s="867">
        <v>0.12968796795221266</v>
      </c>
      <c r="P215" s="867">
        <v>4.9255022001978864E-2</v>
      </c>
      <c r="Q215" s="867">
        <v>0</v>
      </c>
    </row>
    <row r="216" spans="2:17" x14ac:dyDescent="0.3">
      <c r="B216" s="848" t="s">
        <v>76</v>
      </c>
      <c r="C216" s="849">
        <v>15237.232713675621</v>
      </c>
      <c r="D216" s="867">
        <v>0.86427419432110741</v>
      </c>
      <c r="E216" s="867">
        <v>0.27911250811059934</v>
      </c>
      <c r="F216" s="867">
        <v>0.13234617365801168</v>
      </c>
      <c r="G216" s="867">
        <v>0</v>
      </c>
      <c r="H216" s="867">
        <v>0.44327911754360588</v>
      </c>
      <c r="I216" s="867">
        <v>0</v>
      </c>
      <c r="J216" s="867">
        <v>0</v>
      </c>
      <c r="K216" s="867">
        <v>0</v>
      </c>
      <c r="L216" s="867">
        <v>0</v>
      </c>
      <c r="M216" s="867">
        <v>0</v>
      </c>
      <c r="N216" s="867">
        <v>0</v>
      </c>
      <c r="O216" s="867">
        <v>9.5363950088905493E-3</v>
      </c>
      <c r="P216" s="867">
        <v>0.13572580567889245</v>
      </c>
      <c r="Q216" s="867">
        <v>0</v>
      </c>
    </row>
    <row r="217" spans="2:17" x14ac:dyDescent="0.3">
      <c r="B217" s="848" t="s">
        <v>39</v>
      </c>
      <c r="C217" s="849">
        <v>126729.99284702016</v>
      </c>
      <c r="D217" s="867">
        <v>0.95183389275190289</v>
      </c>
      <c r="E217" s="867">
        <v>0</v>
      </c>
      <c r="F217" s="867">
        <v>0.75648853461017296</v>
      </c>
      <c r="G217" s="867">
        <v>0</v>
      </c>
      <c r="H217" s="867">
        <v>1.5479679876318458E-2</v>
      </c>
      <c r="I217" s="867">
        <v>0</v>
      </c>
      <c r="J217" s="867">
        <v>0</v>
      </c>
      <c r="K217" s="867">
        <v>0</v>
      </c>
      <c r="L217" s="867">
        <v>0</v>
      </c>
      <c r="M217" s="867">
        <v>0</v>
      </c>
      <c r="N217" s="867">
        <v>0</v>
      </c>
      <c r="O217" s="867">
        <v>0.19243173262869179</v>
      </c>
      <c r="P217" s="867">
        <v>3.5462387649911414E-2</v>
      </c>
      <c r="Q217" s="867">
        <v>0</v>
      </c>
    </row>
    <row r="218" spans="2:17" x14ac:dyDescent="0.3">
      <c r="B218" s="848" t="s">
        <v>95</v>
      </c>
      <c r="C218" s="849">
        <v>11.7</v>
      </c>
      <c r="D218" s="867">
        <v>1</v>
      </c>
      <c r="E218" s="867">
        <v>0</v>
      </c>
      <c r="F218" s="867">
        <v>1</v>
      </c>
      <c r="G218" s="867">
        <v>0</v>
      </c>
      <c r="H218" s="867">
        <v>0</v>
      </c>
      <c r="I218" s="867">
        <v>0</v>
      </c>
      <c r="J218" s="867">
        <v>0</v>
      </c>
      <c r="K218" s="867">
        <v>0</v>
      </c>
      <c r="L218" s="867">
        <v>0</v>
      </c>
      <c r="M218" s="867">
        <v>0</v>
      </c>
      <c r="N218" s="867">
        <v>0</v>
      </c>
      <c r="O218" s="867">
        <v>0</v>
      </c>
      <c r="P218" s="867">
        <v>0</v>
      </c>
      <c r="Q218" s="867">
        <v>0</v>
      </c>
    </row>
    <row r="219" spans="2:17" x14ac:dyDescent="0.3">
      <c r="B219" s="848" t="s">
        <v>119</v>
      </c>
      <c r="C219" s="849">
        <v>67042.777330645025</v>
      </c>
      <c r="D219" s="867">
        <v>0</v>
      </c>
      <c r="E219" s="867">
        <v>0</v>
      </c>
      <c r="F219" s="867">
        <v>0</v>
      </c>
      <c r="G219" s="867">
        <v>0</v>
      </c>
      <c r="H219" s="867">
        <v>1.6118997874575412E-2</v>
      </c>
      <c r="I219" s="867">
        <v>0</v>
      </c>
      <c r="J219" s="867">
        <v>0</v>
      </c>
      <c r="K219" s="867">
        <v>0</v>
      </c>
      <c r="L219" s="867">
        <v>1.6254458020100053E-2</v>
      </c>
      <c r="M219" s="867">
        <v>0.15993566752773222</v>
      </c>
      <c r="N219" s="867">
        <v>0.25343536574848768</v>
      </c>
      <c r="O219" s="867">
        <v>0.26634718763383636</v>
      </c>
      <c r="P219" s="867">
        <v>0.27562532238382614</v>
      </c>
      <c r="Q219" s="867">
        <v>0</v>
      </c>
    </row>
    <row r="220" spans="2:17" x14ac:dyDescent="0.3">
      <c r="B220" s="891" t="s">
        <v>427</v>
      </c>
      <c r="C220" s="892">
        <v>1194004.4708205229</v>
      </c>
      <c r="D220" s="893">
        <v>0.49773946538880554</v>
      </c>
      <c r="E220" s="893">
        <v>1.6798918922126684E-2</v>
      </c>
      <c r="F220" s="893">
        <v>0.35587823157110865</v>
      </c>
      <c r="G220" s="893">
        <v>5.8009654915109392E-2</v>
      </c>
      <c r="H220" s="893">
        <v>4.1943902858224545E-2</v>
      </c>
      <c r="I220" s="893">
        <v>2.3392201126961686E-2</v>
      </c>
      <c r="J220" s="893">
        <v>1.1694067773608974E-2</v>
      </c>
      <c r="K220" s="893">
        <v>7.7734367997637751E-3</v>
      </c>
      <c r="L220" s="893">
        <v>5.1939520266931112E-3</v>
      </c>
      <c r="M220" s="893">
        <v>5.3490613131828776E-2</v>
      </c>
      <c r="N220" s="893">
        <v>0.12395763786859491</v>
      </c>
      <c r="O220" s="893">
        <v>0.10942481380615414</v>
      </c>
      <c r="P220" s="893">
        <v>0.14160478064290571</v>
      </c>
      <c r="Q220" s="893">
        <v>4.2989632489439801E-2</v>
      </c>
    </row>
    <row r="221" spans="2:17" x14ac:dyDescent="0.3">
      <c r="B221" s="44" t="s">
        <v>545</v>
      </c>
      <c r="C221" s="43">
        <v>1152697.4026795542</v>
      </c>
      <c r="D221" s="663">
        <v>0.47014503659923762</v>
      </c>
      <c r="E221" s="663">
        <v>1.5565129242248326E-2</v>
      </c>
      <c r="F221" s="663">
        <v>0.34450991057453251</v>
      </c>
      <c r="G221" s="663">
        <v>5.0661900191420139E-2</v>
      </c>
      <c r="H221" s="663">
        <v>3.8167429907608262E-2</v>
      </c>
      <c r="I221" s="663">
        <v>3.4476484910049829E-2</v>
      </c>
      <c r="J221" s="663">
        <v>1.4068736106009639E-2</v>
      </c>
      <c r="K221" s="663">
        <v>6.8621085395690401E-3</v>
      </c>
      <c r="L221" s="663">
        <v>7.8015013221136003E-3</v>
      </c>
      <c r="M221" s="663">
        <v>4.6695734479331015E-2</v>
      </c>
      <c r="N221" s="663">
        <v>0.12671000915539019</v>
      </c>
      <c r="O221" s="663">
        <v>0.10003467548929798</v>
      </c>
      <c r="P221" s="663">
        <v>0.16385979296504552</v>
      </c>
      <c r="Q221" s="663">
        <v>4.6680996319861161E-2</v>
      </c>
    </row>
    <row r="222" spans="2:17" x14ac:dyDescent="0.3">
      <c r="B222" s="663" t="s">
        <v>546</v>
      </c>
      <c r="C222" s="663">
        <v>3.5835135955842784E-2</v>
      </c>
      <c r="D222" s="663">
        <v>5.8693438495427609E-2</v>
      </c>
      <c r="E222" s="663">
        <v>7.9266266323667289E-2</v>
      </c>
      <c r="F222" s="663">
        <v>3.2998531094845469E-2</v>
      </c>
      <c r="G222" s="663">
        <v>0.14503511901303759</v>
      </c>
      <c r="H222" s="663"/>
      <c r="I222" s="663"/>
      <c r="J222" s="663"/>
      <c r="K222" s="663"/>
      <c r="L222" s="663"/>
      <c r="M222" s="663"/>
      <c r="N222" s="663"/>
      <c r="O222" s="663"/>
      <c r="P222" s="663"/>
      <c r="Q222" s="663" t="s">
        <v>48</v>
      </c>
    </row>
    <row r="223" spans="2:17" x14ac:dyDescent="0.3">
      <c r="D223" s="535"/>
      <c r="E223" s="535"/>
      <c r="F223" s="535"/>
      <c r="G223" s="535"/>
    </row>
    <row r="226" spans="2:10" x14ac:dyDescent="0.3">
      <c r="B226" s="2" t="s">
        <v>581</v>
      </c>
    </row>
    <row r="228" spans="2:10" ht="41.4" x14ac:dyDescent="0.3">
      <c r="B228" s="941">
        <v>2018</v>
      </c>
      <c r="C228" s="942" t="s">
        <v>433</v>
      </c>
      <c r="D228" s="942" t="s">
        <v>434</v>
      </c>
      <c r="E228" s="942" t="s">
        <v>494</v>
      </c>
      <c r="F228" s="942" t="s">
        <v>495</v>
      </c>
      <c r="G228" s="942" t="s">
        <v>496</v>
      </c>
      <c r="H228" s="942" t="s">
        <v>497</v>
      </c>
      <c r="I228" s="942" t="s">
        <v>514</v>
      </c>
    </row>
    <row r="229" spans="2:10" x14ac:dyDescent="0.3">
      <c r="B229" s="921" t="s">
        <v>151</v>
      </c>
      <c r="C229" s="43" t="e">
        <f>C159</f>
        <v>#REF!</v>
      </c>
      <c r="D229" s="665" t="e">
        <f t="shared" ref="D229:I229" si="64">D95</f>
        <v>#REF!</v>
      </c>
      <c r="E229" s="663" t="e">
        <f t="shared" si="64"/>
        <v>#REF!</v>
      </c>
      <c r="F229" s="665" t="e">
        <f t="shared" si="64"/>
        <v>#REF!</v>
      </c>
      <c r="G229" s="665" t="e">
        <f t="shared" si="64"/>
        <v>#REF!</v>
      </c>
      <c r="H229" s="665" t="e">
        <f t="shared" si="64"/>
        <v>#REF!</v>
      </c>
      <c r="I229" s="665" t="e">
        <f t="shared" si="64"/>
        <v>#REF!</v>
      </c>
      <c r="J229" s="21"/>
    </row>
    <row r="230" spans="2:10" x14ac:dyDescent="0.3">
      <c r="B230" s="921" t="s">
        <v>183</v>
      </c>
      <c r="C230" s="43" t="e">
        <f>'Gestion final Araba 2018'!C132</f>
        <v>#REF!</v>
      </c>
      <c r="D230" s="943" t="e">
        <f>'Gestion final Araba 2018'!D132</f>
        <v>#REF!</v>
      </c>
      <c r="E230" s="944" t="e">
        <f>'Gestion final Araba 2018'!E132</f>
        <v>#REF!</v>
      </c>
      <c r="F230" s="943" t="e">
        <f>'Gestion final Araba 2018'!F132</f>
        <v>#REF!</v>
      </c>
      <c r="G230" s="943" t="e">
        <f>'Gestion final Araba 2018'!G132</f>
        <v>#REF!</v>
      </c>
      <c r="H230" s="943" t="e">
        <f>'Gestion final Araba 2018'!H132</f>
        <v>#REF!</v>
      </c>
      <c r="I230" s="943" t="e">
        <f>'Gestion final Araba 2018'!I132</f>
        <v>#REF!</v>
      </c>
    </row>
    <row r="231" spans="2:10" x14ac:dyDescent="0.3">
      <c r="B231" s="921" t="s">
        <v>182</v>
      </c>
      <c r="C231" s="43" t="e">
        <f>'Gestion final Bizkaia 2018'!C135</f>
        <v>#REF!</v>
      </c>
      <c r="D231" s="943" t="e">
        <f>'Gestion final Bizkaia 2018'!D135</f>
        <v>#REF!</v>
      </c>
      <c r="E231" s="944" t="e">
        <f>'Gestion final Bizkaia 2018'!E135</f>
        <v>#REF!</v>
      </c>
      <c r="F231" s="943" t="e">
        <f>'Gestion final Bizkaia 2018'!F135</f>
        <v>#REF!</v>
      </c>
      <c r="G231" s="943" t="e">
        <f>'Gestion final Bizkaia 2018'!G135</f>
        <v>#REF!</v>
      </c>
      <c r="H231" s="943" t="e">
        <f>'Gestion final Bizkaia 2018'!H135</f>
        <v>#REF!</v>
      </c>
      <c r="I231" s="943" t="e">
        <f>'Gestion final Bizkaia 2018'!I135</f>
        <v>#REF!</v>
      </c>
    </row>
    <row r="232" spans="2:10" x14ac:dyDescent="0.3">
      <c r="B232" s="921" t="s">
        <v>184</v>
      </c>
      <c r="C232" s="43" t="e">
        <f>'Gestion final Gipuzkoa 2018'!C130</f>
        <v>#REF!</v>
      </c>
      <c r="D232" s="943" t="e">
        <f>'Gestion final Gipuzkoa 2018'!D130</f>
        <v>#REF!</v>
      </c>
      <c r="E232" s="944" t="e">
        <f>'Gestion final Gipuzkoa 2018'!E130</f>
        <v>#REF!</v>
      </c>
      <c r="F232" s="943" t="e">
        <f>'Gestion final Gipuzkoa 2018'!F130</f>
        <v>#REF!</v>
      </c>
      <c r="G232" s="943" t="e">
        <f>'Gestion final Gipuzkoa 2018'!G130</f>
        <v>#REF!</v>
      </c>
      <c r="H232" s="943" t="e">
        <f>'Gestion final Gipuzkoa 2018'!H130</f>
        <v>#REF!</v>
      </c>
      <c r="I232" s="943" t="e">
        <f>'Gestion final Gipuzkoa 2018'!I130</f>
        <v>#REF!</v>
      </c>
    </row>
    <row r="233" spans="2:10" x14ac:dyDescent="0.3">
      <c r="C233" s="3"/>
    </row>
  </sheetData>
  <mergeCells count="34">
    <mergeCell ref="E129:E130"/>
    <mergeCell ref="F129:F130"/>
    <mergeCell ref="G129:G130"/>
    <mergeCell ref="B2:B3"/>
    <mergeCell ref="C2:C3"/>
    <mergeCell ref="D2:D3"/>
    <mergeCell ref="E2:E3"/>
    <mergeCell ref="F2:R2"/>
    <mergeCell ref="B52:B53"/>
    <mergeCell ref="C52:C53"/>
    <mergeCell ref="D52:D53"/>
    <mergeCell ref="E52:E53"/>
    <mergeCell ref="F52:R52"/>
    <mergeCell ref="B196:B197"/>
    <mergeCell ref="C196:C197"/>
    <mergeCell ref="D196:D197"/>
    <mergeCell ref="E196:Q196"/>
    <mergeCell ref="H129:H130"/>
    <mergeCell ref="I129:I130"/>
    <mergeCell ref="J129:J130"/>
    <mergeCell ref="K129:K130"/>
    <mergeCell ref="B137:B138"/>
    <mergeCell ref="C137:C138"/>
    <mergeCell ref="D137:D138"/>
    <mergeCell ref="E137:E138"/>
    <mergeCell ref="F137:S137"/>
    <mergeCell ref="B129:B130"/>
    <mergeCell ref="C129:C130"/>
    <mergeCell ref="D129:D130"/>
    <mergeCell ref="T137:W137"/>
    <mergeCell ref="B167:B168"/>
    <mergeCell ref="C167:C168"/>
    <mergeCell ref="D167:D168"/>
    <mergeCell ref="E167:Q167"/>
  </mergeCell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49">
    <tabColor rgb="FF92D050"/>
  </sheetPr>
  <dimension ref="A1:X120"/>
  <sheetViews>
    <sheetView workbookViewId="0"/>
  </sheetViews>
  <sheetFormatPr baseColWidth="10" defaultColWidth="11.5546875" defaultRowHeight="13.8" x14ac:dyDescent="0.3"/>
  <cols>
    <col min="1" max="1" width="17.88671875" style="2" bestFit="1" customWidth="1"/>
    <col min="2" max="2" width="21.44140625" style="2" bestFit="1" customWidth="1"/>
    <col min="3" max="4" width="15.88671875" style="2" customWidth="1"/>
    <col min="5" max="5" width="13.5546875" style="2" customWidth="1"/>
    <col min="6" max="6" width="11.88671875" style="2" customWidth="1"/>
    <col min="7" max="7" width="12" style="2" customWidth="1"/>
    <col min="8" max="8" width="12.44140625" style="2" customWidth="1"/>
    <col min="9" max="9" width="11.5546875" style="2" customWidth="1"/>
    <col min="10" max="10" width="13.109375" style="2" customWidth="1"/>
    <col min="11" max="11" width="13.109375" style="2" bestFit="1" customWidth="1"/>
    <col min="12" max="12" width="13.109375" style="2" customWidth="1"/>
    <col min="13" max="13" width="13.109375" style="2" bestFit="1" customWidth="1"/>
    <col min="14" max="17" width="13.109375" style="2" customWidth="1"/>
    <col min="18" max="18" width="11.5546875" style="2"/>
    <col min="19" max="19" width="13.5546875" style="2" bestFit="1" customWidth="1"/>
    <col min="20" max="16384" width="11.5546875" style="2"/>
  </cols>
  <sheetData>
    <row r="1" spans="1:11" x14ac:dyDescent="0.3">
      <c r="A1" s="39" t="s">
        <v>583</v>
      </c>
    </row>
    <row r="3" spans="1:11" x14ac:dyDescent="0.3">
      <c r="A3" s="2" t="s">
        <v>584</v>
      </c>
      <c r="B3" s="2" t="s">
        <v>585</v>
      </c>
    </row>
    <row r="4" spans="1:11" x14ac:dyDescent="0.3">
      <c r="B4" s="2" t="s">
        <v>586</v>
      </c>
      <c r="E4" s="2" t="s">
        <v>587</v>
      </c>
      <c r="F4" s="2" t="s">
        <v>588</v>
      </c>
      <c r="I4" s="2" t="s">
        <v>589</v>
      </c>
      <c r="J4" s="2" t="s">
        <v>590</v>
      </c>
    </row>
    <row r="5" spans="1:11" x14ac:dyDescent="0.3">
      <c r="A5" s="2" t="s">
        <v>591</v>
      </c>
      <c r="B5" s="2" t="s">
        <v>592</v>
      </c>
      <c r="C5" s="2" t="s">
        <v>593</v>
      </c>
      <c r="D5" s="2" t="s">
        <v>594</v>
      </c>
      <c r="F5" s="2" t="s">
        <v>592</v>
      </c>
      <c r="G5" s="2" t="s">
        <v>593</v>
      </c>
      <c r="H5" s="2" t="s">
        <v>594</v>
      </c>
    </row>
    <row r="6" spans="1:11" x14ac:dyDescent="0.3">
      <c r="A6" s="658" t="s">
        <v>595</v>
      </c>
      <c r="B6" s="3">
        <v>287.78049609090021</v>
      </c>
      <c r="C6" s="3">
        <v>617.80864602623103</v>
      </c>
      <c r="D6" s="3">
        <v>1325.304449523755</v>
      </c>
      <c r="E6" s="3">
        <v>2230.8935916408864</v>
      </c>
      <c r="F6" s="3">
        <v>234.05779590301614</v>
      </c>
      <c r="G6" s="3">
        <v>1330.7023378084859</v>
      </c>
      <c r="H6" s="3">
        <v>1528.8267914566522</v>
      </c>
      <c r="I6" s="3">
        <v>3093.5869251681543</v>
      </c>
      <c r="J6" s="3">
        <v>5324.4805168090406</v>
      </c>
      <c r="K6" s="2" t="s">
        <v>596</v>
      </c>
    </row>
    <row r="7" spans="1:11" x14ac:dyDescent="0.3">
      <c r="A7" s="658" t="s">
        <v>597</v>
      </c>
      <c r="B7" s="3">
        <v>66.02936582633302</v>
      </c>
      <c r="C7" s="3">
        <v>148.91150041089213</v>
      </c>
      <c r="D7" s="3">
        <v>238.48383169021713</v>
      </c>
      <c r="E7" s="3">
        <v>453.42469792744225</v>
      </c>
      <c r="F7" s="3">
        <v>114.0515018795971</v>
      </c>
      <c r="G7" s="3">
        <v>425.92009093303557</v>
      </c>
      <c r="H7" s="3">
        <v>331.77335835326562</v>
      </c>
      <c r="I7" s="3">
        <v>871.74495116589833</v>
      </c>
      <c r="J7" s="3">
        <v>1325.1696490933405</v>
      </c>
      <c r="K7" s="2" t="s">
        <v>598</v>
      </c>
    </row>
    <row r="8" spans="1:11" x14ac:dyDescent="0.3">
      <c r="A8" s="658" t="s">
        <v>599</v>
      </c>
      <c r="B8" s="3">
        <v>15.896915778119631</v>
      </c>
      <c r="C8" s="3">
        <v>32.771287815386643</v>
      </c>
      <c r="D8" s="3">
        <v>59.460427534765827</v>
      </c>
      <c r="E8" s="3">
        <v>108.1286311282721</v>
      </c>
      <c r="F8" s="3">
        <v>210.43898193157409</v>
      </c>
      <c r="G8" s="3">
        <v>502.86272663492957</v>
      </c>
      <c r="H8" s="3">
        <v>657.67491066241712</v>
      </c>
      <c r="I8" s="3">
        <v>1370.9766192289208</v>
      </c>
      <c r="J8" s="3">
        <v>1479.1052503571927</v>
      </c>
      <c r="K8" s="2" t="s">
        <v>600</v>
      </c>
    </row>
    <row r="9" spans="1:11" x14ac:dyDescent="0.3">
      <c r="A9" s="658" t="s">
        <v>601</v>
      </c>
      <c r="B9" s="3">
        <v>27.553925627482119</v>
      </c>
      <c r="C9" s="3">
        <v>56.596771184412681</v>
      </c>
      <c r="D9" s="3">
        <v>110.36349532795781</v>
      </c>
      <c r="E9" s="3">
        <v>194.51419213985261</v>
      </c>
      <c r="F9" s="3">
        <v>10.800808303730348</v>
      </c>
      <c r="G9" s="3">
        <v>37.517504261081548</v>
      </c>
      <c r="H9" s="3">
        <v>63.636162617255785</v>
      </c>
      <c r="I9" s="3">
        <v>111.95447518206768</v>
      </c>
      <c r="J9" s="3">
        <v>306.46866732192029</v>
      </c>
      <c r="K9" s="2" t="s">
        <v>44</v>
      </c>
    </row>
    <row r="10" spans="1:11" x14ac:dyDescent="0.3">
      <c r="A10" s="658" t="s">
        <v>602</v>
      </c>
      <c r="B10" s="3">
        <v>35.365244420285002</v>
      </c>
      <c r="C10" s="3">
        <v>80.347293039309534</v>
      </c>
      <c r="D10" s="3">
        <v>166.33645470395226</v>
      </c>
      <c r="E10" s="3">
        <v>282.04899216354681</v>
      </c>
      <c r="F10" s="3">
        <v>42.600286505845226</v>
      </c>
      <c r="G10" s="3">
        <v>157.7324662231124</v>
      </c>
      <c r="H10" s="3">
        <v>125.50870423056202</v>
      </c>
      <c r="I10" s="3">
        <v>325.84145695951963</v>
      </c>
      <c r="J10" s="3">
        <v>607.89044912306645</v>
      </c>
      <c r="K10" s="2" t="s">
        <v>603</v>
      </c>
    </row>
    <row r="11" spans="1:11" x14ac:dyDescent="0.3">
      <c r="A11" s="658" t="s">
        <v>604</v>
      </c>
      <c r="B11" s="3"/>
      <c r="C11" s="3"/>
      <c r="D11" s="3"/>
      <c r="E11" s="3"/>
      <c r="F11" s="3">
        <v>60.137686188598828</v>
      </c>
      <c r="G11" s="3">
        <v>135.51868527243644</v>
      </c>
      <c r="H11" s="3">
        <v>126.11078773483661</v>
      </c>
      <c r="I11" s="3">
        <v>321.76715919587184</v>
      </c>
      <c r="J11" s="3">
        <v>321.76715919587184</v>
      </c>
    </row>
    <row r="12" spans="1:11" x14ac:dyDescent="0.3">
      <c r="A12" s="658" t="s">
        <v>605</v>
      </c>
      <c r="B12" s="3"/>
      <c r="C12" s="3"/>
      <c r="D12" s="3"/>
      <c r="E12" s="3"/>
      <c r="F12" s="3">
        <v>4.8937898549196897</v>
      </c>
      <c r="G12" s="3">
        <v>11.028026004499594</v>
      </c>
      <c r="H12" s="3">
        <v>10.262444944708859</v>
      </c>
      <c r="I12" s="3">
        <v>26.184260804128144</v>
      </c>
      <c r="J12" s="3">
        <v>26.184260804128144</v>
      </c>
    </row>
    <row r="13" spans="1:11" x14ac:dyDescent="0.3">
      <c r="A13" s="658" t="s">
        <v>590</v>
      </c>
      <c r="B13" s="3">
        <v>432.62594774311998</v>
      </c>
      <c r="C13" s="3">
        <v>936.43549847623206</v>
      </c>
      <c r="D13" s="3">
        <v>1899.948658780648</v>
      </c>
      <c r="E13" s="3">
        <v>3269.0101049999998</v>
      </c>
      <c r="F13" s="3">
        <v>676.98085056728144</v>
      </c>
      <c r="G13" s="3">
        <v>2601.2818371375811</v>
      </c>
      <c r="H13" s="3">
        <v>2843.7931599996987</v>
      </c>
      <c r="I13" s="3">
        <v>6122.0558477045597</v>
      </c>
      <c r="J13" s="3">
        <v>9391.0659527045609</v>
      </c>
    </row>
    <row r="14" spans="1:11" x14ac:dyDescent="0.3">
      <c r="A14" s="658"/>
      <c r="B14" s="3"/>
      <c r="C14" s="3"/>
      <c r="D14" s="3"/>
      <c r="E14" s="3"/>
      <c r="F14" s="3"/>
      <c r="G14" s="3"/>
      <c r="H14" s="3"/>
      <c r="I14" s="3"/>
      <c r="J14" s="3"/>
    </row>
    <row r="15" spans="1:11" x14ac:dyDescent="0.3">
      <c r="A15" s="658"/>
      <c r="B15" s="3"/>
      <c r="C15" s="3"/>
      <c r="D15" s="3"/>
      <c r="E15" s="3"/>
      <c r="F15" s="3"/>
      <c r="G15" s="3"/>
      <c r="H15" s="3"/>
      <c r="I15" s="3"/>
      <c r="J15" s="3"/>
    </row>
    <row r="16" spans="1:11" x14ac:dyDescent="0.3">
      <c r="A16" s="945" t="s">
        <v>181</v>
      </c>
      <c r="B16" s="3940" t="s">
        <v>142</v>
      </c>
      <c r="C16" s="3940"/>
      <c r="D16" s="3940"/>
      <c r="E16" s="3941" t="s">
        <v>159</v>
      </c>
      <c r="F16" s="3940" t="s">
        <v>141</v>
      </c>
      <c r="G16" s="3940"/>
      <c r="H16" s="3940"/>
      <c r="I16" s="3941" t="s">
        <v>159</v>
      </c>
      <c r="J16" s="3942" t="s">
        <v>125</v>
      </c>
    </row>
    <row r="17" spans="1:10" x14ac:dyDescent="0.3">
      <c r="A17" s="47" t="s">
        <v>606</v>
      </c>
      <c r="B17" s="710" t="s">
        <v>592</v>
      </c>
      <c r="C17" s="946" t="s">
        <v>593</v>
      </c>
      <c r="D17" s="946" t="s">
        <v>594</v>
      </c>
      <c r="E17" s="3941"/>
      <c r="F17" s="710" t="s">
        <v>592</v>
      </c>
      <c r="G17" s="946" t="s">
        <v>593</v>
      </c>
      <c r="H17" s="946" t="s">
        <v>594</v>
      </c>
      <c r="I17" s="3941"/>
      <c r="J17" s="3942"/>
    </row>
    <row r="18" spans="1:10" x14ac:dyDescent="0.3">
      <c r="A18" s="18" t="s">
        <v>596</v>
      </c>
      <c r="B18" s="947">
        <v>287.78049609090021</v>
      </c>
      <c r="C18" s="3">
        <v>617.80864602623103</v>
      </c>
      <c r="D18" s="3">
        <v>1325.304449523755</v>
      </c>
      <c r="E18" s="948">
        <v>2230.8935916408864</v>
      </c>
      <c r="F18" s="947">
        <v>234.05779590301614</v>
      </c>
      <c r="G18" s="3">
        <v>1330.7023378084859</v>
      </c>
      <c r="H18" s="3">
        <v>1528.8267914566522</v>
      </c>
      <c r="I18" s="948">
        <v>3093.5869251681543</v>
      </c>
      <c r="J18" s="949">
        <v>5324.4805168090406</v>
      </c>
    </row>
    <row r="19" spans="1:10" x14ac:dyDescent="0.3">
      <c r="A19" s="18" t="s">
        <v>600</v>
      </c>
      <c r="B19" s="947">
        <v>15.896915778119631</v>
      </c>
      <c r="C19" s="3">
        <v>32.771287815386643</v>
      </c>
      <c r="D19" s="3">
        <v>59.460427534765827</v>
      </c>
      <c r="E19" s="948">
        <v>108.1286311282721</v>
      </c>
      <c r="F19" s="947">
        <v>210.43898193157409</v>
      </c>
      <c r="G19" s="3">
        <v>502.86272663492957</v>
      </c>
      <c r="H19" s="3">
        <v>657.67491066241712</v>
      </c>
      <c r="I19" s="948">
        <v>1370.9766192289208</v>
      </c>
      <c r="J19" s="949">
        <v>1325.1696490933405</v>
      </c>
    </row>
    <row r="20" spans="1:10" x14ac:dyDescent="0.3">
      <c r="A20" s="18" t="s">
        <v>598</v>
      </c>
      <c r="B20" s="947">
        <v>66.02936582633302</v>
      </c>
      <c r="C20" s="3">
        <v>148.91150041089213</v>
      </c>
      <c r="D20" s="3">
        <v>238.48383169021713</v>
      </c>
      <c r="E20" s="948">
        <v>453.42469792744225</v>
      </c>
      <c r="F20" s="947">
        <v>114.0515018795971</v>
      </c>
      <c r="G20" s="3">
        <v>425.92009093303557</v>
      </c>
      <c r="H20" s="3">
        <v>331.77335835326562</v>
      </c>
      <c r="I20" s="948">
        <v>871.74495116589833</v>
      </c>
      <c r="J20" s="949">
        <v>1479.1052503571927</v>
      </c>
    </row>
    <row r="21" spans="1:10" x14ac:dyDescent="0.3">
      <c r="A21" s="18" t="s">
        <v>603</v>
      </c>
      <c r="B21" s="947">
        <v>35.365244420285002</v>
      </c>
      <c r="C21" s="3">
        <v>80.347293039309534</v>
      </c>
      <c r="D21" s="3">
        <v>166.33645470395226</v>
      </c>
      <c r="E21" s="948">
        <v>282.04899216354681</v>
      </c>
      <c r="F21" s="947">
        <v>42.600286505845226</v>
      </c>
      <c r="G21" s="3">
        <v>157.7324662231124</v>
      </c>
      <c r="H21" s="3">
        <v>125.50870423056202</v>
      </c>
      <c r="I21" s="948">
        <v>325.84145695951963</v>
      </c>
      <c r="J21" s="949">
        <v>306.46866732192029</v>
      </c>
    </row>
    <row r="22" spans="1:10" x14ac:dyDescent="0.3">
      <c r="A22" s="18" t="s">
        <v>44</v>
      </c>
      <c r="B22" s="947">
        <v>27.553925627482119</v>
      </c>
      <c r="C22" s="3">
        <v>56.596771184412681</v>
      </c>
      <c r="D22" s="3">
        <v>110.36349532795781</v>
      </c>
      <c r="E22" s="948">
        <v>194.51419213985261</v>
      </c>
      <c r="F22" s="947">
        <v>10.800808303730348</v>
      </c>
      <c r="G22" s="3">
        <v>37.517504261081548</v>
      </c>
      <c r="H22" s="3">
        <v>63.636162617255785</v>
      </c>
      <c r="I22" s="948">
        <v>111.95447518206768</v>
      </c>
      <c r="J22" s="949">
        <v>607.89044912306645</v>
      </c>
    </row>
    <row r="23" spans="1:10" x14ac:dyDescent="0.3">
      <c r="A23" s="19" t="s">
        <v>590</v>
      </c>
      <c r="B23" s="950">
        <f t="shared" ref="B23:I23" si="0">SUM(B18:B22)</f>
        <v>432.62594774312004</v>
      </c>
      <c r="C23" s="951">
        <f t="shared" si="0"/>
        <v>936.43549847623206</v>
      </c>
      <c r="D23" s="951">
        <f t="shared" si="0"/>
        <v>1899.948658780648</v>
      </c>
      <c r="E23" s="952">
        <f t="shared" si="0"/>
        <v>3269.0101049999998</v>
      </c>
      <c r="F23" s="950">
        <f t="shared" si="0"/>
        <v>611.94937452376303</v>
      </c>
      <c r="G23" s="951">
        <f t="shared" si="0"/>
        <v>2454.735125860645</v>
      </c>
      <c r="H23" s="951">
        <f t="shared" si="0"/>
        <v>2707.419927320153</v>
      </c>
      <c r="I23" s="952">
        <f t="shared" si="0"/>
        <v>5774.1044277045603</v>
      </c>
      <c r="J23" s="953">
        <v>9391.0659527045609</v>
      </c>
    </row>
    <row r="24" spans="1:10" x14ac:dyDescent="0.3">
      <c r="B24" s="3"/>
      <c r="C24" s="3"/>
      <c r="D24" s="3"/>
      <c r="E24" s="22"/>
      <c r="F24" s="3"/>
      <c r="G24" s="3"/>
      <c r="H24" s="3"/>
      <c r="I24" s="22"/>
      <c r="J24" s="22"/>
    </row>
    <row r="25" spans="1:10" x14ac:dyDescent="0.3">
      <c r="B25" s="3"/>
      <c r="C25" s="3"/>
      <c r="D25" s="3"/>
      <c r="E25" s="22"/>
      <c r="F25" s="3"/>
      <c r="G25" s="3"/>
      <c r="H25" s="3"/>
      <c r="I25" s="22"/>
      <c r="J25" s="22"/>
    </row>
    <row r="26" spans="1:10" x14ac:dyDescent="0.3">
      <c r="B26" s="3"/>
      <c r="C26" s="3"/>
      <c r="D26" s="3"/>
      <c r="E26" s="22"/>
      <c r="F26" s="3"/>
      <c r="G26" s="3"/>
      <c r="H26" s="3"/>
      <c r="I26" s="22"/>
      <c r="J26" s="22"/>
    </row>
    <row r="27" spans="1:10" x14ac:dyDescent="0.3">
      <c r="A27" s="945" t="s">
        <v>430</v>
      </c>
      <c r="B27" s="3940" t="s">
        <v>142</v>
      </c>
      <c r="C27" s="3943"/>
      <c r="D27" s="3943"/>
      <c r="E27" s="3941" t="s">
        <v>159</v>
      </c>
      <c r="F27" s="3940" t="s">
        <v>141</v>
      </c>
      <c r="G27" s="3943"/>
      <c r="H27" s="3943"/>
      <c r="I27" s="3941" t="s">
        <v>159</v>
      </c>
      <c r="J27" s="3942" t="s">
        <v>125</v>
      </c>
    </row>
    <row r="28" spans="1:10" x14ac:dyDescent="0.3">
      <c r="A28" s="47" t="s">
        <v>606</v>
      </c>
      <c r="B28" s="710" t="s">
        <v>592</v>
      </c>
      <c r="C28" s="946" t="s">
        <v>593</v>
      </c>
      <c r="D28" s="946" t="s">
        <v>594</v>
      </c>
      <c r="E28" s="3944"/>
      <c r="F28" s="710" t="s">
        <v>592</v>
      </c>
      <c r="G28" s="946" t="s">
        <v>593</v>
      </c>
      <c r="H28" s="946" t="s">
        <v>594</v>
      </c>
      <c r="I28" s="3944"/>
      <c r="J28" s="3945"/>
    </row>
    <row r="29" spans="1:10" x14ac:dyDescent="0.3">
      <c r="A29" s="18" t="s">
        <v>596</v>
      </c>
      <c r="B29" s="947"/>
      <c r="C29" s="3"/>
      <c r="D29" s="3">
        <v>885</v>
      </c>
      <c r="E29" s="948">
        <f>SUM(B29:D29)</f>
        <v>885</v>
      </c>
      <c r="F29" s="947"/>
      <c r="G29" s="3"/>
      <c r="H29" s="3">
        <v>9</v>
      </c>
      <c r="I29" s="948">
        <f>SUM(F29:H29)</f>
        <v>9</v>
      </c>
      <c r="J29" s="949">
        <f>E29+I29</f>
        <v>894</v>
      </c>
    </row>
    <row r="30" spans="1:10" x14ac:dyDescent="0.3">
      <c r="A30" s="18" t="s">
        <v>600</v>
      </c>
      <c r="B30" s="947"/>
      <c r="C30" s="3"/>
      <c r="D30" s="3">
        <v>2017</v>
      </c>
      <c r="E30" s="948">
        <f>SUM(B30:D30)</f>
        <v>2017</v>
      </c>
      <c r="F30" s="947"/>
      <c r="G30" s="3"/>
      <c r="H30" s="3">
        <v>37</v>
      </c>
      <c r="I30" s="948">
        <f>SUM(F30:H30)</f>
        <v>37</v>
      </c>
      <c r="J30" s="949">
        <f>E30+I30</f>
        <v>2054</v>
      </c>
    </row>
    <row r="31" spans="1:10" x14ac:dyDescent="0.3">
      <c r="A31" s="18" t="s">
        <v>598</v>
      </c>
      <c r="B31" s="947"/>
      <c r="C31" s="3"/>
      <c r="D31" s="3">
        <v>2017</v>
      </c>
      <c r="E31" s="948">
        <f>SUM(B31:D31)</f>
        <v>2017</v>
      </c>
      <c r="F31" s="947"/>
      <c r="G31" s="3"/>
      <c r="H31" s="3">
        <v>37</v>
      </c>
      <c r="I31" s="948">
        <f>SUM(F31:H31)</f>
        <v>37</v>
      </c>
      <c r="J31" s="949">
        <f>E31+I31</f>
        <v>2054</v>
      </c>
    </row>
    <row r="32" spans="1:10" x14ac:dyDescent="0.3">
      <c r="A32" s="18" t="s">
        <v>603</v>
      </c>
      <c r="B32" s="947"/>
      <c r="C32" s="3">
        <v>6816</v>
      </c>
      <c r="D32" s="2">
        <v>0</v>
      </c>
      <c r="E32" s="948">
        <f>SUM(B32:D32)</f>
        <v>6816</v>
      </c>
      <c r="F32" s="947"/>
      <c r="G32" s="3">
        <v>0</v>
      </c>
      <c r="H32" s="2">
        <v>0</v>
      </c>
      <c r="I32" s="948">
        <f>SUM(F32:H32)</f>
        <v>0</v>
      </c>
      <c r="J32" s="949">
        <f>E32+I32</f>
        <v>6816</v>
      </c>
    </row>
    <row r="33" spans="1:10" x14ac:dyDescent="0.3">
      <c r="A33" s="18" t="s">
        <v>44</v>
      </c>
      <c r="B33" s="947"/>
      <c r="C33" s="3"/>
      <c r="D33" s="3">
        <v>155</v>
      </c>
      <c r="E33" s="948">
        <f>SUM(B33:D33)</f>
        <v>155</v>
      </c>
      <c r="F33" s="947"/>
      <c r="G33" s="3"/>
      <c r="H33" s="3">
        <v>0</v>
      </c>
      <c r="I33" s="948">
        <f>SUM(F33:H33)</f>
        <v>0</v>
      </c>
      <c r="J33" s="949">
        <f>E33+I33</f>
        <v>155</v>
      </c>
    </row>
    <row r="34" spans="1:10" x14ac:dyDescent="0.3">
      <c r="A34" s="19" t="s">
        <v>590</v>
      </c>
      <c r="B34" s="950">
        <f t="shared" ref="B34:J34" si="1">SUM(B29:B33)</f>
        <v>0</v>
      </c>
      <c r="C34" s="951">
        <f t="shared" si="1"/>
        <v>6816</v>
      </c>
      <c r="D34" s="951">
        <f t="shared" si="1"/>
        <v>5074</v>
      </c>
      <c r="E34" s="952">
        <f t="shared" si="1"/>
        <v>11890</v>
      </c>
      <c r="F34" s="950">
        <f t="shared" si="1"/>
        <v>0</v>
      </c>
      <c r="G34" s="951">
        <f t="shared" si="1"/>
        <v>0</v>
      </c>
      <c r="H34" s="951">
        <f t="shared" si="1"/>
        <v>83</v>
      </c>
      <c r="I34" s="952">
        <f t="shared" si="1"/>
        <v>83</v>
      </c>
      <c r="J34" s="953">
        <f t="shared" si="1"/>
        <v>11973</v>
      </c>
    </row>
    <row r="35" spans="1:10" x14ac:dyDescent="0.3">
      <c r="B35" s="3"/>
      <c r="C35" s="3"/>
      <c r="D35" s="3"/>
      <c r="E35" s="22"/>
      <c r="F35" s="3"/>
      <c r="G35" s="3"/>
      <c r="H35" s="3"/>
      <c r="I35" s="22"/>
      <c r="J35" s="22"/>
    </row>
    <row r="36" spans="1:10" x14ac:dyDescent="0.3">
      <c r="B36" s="3" t="s">
        <v>183</v>
      </c>
      <c r="C36" s="3" t="s">
        <v>182</v>
      </c>
      <c r="D36" s="3" t="s">
        <v>184</v>
      </c>
      <c r="E36" s="22" t="s">
        <v>151</v>
      </c>
      <c r="F36" s="3"/>
      <c r="G36" s="3"/>
      <c r="H36" s="3"/>
      <c r="I36" s="22"/>
      <c r="J36" s="22"/>
    </row>
    <row r="37" spans="1:10" x14ac:dyDescent="0.3">
      <c r="A37" s="2" t="s">
        <v>607</v>
      </c>
      <c r="B37" s="3">
        <v>734</v>
      </c>
      <c r="C37" s="3">
        <v>1307.9589999999998</v>
      </c>
      <c r="D37" s="3">
        <v>2148.4030699999998</v>
      </c>
      <c r="E37" s="22">
        <f>SUM(B37:D37)</f>
        <v>4190.3620699999992</v>
      </c>
      <c r="F37" s="3"/>
      <c r="G37" s="3"/>
      <c r="H37" s="3"/>
      <c r="I37" s="22"/>
      <c r="J37" s="22"/>
    </row>
    <row r="38" spans="1:10" x14ac:dyDescent="0.3">
      <c r="A38" s="2" t="s">
        <v>608</v>
      </c>
      <c r="B38" s="3">
        <f>1490.838+4.697</f>
        <v>1495.5349999999999</v>
      </c>
      <c r="C38" s="3">
        <f>+'Datos DFB 19'!C20+'Datos DFB 19'!C42+'Datos DFB 19'!C43+'Datos DFB 19'!C80+'Datos DFB 19'!C91+'Datos DFB 19'!C92</f>
        <v>3102.7888600000006</v>
      </c>
      <c r="D38" s="3">
        <v>2294.6884399999999</v>
      </c>
      <c r="E38" s="22">
        <f>SUM(B38:D38)</f>
        <v>6893.0123000000003</v>
      </c>
      <c r="F38" s="3"/>
      <c r="G38" s="3"/>
      <c r="H38" s="3"/>
      <c r="I38" s="22"/>
      <c r="J38" s="22"/>
    </row>
    <row r="39" spans="1:10" ht="28.2" thickBot="1" x14ac:dyDescent="0.35">
      <c r="A39" s="7" t="s">
        <v>609</v>
      </c>
      <c r="B39" s="3">
        <f>+B38</f>
        <v>1495.5349999999999</v>
      </c>
      <c r="C39" s="3">
        <f>+C38</f>
        <v>3102.7888600000006</v>
      </c>
      <c r="D39" s="3">
        <f>+D38</f>
        <v>2294.6884399999999</v>
      </c>
      <c r="E39" s="22">
        <f>SUM(B39:D39)</f>
        <v>6893.0123000000003</v>
      </c>
      <c r="F39" s="3"/>
      <c r="G39" s="3"/>
      <c r="H39" s="3"/>
      <c r="I39" s="22"/>
      <c r="J39" s="22"/>
    </row>
    <row r="40" spans="1:10" ht="14.4" thickBot="1" x14ac:dyDescent="0.35">
      <c r="A40" s="2" t="s">
        <v>121</v>
      </c>
      <c r="B40" s="954">
        <f>+B39/$E$39</f>
        <v>0.21696392446594065</v>
      </c>
      <c r="C40" s="955">
        <f>+C39/$E$39</f>
        <v>0.45013540161534316</v>
      </c>
      <c r="D40" s="956">
        <f>+D39/$E$39</f>
        <v>0.33290067391871619</v>
      </c>
      <c r="E40" s="22"/>
      <c r="F40" s="3"/>
      <c r="G40" s="3"/>
      <c r="H40" s="3"/>
      <c r="I40" s="22"/>
      <c r="J40" s="22"/>
    </row>
    <row r="41" spans="1:10" x14ac:dyDescent="0.3">
      <c r="B41" s="3"/>
      <c r="C41" s="3"/>
      <c r="D41" s="3"/>
      <c r="E41" s="22"/>
      <c r="F41" s="3"/>
      <c r="G41" s="3"/>
      <c r="H41" s="3"/>
      <c r="I41" s="22"/>
      <c r="J41" s="22"/>
    </row>
    <row r="42" spans="1:10" x14ac:dyDescent="0.3">
      <c r="B42" s="3"/>
      <c r="C42" s="3"/>
      <c r="D42" s="3"/>
      <c r="E42" s="22"/>
      <c r="F42" s="3"/>
      <c r="G42" s="3"/>
      <c r="H42" s="3"/>
      <c r="I42" s="22"/>
      <c r="J42" s="22"/>
    </row>
    <row r="43" spans="1:10" x14ac:dyDescent="0.3">
      <c r="B43" s="3"/>
      <c r="C43" s="3"/>
      <c r="D43" s="3"/>
      <c r="E43" s="22"/>
      <c r="F43" s="3"/>
      <c r="G43" s="3"/>
      <c r="H43" s="3"/>
      <c r="I43" s="22"/>
      <c r="J43" s="22"/>
    </row>
    <row r="44" spans="1:10" x14ac:dyDescent="0.3">
      <c r="J44" s="3"/>
    </row>
    <row r="45" spans="1:10" x14ac:dyDescent="0.3">
      <c r="A45" s="658"/>
      <c r="B45" s="3935" t="s">
        <v>142</v>
      </c>
      <c r="C45" s="3935"/>
      <c r="D45" s="3935"/>
      <c r="E45" s="3" t="s">
        <v>610</v>
      </c>
      <c r="F45" s="3935" t="s">
        <v>141</v>
      </c>
      <c r="G45" s="3935"/>
      <c r="H45" s="3935"/>
      <c r="I45" s="3" t="s">
        <v>611</v>
      </c>
      <c r="J45" s="25"/>
    </row>
    <row r="46" spans="1:10" x14ac:dyDescent="0.3">
      <c r="A46" s="658" t="s">
        <v>606</v>
      </c>
      <c r="B46" s="3" t="s">
        <v>592</v>
      </c>
      <c r="C46" s="3" t="s">
        <v>593</v>
      </c>
      <c r="D46" s="3" t="s">
        <v>594</v>
      </c>
      <c r="E46" s="3"/>
      <c r="F46" s="3" t="s">
        <v>592</v>
      </c>
      <c r="G46" s="3" t="s">
        <v>593</v>
      </c>
      <c r="H46" s="3" t="s">
        <v>594</v>
      </c>
      <c r="I46" s="3"/>
      <c r="J46" s="25"/>
    </row>
    <row r="47" spans="1:10" x14ac:dyDescent="0.3">
      <c r="A47" s="2" t="s">
        <v>596</v>
      </c>
      <c r="B47" s="957">
        <f t="shared" ref="B47:D52" si="2">B29/$E29</f>
        <v>0</v>
      </c>
      <c r="C47" s="957">
        <f t="shared" si="2"/>
        <v>0</v>
      </c>
      <c r="D47" s="957">
        <f t="shared" si="2"/>
        <v>1</v>
      </c>
      <c r="E47" s="957">
        <f t="shared" ref="E47:E52" si="3">SUM(B47:D47)</f>
        <v>1</v>
      </c>
      <c r="F47" s="957">
        <f t="shared" ref="F47:H52" si="4">F29/$I29</f>
        <v>0</v>
      </c>
      <c r="G47" s="957">
        <f t="shared" si="4"/>
        <v>0</v>
      </c>
      <c r="H47" s="957">
        <f t="shared" si="4"/>
        <v>1</v>
      </c>
      <c r="I47" s="957">
        <f t="shared" ref="I47:I52" si="5">SUM(F47:H47)</f>
        <v>1</v>
      </c>
      <c r="J47" s="25"/>
    </row>
    <row r="48" spans="1:10" x14ac:dyDescent="0.3">
      <c r="A48" s="2" t="s">
        <v>600</v>
      </c>
      <c r="B48" s="957">
        <f t="shared" si="2"/>
        <v>0</v>
      </c>
      <c r="C48" s="957">
        <f t="shared" si="2"/>
        <v>0</v>
      </c>
      <c r="D48" s="957">
        <f t="shared" si="2"/>
        <v>1</v>
      </c>
      <c r="E48" s="957">
        <f t="shared" si="3"/>
        <v>1</v>
      </c>
      <c r="F48" s="957">
        <f t="shared" si="4"/>
        <v>0</v>
      </c>
      <c r="G48" s="957">
        <f t="shared" si="4"/>
        <v>0</v>
      </c>
      <c r="H48" s="957">
        <f t="shared" si="4"/>
        <v>1</v>
      </c>
      <c r="I48" s="957">
        <f t="shared" si="5"/>
        <v>1</v>
      </c>
      <c r="J48" s="25"/>
    </row>
    <row r="49" spans="1:24" x14ac:dyDescent="0.3">
      <c r="A49" s="2" t="s">
        <v>598</v>
      </c>
      <c r="B49" s="957">
        <f t="shared" si="2"/>
        <v>0</v>
      </c>
      <c r="C49" s="957">
        <f t="shared" si="2"/>
        <v>0</v>
      </c>
      <c r="D49" s="957">
        <f t="shared" si="2"/>
        <v>1</v>
      </c>
      <c r="E49" s="957">
        <f t="shared" si="3"/>
        <v>1</v>
      </c>
      <c r="F49" s="957">
        <f t="shared" si="4"/>
        <v>0</v>
      </c>
      <c r="G49" s="957">
        <f t="shared" si="4"/>
        <v>0</v>
      </c>
      <c r="H49" s="957">
        <f t="shared" si="4"/>
        <v>1</v>
      </c>
      <c r="I49" s="957">
        <f t="shared" si="5"/>
        <v>1</v>
      </c>
      <c r="J49" s="25"/>
    </row>
    <row r="50" spans="1:24" x14ac:dyDescent="0.3">
      <c r="A50" s="2" t="s">
        <v>603</v>
      </c>
      <c r="B50" s="957">
        <f t="shared" si="2"/>
        <v>0</v>
      </c>
      <c r="C50" s="957">
        <f t="shared" si="2"/>
        <v>1</v>
      </c>
      <c r="D50" s="957">
        <f t="shared" si="2"/>
        <v>0</v>
      </c>
      <c r="E50" s="957">
        <f t="shared" si="3"/>
        <v>1</v>
      </c>
      <c r="F50" s="957" t="e">
        <f t="shared" si="4"/>
        <v>#DIV/0!</v>
      </c>
      <c r="G50" s="957" t="e">
        <f t="shared" si="4"/>
        <v>#DIV/0!</v>
      </c>
      <c r="H50" s="957" t="e">
        <f t="shared" si="4"/>
        <v>#DIV/0!</v>
      </c>
      <c r="I50" s="957" t="e">
        <f t="shared" si="5"/>
        <v>#DIV/0!</v>
      </c>
      <c r="J50" s="25"/>
    </row>
    <row r="51" spans="1:24" x14ac:dyDescent="0.3">
      <c r="A51" s="2" t="s">
        <v>44</v>
      </c>
      <c r="B51" s="957">
        <f t="shared" si="2"/>
        <v>0</v>
      </c>
      <c r="C51" s="957">
        <f t="shared" si="2"/>
        <v>0</v>
      </c>
      <c r="D51" s="957">
        <f t="shared" si="2"/>
        <v>1</v>
      </c>
      <c r="E51" s="957">
        <f t="shared" si="3"/>
        <v>1</v>
      </c>
      <c r="F51" s="957" t="e">
        <f t="shared" si="4"/>
        <v>#DIV/0!</v>
      </c>
      <c r="G51" s="957" t="e">
        <f t="shared" si="4"/>
        <v>#DIV/0!</v>
      </c>
      <c r="H51" s="957" t="e">
        <f t="shared" si="4"/>
        <v>#DIV/0!</v>
      </c>
      <c r="I51" s="957" t="e">
        <f t="shared" si="5"/>
        <v>#DIV/0!</v>
      </c>
    </row>
    <row r="52" spans="1:24" x14ac:dyDescent="0.3">
      <c r="A52" s="2" t="s">
        <v>590</v>
      </c>
      <c r="B52" s="957">
        <f t="shared" si="2"/>
        <v>0</v>
      </c>
      <c r="C52" s="957">
        <f t="shared" si="2"/>
        <v>0.57325483599663585</v>
      </c>
      <c r="D52" s="957">
        <f t="shared" si="2"/>
        <v>0.42674516400336415</v>
      </c>
      <c r="E52" s="957">
        <f t="shared" si="3"/>
        <v>1</v>
      </c>
      <c r="F52" s="957">
        <f t="shared" si="4"/>
        <v>0</v>
      </c>
      <c r="G52" s="957">
        <f t="shared" si="4"/>
        <v>0</v>
      </c>
      <c r="H52" s="957">
        <f t="shared" si="4"/>
        <v>1</v>
      </c>
      <c r="I52" s="957">
        <f t="shared" si="5"/>
        <v>1</v>
      </c>
    </row>
    <row r="53" spans="1:24" x14ac:dyDescent="0.3">
      <c r="B53" s="2" t="e">
        <f>B35/$E35</f>
        <v>#DIV/0!</v>
      </c>
      <c r="F53" s="25"/>
    </row>
    <row r="54" spans="1:24" ht="41.4" customHeight="1" thickBot="1" x14ac:dyDescent="0.35">
      <c r="F54" s="25"/>
      <c r="H54" s="39">
        <v>2019</v>
      </c>
      <c r="P54" s="2" t="s">
        <v>612</v>
      </c>
    </row>
    <row r="55" spans="1:24" ht="31.65" customHeight="1" thickBot="1" x14ac:dyDescent="0.35">
      <c r="A55" s="958" t="s">
        <v>613</v>
      </c>
      <c r="B55" s="959"/>
      <c r="C55" s="959"/>
      <c r="D55" s="959"/>
      <c r="E55" s="959"/>
      <c r="F55" s="25"/>
      <c r="H55" s="3936" t="s">
        <v>614</v>
      </c>
      <c r="I55" s="3936"/>
      <c r="J55" s="3936"/>
      <c r="K55" s="3933" t="s">
        <v>615</v>
      </c>
      <c r="L55" s="3938" t="s">
        <v>616</v>
      </c>
      <c r="M55" s="3933" t="s">
        <v>617</v>
      </c>
      <c r="N55" s="3911" t="s">
        <v>396</v>
      </c>
      <c r="O55" s="3911" t="s">
        <v>618</v>
      </c>
      <c r="P55" s="3911" t="s">
        <v>394</v>
      </c>
      <c r="Q55" s="3911" t="s">
        <v>133</v>
      </c>
      <c r="T55" s="3911" t="s">
        <v>396</v>
      </c>
      <c r="U55" s="3911" t="s">
        <v>618</v>
      </c>
      <c r="V55" s="3911" t="s">
        <v>394</v>
      </c>
      <c r="W55" s="3911" t="s">
        <v>133</v>
      </c>
    </row>
    <row r="56" spans="1:24" ht="14.4" thickBot="1" x14ac:dyDescent="0.35">
      <c r="A56" s="959"/>
      <c r="B56" s="959"/>
      <c r="C56" s="959"/>
      <c r="D56" s="959"/>
      <c r="E56" s="959"/>
      <c r="H56" s="3936"/>
      <c r="I56" s="3936"/>
      <c r="J56" s="3936"/>
      <c r="K56" s="3937"/>
      <c r="L56" s="3939"/>
      <c r="M56" s="3934"/>
      <c r="N56" s="3911"/>
      <c r="O56" s="3911"/>
      <c r="P56" s="3911"/>
      <c r="Q56" s="3911"/>
      <c r="T56" s="3911"/>
      <c r="U56" s="3911"/>
      <c r="V56" s="3911"/>
      <c r="W56" s="3911"/>
    </row>
    <row r="57" spans="1:24" ht="14.4" thickBot="1" x14ac:dyDescent="0.35">
      <c r="A57" s="3930" t="s">
        <v>619</v>
      </c>
      <c r="B57" s="960">
        <v>2</v>
      </c>
      <c r="C57" s="960">
        <v>3</v>
      </c>
      <c r="D57" s="961">
        <v>4</v>
      </c>
      <c r="E57" s="959"/>
      <c r="H57" s="3936"/>
      <c r="I57" s="3936"/>
      <c r="J57" s="3936"/>
      <c r="K57" s="962" t="s">
        <v>620</v>
      </c>
      <c r="L57" s="963" t="s">
        <v>620</v>
      </c>
      <c r="M57" s="964" t="s">
        <v>620</v>
      </c>
      <c r="N57" s="965" t="s">
        <v>620</v>
      </c>
      <c r="O57" s="965" t="s">
        <v>620</v>
      </c>
      <c r="P57" s="966" t="s">
        <v>620</v>
      </c>
      <c r="Q57" s="966" t="s">
        <v>620</v>
      </c>
    </row>
    <row r="58" spans="1:24" ht="55.2" x14ac:dyDescent="0.3">
      <c r="A58" s="3931"/>
      <c r="B58" s="967" t="s">
        <v>621</v>
      </c>
      <c r="C58" s="967" t="s">
        <v>622</v>
      </c>
      <c r="D58" s="968" t="s">
        <v>623</v>
      </c>
      <c r="E58" s="959"/>
      <c r="G58" s="37"/>
      <c r="H58" s="3926" t="s">
        <v>624</v>
      </c>
      <c r="I58" s="969" t="s">
        <v>625</v>
      </c>
      <c r="J58" s="970" t="s">
        <v>626</v>
      </c>
      <c r="K58" s="971">
        <v>3899.488749329159</v>
      </c>
      <c r="L58" s="971">
        <v>239.43100000000001</v>
      </c>
      <c r="M58" s="972">
        <f>K58+L58</f>
        <v>4138.9197493291585</v>
      </c>
      <c r="N58" s="972">
        <v>3.2782546608302354</v>
      </c>
      <c r="O58" s="972">
        <v>3329.571479807485</v>
      </c>
      <c r="P58" s="972">
        <v>3800.7148854722723</v>
      </c>
      <c r="Q58" s="972">
        <v>338.205218529126</v>
      </c>
      <c r="R58" s="17"/>
    </row>
    <row r="59" spans="1:24" ht="40.200000000000003" thickBot="1" x14ac:dyDescent="0.35">
      <c r="A59" s="3932"/>
      <c r="B59" s="973" t="s">
        <v>620</v>
      </c>
      <c r="C59" s="974" t="s">
        <v>620</v>
      </c>
      <c r="D59" s="975" t="s">
        <v>620</v>
      </c>
      <c r="E59" s="959"/>
      <c r="G59" s="37"/>
      <c r="H59" s="3926"/>
      <c r="I59" s="969" t="s">
        <v>627</v>
      </c>
      <c r="J59" s="970" t="s">
        <v>628</v>
      </c>
      <c r="K59" s="976">
        <v>115.16813815005953</v>
      </c>
      <c r="L59" s="976">
        <v>23.12</v>
      </c>
      <c r="M59" s="972">
        <f>K59+L59</f>
        <v>138.28813815005952</v>
      </c>
      <c r="N59" s="972">
        <v>0</v>
      </c>
      <c r="O59" s="972">
        <v>121.61805615160189</v>
      </c>
      <c r="P59" s="972">
        <v>125.3828850712203</v>
      </c>
      <c r="Q59" s="972">
        <v>12.905051764140786</v>
      </c>
    </row>
    <row r="60" spans="1:24" ht="39.6" x14ac:dyDescent="0.3">
      <c r="A60" s="977" t="s">
        <v>629</v>
      </c>
      <c r="B60" s="978">
        <v>12176.248958609125</v>
      </c>
      <c r="C60" s="978">
        <v>621.84521781829187</v>
      </c>
      <c r="D60" s="979">
        <v>12798.094176427418</v>
      </c>
      <c r="E60" s="959" t="s">
        <v>104</v>
      </c>
      <c r="G60" s="37"/>
      <c r="H60" s="3926"/>
      <c r="I60" s="969" t="s">
        <v>630</v>
      </c>
      <c r="J60" s="970" t="s">
        <v>631</v>
      </c>
      <c r="K60" s="976">
        <v>7.6779208671969998</v>
      </c>
      <c r="L60" s="976">
        <v>7.4999999999999997E-2</v>
      </c>
      <c r="M60" s="972">
        <f>K60+L60</f>
        <v>7.752920867197</v>
      </c>
      <c r="N60" s="972">
        <v>0</v>
      </c>
      <c r="O60" s="972">
        <v>6.6950602604450777</v>
      </c>
      <c r="P60" s="972">
        <v>6.9323155532330718</v>
      </c>
      <c r="Q60" s="972">
        <v>0.821040096572621</v>
      </c>
      <c r="X60" s="2" t="s">
        <v>632</v>
      </c>
    </row>
    <row r="61" spans="1:24" ht="27.6" x14ac:dyDescent="0.3">
      <c r="A61" s="980" t="s">
        <v>633</v>
      </c>
      <c r="B61" s="978">
        <v>1528.3336554559367</v>
      </c>
      <c r="C61" s="978">
        <v>69.441831353118573</v>
      </c>
      <c r="D61" s="979">
        <v>1597.7754868090551</v>
      </c>
      <c r="E61" s="959" t="s">
        <v>104</v>
      </c>
      <c r="H61" s="3926"/>
      <c r="I61" s="969">
        <v>1</v>
      </c>
      <c r="J61" s="981" t="s">
        <v>634</v>
      </c>
      <c r="K61" s="982">
        <v>4022.3348083464152</v>
      </c>
      <c r="L61" s="982">
        <v>262.62599999999998</v>
      </c>
      <c r="M61" s="982">
        <f>SUM(M58:M60)</f>
        <v>4284.9608083464145</v>
      </c>
      <c r="N61" s="982">
        <v>3.2782546608302354</v>
      </c>
      <c r="O61" s="982">
        <v>3457.8845962195323</v>
      </c>
      <c r="P61" s="982">
        <v>3933.0300860967254</v>
      </c>
      <c r="Q61" s="982">
        <v>351.93131038983944</v>
      </c>
      <c r="R61" s="983">
        <v>1</v>
      </c>
      <c r="S61" s="984" t="s">
        <v>104</v>
      </c>
      <c r="T61" s="985">
        <f>+N61/SUM($N61,$P61:$Q61)</f>
        <v>7.6447561878988731E-4</v>
      </c>
      <c r="U61" s="985">
        <f>+O61/SUM($N61,$P61:$Q61)</f>
        <v>0.80636458722504312</v>
      </c>
      <c r="V61" s="985">
        <f>+P61/SUM($N61,$P61:$Q61)</f>
        <v>0.9171665779090431</v>
      </c>
      <c r="W61" s="985">
        <f>+Q61/SUM($N61,$P61:$Q61)</f>
        <v>8.2068946472166948E-2</v>
      </c>
      <c r="X61" s="985">
        <f>+V61-U61</f>
        <v>0.11080199068399998</v>
      </c>
    </row>
    <row r="62" spans="1:24" ht="27.6" x14ac:dyDescent="0.3">
      <c r="A62" s="980" t="s">
        <v>635</v>
      </c>
      <c r="B62" s="978">
        <v>869.17958789678255</v>
      </c>
      <c r="C62" s="978">
        <v>204.82922124356719</v>
      </c>
      <c r="D62" s="979">
        <v>1074.0088091403497</v>
      </c>
      <c r="E62" s="959" t="s">
        <v>106</v>
      </c>
      <c r="G62" s="37"/>
      <c r="H62" s="3926" t="s">
        <v>636</v>
      </c>
      <c r="I62" s="986" t="s">
        <v>637</v>
      </c>
      <c r="J62" s="970" t="s">
        <v>638</v>
      </c>
      <c r="K62" s="976">
        <v>1112.507194945832</v>
      </c>
      <c r="L62" s="976">
        <v>14.943861760642001</v>
      </c>
      <c r="M62" s="972">
        <f>K62+L62</f>
        <v>1127.451056706474</v>
      </c>
      <c r="N62" s="972">
        <v>0</v>
      </c>
      <c r="O62" s="972">
        <v>893.41368155994212</v>
      </c>
      <c r="P62" s="972">
        <v>905.59153891635481</v>
      </c>
      <c r="Q62" s="972">
        <v>221.85999700007309</v>
      </c>
      <c r="S62" s="984"/>
      <c r="T62" s="984"/>
      <c r="U62" s="984"/>
      <c r="V62" s="984"/>
      <c r="W62" s="984"/>
    </row>
    <row r="63" spans="1:24" ht="39.6" x14ac:dyDescent="0.3">
      <c r="A63" s="980" t="s">
        <v>639</v>
      </c>
      <c r="B63" s="978">
        <v>1670.733204110845</v>
      </c>
      <c r="C63" s="978">
        <v>15.483236496307002</v>
      </c>
      <c r="D63" s="979">
        <v>1686.216440607152</v>
      </c>
      <c r="E63" s="959" t="s">
        <v>105</v>
      </c>
      <c r="G63" s="37"/>
      <c r="H63" s="3926"/>
      <c r="I63" s="987" t="s">
        <v>640</v>
      </c>
      <c r="J63" s="970" t="s">
        <v>641</v>
      </c>
      <c r="K63" s="976">
        <v>236.01057868101648</v>
      </c>
      <c r="L63" s="976">
        <v>21.26337142857</v>
      </c>
      <c r="M63" s="972">
        <f>K63+L63</f>
        <v>257.27395010958651</v>
      </c>
      <c r="N63" s="972">
        <v>0.18750141482783858</v>
      </c>
      <c r="O63" s="972">
        <v>166.90677570013111</v>
      </c>
      <c r="P63" s="972">
        <v>182.58383973478931</v>
      </c>
      <c r="Q63" s="972">
        <v>74.689969134797295</v>
      </c>
      <c r="S63" s="984"/>
      <c r="T63" s="984"/>
      <c r="U63" s="984"/>
      <c r="V63" s="984"/>
      <c r="W63" s="984"/>
    </row>
    <row r="64" spans="1:24" ht="26.4" x14ac:dyDescent="0.3">
      <c r="A64" s="980" t="s">
        <v>642</v>
      </c>
      <c r="B64" s="978">
        <v>193.12993001600003</v>
      </c>
      <c r="C64" s="978">
        <v>404.24399268592379</v>
      </c>
      <c r="D64" s="979">
        <v>597.37392270192379</v>
      </c>
      <c r="E64" s="959" t="s">
        <v>44</v>
      </c>
      <c r="G64" s="37"/>
      <c r="H64" s="3926"/>
      <c r="I64" s="988">
        <v>23</v>
      </c>
      <c r="J64" s="970" t="s">
        <v>643</v>
      </c>
      <c r="K64" s="976">
        <v>20.237333333332</v>
      </c>
      <c r="L64" s="976">
        <v>21.8</v>
      </c>
      <c r="M64" s="972">
        <f>K64+L64</f>
        <v>42.037333333332001</v>
      </c>
      <c r="N64" s="972">
        <v>0</v>
      </c>
      <c r="O64" s="972">
        <v>35.285592606104395</v>
      </c>
      <c r="P64" s="972">
        <v>36.611032529026915</v>
      </c>
      <c r="Q64" s="972">
        <v>5.4259637141411439</v>
      </c>
      <c r="S64" s="984"/>
      <c r="T64" s="984"/>
      <c r="U64" s="984"/>
      <c r="V64" s="984"/>
      <c r="W64" s="984"/>
    </row>
    <row r="65" spans="1:24" x14ac:dyDescent="0.3">
      <c r="A65" s="980" t="s">
        <v>644</v>
      </c>
      <c r="B65" s="978">
        <v>65.570587664922044</v>
      </c>
      <c r="C65" s="978">
        <v>18.953791103</v>
      </c>
      <c r="D65" s="979">
        <v>84.524378767922045</v>
      </c>
      <c r="E65" s="959" t="s">
        <v>119</v>
      </c>
      <c r="H65" s="3926"/>
      <c r="I65" s="989">
        <v>2</v>
      </c>
      <c r="J65" s="981" t="s">
        <v>645</v>
      </c>
      <c r="K65" s="982">
        <v>1368.7551069601805</v>
      </c>
      <c r="L65" s="982">
        <v>58.007233189212002</v>
      </c>
      <c r="M65" s="982">
        <f>SUM(M62:M64)</f>
        <v>1426.7623401493927</v>
      </c>
      <c r="N65" s="982">
        <v>0.18750141482783858</v>
      </c>
      <c r="O65" s="982">
        <v>1095.6060498661777</v>
      </c>
      <c r="P65" s="982">
        <v>1124.7864111801709</v>
      </c>
      <c r="Q65" s="982">
        <v>301.97592984901149</v>
      </c>
      <c r="R65" s="37">
        <v>4</v>
      </c>
      <c r="S65" s="984" t="s">
        <v>105</v>
      </c>
      <c r="T65" s="985">
        <f>+N65/SUM($N65,$P65:$Q65)</f>
        <v>1.3140014403498253E-4</v>
      </c>
      <c r="U65" s="985">
        <f>+O65/SUM($N65,$P65:$Q65)</f>
        <v>0.76779576778233283</v>
      </c>
      <c r="V65" s="985">
        <f>+P65/SUM($N65,$P65:$Q65)</f>
        <v>0.78824523310061934</v>
      </c>
      <c r="W65" s="985">
        <f>+Q65/SUM($N65,$P65:$Q65)</f>
        <v>0.21162336675534565</v>
      </c>
      <c r="X65" s="985">
        <f>+V65-U65</f>
        <v>2.0449465318286508E-2</v>
      </c>
    </row>
    <row r="66" spans="1:24" ht="39.6" x14ac:dyDescent="0.3">
      <c r="A66" s="980" t="s">
        <v>646</v>
      </c>
      <c r="B66" s="978">
        <v>197.25102510053784</v>
      </c>
      <c r="C66" s="978">
        <v>1.576698903</v>
      </c>
      <c r="D66" s="979">
        <v>198.82772400353784</v>
      </c>
      <c r="E66" s="959" t="s">
        <v>119</v>
      </c>
      <c r="G66" s="37"/>
      <c r="H66" s="3926" t="s">
        <v>647</v>
      </c>
      <c r="I66" s="969" t="s">
        <v>648</v>
      </c>
      <c r="J66" s="970" t="s">
        <v>649</v>
      </c>
      <c r="K66" s="976">
        <v>193.38407000000001</v>
      </c>
      <c r="L66" s="976">
        <v>1.3460000000000001</v>
      </c>
      <c r="M66" s="972">
        <f>K66+L66</f>
        <v>194.73007000000001</v>
      </c>
      <c r="N66" s="972">
        <v>0</v>
      </c>
      <c r="O66" s="972">
        <v>169.11808294732319</v>
      </c>
      <c r="P66" s="972">
        <v>183.10292642985559</v>
      </c>
      <c r="Q66" s="972">
        <v>11.628143570144406</v>
      </c>
      <c r="S66" s="984"/>
      <c r="T66" s="984"/>
      <c r="U66" s="984"/>
      <c r="V66" s="984"/>
      <c r="W66" s="984"/>
    </row>
    <row r="67" spans="1:24" x14ac:dyDescent="0.3">
      <c r="A67" s="980" t="s">
        <v>650</v>
      </c>
      <c r="B67" s="978">
        <v>57.424841175540038</v>
      </c>
      <c r="C67" s="978">
        <v>31.309237435</v>
      </c>
      <c r="D67" s="979">
        <v>88.734078610540038</v>
      </c>
      <c r="E67" s="959" t="s">
        <v>119</v>
      </c>
      <c r="G67" s="37"/>
      <c r="H67" s="3926"/>
      <c r="I67" s="969">
        <v>32</v>
      </c>
      <c r="J67" s="970" t="s">
        <v>651</v>
      </c>
      <c r="K67" s="976">
        <v>16.791999999999998</v>
      </c>
      <c r="L67" s="976">
        <v>3.1850000000000001</v>
      </c>
      <c r="M67" s="972">
        <f>K67+L67</f>
        <v>19.976999999999997</v>
      </c>
      <c r="N67" s="972">
        <v>0</v>
      </c>
      <c r="O67" s="972">
        <v>14.966469873933987</v>
      </c>
      <c r="P67" s="972">
        <v>18.862560245402005</v>
      </c>
      <c r="Q67" s="972">
        <v>1.1145436545979943</v>
      </c>
      <c r="S67" s="984"/>
      <c r="T67" s="984"/>
      <c r="U67" s="984"/>
      <c r="V67" s="984"/>
      <c r="W67" s="984"/>
    </row>
    <row r="68" spans="1:24" x14ac:dyDescent="0.3">
      <c r="A68" s="980" t="s">
        <v>652</v>
      </c>
      <c r="B68" s="978">
        <v>102.03114529522192</v>
      </c>
      <c r="C68" s="978">
        <v>8.704797800999998</v>
      </c>
      <c r="D68" s="979">
        <v>110.73594309622192</v>
      </c>
      <c r="E68" s="959" t="s">
        <v>119</v>
      </c>
      <c r="H68" s="3926"/>
      <c r="I68" s="969">
        <v>3</v>
      </c>
      <c r="J68" s="981" t="s">
        <v>653</v>
      </c>
      <c r="K68" s="982">
        <v>210.17607000000001</v>
      </c>
      <c r="L68" s="982">
        <v>4.5310000000000006</v>
      </c>
      <c r="M68" s="982">
        <f>SUM(M66:M67)</f>
        <v>214.70707000000002</v>
      </c>
      <c r="N68" s="982">
        <v>0</v>
      </c>
      <c r="O68" s="982">
        <v>184.08455282125718</v>
      </c>
      <c r="P68" s="982">
        <v>201.96548667525758</v>
      </c>
      <c r="Q68" s="982">
        <v>12.742687224742401</v>
      </c>
      <c r="R68" s="37">
        <v>5</v>
      </c>
      <c r="S68" s="984" t="s">
        <v>44</v>
      </c>
      <c r="T68" s="985">
        <f>+N68/SUM($N68,$P68:$Q68)</f>
        <v>0</v>
      </c>
      <c r="U68" s="985">
        <f>+O68/SUM($N68,$P68:$Q68)</f>
        <v>0.85737095834550892</v>
      </c>
      <c r="V68" s="985">
        <f>+P68/SUM($N68,$P68:$Q68)</f>
        <v>0.9406511312854009</v>
      </c>
      <c r="W68" s="985">
        <f>+Q68/SUM($N68,$P68:$Q68)</f>
        <v>5.9348868714599046E-2</v>
      </c>
      <c r="X68" s="985">
        <f>+V68-U68</f>
        <v>8.3280172939891983E-2</v>
      </c>
    </row>
    <row r="69" spans="1:24" ht="53.4" thickBot="1" x14ac:dyDescent="0.35">
      <c r="A69" s="990" t="s">
        <v>654</v>
      </c>
      <c r="B69" s="991">
        <v>0.22</v>
      </c>
      <c r="C69" s="991">
        <v>53.131</v>
      </c>
      <c r="D69" s="979">
        <v>53.350999999999999</v>
      </c>
      <c r="E69" s="959"/>
      <c r="G69" s="37"/>
      <c r="H69" s="3926" t="s">
        <v>655</v>
      </c>
      <c r="I69" s="969" t="s">
        <v>656</v>
      </c>
      <c r="J69" s="970" t="s">
        <v>657</v>
      </c>
      <c r="K69" s="976">
        <v>202.16819491523719</v>
      </c>
      <c r="L69" s="976">
        <v>29.385999999999999</v>
      </c>
      <c r="M69" s="972">
        <f>K69+L69</f>
        <v>231.55419491523719</v>
      </c>
      <c r="N69" s="972">
        <v>0</v>
      </c>
      <c r="O69" s="972">
        <v>200.79858376237044</v>
      </c>
      <c r="P69" s="972">
        <v>203.52011640749953</v>
      </c>
      <c r="Q69" s="972">
        <v>28.034328169259545</v>
      </c>
      <c r="S69" s="984"/>
      <c r="T69" s="984"/>
      <c r="U69" s="984"/>
      <c r="V69" s="984"/>
      <c r="W69" s="984"/>
    </row>
    <row r="70" spans="1:24" ht="27.6" thickTop="1" thickBot="1" x14ac:dyDescent="0.35">
      <c r="A70" s="992" t="s">
        <v>125</v>
      </c>
      <c r="B70" s="993">
        <f>SUM(B60:B69)</f>
        <v>16860.122935324915</v>
      </c>
      <c r="C70" s="993">
        <f>SUM(C60:C69)</f>
        <v>1429.5190248392084</v>
      </c>
      <c r="D70" s="994">
        <f>SUM(D60:D69)</f>
        <v>18289.641960164121</v>
      </c>
      <c r="E70" s="959"/>
      <c r="G70" s="37"/>
      <c r="H70" s="3926"/>
      <c r="I70" s="969">
        <v>42</v>
      </c>
      <c r="J70" s="970" t="s">
        <v>658</v>
      </c>
      <c r="K70" s="976">
        <v>6594.6233476641801</v>
      </c>
      <c r="L70" s="976">
        <v>1513.6993908516192</v>
      </c>
      <c r="M70" s="972">
        <f>K70+L70</f>
        <v>8108.3227385157988</v>
      </c>
      <c r="N70" s="972">
        <v>8.6129395478512638</v>
      </c>
      <c r="O70" s="972">
        <v>7146.2864540656574</v>
      </c>
      <c r="P70" s="972">
        <v>7316.7876471353202</v>
      </c>
      <c r="Q70" s="972">
        <v>791.53501764922976</v>
      </c>
      <c r="S70" s="984"/>
      <c r="T70" s="984"/>
      <c r="U70" s="984"/>
      <c r="V70" s="984"/>
      <c r="W70" s="984"/>
    </row>
    <row r="71" spans="1:24" x14ac:dyDescent="0.3">
      <c r="A71" s="995"/>
      <c r="D71" s="996"/>
      <c r="H71" s="3926"/>
      <c r="I71" s="969">
        <v>4</v>
      </c>
      <c r="J71" s="970" t="s">
        <v>659</v>
      </c>
      <c r="K71" s="982">
        <v>6796.7915425794172</v>
      </c>
      <c r="L71" s="982">
        <v>1543.0853908516192</v>
      </c>
      <c r="M71" s="982">
        <f>SUM(M69:M70)</f>
        <v>8339.8769334310364</v>
      </c>
      <c r="N71" s="982">
        <v>8.6129395478512638</v>
      </c>
      <c r="O71" s="982">
        <v>7347.0850378280275</v>
      </c>
      <c r="P71" s="982">
        <v>7520.3077635428199</v>
      </c>
      <c r="Q71" s="982">
        <v>819.5693458184893</v>
      </c>
      <c r="R71" s="37">
        <v>1</v>
      </c>
      <c r="S71" s="984" t="s">
        <v>104</v>
      </c>
      <c r="T71" s="985">
        <f>+N71/SUM($N71,$P71:$Q71)</f>
        <v>1.0316763267839862E-3</v>
      </c>
      <c r="U71" s="985">
        <f>+O71/SUM($N71,$P71:$Q71)</f>
        <v>0.88004956522503386</v>
      </c>
      <c r="V71" s="985">
        <f>+P71/SUM($N71,$P71:$Q71)</f>
        <v>0.90079855392837738</v>
      </c>
      <c r="W71" s="985">
        <f>+Q71/SUM($N71,$P71:$Q71)</f>
        <v>9.8169769744838695E-2</v>
      </c>
      <c r="X71" s="985">
        <f>+V71-U71</f>
        <v>2.0748988703343518E-2</v>
      </c>
    </row>
    <row r="72" spans="1:24" ht="66" x14ac:dyDescent="0.3">
      <c r="A72" s="995"/>
      <c r="D72" s="996"/>
      <c r="G72" s="37"/>
      <c r="H72" s="3926" t="s">
        <v>660</v>
      </c>
      <c r="I72" s="986" t="s">
        <v>661</v>
      </c>
      <c r="J72" s="997" t="s">
        <v>662</v>
      </c>
      <c r="K72" s="976">
        <v>35.737100775193795</v>
      </c>
      <c r="L72" s="976">
        <v>32.483000000000004</v>
      </c>
      <c r="M72" s="972">
        <f>K72+L72</f>
        <v>68.220100775193799</v>
      </c>
      <c r="N72" s="972">
        <v>0</v>
      </c>
      <c r="O72" s="972">
        <v>57.95011984979795</v>
      </c>
      <c r="P72" s="972">
        <v>60.323518712336885</v>
      </c>
      <c r="Q72" s="972">
        <v>7.8965820628569166</v>
      </c>
      <c r="S72" s="984"/>
      <c r="T72" s="984"/>
      <c r="U72" s="984"/>
      <c r="V72" s="984"/>
      <c r="W72" s="984"/>
    </row>
    <row r="73" spans="1:24" ht="26.4" x14ac:dyDescent="0.3">
      <c r="A73" s="995"/>
      <c r="D73" s="996"/>
      <c r="G73" s="37"/>
      <c r="H73" s="3926"/>
      <c r="I73" s="988">
        <v>52</v>
      </c>
      <c r="J73" s="997" t="s">
        <v>663</v>
      </c>
      <c r="K73" s="976">
        <v>1983.4825801699735</v>
      </c>
      <c r="L73" s="976">
        <v>348.28047226674556</v>
      </c>
      <c r="M73" s="972">
        <f>K73+L73</f>
        <v>2331.7630524367191</v>
      </c>
      <c r="N73" s="972">
        <v>1.0019785499234279</v>
      </c>
      <c r="O73" s="972">
        <v>1949.3364157507285</v>
      </c>
      <c r="P73" s="972">
        <v>2101.8337749629904</v>
      </c>
      <c r="Q73" s="972">
        <v>229.92929094469878</v>
      </c>
      <c r="S73" s="984"/>
      <c r="T73" s="984"/>
      <c r="U73" s="984"/>
      <c r="V73" s="984"/>
      <c r="W73" s="984"/>
    </row>
    <row r="74" spans="1:24" x14ac:dyDescent="0.3">
      <c r="A74" s="995"/>
      <c r="D74" s="996"/>
      <c r="H74" s="3926"/>
      <c r="I74" s="998">
        <v>5</v>
      </c>
      <c r="J74" s="999" t="s">
        <v>664</v>
      </c>
      <c r="K74" s="982">
        <v>2019.2196809451673</v>
      </c>
      <c r="L74" s="982">
        <v>380.76347226674557</v>
      </c>
      <c r="M74" s="982">
        <f>SUM(M72:M73)</f>
        <v>2399.9831532119128</v>
      </c>
      <c r="N74" s="982">
        <v>1.0019785499234279</v>
      </c>
      <c r="O74" s="982">
        <v>2007.2865356005266</v>
      </c>
      <c r="P74" s="982">
        <v>2162.1572936753273</v>
      </c>
      <c r="Q74" s="982">
        <v>237.82587300755569</v>
      </c>
      <c r="R74" s="37">
        <v>2</v>
      </c>
      <c r="S74" s="984" t="s">
        <v>104</v>
      </c>
      <c r="T74" s="985">
        <f>+N74/SUM($N74,$P74:$Q74)</f>
        <v>4.1731976222879677E-4</v>
      </c>
      <c r="U74" s="985">
        <f>+O74/SUM($N74,$P74:$Q74)</f>
        <v>0.83602622014801931</v>
      </c>
      <c r="V74" s="985">
        <f>+P74/SUM($N74,$P74:$Q74)</f>
        <v>0.90052922566735749</v>
      </c>
      <c r="W74" s="985">
        <f>+Q74/SUM($N74,$P74:$Q74)</f>
        <v>9.905345457041359E-2</v>
      </c>
      <c r="X74" s="985">
        <f>+V74-U74</f>
        <v>6.4503005519338186E-2</v>
      </c>
    </row>
    <row r="75" spans="1:24" ht="79.2" x14ac:dyDescent="0.3">
      <c r="A75" s="995"/>
      <c r="D75" s="996"/>
      <c r="G75" s="37"/>
      <c r="H75" s="3926" t="s">
        <v>665</v>
      </c>
      <c r="I75" s="986" t="s">
        <v>666</v>
      </c>
      <c r="J75" s="970" t="s">
        <v>667</v>
      </c>
      <c r="K75" s="976">
        <v>905.87077120188303</v>
      </c>
      <c r="L75" s="976">
        <v>32.507820000000002</v>
      </c>
      <c r="M75" s="972">
        <f>K75+L75</f>
        <v>938.37859120188307</v>
      </c>
      <c r="N75" s="972">
        <v>0.24575418082936692</v>
      </c>
      <c r="O75" s="972">
        <v>732.02828207104017</v>
      </c>
      <c r="P75" s="972">
        <v>809.41313979214215</v>
      </c>
      <c r="Q75" s="972">
        <v>128.96628106556466</v>
      </c>
      <c r="S75" s="984"/>
      <c r="T75" s="984"/>
      <c r="U75" s="984"/>
      <c r="V75" s="984"/>
      <c r="W75" s="984"/>
    </row>
    <row r="76" spans="1:24" x14ac:dyDescent="0.3">
      <c r="A76" s="995"/>
      <c r="D76" s="996"/>
      <c r="H76" s="3926"/>
      <c r="I76" s="989">
        <v>6</v>
      </c>
      <c r="J76" s="981" t="s">
        <v>668</v>
      </c>
      <c r="K76" s="982">
        <v>905.87077120188303</v>
      </c>
      <c r="L76" s="982">
        <v>32.507820000000002</v>
      </c>
      <c r="M76" s="982">
        <f>M75</f>
        <v>938.37859120188307</v>
      </c>
      <c r="N76" s="982">
        <v>0.24575418082936692</v>
      </c>
      <c r="O76" s="982">
        <v>732.02828207104017</v>
      </c>
      <c r="P76" s="982">
        <v>809.41313979214215</v>
      </c>
      <c r="Q76" s="982">
        <v>128.96628106556466</v>
      </c>
      <c r="R76" s="37">
        <v>3</v>
      </c>
      <c r="S76" s="984" t="s">
        <v>106</v>
      </c>
      <c r="T76" s="985">
        <f>+N76/SUM($N76,$P76:$Q76)</f>
        <v>2.6182355573328535E-4</v>
      </c>
      <c r="U76" s="985">
        <f>+O76/SUM($N76,$P76:$Q76)</f>
        <v>0.7798941489514023</v>
      </c>
      <c r="V76" s="985">
        <f>+P76/SUM($N76,$P76:$Q76)</f>
        <v>0.86233904791538418</v>
      </c>
      <c r="W76" s="985">
        <f>+Q76/SUM($N76,$P76:$Q76)</f>
        <v>0.13739912852888247</v>
      </c>
      <c r="X76" s="985">
        <f>+V76-U76</f>
        <v>8.2444898963981883E-2</v>
      </c>
    </row>
    <row r="77" spans="1:24" ht="26.4" x14ac:dyDescent="0.3">
      <c r="A77" s="995"/>
      <c r="D77" s="996"/>
      <c r="G77" s="37"/>
      <c r="H77" s="3926" t="s">
        <v>669</v>
      </c>
      <c r="I77" s="969">
        <v>71</v>
      </c>
      <c r="J77" s="997" t="s">
        <v>670</v>
      </c>
      <c r="K77" s="976">
        <v>0</v>
      </c>
      <c r="L77" s="976">
        <v>1.4770000000000001</v>
      </c>
      <c r="M77" s="972">
        <f>K77+L77</f>
        <v>1.4770000000000001</v>
      </c>
      <c r="N77" s="972">
        <v>0</v>
      </c>
      <c r="O77" s="972">
        <v>1.333731</v>
      </c>
      <c r="P77" s="972">
        <v>1.333731</v>
      </c>
      <c r="Q77" s="972">
        <v>0.14326900000000001</v>
      </c>
      <c r="S77" s="984"/>
      <c r="T77" s="984"/>
      <c r="U77" s="984"/>
      <c r="V77" s="984"/>
      <c r="W77" s="984"/>
    </row>
    <row r="78" spans="1:24" ht="52.8" x14ac:dyDescent="0.3">
      <c r="A78" s="995"/>
      <c r="D78" s="996"/>
      <c r="G78" s="37"/>
      <c r="H78" s="3926"/>
      <c r="I78" s="969" t="s">
        <v>671</v>
      </c>
      <c r="J78" s="997" t="s">
        <v>672</v>
      </c>
      <c r="K78" s="976">
        <v>0</v>
      </c>
      <c r="L78" s="976">
        <v>0</v>
      </c>
      <c r="M78" s="972">
        <f>K78+L78</f>
        <v>0</v>
      </c>
      <c r="N78" s="972">
        <v>0</v>
      </c>
      <c r="O78" s="972">
        <v>0</v>
      </c>
      <c r="P78" s="972"/>
      <c r="Q78" s="972">
        <v>0</v>
      </c>
      <c r="S78" s="984"/>
      <c r="T78" s="984"/>
      <c r="U78" s="984"/>
      <c r="V78" s="984"/>
      <c r="W78" s="984"/>
    </row>
    <row r="79" spans="1:24" ht="14.4" customHeight="1" thickBot="1" x14ac:dyDescent="0.35">
      <c r="A79" s="995"/>
      <c r="D79" s="996"/>
      <c r="H79" s="3927"/>
      <c r="I79" s="986">
        <v>7</v>
      </c>
      <c r="J79" s="999" t="s">
        <v>673</v>
      </c>
      <c r="K79" s="982">
        <v>0</v>
      </c>
      <c r="L79" s="982">
        <v>1.4770000000000001</v>
      </c>
      <c r="M79" s="982">
        <f>SUM(M77:M78)</f>
        <v>1.4770000000000001</v>
      </c>
      <c r="N79" s="982">
        <v>0</v>
      </c>
      <c r="O79" s="982">
        <v>1.333731</v>
      </c>
      <c r="P79" s="982">
        <v>1.333731</v>
      </c>
      <c r="Q79" s="982">
        <v>0.14326900000000001</v>
      </c>
      <c r="R79" s="37">
        <v>4</v>
      </c>
      <c r="S79" s="984" t="s">
        <v>105</v>
      </c>
      <c r="T79" s="985">
        <f t="shared" ref="T79:W80" si="6">+N79/SUM($N79,$P79:$Q79)</f>
        <v>0</v>
      </c>
      <c r="U79" s="985">
        <f t="shared" si="6"/>
        <v>0.90299999999999991</v>
      </c>
      <c r="V79" s="985">
        <f t="shared" si="6"/>
        <v>0.90299999999999991</v>
      </c>
      <c r="W79" s="985">
        <f t="shared" si="6"/>
        <v>9.7000000000000003E-2</v>
      </c>
      <c r="X79" s="985">
        <f>+V79-U79</f>
        <v>0</v>
      </c>
    </row>
    <row r="80" spans="1:24" ht="14.4" thickBot="1" x14ac:dyDescent="0.35">
      <c r="A80" s="995"/>
      <c r="D80" s="996"/>
      <c r="H80" s="3928" t="s">
        <v>674</v>
      </c>
      <c r="I80" s="3929"/>
      <c r="J80" s="1000"/>
      <c r="K80" s="1001">
        <v>15323.147980033062</v>
      </c>
      <c r="L80" s="1001">
        <v>2282.9979163075764</v>
      </c>
      <c r="M80" s="1001">
        <f>M61+M65+M68+M71+M74+M76+M79</f>
        <v>17606.14589634064</v>
      </c>
      <c r="N80" s="1002">
        <f>N79+N76+N74+N71+N68+N65+N61</f>
        <v>13.326428354262132</v>
      </c>
      <c r="O80" s="1002">
        <f>O79+O76+O74+O71+O68+O65+O61</f>
        <v>14825.308785406562</v>
      </c>
      <c r="P80" s="1002">
        <v>15752.993911962443</v>
      </c>
      <c r="Q80" s="1002">
        <v>1853.154696355203</v>
      </c>
      <c r="R80" s="2" t="s">
        <v>159</v>
      </c>
      <c r="S80" s="984"/>
      <c r="T80" s="985">
        <f t="shared" si="6"/>
        <v>7.5634650445177633E-4</v>
      </c>
      <c r="U80" s="985">
        <f t="shared" si="6"/>
        <v>0.8414160328017849</v>
      </c>
      <c r="V80" s="985">
        <f t="shared" si="6"/>
        <v>0.8940671546215363</v>
      </c>
      <c r="W80" s="985">
        <f t="shared" si="6"/>
        <v>0.10517649887401186</v>
      </c>
      <c r="X80" s="985">
        <f>+V80-U80</f>
        <v>5.2651121819751401E-2</v>
      </c>
    </row>
    <row r="81" spans="1:18" ht="14.4" thickBot="1" x14ac:dyDescent="0.35">
      <c r="A81" s="995"/>
      <c r="D81" s="996"/>
    </row>
    <row r="82" spans="1:18" ht="14.4" thickBot="1" x14ac:dyDescent="0.35">
      <c r="A82" s="995"/>
      <c r="D82" s="996"/>
      <c r="I82" s="4" t="s">
        <v>239</v>
      </c>
      <c r="J82" s="1003" t="s">
        <v>185</v>
      </c>
      <c r="K82" s="1004" t="s">
        <v>184</v>
      </c>
      <c r="L82" s="1005" t="s">
        <v>182</v>
      </c>
      <c r="M82" s="4" t="s">
        <v>675</v>
      </c>
      <c r="N82" s="1003" t="s">
        <v>185</v>
      </c>
      <c r="O82" s="1004" t="s">
        <v>184</v>
      </c>
      <c r="P82" s="1005" t="s">
        <v>182</v>
      </c>
    </row>
    <row r="83" spans="1:18" x14ac:dyDescent="0.3">
      <c r="A83" s="995"/>
      <c r="D83" s="996"/>
      <c r="I83" s="1006" t="s">
        <v>78</v>
      </c>
      <c r="J83" s="1007">
        <f>($M$61+$M$71)*$B$40</f>
        <v>2739.1343422017594</v>
      </c>
      <c r="K83" s="1007">
        <f>($M$61+$M$71)*$D$40</f>
        <v>4202.8169923521564</v>
      </c>
      <c r="L83" s="1008">
        <f>($M$61+$M$71)*$C$40</f>
        <v>5682.8864072235347</v>
      </c>
      <c r="M83" s="1006" t="s">
        <v>78</v>
      </c>
      <c r="N83" s="1007">
        <f>$M$74*$B$40</f>
        <v>520.70976357299958</v>
      </c>
      <c r="O83" s="1007">
        <f>$M$74*$D$40</f>
        <v>798.95600909781126</v>
      </c>
      <c r="P83" s="1008">
        <f>$M$74*$C$40</f>
        <v>1080.317380541102</v>
      </c>
      <c r="Q83" s="1009" t="s">
        <v>184</v>
      </c>
      <c r="R83" s="1010">
        <f>O86+K86</f>
        <v>5789.6217057049253</v>
      </c>
    </row>
    <row r="84" spans="1:18" x14ac:dyDescent="0.3">
      <c r="A84" s="995"/>
      <c r="D84" s="996"/>
      <c r="I84" s="1011" t="s">
        <v>148</v>
      </c>
      <c r="J84" s="46">
        <v>0</v>
      </c>
      <c r="K84" s="46">
        <v>0</v>
      </c>
      <c r="L84" s="1012">
        <v>0</v>
      </c>
      <c r="M84" s="1011" t="s">
        <v>148</v>
      </c>
      <c r="N84" s="1007">
        <f>($M$65+$M$79)*$B$40</f>
        <v>309.87641231545774</v>
      </c>
      <c r="O84" s="1007">
        <f>($M$65+$M$79)*$D$40</f>
        <v>475.4618388529554</v>
      </c>
      <c r="P84" s="1008">
        <f>($M$65+$M$79)*$C$40</f>
        <v>642.90108898097958</v>
      </c>
      <c r="Q84" s="1011" t="s">
        <v>185</v>
      </c>
      <c r="R84" s="1008">
        <f>J86+N86</f>
        <v>3773.3148198721979</v>
      </c>
    </row>
    <row r="85" spans="1:18" ht="14.4" thickBot="1" x14ac:dyDescent="0.35">
      <c r="A85" s="995"/>
      <c r="D85" s="996"/>
      <c r="I85" s="1013" t="s">
        <v>676</v>
      </c>
      <c r="J85" s="1014">
        <v>0</v>
      </c>
      <c r="K85" s="1014">
        <v>0</v>
      </c>
      <c r="L85" s="1015">
        <v>0</v>
      </c>
      <c r="M85" s="1013" t="s">
        <v>676</v>
      </c>
      <c r="N85" s="1016">
        <f>$M$76*$B$40</f>
        <v>203.59430178198116</v>
      </c>
      <c r="O85" s="1016">
        <f>$M$76*$D$40</f>
        <v>312.38686540200234</v>
      </c>
      <c r="P85" s="1017">
        <f>$M$76*$C$40</f>
        <v>422.39742401789954</v>
      </c>
      <c r="Q85" s="1013" t="s">
        <v>182</v>
      </c>
      <c r="R85" s="1017">
        <f>L86+P86</f>
        <v>7828.5023007635154</v>
      </c>
    </row>
    <row r="86" spans="1:18" x14ac:dyDescent="0.3">
      <c r="A86" s="995"/>
      <c r="D86" s="996"/>
      <c r="J86" s="1018">
        <f>SUM(J83:J85)</f>
        <v>2739.1343422017594</v>
      </c>
      <c r="K86" s="1018">
        <f t="shared" ref="K86:P86" si="7">SUM(K83:K85)</f>
        <v>4202.8169923521564</v>
      </c>
      <c r="L86" s="1018">
        <f t="shared" si="7"/>
        <v>5682.8864072235347</v>
      </c>
      <c r="M86" s="17"/>
      <c r="N86" s="1018">
        <f t="shared" si="7"/>
        <v>1034.1804776704384</v>
      </c>
      <c r="O86" s="1018">
        <f t="shared" si="7"/>
        <v>1586.8047133527689</v>
      </c>
      <c r="P86" s="1018">
        <f t="shared" si="7"/>
        <v>2145.6158935399812</v>
      </c>
    </row>
    <row r="87" spans="1:18" ht="14.4" thickBot="1" x14ac:dyDescent="0.35">
      <c r="A87" s="995"/>
      <c r="D87" s="996"/>
    </row>
    <row r="88" spans="1:18" x14ac:dyDescent="0.3">
      <c r="A88" s="995"/>
      <c r="D88" s="996"/>
      <c r="H88" s="1009" t="s">
        <v>63</v>
      </c>
      <c r="I88" s="1004" t="s">
        <v>78</v>
      </c>
      <c r="J88" s="1019">
        <f>($K$61+$K$71)*$B$40</f>
        <v>2347.3601123897402</v>
      </c>
      <c r="K88" s="1019">
        <f>($K$61+$K$71)*$D$40</f>
        <v>3601.69445343495</v>
      </c>
      <c r="L88" s="1019">
        <f>($K$61+$K$71)*$C$40</f>
        <v>4870.0717851011414</v>
      </c>
      <c r="M88" s="1004" t="s">
        <v>78</v>
      </c>
      <c r="N88" s="1019">
        <f>$K$74*$B$40</f>
        <v>438.09782633672808</v>
      </c>
      <c r="O88" s="1019">
        <f>$K$74*$D$40</f>
        <v>672.19959257658127</v>
      </c>
      <c r="P88" s="1010">
        <f>$K$74*$C$40</f>
        <v>908.92226203185794</v>
      </c>
    </row>
    <row r="89" spans="1:18" ht="14.4" thickBot="1" x14ac:dyDescent="0.35">
      <c r="H89" s="1013" t="s">
        <v>114</v>
      </c>
      <c r="I89" s="1014" t="s">
        <v>78</v>
      </c>
      <c r="J89" s="1014">
        <f>($L$61+$L$71)*$B$40</f>
        <v>391.77422981201931</v>
      </c>
      <c r="K89" s="1016">
        <f>($L$61+$L$71)*$D$40</f>
        <v>601.12253891720638</v>
      </c>
      <c r="L89" s="1016">
        <f>($L$61+$L$71)*$C$40</f>
        <v>812.81462212239342</v>
      </c>
      <c r="M89" s="1014" t="s">
        <v>78</v>
      </c>
      <c r="N89" s="1016">
        <f>$L$74*$B$40</f>
        <v>82.611937236271473</v>
      </c>
      <c r="O89" s="1016">
        <f>$L$74*$D$40</f>
        <v>126.75641652123001</v>
      </c>
      <c r="P89" s="1017">
        <f>$L$74*$C$40</f>
        <v>171.3951185092441</v>
      </c>
    </row>
    <row r="90" spans="1:18" x14ac:dyDescent="0.3">
      <c r="H90" s="1009" t="s">
        <v>63</v>
      </c>
      <c r="I90" s="1004" t="s">
        <v>148</v>
      </c>
      <c r="J90" s="1004">
        <v>0</v>
      </c>
      <c r="K90" s="1004">
        <v>0</v>
      </c>
      <c r="L90" s="1004">
        <v>0</v>
      </c>
      <c r="M90" s="1004" t="s">
        <v>148</v>
      </c>
      <c r="N90" s="1019">
        <f>($K$65+$K$79)*$B$40</f>
        <v>296.97047963887911</v>
      </c>
      <c r="O90" s="1019">
        <f>($K$65+$K$79)*$D$40</f>
        <v>455.65949753672857</v>
      </c>
      <c r="P90" s="1010">
        <f>($K$65+$K$79)*$C$40</f>
        <v>616.12512978457278</v>
      </c>
    </row>
    <row r="91" spans="1:18" ht="14.4" thickBot="1" x14ac:dyDescent="0.35">
      <c r="H91" s="1013" t="s">
        <v>114</v>
      </c>
      <c r="I91" s="1014" t="s">
        <v>148</v>
      </c>
      <c r="J91" s="1014">
        <v>0</v>
      </c>
      <c r="K91" s="1014">
        <v>0</v>
      </c>
      <c r="L91" s="1014">
        <v>0</v>
      </c>
      <c r="M91" s="1014" t="s">
        <v>148</v>
      </c>
      <c r="N91" s="1016">
        <f>($L$65+$L$79)*$B$40</f>
        <v>12.905932676578592</v>
      </c>
      <c r="O91" s="1016">
        <f>($L$65+$L$79)*$D$40</f>
        <v>19.802341316226737</v>
      </c>
      <c r="P91" s="1017">
        <f>($L$65+$L$79)*$C$40</f>
        <v>26.775959196406667</v>
      </c>
    </row>
    <row r="92" spans="1:18" x14ac:dyDescent="0.3">
      <c r="H92" s="1009" t="s">
        <v>63</v>
      </c>
      <c r="I92" s="1004" t="s">
        <v>676</v>
      </c>
      <c r="J92" s="1004">
        <v>0</v>
      </c>
      <c r="K92" s="1004">
        <v>0</v>
      </c>
      <c r="L92" s="1004">
        <v>0</v>
      </c>
      <c r="M92" s="1004" t="s">
        <v>676</v>
      </c>
      <c r="N92" s="1019">
        <f>$K$76*$B$40</f>
        <v>196.54127757894875</v>
      </c>
      <c r="O92" s="1019">
        <f>$K$76*$D$40</f>
        <v>301.56499021637404</v>
      </c>
      <c r="P92" s="1010">
        <f>$K$76*$C$40</f>
        <v>407.76450340656027</v>
      </c>
    </row>
    <row r="93" spans="1:18" ht="14.4" thickBot="1" x14ac:dyDescent="0.35">
      <c r="H93" s="1013" t="s">
        <v>114</v>
      </c>
      <c r="I93" s="1014" t="s">
        <v>676</v>
      </c>
      <c r="J93" s="1014">
        <v>0</v>
      </c>
      <c r="K93" s="1014">
        <v>0</v>
      </c>
      <c r="L93" s="1014">
        <v>0</v>
      </c>
      <c r="M93" s="1014" t="s">
        <v>676</v>
      </c>
      <c r="N93" s="1016">
        <f>$L$76*$B$40</f>
        <v>7.0530242030323951</v>
      </c>
      <c r="O93" s="1016">
        <f>$L$76*$D$40</f>
        <v>10.821875185628322</v>
      </c>
      <c r="P93" s="1017">
        <f>$L$76*$C$40</f>
        <v>14.632920611339285</v>
      </c>
    </row>
    <row r="94" spans="1:18" x14ac:dyDescent="0.3">
      <c r="C94" s="20"/>
    </row>
    <row r="95" spans="1:18" ht="20.399999999999999" customHeight="1" x14ac:dyDescent="0.3">
      <c r="A95" s="1020" t="s">
        <v>430</v>
      </c>
      <c r="B95" s="3920" t="s">
        <v>151</v>
      </c>
      <c r="C95" s="3921"/>
      <c r="D95" s="3922"/>
      <c r="E95" s="3923" t="s">
        <v>677</v>
      </c>
      <c r="F95" s="3924"/>
      <c r="G95" s="3925" t="s">
        <v>678</v>
      </c>
      <c r="H95" s="3925"/>
      <c r="I95" s="3925" t="s">
        <v>679</v>
      </c>
      <c r="J95" s="3925"/>
      <c r="K95" s="3911" t="s">
        <v>396</v>
      </c>
      <c r="L95" s="3911" t="s">
        <v>618</v>
      </c>
      <c r="M95" s="3911" t="s">
        <v>394</v>
      </c>
      <c r="N95" s="3911" t="s">
        <v>133</v>
      </c>
    </row>
    <row r="96" spans="1:18" ht="27" customHeight="1" x14ac:dyDescent="0.3">
      <c r="A96" s="46" t="s">
        <v>680</v>
      </c>
      <c r="B96" s="46" t="s">
        <v>681</v>
      </c>
      <c r="C96" s="46" t="s">
        <v>682</v>
      </c>
      <c r="D96" s="42" t="s">
        <v>683</v>
      </c>
      <c r="E96" s="42" t="s">
        <v>681</v>
      </c>
      <c r="F96" s="42" t="s">
        <v>682</v>
      </c>
      <c r="G96" s="42" t="s">
        <v>681</v>
      </c>
      <c r="H96" s="42" t="s">
        <v>682</v>
      </c>
      <c r="I96" s="42" t="s">
        <v>681</v>
      </c>
      <c r="J96" s="42" t="s">
        <v>682</v>
      </c>
      <c r="K96" s="3911"/>
      <c r="L96" s="3911"/>
      <c r="M96" s="3911"/>
      <c r="N96" s="3911"/>
      <c r="O96" s="2" t="s">
        <v>134</v>
      </c>
    </row>
    <row r="97" spans="1:17" x14ac:dyDescent="0.3">
      <c r="A97" s="46" t="s">
        <v>104</v>
      </c>
      <c r="B97" s="1021">
        <f>K61+K71+K74</f>
        <v>12838.346031870999</v>
      </c>
      <c r="C97" s="1021">
        <f>L61+L71+L74</f>
        <v>2186.4748631183647</v>
      </c>
      <c r="D97" s="1021">
        <f>B97+C97</f>
        <v>15024.820894989363</v>
      </c>
      <c r="E97" s="1021">
        <f>+B97*$B$40</f>
        <v>2785.457938726468</v>
      </c>
      <c r="F97" s="1021">
        <f>+C97*$B$40</f>
        <v>474.38616704829082</v>
      </c>
      <c r="G97" s="1021">
        <f>+B97*$D$40</f>
        <v>4273.8940460115309</v>
      </c>
      <c r="H97" s="1021">
        <f>+C97*$D$40</f>
        <v>727.87895543843638</v>
      </c>
      <c r="I97" s="1021">
        <f>+B97*$C$40</f>
        <v>5778.9940471329992</v>
      </c>
      <c r="J97" s="1021">
        <f>+C97*$C$40</f>
        <v>984.2097406316376</v>
      </c>
      <c r="K97" s="1022">
        <f>N61+N71+N74</f>
        <v>12.893172758604926</v>
      </c>
      <c r="L97" s="1022">
        <f>O61+O71+O74</f>
        <v>12812.256169648086</v>
      </c>
      <c r="M97" s="1022">
        <f>P61+P71+P74</f>
        <v>13615.495143314873</v>
      </c>
      <c r="N97" s="1022">
        <f>Q61+Q71+Q74</f>
        <v>1409.3265292158844</v>
      </c>
      <c r="O97" s="1023">
        <f>+M97-L97-K97</f>
        <v>790.34580090818156</v>
      </c>
      <c r="P97" s="1023">
        <f t="shared" ref="P97:P101" si="8">+M97+N97</f>
        <v>15024.821672530757</v>
      </c>
      <c r="Q97" s="3"/>
    </row>
    <row r="98" spans="1:17" x14ac:dyDescent="0.3">
      <c r="A98" s="46" t="s">
        <v>105</v>
      </c>
      <c r="B98" s="1021">
        <f>K79+K65</f>
        <v>1368.7551069601805</v>
      </c>
      <c r="C98" s="1021">
        <f>L79+L65</f>
        <v>59.484233189211999</v>
      </c>
      <c r="D98" s="1021">
        <f t="shared" ref="D98:D103" si="9">B98+C98</f>
        <v>1428.2393401493925</v>
      </c>
      <c r="E98" s="1021">
        <f t="shared" ref="E98:F101" si="10">+B98*$B$40</f>
        <v>296.97047963887911</v>
      </c>
      <c r="F98" s="1021">
        <f t="shared" si="10"/>
        <v>12.905932676578592</v>
      </c>
      <c r="G98" s="1021">
        <f t="shared" ref="G98:H101" si="11">+B98*$D$40</f>
        <v>455.65949753672857</v>
      </c>
      <c r="H98" s="1021">
        <f t="shared" si="11"/>
        <v>19.802341316226737</v>
      </c>
      <c r="I98" s="1021">
        <f t="shared" ref="I98:J101" si="12">+B98*$C$40</f>
        <v>616.12512978457278</v>
      </c>
      <c r="J98" s="1021">
        <f t="shared" si="12"/>
        <v>26.775959196406667</v>
      </c>
      <c r="K98" s="1022">
        <f>N79+N65</f>
        <v>0.18750141482783858</v>
      </c>
      <c r="L98" s="1022">
        <f>O79+O65</f>
        <v>1096.9397808661777</v>
      </c>
      <c r="M98" s="1022">
        <f>P79+P65</f>
        <v>1126.1201421801709</v>
      </c>
      <c r="N98" s="1022">
        <f>Q79+Q65</f>
        <v>302.11919884901147</v>
      </c>
      <c r="O98" s="1023">
        <f t="shared" ref="O98:O103" si="13">+M98-L98-K98</f>
        <v>28.992859899165378</v>
      </c>
      <c r="P98" s="1023">
        <f t="shared" si="8"/>
        <v>1428.2393410291825</v>
      </c>
      <c r="Q98" s="3"/>
    </row>
    <row r="99" spans="1:17" x14ac:dyDescent="0.3">
      <c r="A99" s="46" t="s">
        <v>106</v>
      </c>
      <c r="B99" s="1021">
        <f>K76</f>
        <v>905.87077120188303</v>
      </c>
      <c r="C99" s="1021">
        <f>L76</f>
        <v>32.507820000000002</v>
      </c>
      <c r="D99" s="1021">
        <f t="shared" si="9"/>
        <v>938.37859120188307</v>
      </c>
      <c r="E99" s="1021">
        <f t="shared" si="10"/>
        <v>196.54127757894875</v>
      </c>
      <c r="F99" s="1021">
        <f t="shared" si="10"/>
        <v>7.0530242030323951</v>
      </c>
      <c r="G99" s="1021">
        <f t="shared" si="11"/>
        <v>301.56499021637404</v>
      </c>
      <c r="H99" s="1021">
        <f t="shared" si="11"/>
        <v>10.821875185628322</v>
      </c>
      <c r="I99" s="1021">
        <f t="shared" si="12"/>
        <v>407.76450340656027</v>
      </c>
      <c r="J99" s="1021">
        <f t="shared" si="12"/>
        <v>14.632920611339285</v>
      </c>
      <c r="K99" s="1022">
        <f>N76</f>
        <v>0.24575418082936692</v>
      </c>
      <c r="L99" s="1022">
        <f>O76</f>
        <v>732.02828207104017</v>
      </c>
      <c r="M99" s="1022">
        <f>P76</f>
        <v>809.41313979214215</v>
      </c>
      <c r="N99" s="1022">
        <f>Q76</f>
        <v>128.96628106556466</v>
      </c>
      <c r="O99" s="1023">
        <f t="shared" si="13"/>
        <v>77.139103540272615</v>
      </c>
      <c r="P99" s="1023">
        <f t="shared" si="8"/>
        <v>938.3794208577068</v>
      </c>
      <c r="Q99" s="3"/>
    </row>
    <row r="100" spans="1:17" x14ac:dyDescent="0.3">
      <c r="A100" s="46" t="s">
        <v>603</v>
      </c>
      <c r="B100" s="1021">
        <v>0</v>
      </c>
      <c r="C100" s="1021">
        <v>0</v>
      </c>
      <c r="D100" s="1021">
        <f t="shared" si="9"/>
        <v>0</v>
      </c>
      <c r="E100" s="1021">
        <f t="shared" si="10"/>
        <v>0</v>
      </c>
      <c r="F100" s="1021">
        <f t="shared" si="10"/>
        <v>0</v>
      </c>
      <c r="G100" s="1021">
        <f t="shared" si="11"/>
        <v>0</v>
      </c>
      <c r="H100" s="1021">
        <f t="shared" si="11"/>
        <v>0</v>
      </c>
      <c r="I100" s="1021">
        <f t="shared" si="12"/>
        <v>0</v>
      </c>
      <c r="J100" s="1021">
        <f t="shared" si="12"/>
        <v>0</v>
      </c>
      <c r="K100" s="1022">
        <v>0</v>
      </c>
      <c r="L100" s="1022">
        <v>0</v>
      </c>
      <c r="M100" s="1022">
        <v>0</v>
      </c>
      <c r="N100" s="1022">
        <v>0</v>
      </c>
      <c r="O100" s="1023">
        <f t="shared" si="13"/>
        <v>0</v>
      </c>
      <c r="P100" s="1023">
        <f t="shared" si="8"/>
        <v>0</v>
      </c>
      <c r="Q100" s="3"/>
    </row>
    <row r="101" spans="1:17" x14ac:dyDescent="0.3">
      <c r="A101" s="46" t="s">
        <v>44</v>
      </c>
      <c r="B101" s="1021">
        <f>K68</f>
        <v>210.17607000000001</v>
      </c>
      <c r="C101" s="1021">
        <f>L68</f>
        <v>4.5310000000000006</v>
      </c>
      <c r="D101" s="1021">
        <f t="shared" si="9"/>
        <v>214.70707000000002</v>
      </c>
      <c r="E101" s="1021">
        <f t="shared" si="10"/>
        <v>45.600624976028257</v>
      </c>
      <c r="F101" s="1021">
        <f t="shared" si="10"/>
        <v>0.98306354175517718</v>
      </c>
      <c r="G101" s="1021">
        <f t="shared" si="11"/>
        <v>69.967755344587275</v>
      </c>
      <c r="H101" s="1021">
        <f t="shared" si="11"/>
        <v>1.5083729535257033</v>
      </c>
      <c r="I101" s="1021">
        <f t="shared" si="12"/>
        <v>94.607689679384478</v>
      </c>
      <c r="J101" s="1021">
        <f t="shared" si="12"/>
        <v>2.0395635047191201</v>
      </c>
      <c r="K101" s="1022">
        <f>N68</f>
        <v>0</v>
      </c>
      <c r="L101" s="1022">
        <f>O68</f>
        <v>184.08455282125718</v>
      </c>
      <c r="M101" s="1022">
        <f>P68</f>
        <v>201.96548667525758</v>
      </c>
      <c r="N101" s="1022">
        <f>Q68</f>
        <v>12.742687224742401</v>
      </c>
      <c r="O101" s="1023">
        <f t="shared" si="13"/>
        <v>17.880933854000403</v>
      </c>
      <c r="P101" s="1023">
        <f t="shared" si="8"/>
        <v>214.70817389999999</v>
      </c>
      <c r="Q101" s="3"/>
    </row>
    <row r="102" spans="1:17" x14ac:dyDescent="0.3">
      <c r="A102" s="1024" t="s">
        <v>159</v>
      </c>
      <c r="B102" s="1025">
        <f>B103+B101</f>
        <v>15323.14798003306</v>
      </c>
      <c r="C102" s="1025">
        <f>C103+C101</f>
        <v>2282.9979163075764</v>
      </c>
      <c r="D102" s="1025">
        <f t="shared" si="9"/>
        <v>17606.145896340637</v>
      </c>
      <c r="E102" s="1025">
        <f t="shared" ref="E102:J102" si="14">E103+E101</f>
        <v>3324.5703209203239</v>
      </c>
      <c r="F102" s="1025">
        <f t="shared" si="14"/>
        <v>495.328187469657</v>
      </c>
      <c r="G102" s="1025">
        <f t="shared" si="14"/>
        <v>5101.0862891092211</v>
      </c>
      <c r="H102" s="1025">
        <f t="shared" si="14"/>
        <v>760.01154489381713</v>
      </c>
      <c r="I102" s="1025">
        <f t="shared" si="14"/>
        <v>6897.4913700035167</v>
      </c>
      <c r="J102" s="1025">
        <f t="shared" si="14"/>
        <v>1027.6581839441028</v>
      </c>
      <c r="K102" s="1026">
        <f>K103+K101</f>
        <v>13.326428354262132</v>
      </c>
      <c r="L102" s="1026">
        <f>L103+L101</f>
        <v>14825.308785406562</v>
      </c>
      <c r="M102" s="1026">
        <f>M103+M101</f>
        <v>15752.993911962443</v>
      </c>
      <c r="N102" s="1026">
        <f>N103+N101</f>
        <v>1853.1546963552028</v>
      </c>
      <c r="O102" s="1023">
        <f>+M102-L102-K102</f>
        <v>914.35869820161952</v>
      </c>
      <c r="P102" s="1023">
        <f>+M102+N102</f>
        <v>17606.148608317646</v>
      </c>
      <c r="Q102" s="3"/>
    </row>
    <row r="103" spans="1:17" x14ac:dyDescent="0.3">
      <c r="A103" s="1027" t="s">
        <v>684</v>
      </c>
      <c r="B103" s="1028">
        <f>SUM(B97:B100)</f>
        <v>15112.97191003306</v>
      </c>
      <c r="C103" s="1028">
        <f>SUM(C97:C100)</f>
        <v>2278.4669163075764</v>
      </c>
      <c r="D103" s="1028">
        <f t="shared" si="9"/>
        <v>17391.438826340636</v>
      </c>
      <c r="E103" s="1028">
        <f t="shared" ref="E103:J103" si="15">SUM(E97:E100)</f>
        <v>3278.9696959442958</v>
      </c>
      <c r="F103" s="1028">
        <f t="shared" si="15"/>
        <v>494.3451239279018</v>
      </c>
      <c r="G103" s="1028">
        <f t="shared" si="15"/>
        <v>5031.1185337646339</v>
      </c>
      <c r="H103" s="1028">
        <f t="shared" si="15"/>
        <v>758.5031719402914</v>
      </c>
      <c r="I103" s="1028">
        <f t="shared" si="15"/>
        <v>6802.883680324132</v>
      </c>
      <c r="J103" s="1028">
        <f t="shared" si="15"/>
        <v>1025.6186204393837</v>
      </c>
      <c r="K103" s="1028">
        <f>SUM(K97:K100)</f>
        <v>13.326428354262132</v>
      </c>
      <c r="L103" s="1028">
        <f>SUM(L97:L100)</f>
        <v>14641.224232585304</v>
      </c>
      <c r="M103" s="1028">
        <f>SUM(M97:M100)</f>
        <v>15551.028425287186</v>
      </c>
      <c r="N103" s="1028">
        <f>SUM(N97:N100)</f>
        <v>1840.4120091304603</v>
      </c>
      <c r="O103" s="1023">
        <f t="shared" si="13"/>
        <v>896.47776434762</v>
      </c>
      <c r="P103" s="1023"/>
      <c r="Q103" s="3"/>
    </row>
    <row r="104" spans="1:17" x14ac:dyDescent="0.3">
      <c r="B104" s="984"/>
      <c r="C104" s="984"/>
      <c r="D104" s="984"/>
      <c r="E104" s="984"/>
      <c r="F104" s="984"/>
      <c r="G104" s="984"/>
      <c r="H104" s="984"/>
      <c r="I104" s="984"/>
      <c r="J104" s="984"/>
      <c r="K104" s="1029">
        <f>+K102/SUM($M$102:$N$102)</f>
        <v>7.5691899748968089E-4</v>
      </c>
      <c r="L104" s="1029">
        <f>+L102/SUM($M$102:$N$102)</f>
        <v>0.84205291658180503</v>
      </c>
      <c r="M104" s="1029">
        <f>+M102/SUM($M$102:$N$102)</f>
        <v>0.89474389103590102</v>
      </c>
      <c r="N104" s="1029">
        <f>+N102/SUM($M$102:$N$102)</f>
        <v>0.10525610896409904</v>
      </c>
      <c r="O104" s="1029">
        <f>+O102/SUM($M$102:$N$102)</f>
        <v>5.1934055456606246E-2</v>
      </c>
      <c r="P104" s="1023"/>
      <c r="Q104" s="3"/>
    </row>
    <row r="105" spans="1:17" x14ac:dyDescent="0.3">
      <c r="A105" s="2" t="s">
        <v>685</v>
      </c>
      <c r="E105" s="3">
        <f>E102+F102</f>
        <v>3819.8985083899806</v>
      </c>
      <c r="G105" s="3">
        <f>G102+H102</f>
        <v>5861.0978340030379</v>
      </c>
      <c r="I105" s="3">
        <f>I102+J102</f>
        <v>7925.14955394762</v>
      </c>
      <c r="J105" s="3"/>
    </row>
    <row r="106" spans="1:17" x14ac:dyDescent="0.3">
      <c r="E106" s="535"/>
      <c r="G106" s="535"/>
      <c r="I106" s="535"/>
    </row>
    <row r="107" spans="1:17" x14ac:dyDescent="0.3">
      <c r="C107" s="1030"/>
      <c r="D107" s="1030" t="s">
        <v>686</v>
      </c>
      <c r="E107" s="1030"/>
      <c r="F107" s="1030"/>
      <c r="G107" s="1030"/>
      <c r="H107" s="1030"/>
      <c r="I107" s="1030"/>
      <c r="J107" s="1030"/>
      <c r="K107" s="1030"/>
      <c r="L107" s="1030"/>
      <c r="M107" s="1030"/>
      <c r="N107" s="1031"/>
      <c r="O107" s="1030"/>
      <c r="P107" s="1030"/>
    </row>
    <row r="108" spans="1:17" x14ac:dyDescent="0.3">
      <c r="C108" s="1030"/>
      <c r="D108" s="3912" t="s">
        <v>687</v>
      </c>
      <c r="E108" s="3914" t="s">
        <v>687</v>
      </c>
      <c r="F108" s="3915"/>
      <c r="G108" s="3915"/>
      <c r="H108" s="3915"/>
      <c r="I108" s="3915"/>
      <c r="J108" s="3916"/>
      <c r="K108" s="1030"/>
      <c r="L108" s="1030"/>
      <c r="M108" s="1030"/>
      <c r="N108" s="1030"/>
      <c r="O108" s="1030"/>
      <c r="P108" s="1030"/>
    </row>
    <row r="109" spans="1:17" x14ac:dyDescent="0.3">
      <c r="C109" s="1030"/>
      <c r="D109" s="3913"/>
      <c r="E109" s="3917" t="s">
        <v>677</v>
      </c>
      <c r="F109" s="3918"/>
      <c r="G109" s="3919" t="s">
        <v>678</v>
      </c>
      <c r="H109" s="3919"/>
      <c r="I109" s="3919" t="s">
        <v>679</v>
      </c>
      <c r="J109" s="3919"/>
      <c r="K109" s="1030"/>
      <c r="L109" s="1030"/>
      <c r="M109" s="1030"/>
      <c r="N109" s="1030"/>
      <c r="O109" s="1030"/>
      <c r="P109" s="1030"/>
    </row>
    <row r="110" spans="1:17" x14ac:dyDescent="0.3">
      <c r="C110" s="1030"/>
      <c r="D110" s="1032" t="s">
        <v>680</v>
      </c>
      <c r="E110" s="1033" t="s">
        <v>681</v>
      </c>
      <c r="F110" s="1033" t="s">
        <v>682</v>
      </c>
      <c r="G110" s="1033" t="s">
        <v>681</v>
      </c>
      <c r="H110" s="1033" t="s">
        <v>682</v>
      </c>
      <c r="I110" s="1033" t="s">
        <v>681</v>
      </c>
      <c r="J110" s="1033" t="s">
        <v>682</v>
      </c>
      <c r="K110" s="1030"/>
      <c r="L110" s="1030"/>
      <c r="M110" s="1030"/>
      <c r="N110" s="1030"/>
      <c r="O110" s="1030"/>
      <c r="P110" s="1030"/>
    </row>
    <row r="111" spans="1:17" x14ac:dyDescent="0.3">
      <c r="C111" s="1030"/>
      <c r="D111" s="1032" t="s">
        <v>104</v>
      </c>
      <c r="E111" s="1034">
        <f t="shared" ref="E111:F115" si="16">E97*$E$120/$E$105</f>
        <v>1038.3938073288898</v>
      </c>
      <c r="F111" s="1034">
        <f t="shared" si="16"/>
        <v>176.84692032027371</v>
      </c>
      <c r="G111" s="1034">
        <f t="shared" ref="G111:H115" si="17">G97*$G$120/$G$105</f>
        <v>1721.7064452135687</v>
      </c>
      <c r="H111" s="1034">
        <f t="shared" si="17"/>
        <v>293.22062630054609</v>
      </c>
      <c r="I111" s="1034">
        <f t="shared" ref="I111:J115" si="18">I97*$I$120/$I$105</f>
        <v>10078.245779328538</v>
      </c>
      <c r="J111" s="1034">
        <f t="shared" si="18"/>
        <v>1716.4073164975448</v>
      </c>
      <c r="K111" s="1035">
        <f t="shared" ref="K111:L115" si="19">E111+G111+I111</f>
        <v>12838.346031870995</v>
      </c>
      <c r="L111" s="1035">
        <f t="shared" si="19"/>
        <v>2186.4748631183647</v>
      </c>
      <c r="M111" s="1030"/>
      <c r="N111" s="1030"/>
      <c r="O111" s="1030"/>
      <c r="P111" s="1030"/>
    </row>
    <row r="112" spans="1:17" x14ac:dyDescent="0.3">
      <c r="C112" s="1030"/>
      <c r="D112" s="1032" t="s">
        <v>105</v>
      </c>
      <c r="E112" s="1034">
        <f t="shared" si="16"/>
        <v>110.70793880215344</v>
      </c>
      <c r="F112" s="1034">
        <f t="shared" si="16"/>
        <v>4.811216275371228</v>
      </c>
      <c r="G112" s="1034">
        <f t="shared" si="17"/>
        <v>183.55904130657649</v>
      </c>
      <c r="H112" s="1034">
        <f t="shared" si="17"/>
        <v>7.9772259928351374</v>
      </c>
      <c r="I112" s="1034">
        <f t="shared" si="18"/>
        <v>1074.4881268514503</v>
      </c>
      <c r="J112" s="1034">
        <f t="shared" si="18"/>
        <v>46.695790921005624</v>
      </c>
      <c r="K112" s="1035">
        <f t="shared" si="19"/>
        <v>1368.7551069601802</v>
      </c>
      <c r="L112" s="1035">
        <f t="shared" si="19"/>
        <v>59.484233189211992</v>
      </c>
      <c r="M112" s="1030"/>
      <c r="N112" s="1030"/>
      <c r="O112" s="1030"/>
      <c r="P112" s="1030"/>
    </row>
    <row r="113" spans="3:16" x14ac:dyDescent="0.3">
      <c r="C113" s="1030"/>
      <c r="D113" s="1032" t="s">
        <v>106</v>
      </c>
      <c r="E113" s="1034">
        <f t="shared" si="16"/>
        <v>73.268830480276065</v>
      </c>
      <c r="F113" s="1034">
        <f t="shared" si="16"/>
        <v>2.6293043429397902</v>
      </c>
      <c r="G113" s="1034">
        <f t="shared" si="17"/>
        <v>121.48321453846758</v>
      </c>
      <c r="H113" s="1034">
        <f t="shared" si="17"/>
        <v>4.3595119710047205</v>
      </c>
      <c r="I113" s="1034">
        <f t="shared" si="18"/>
        <v>711.1187261831393</v>
      </c>
      <c r="J113" s="1034">
        <f t="shared" si="18"/>
        <v>25.519003686055488</v>
      </c>
      <c r="K113" s="1035">
        <f t="shared" si="19"/>
        <v>905.87077120188292</v>
      </c>
      <c r="L113" s="1035">
        <f t="shared" si="19"/>
        <v>32.507819999999995</v>
      </c>
      <c r="M113" s="1030"/>
      <c r="N113" s="1030"/>
      <c r="O113" s="1030"/>
      <c r="P113" s="1030"/>
    </row>
    <row r="114" spans="3:16" x14ac:dyDescent="0.3">
      <c r="C114" s="1030"/>
      <c r="D114" s="1032" t="s">
        <v>603</v>
      </c>
      <c r="E114" s="1034">
        <f t="shared" si="16"/>
        <v>0</v>
      </c>
      <c r="F114" s="1034">
        <f t="shared" si="16"/>
        <v>0</v>
      </c>
      <c r="G114" s="1034">
        <f t="shared" si="17"/>
        <v>0</v>
      </c>
      <c r="H114" s="1034">
        <f t="shared" si="17"/>
        <v>0</v>
      </c>
      <c r="I114" s="1034">
        <f t="shared" si="18"/>
        <v>0</v>
      </c>
      <c r="J114" s="1034">
        <f t="shared" si="18"/>
        <v>0</v>
      </c>
      <c r="K114" s="1035">
        <f t="shared" si="19"/>
        <v>0</v>
      </c>
      <c r="L114" s="1035">
        <f t="shared" si="19"/>
        <v>0</v>
      </c>
      <c r="M114" s="1030"/>
      <c r="N114" s="1030"/>
      <c r="O114" s="1030"/>
      <c r="P114" s="1030"/>
    </row>
    <row r="115" spans="3:16" x14ac:dyDescent="0.3">
      <c r="C115" s="1030"/>
      <c r="D115" s="1032" t="s">
        <v>44</v>
      </c>
      <c r="E115" s="1034">
        <f t="shared" si="16"/>
        <v>16.99950515392965</v>
      </c>
      <c r="F115" s="1034">
        <f t="shared" si="16"/>
        <v>0.36647729616628211</v>
      </c>
      <c r="G115" s="1034">
        <f t="shared" si="17"/>
        <v>28.185990115108488</v>
      </c>
      <c r="H115" s="1034">
        <f t="shared" si="17"/>
        <v>0.6076368314031021</v>
      </c>
      <c r="I115" s="1034">
        <f t="shared" si="18"/>
        <v>164.99057473096184</v>
      </c>
      <c r="J115" s="1034">
        <f t="shared" si="18"/>
        <v>3.556885872430616</v>
      </c>
      <c r="K115" s="1035">
        <f t="shared" si="19"/>
        <v>210.17606999999998</v>
      </c>
      <c r="L115" s="1035">
        <f t="shared" si="19"/>
        <v>4.5310000000000006</v>
      </c>
      <c r="M115" s="1030"/>
      <c r="N115" s="1030"/>
      <c r="O115" s="1030"/>
      <c r="P115" s="1030"/>
    </row>
    <row r="116" spans="3:16" x14ac:dyDescent="0.3">
      <c r="C116" s="1030"/>
      <c r="D116" s="1036" t="s">
        <v>159</v>
      </c>
      <c r="E116" s="1037">
        <f t="shared" ref="E116:L116" si="20">E117+E115</f>
        <v>1239.3700817652491</v>
      </c>
      <c r="F116" s="1037">
        <f t="shared" si="20"/>
        <v>184.65391823475105</v>
      </c>
      <c r="G116" s="1037">
        <f t="shared" si="20"/>
        <v>2054.9346911737211</v>
      </c>
      <c r="H116" s="1037">
        <f t="shared" si="20"/>
        <v>306.16500109578908</v>
      </c>
      <c r="I116" s="1037">
        <f t="shared" si="20"/>
        <v>12028.843207094091</v>
      </c>
      <c r="J116" s="1037">
        <f t="shared" si="20"/>
        <v>1792.1789969770366</v>
      </c>
      <c r="K116" s="1038">
        <f t="shared" si="20"/>
        <v>15323.147980033056</v>
      </c>
      <c r="L116" s="1038">
        <f t="shared" si="20"/>
        <v>2282.9979163075764</v>
      </c>
      <c r="M116" s="1030"/>
      <c r="N116" s="1030"/>
      <c r="O116" s="1030"/>
      <c r="P116" s="1030"/>
    </row>
    <row r="117" spans="3:16" x14ac:dyDescent="0.3">
      <c r="C117" s="1030"/>
      <c r="D117" s="1039" t="s">
        <v>684</v>
      </c>
      <c r="E117" s="1040">
        <f t="shared" ref="E117:L117" si="21">SUM(E111:E114)</f>
        <v>1222.3705766113194</v>
      </c>
      <c r="F117" s="1040">
        <f t="shared" si="21"/>
        <v>184.28744093858475</v>
      </c>
      <c r="G117" s="1040">
        <f t="shared" si="21"/>
        <v>2026.7487010586128</v>
      </c>
      <c r="H117" s="1040">
        <f t="shared" si="21"/>
        <v>305.55736426438597</v>
      </c>
      <c r="I117" s="1040">
        <f t="shared" si="21"/>
        <v>11863.852632363129</v>
      </c>
      <c r="J117" s="1040">
        <f t="shared" si="21"/>
        <v>1788.6221111046059</v>
      </c>
      <c r="K117" s="1041">
        <f t="shared" si="21"/>
        <v>15112.971910033057</v>
      </c>
      <c r="L117" s="1041">
        <f t="shared" si="21"/>
        <v>2278.4669163075764</v>
      </c>
      <c r="M117" s="1030"/>
      <c r="N117" s="1030"/>
      <c r="O117" s="1030"/>
      <c r="P117" s="1030"/>
    </row>
    <row r="118" spans="3:16" x14ac:dyDescent="0.3">
      <c r="C118" s="1030"/>
      <c r="D118" s="1030"/>
      <c r="E118" s="1030"/>
      <c r="F118" s="1030"/>
      <c r="G118" s="1030"/>
      <c r="H118" s="1030"/>
      <c r="I118" s="1030"/>
      <c r="J118" s="1030"/>
      <c r="K118" s="1030"/>
      <c r="L118" s="1030"/>
      <c r="M118" s="1030"/>
      <c r="N118" s="1030"/>
      <c r="O118" s="1030"/>
      <c r="P118" s="1030"/>
    </row>
    <row r="119" spans="3:16" x14ac:dyDescent="0.3">
      <c r="C119" s="1030"/>
      <c r="D119" s="1030"/>
      <c r="E119" s="1042">
        <f>E116+F116</f>
        <v>1424.0240000000001</v>
      </c>
      <c r="F119" s="1030"/>
      <c r="G119" s="1042">
        <f>G116+H116</f>
        <v>2361.0996922695103</v>
      </c>
      <c r="H119" s="1030"/>
      <c r="I119" s="1042">
        <f>I116+J116</f>
        <v>13821.022204071127</v>
      </c>
      <c r="J119" s="1030"/>
      <c r="K119" s="1030"/>
      <c r="L119" s="1030"/>
      <c r="M119" s="1030"/>
      <c r="N119" s="1030"/>
      <c r="O119" s="1030"/>
      <c r="P119" s="1030"/>
    </row>
    <row r="120" spans="3:16" x14ac:dyDescent="0.3">
      <c r="C120" s="1030" t="s">
        <v>688</v>
      </c>
      <c r="D120" s="1030"/>
      <c r="E120" s="1030">
        <v>1424.0239999999999</v>
      </c>
      <c r="F120" s="1030" t="s">
        <v>689</v>
      </c>
      <c r="G120" s="1043">
        <f>2361099.69226951/1000</f>
        <v>2361.0996922695103</v>
      </c>
      <c r="H120" s="1030" t="s">
        <v>690</v>
      </c>
      <c r="I120" s="1044">
        <f>D102-E120-G120</f>
        <v>13821.022204071127</v>
      </c>
      <c r="J120" s="1030" t="s">
        <v>691</v>
      </c>
      <c r="K120" s="1030"/>
      <c r="L120" s="1030"/>
      <c r="M120" s="1030"/>
      <c r="N120" s="1030"/>
      <c r="O120" s="1030"/>
      <c r="P120" s="1030"/>
    </row>
  </sheetData>
  <mergeCells count="46">
    <mergeCell ref="B27:D27"/>
    <mergeCell ref="E27:E28"/>
    <mergeCell ref="F27:H27"/>
    <mergeCell ref="I27:I28"/>
    <mergeCell ref="J27:J28"/>
    <mergeCell ref="B16:D16"/>
    <mergeCell ref="E16:E17"/>
    <mergeCell ref="F16:H16"/>
    <mergeCell ref="I16:I17"/>
    <mergeCell ref="J16:J17"/>
    <mergeCell ref="B45:D45"/>
    <mergeCell ref="F45:H45"/>
    <mergeCell ref="H55:J57"/>
    <mergeCell ref="K55:K56"/>
    <mergeCell ref="L55:L56"/>
    <mergeCell ref="H66:H68"/>
    <mergeCell ref="N55:N56"/>
    <mergeCell ref="O55:O56"/>
    <mergeCell ref="P55:P56"/>
    <mergeCell ref="Q55:Q56"/>
    <mergeCell ref="M55:M56"/>
    <mergeCell ref="V55:V56"/>
    <mergeCell ref="W55:W56"/>
    <mergeCell ref="A57:A59"/>
    <mergeCell ref="H58:H61"/>
    <mergeCell ref="H62:H65"/>
    <mergeCell ref="T55:T56"/>
    <mergeCell ref="U55:U56"/>
    <mergeCell ref="H69:H71"/>
    <mergeCell ref="H72:H74"/>
    <mergeCell ref="H75:H76"/>
    <mergeCell ref="H77:H79"/>
    <mergeCell ref="H80:I80"/>
    <mergeCell ref="K95:K96"/>
    <mergeCell ref="L95:L96"/>
    <mergeCell ref="M95:M96"/>
    <mergeCell ref="N95:N96"/>
    <mergeCell ref="D108:D109"/>
    <mergeCell ref="E108:J108"/>
    <mergeCell ref="E109:F109"/>
    <mergeCell ref="G109:H109"/>
    <mergeCell ref="I109:J109"/>
    <mergeCell ref="B95:D95"/>
    <mergeCell ref="E95:F95"/>
    <mergeCell ref="G95:H95"/>
    <mergeCell ref="I95:J95"/>
  </mergeCells>
  <pageMargins left="0.7" right="0.7" top="0.75" bottom="0.75" header="0.3" footer="0.3"/>
  <pageSetup paperSize="9"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FF99FF"/>
  </sheetPr>
  <dimension ref="A1:N98"/>
  <sheetViews>
    <sheetView workbookViewId="0"/>
  </sheetViews>
  <sheetFormatPr baseColWidth="10" defaultColWidth="11.44140625" defaultRowHeight="13.8" x14ac:dyDescent="0.3"/>
  <cols>
    <col min="1" max="1" width="53.33203125" style="2365" customWidth="1"/>
    <col min="2" max="2" width="11.5546875" style="2365" customWidth="1"/>
    <col min="3" max="3" width="15.33203125" style="2365" customWidth="1"/>
    <col min="4" max="4" width="4.5546875" style="2365" customWidth="1"/>
    <col min="5" max="5" width="42.109375" style="2365" customWidth="1"/>
    <col min="6" max="6" width="12.44140625" style="2365" bestFit="1" customWidth="1"/>
    <col min="7" max="7" width="11.44140625" style="2365"/>
    <col min="8" max="8" width="12.44140625" style="2365" bestFit="1" customWidth="1"/>
    <col min="9" max="16384" width="11.44140625" style="2365"/>
  </cols>
  <sheetData>
    <row r="1" spans="1:11" x14ac:dyDescent="0.3">
      <c r="A1" s="2365" t="s">
        <v>1608</v>
      </c>
    </row>
    <row r="2" spans="1:11" x14ac:dyDescent="0.3">
      <c r="A2" s="2997" t="s">
        <v>1607</v>
      </c>
    </row>
    <row r="3" spans="1:11" ht="14.4" thickBot="1" x14ac:dyDescent="0.35"/>
    <row r="4" spans="1:11" ht="14.4" thickBot="1" x14ac:dyDescent="0.35">
      <c r="A4" s="2366" t="s">
        <v>693</v>
      </c>
      <c r="B4" s="2366" t="s">
        <v>1476</v>
      </c>
    </row>
    <row r="5" spans="1:11" ht="15" thickBot="1" x14ac:dyDescent="0.35">
      <c r="A5" s="3946"/>
      <c r="B5" s="3946"/>
      <c r="E5" s="3002" t="s">
        <v>1609</v>
      </c>
    </row>
    <row r="6" spans="1:11" ht="15" thickBot="1" x14ac:dyDescent="0.35">
      <c r="A6" s="3947" t="s">
        <v>4</v>
      </c>
      <c r="B6" s="3947"/>
      <c r="E6" s="2743"/>
      <c r="F6" s="2744" t="s">
        <v>1472</v>
      </c>
      <c r="G6" s="2744" t="s">
        <v>1488</v>
      </c>
      <c r="H6" s="2744" t="s">
        <v>1489</v>
      </c>
      <c r="I6" s="2744" t="s">
        <v>1488</v>
      </c>
      <c r="K6" s="2365" t="s">
        <v>330</v>
      </c>
    </row>
    <row r="7" spans="1:11" ht="15" thickBot="1" x14ac:dyDescent="0.35">
      <c r="A7" s="3948" t="s">
        <v>7</v>
      </c>
      <c r="B7" s="3948"/>
      <c r="D7" s="3949" t="s">
        <v>1490</v>
      </c>
      <c r="E7" s="2752" t="s">
        <v>1491</v>
      </c>
      <c r="F7" s="2760">
        <v>285975</v>
      </c>
      <c r="G7" s="2761">
        <v>0.61119999999999997</v>
      </c>
      <c r="H7" s="2773">
        <v>289691</v>
      </c>
      <c r="I7" s="2761">
        <v>0.58330000000000004</v>
      </c>
      <c r="K7" s="2365" t="s">
        <v>330</v>
      </c>
    </row>
    <row r="8" spans="1:11" ht="15" thickBot="1" x14ac:dyDescent="0.35">
      <c r="A8" s="2367" t="s">
        <v>10</v>
      </c>
      <c r="B8" s="3005">
        <f>$H$7*'DATOS DFB 20'!B8/$F$7</f>
        <v>279749.09650668205</v>
      </c>
      <c r="D8" s="3949"/>
      <c r="E8" s="2742" t="s">
        <v>1492</v>
      </c>
      <c r="F8" s="2760">
        <v>12940</v>
      </c>
      <c r="G8" s="2761">
        <v>2.7699999999999999E-2</v>
      </c>
      <c r="H8" s="2999">
        <v>16390</v>
      </c>
      <c r="I8" s="2761">
        <v>3.3099999999999997E-2</v>
      </c>
    </row>
    <row r="9" spans="1:11" ht="15" thickBot="1" x14ac:dyDescent="0.35">
      <c r="A9" s="2367" t="s">
        <v>15</v>
      </c>
      <c r="B9" s="2368">
        <f>H18-B53</f>
        <v>177360.33619642755</v>
      </c>
      <c r="C9" s="2639">
        <f>SUM(B10,B13:B18,B26,B40,B44)</f>
        <v>177360.89868298994</v>
      </c>
      <c r="D9" s="3949"/>
      <c r="E9" s="2748" t="s">
        <v>384</v>
      </c>
      <c r="F9" s="2760">
        <v>22632</v>
      </c>
      <c r="G9" s="2761">
        <v>4.8399999999999999E-2</v>
      </c>
      <c r="H9" s="2999">
        <v>22162</v>
      </c>
      <c r="I9" s="2761">
        <v>4.48E-2</v>
      </c>
    </row>
    <row r="10" spans="1:11" ht="15" thickBot="1" x14ac:dyDescent="0.35">
      <c r="A10" s="2369" t="s">
        <v>5</v>
      </c>
      <c r="B10" s="3000">
        <f>$H$8*'DATOS DFB 20'!B10/$F$8</f>
        <v>15725.686954404946</v>
      </c>
      <c r="D10" s="3949"/>
      <c r="E10" s="2747" t="s">
        <v>31</v>
      </c>
      <c r="F10" s="2760">
        <v>14401</v>
      </c>
      <c r="G10" s="2761">
        <v>3.0800000000000001E-2</v>
      </c>
      <c r="H10" s="2999">
        <v>15558</v>
      </c>
      <c r="I10" s="2761">
        <v>3.1399999999999997E-2</v>
      </c>
    </row>
    <row r="11" spans="1:11" ht="15" thickBot="1" x14ac:dyDescent="0.35">
      <c r="A11" s="2370" t="s">
        <v>118</v>
      </c>
      <c r="B11" s="2996">
        <f>$B$10*'DATOS DFB 20'!B11/'DATOS DFB 20'!$B$10</f>
        <v>4799.6823052550226</v>
      </c>
      <c r="D11" s="3949"/>
      <c r="E11" s="2746" t="s">
        <v>14</v>
      </c>
      <c r="F11" s="2760">
        <v>20371</v>
      </c>
      <c r="G11" s="2761">
        <v>4.3499999999999997E-2</v>
      </c>
      <c r="H11" s="2999">
        <v>20455</v>
      </c>
      <c r="I11" s="2761">
        <v>4.1300000000000003E-2</v>
      </c>
    </row>
    <row r="12" spans="1:11" ht="15" thickBot="1" x14ac:dyDescent="0.35">
      <c r="A12" s="2370" t="s">
        <v>147</v>
      </c>
      <c r="B12" s="2996">
        <f>$B$10*'DATOS DFB 20'!B12/'DATOS DFB 20'!$B$10</f>
        <v>10926.004649149923</v>
      </c>
      <c r="D12" s="3949"/>
      <c r="E12" s="2754" t="s">
        <v>387</v>
      </c>
      <c r="F12" s="2760">
        <v>1007</v>
      </c>
      <c r="G12" s="2761">
        <v>2.2000000000000001E-3</v>
      </c>
      <c r="H12" s="2999">
        <v>1098</v>
      </c>
      <c r="I12" s="2761">
        <v>2.2000000000000001E-3</v>
      </c>
    </row>
    <row r="13" spans="1:11" ht="15" thickBot="1" x14ac:dyDescent="0.35">
      <c r="A13" s="2369" t="s">
        <v>28</v>
      </c>
      <c r="B13" s="3000">
        <f>$H$9*'DATOS DFB 20'!B13/$F$9</f>
        <v>20457.647018557785</v>
      </c>
      <c r="D13" s="3949"/>
      <c r="E13" s="2749" t="s">
        <v>390</v>
      </c>
      <c r="F13" s="2751">
        <v>611</v>
      </c>
      <c r="G13" s="2761">
        <v>1.2999999999999999E-3</v>
      </c>
      <c r="H13" s="3001">
        <v>423</v>
      </c>
      <c r="I13" s="2761">
        <v>8.9999999999999998E-4</v>
      </c>
    </row>
    <row r="14" spans="1:11" ht="15" thickBot="1" x14ac:dyDescent="0.35">
      <c r="A14" s="2369" t="s">
        <v>12</v>
      </c>
      <c r="B14" s="3000">
        <f>$H$10*'DATOS DFB 20'!B14/$F$10</f>
        <v>14446.684270736756</v>
      </c>
      <c r="D14" s="3949"/>
      <c r="E14" s="2753" t="s">
        <v>386</v>
      </c>
      <c r="F14" s="2751">
        <v>541</v>
      </c>
      <c r="G14" s="2761">
        <v>1.1999999999999999E-3</v>
      </c>
      <c r="H14" s="3001">
        <v>489</v>
      </c>
      <c r="I14" s="2761">
        <v>1E-3</v>
      </c>
    </row>
    <row r="15" spans="1:11" ht="15" thickBot="1" x14ac:dyDescent="0.35">
      <c r="A15" s="2369" t="s">
        <v>14</v>
      </c>
      <c r="B15" s="3000">
        <f>$H$11*'DATOS DFB 20'!B15/$F$11</f>
        <v>19378.145505697208</v>
      </c>
      <c r="D15" s="3949"/>
      <c r="E15" s="2755" t="s">
        <v>388</v>
      </c>
      <c r="F15" s="2760">
        <v>14312</v>
      </c>
      <c r="G15" s="2761">
        <v>3.0599999999999999E-2</v>
      </c>
      <c r="H15" s="2999">
        <v>15523</v>
      </c>
      <c r="I15" s="2761">
        <v>3.1399999999999997E-2</v>
      </c>
    </row>
    <row r="16" spans="1:11" ht="15" thickBot="1" x14ac:dyDescent="0.35">
      <c r="A16" s="2369" t="s">
        <v>16</v>
      </c>
      <c r="B16" s="2375">
        <f>H12</f>
        <v>1098</v>
      </c>
      <c r="D16" s="3949"/>
      <c r="E16" s="2756" t="s">
        <v>391</v>
      </c>
      <c r="F16" s="2760">
        <v>17606</v>
      </c>
      <c r="G16" s="2761">
        <v>3.7600000000000001E-2</v>
      </c>
      <c r="H16" s="2773">
        <v>19272</v>
      </c>
      <c r="I16" s="2761">
        <v>3.8899999999999997E-2</v>
      </c>
    </row>
    <row r="17" spans="1:11" ht="15" thickBot="1" x14ac:dyDescent="0.35">
      <c r="A17" s="2369" t="s">
        <v>17</v>
      </c>
      <c r="B17" s="2375">
        <f>H13</f>
        <v>423</v>
      </c>
      <c r="D17" s="3949"/>
      <c r="E17" s="2750" t="s">
        <v>1493</v>
      </c>
      <c r="F17" s="2760">
        <v>77526</v>
      </c>
      <c r="G17" s="2761">
        <v>0.16569999999999999</v>
      </c>
      <c r="H17" s="2999">
        <v>93857</v>
      </c>
      <c r="I17" s="2761">
        <v>0.18959999999999999</v>
      </c>
    </row>
    <row r="18" spans="1:11" ht="15" thickBot="1" x14ac:dyDescent="0.35">
      <c r="A18" s="2369" t="s">
        <v>21</v>
      </c>
      <c r="B18" s="2375">
        <f>H14</f>
        <v>489</v>
      </c>
      <c r="D18" s="3949"/>
      <c r="E18" s="2757" t="s">
        <v>1494</v>
      </c>
      <c r="F18" s="2760">
        <v>181947</v>
      </c>
      <c r="G18" s="2761">
        <v>0.38879999999999998</v>
      </c>
      <c r="H18" s="2773">
        <v>205226</v>
      </c>
      <c r="I18" s="2761">
        <v>0.41470000000000001</v>
      </c>
    </row>
    <row r="19" spans="1:11" ht="15" thickBot="1" x14ac:dyDescent="0.35">
      <c r="A19" s="2370" t="s">
        <v>41</v>
      </c>
      <c r="B19" s="2996">
        <f>$B$18*'DATOS DFB 20'!B19/'DATOS DFB 20'!$B$18</f>
        <v>27.003984805436001</v>
      </c>
      <c r="D19" s="3949"/>
      <c r="E19" s="2764" t="s">
        <v>1495</v>
      </c>
      <c r="F19" s="2760">
        <v>467922</v>
      </c>
      <c r="G19" s="2762">
        <v>1</v>
      </c>
      <c r="H19" s="2999">
        <v>494917</v>
      </c>
      <c r="I19" s="2761">
        <v>1</v>
      </c>
    </row>
    <row r="20" spans="1:11" ht="15" thickBot="1" x14ac:dyDescent="0.35">
      <c r="A20" s="2370" t="s">
        <v>44</v>
      </c>
      <c r="B20" s="2996">
        <f>$B$18*'DATOS DFB 20'!B20/'DATOS DFB 20'!$B$18</f>
        <v>83.628832438709779</v>
      </c>
      <c r="D20" s="3949" t="s">
        <v>1496</v>
      </c>
      <c r="E20" s="2752" t="s">
        <v>1491</v>
      </c>
      <c r="F20" s="2760">
        <v>52730</v>
      </c>
      <c r="G20" s="2761">
        <v>0.34389999999999998</v>
      </c>
      <c r="H20" s="2773">
        <v>50324</v>
      </c>
      <c r="I20" s="2761">
        <v>0.33989999999999998</v>
      </c>
      <c r="K20" s="2365" t="s">
        <v>330</v>
      </c>
    </row>
    <row r="21" spans="1:11" ht="15" thickBot="1" x14ac:dyDescent="0.35">
      <c r="A21" s="2370" t="s">
        <v>695</v>
      </c>
      <c r="B21" s="2996">
        <f>$B$18*'DATOS DFB 20'!B21/'DATOS DFB 20'!$B$18</f>
        <v>91.009122057382953</v>
      </c>
      <c r="D21" s="3949"/>
      <c r="E21" s="2742" t="s">
        <v>1492</v>
      </c>
      <c r="F21" s="2751">
        <v>798</v>
      </c>
      <c r="G21" s="2761">
        <v>5.1999999999999998E-3</v>
      </c>
      <c r="H21" s="2773">
        <v>1197</v>
      </c>
      <c r="I21" s="2761">
        <v>8.0999999999999996E-3</v>
      </c>
    </row>
    <row r="22" spans="1:11" ht="15" thickBot="1" x14ac:dyDescent="0.35">
      <c r="A22" s="2370" t="s">
        <v>50</v>
      </c>
      <c r="B22" s="2996">
        <f>$B$18*'DATOS DFB 20'!B22/'DATOS DFB 20'!$B$18</f>
        <v>23.218289991002049</v>
      </c>
      <c r="D22" s="3949"/>
      <c r="E22" s="2748" t="s">
        <v>384</v>
      </c>
      <c r="F22" s="2760">
        <v>61780</v>
      </c>
      <c r="G22" s="2761">
        <v>0.40289999999999998</v>
      </c>
      <c r="H22" s="2773">
        <v>62333</v>
      </c>
      <c r="I22" s="2761">
        <v>0.42099999999999999</v>
      </c>
    </row>
    <row r="23" spans="1:11" ht="15" thickBot="1" x14ac:dyDescent="0.35">
      <c r="A23" s="2370" t="s">
        <v>102</v>
      </c>
      <c r="B23" s="2996">
        <f>$B$18*'DATOS DFB 20'!B23/'DATOS DFB 20'!$B$18</f>
        <v>219.93570124153948</v>
      </c>
      <c r="D23" s="3949"/>
      <c r="E23" s="2747" t="s">
        <v>31</v>
      </c>
      <c r="F23" s="2760">
        <v>11315</v>
      </c>
      <c r="G23" s="2761">
        <v>7.3800000000000004E-2</v>
      </c>
      <c r="H23" s="2773">
        <v>12224</v>
      </c>
      <c r="I23" s="2761">
        <v>8.2600000000000007E-2</v>
      </c>
    </row>
    <row r="24" spans="1:11" ht="15" thickBot="1" x14ac:dyDescent="0.35">
      <c r="A24" s="2370" t="s">
        <v>53</v>
      </c>
      <c r="B24" s="2996">
        <f>$B$18*'DATOS DFB 20'!B24/'DATOS DFB 20'!$B$18</f>
        <v>0</v>
      </c>
      <c r="D24" s="3949"/>
      <c r="E24" s="2746" t="s">
        <v>385</v>
      </c>
      <c r="F24" s="2760">
        <v>1072</v>
      </c>
      <c r="G24" s="2761">
        <v>7.0000000000000001E-3</v>
      </c>
      <c r="H24" s="2773">
        <v>1077</v>
      </c>
      <c r="I24" s="2761">
        <v>7.3000000000000001E-3</v>
      </c>
    </row>
    <row r="25" spans="1:11" ht="15" thickBot="1" x14ac:dyDescent="0.35">
      <c r="A25" s="2370" t="s">
        <v>54</v>
      </c>
      <c r="B25" s="2996">
        <f>$B$18*'DATOS DFB 20'!B25/'DATOS DFB 20'!$B$18</f>
        <v>44.204069465929685</v>
      </c>
      <c r="D25" s="3949"/>
      <c r="E25" s="2754" t="s">
        <v>387</v>
      </c>
      <c r="F25" s="2751">
        <v>768</v>
      </c>
      <c r="G25" s="2761">
        <v>5.0000000000000001E-3</v>
      </c>
      <c r="H25" s="2773">
        <v>1619</v>
      </c>
      <c r="I25" s="2761">
        <v>1.09E-2</v>
      </c>
    </row>
    <row r="26" spans="1:11" ht="15" thickBot="1" x14ac:dyDescent="0.35">
      <c r="A26" s="2369" t="s">
        <v>55</v>
      </c>
      <c r="B26" s="2375">
        <f>H15</f>
        <v>15523</v>
      </c>
      <c r="D26" s="3949"/>
      <c r="E26" s="2749" t="s">
        <v>390</v>
      </c>
      <c r="F26" s="2751">
        <v>77</v>
      </c>
      <c r="G26" s="2761">
        <v>5.0000000000000001E-4</v>
      </c>
      <c r="H26" s="2774">
        <v>47</v>
      </c>
      <c r="I26" s="2761">
        <v>2.9999999999999997E-4</v>
      </c>
    </row>
    <row r="27" spans="1:11" ht="15" thickBot="1" x14ac:dyDescent="0.35">
      <c r="A27" s="2370" t="s">
        <v>25</v>
      </c>
      <c r="B27" s="2996">
        <f>$B$26*'DATOS DFB 20'!B27/'DATOS DFB 20'!$B$26</f>
        <v>4700.0232960585272</v>
      </c>
      <c r="D27" s="3949"/>
      <c r="E27" s="2753" t="s">
        <v>1011</v>
      </c>
      <c r="F27" s="2751">
        <v>13</v>
      </c>
      <c r="G27" s="2761">
        <v>1E-4</v>
      </c>
      <c r="H27" s="2774">
        <v>20</v>
      </c>
      <c r="I27" s="2761">
        <v>1E-4</v>
      </c>
    </row>
    <row r="28" spans="1:11" ht="15" thickBot="1" x14ac:dyDescent="0.35">
      <c r="A28" s="2370" t="s">
        <v>29</v>
      </c>
      <c r="B28" s="2996">
        <f>$B$26*'DATOS DFB 20'!B28/'DATOS DFB 20'!$B$26</f>
        <v>10011.186474873008</v>
      </c>
      <c r="D28" s="3949"/>
      <c r="E28" s="2755" t="s">
        <v>388</v>
      </c>
      <c r="F28" s="2760">
        <v>24184</v>
      </c>
      <c r="G28" s="2761">
        <v>0.15770000000000001</v>
      </c>
      <c r="H28" s="2773">
        <v>18407</v>
      </c>
      <c r="I28" s="2761">
        <v>0.12429999999999999</v>
      </c>
    </row>
    <row r="29" spans="1:11" ht="15" thickBot="1" x14ac:dyDescent="0.35">
      <c r="A29" s="2370" t="s">
        <v>60</v>
      </c>
      <c r="B29" s="2996">
        <f>$B$26*'DATOS DFB 20'!B29/'DATOS DFB 20'!$B$26</f>
        <v>129.72110023670538</v>
      </c>
      <c r="D29" s="3949"/>
      <c r="E29" s="2756" t="s">
        <v>391</v>
      </c>
      <c r="F29" s="2751">
        <v>605</v>
      </c>
      <c r="G29" s="2761">
        <v>3.8999999999999998E-3</v>
      </c>
      <c r="H29" s="2774">
        <v>802</v>
      </c>
      <c r="I29" s="2761">
        <v>5.4000000000000003E-3</v>
      </c>
    </row>
    <row r="30" spans="1:11" ht="15" thickBot="1" x14ac:dyDescent="0.35">
      <c r="A30" s="2370" t="s">
        <v>33</v>
      </c>
      <c r="B30" s="2996">
        <f>$B$26*'DATOS DFB 20'!B30/'DATOS DFB 20'!$B$26</f>
        <v>534.39162403596504</v>
      </c>
      <c r="D30" s="3949"/>
      <c r="E30" s="2757" t="s">
        <v>1494</v>
      </c>
      <c r="F30" s="2760">
        <v>100612</v>
      </c>
      <c r="G30" s="2761">
        <v>0.65610000000000002</v>
      </c>
      <c r="H30" s="2773">
        <v>97724</v>
      </c>
      <c r="I30" s="2761">
        <v>0.66010000000000002</v>
      </c>
    </row>
    <row r="31" spans="1:11" ht="15" thickBot="1" x14ac:dyDescent="0.35">
      <c r="A31" s="2370" t="s">
        <v>696</v>
      </c>
      <c r="B31" s="2996">
        <f>$B$26*'DATOS DFB 20'!B31/'DATOS DFB 20'!$B$26</f>
        <v>0.23318804639751831</v>
      </c>
      <c r="D31" s="3949"/>
      <c r="E31" s="2764" t="s">
        <v>1497</v>
      </c>
      <c r="F31" s="2760">
        <v>153342</v>
      </c>
      <c r="G31" s="2762">
        <v>1</v>
      </c>
      <c r="H31" s="2773">
        <v>148048</v>
      </c>
      <c r="I31" s="2761">
        <v>1</v>
      </c>
    </row>
    <row r="32" spans="1:11" ht="15.75" customHeight="1" thickBot="1" x14ac:dyDescent="0.35">
      <c r="A32" s="2370" t="s">
        <v>65</v>
      </c>
      <c r="B32" s="2996">
        <f>$B$26*'DATOS DFB 20'!B32/'DATOS DFB 20'!$B$26</f>
        <v>0</v>
      </c>
      <c r="D32" s="3950" t="s">
        <v>1498</v>
      </c>
      <c r="E32" s="2752" t="s">
        <v>1499</v>
      </c>
      <c r="F32" s="2760">
        <v>338705</v>
      </c>
      <c r="G32" s="2761">
        <v>0.54520000000000002</v>
      </c>
      <c r="H32" s="2773">
        <v>340015</v>
      </c>
      <c r="I32" s="2763">
        <v>0.52880000000000005</v>
      </c>
      <c r="K32" s="2365" t="s">
        <v>330</v>
      </c>
    </row>
    <row r="33" spans="1:11" ht="15" thickBot="1" x14ac:dyDescent="0.35">
      <c r="A33" s="2370" t="s">
        <v>66</v>
      </c>
      <c r="B33" s="2996">
        <f>$B$26*'DATOS DFB 20'!B33/'DATOS DFB 20'!$B$26</f>
        <v>0</v>
      </c>
      <c r="D33" s="3951"/>
      <c r="E33" s="2742" t="s">
        <v>382</v>
      </c>
      <c r="F33" s="2760">
        <v>13738</v>
      </c>
      <c r="G33" s="2761">
        <v>2.2100000000000002E-2</v>
      </c>
      <c r="H33" s="2773">
        <v>17586</v>
      </c>
      <c r="I33" s="2761">
        <v>2.7400000000000001E-2</v>
      </c>
    </row>
    <row r="34" spans="1:11" ht="15" thickBot="1" x14ac:dyDescent="0.35">
      <c r="A34" s="2370" t="s">
        <v>68</v>
      </c>
      <c r="B34" s="2996">
        <f>$B$26*'DATOS DFB 20'!B34/'DATOS DFB 20'!$B$26</f>
        <v>0</v>
      </c>
      <c r="D34" s="3951"/>
      <c r="E34" s="2748" t="s">
        <v>28</v>
      </c>
      <c r="F34" s="2760">
        <v>84412</v>
      </c>
      <c r="G34" s="2761">
        <v>0.13589999999999999</v>
      </c>
      <c r="H34" s="2773">
        <v>84494</v>
      </c>
      <c r="I34" s="2761">
        <v>0.13139999999999999</v>
      </c>
    </row>
    <row r="35" spans="1:11" ht="15" thickBot="1" x14ac:dyDescent="0.35">
      <c r="A35" s="2370" t="s">
        <v>70</v>
      </c>
      <c r="B35" s="2996">
        <f>$B$26*'DATOS DFB 20'!B35/'DATOS DFB 20'!$B$26</f>
        <v>7.4153798754410811</v>
      </c>
      <c r="D35" s="3951"/>
      <c r="E35" s="2747" t="s">
        <v>31</v>
      </c>
      <c r="F35" s="2760">
        <v>25716</v>
      </c>
      <c r="G35" s="2761">
        <v>4.1399999999999999E-2</v>
      </c>
      <c r="H35" s="2773">
        <v>27782</v>
      </c>
      <c r="I35" s="2761">
        <v>4.3200000000000002E-2</v>
      </c>
    </row>
    <row r="36" spans="1:11" ht="15" thickBot="1" x14ac:dyDescent="0.35">
      <c r="A36" s="2370" t="s">
        <v>71</v>
      </c>
      <c r="B36" s="2996">
        <f>$B$26*'DATOS DFB 20'!B36/'DATOS DFB 20'!$B$26</f>
        <v>4.2939138404082557</v>
      </c>
      <c r="D36" s="3951"/>
      <c r="E36" s="2746" t="s">
        <v>385</v>
      </c>
      <c r="F36" s="2760">
        <v>21443</v>
      </c>
      <c r="G36" s="2761">
        <v>3.4500000000000003E-2</v>
      </c>
      <c r="H36" s="2773">
        <v>21531</v>
      </c>
      <c r="I36" s="2761">
        <v>3.3500000000000002E-2</v>
      </c>
    </row>
    <row r="37" spans="1:11" ht="15" thickBot="1" x14ac:dyDescent="0.35">
      <c r="A37" s="2370" t="s">
        <v>73</v>
      </c>
      <c r="B37" s="2376">
        <f>120757/1000</f>
        <v>120.75700000000001</v>
      </c>
      <c r="D37" s="3951"/>
      <c r="E37" s="2754" t="s">
        <v>387</v>
      </c>
      <c r="F37" s="2760">
        <v>1775</v>
      </c>
      <c r="G37" s="2761">
        <v>2.8999999999999998E-3</v>
      </c>
      <c r="H37" s="2773">
        <v>2717</v>
      </c>
      <c r="I37" s="2761">
        <v>4.1999999999999997E-3</v>
      </c>
    </row>
    <row r="38" spans="1:11" ht="15" thickBot="1" x14ac:dyDescent="0.35">
      <c r="A38" s="2370" t="s">
        <v>74</v>
      </c>
      <c r="B38" s="2996">
        <f>$B$26*'DATOS DFB 20'!B38/'DATOS DFB 20'!$B$26</f>
        <v>1.1702786142461499</v>
      </c>
      <c r="D38" s="3951"/>
      <c r="E38" s="2749" t="s">
        <v>390</v>
      </c>
      <c r="F38" s="2751">
        <v>688</v>
      </c>
      <c r="G38" s="2761">
        <v>1.1000000000000001E-3</v>
      </c>
      <c r="H38" s="2774">
        <v>470</v>
      </c>
      <c r="I38" s="2761">
        <v>6.9999999999999999E-4</v>
      </c>
    </row>
    <row r="39" spans="1:11" ht="15" thickBot="1" x14ac:dyDescent="0.35">
      <c r="A39" s="2370" t="s">
        <v>103</v>
      </c>
      <c r="B39" s="2996">
        <f>$B$26*'DATOS DFB 20'!B39/'DATOS DFB 20'!$B$26</f>
        <v>6.4479206317825408</v>
      </c>
      <c r="D39" s="3951"/>
      <c r="E39" s="2753" t="s">
        <v>1011</v>
      </c>
      <c r="F39" s="2751">
        <v>554</v>
      </c>
      <c r="G39" s="2761">
        <v>8.9999999999999998E-4</v>
      </c>
      <c r="H39" s="2774">
        <v>509</v>
      </c>
      <c r="I39" s="2761">
        <v>8.0000000000000004E-4</v>
      </c>
    </row>
    <row r="40" spans="1:11" ht="15" thickBot="1" x14ac:dyDescent="0.35">
      <c r="A40" s="2369" t="s">
        <v>76</v>
      </c>
      <c r="B40" s="2375">
        <f>H16</f>
        <v>19272</v>
      </c>
      <c r="D40" s="3951"/>
      <c r="E40" s="2755" t="s">
        <v>388</v>
      </c>
      <c r="F40" s="2760">
        <v>38496</v>
      </c>
      <c r="G40" s="2761">
        <v>6.2E-2</v>
      </c>
      <c r="H40" s="2773">
        <v>33931</v>
      </c>
      <c r="I40" s="2761">
        <v>5.28E-2</v>
      </c>
    </row>
    <row r="41" spans="1:11" ht="15" thickBot="1" x14ac:dyDescent="0.35">
      <c r="A41" s="2370" t="s">
        <v>81</v>
      </c>
      <c r="B41" s="2996">
        <f>$B$40*'DATOS DFB 20'!B41/'DATOS DFB 20'!$B$40</f>
        <v>13385.822438197294</v>
      </c>
      <c r="D41" s="3951"/>
      <c r="E41" s="2756" t="s">
        <v>391</v>
      </c>
      <c r="F41" s="2760">
        <v>18211</v>
      </c>
      <c r="G41" s="2761">
        <v>2.93E-2</v>
      </c>
      <c r="H41" s="2773">
        <v>20074</v>
      </c>
      <c r="I41" s="2761">
        <v>3.1199999999999999E-2</v>
      </c>
    </row>
    <row r="42" spans="1:11" ht="15" thickBot="1" x14ac:dyDescent="0.35">
      <c r="A42" s="2370" t="s">
        <v>104</v>
      </c>
      <c r="B42" s="2996">
        <f>$B$40*'DATOS DFB 20'!B42/'DATOS DFB 20'!$B$40</f>
        <v>3685.3545974930607</v>
      </c>
      <c r="D42" s="3951"/>
      <c r="E42" s="2750" t="s">
        <v>1493</v>
      </c>
      <c r="F42" s="2760">
        <v>77526</v>
      </c>
      <c r="G42" s="2761">
        <v>0.12479999999999999</v>
      </c>
      <c r="H42" s="2773">
        <v>93857</v>
      </c>
      <c r="I42" s="2761">
        <v>0.14599999999999999</v>
      </c>
    </row>
    <row r="43" spans="1:11" ht="15" thickBot="1" x14ac:dyDescent="0.35">
      <c r="A43" s="2370" t="s">
        <v>315</v>
      </c>
      <c r="B43" s="2996">
        <f>$B$40*'DATOS DFB 20'!B43/'DATOS DFB 20'!$B$40</f>
        <v>2200.8229643096438</v>
      </c>
      <c r="D43" s="3951"/>
      <c r="E43" s="2757" t="s">
        <v>1500</v>
      </c>
      <c r="F43" s="2760">
        <v>282559</v>
      </c>
      <c r="G43" s="2761">
        <v>0.45479999999999998</v>
      </c>
      <c r="H43" s="2773">
        <v>302951</v>
      </c>
      <c r="I43" s="2761">
        <v>0.47120000000000001</v>
      </c>
    </row>
    <row r="44" spans="1:11" ht="15" thickBot="1" x14ac:dyDescent="0.35">
      <c r="A44" s="2371" t="s">
        <v>697</v>
      </c>
      <c r="B44" s="3003">
        <f>$H$17*'DATOS DFB 20'!B44/$F$17</f>
        <v>70547.734933593238</v>
      </c>
      <c r="D44" s="3951"/>
      <c r="E44" s="2744" t="s">
        <v>1501</v>
      </c>
      <c r="F44" s="2759">
        <v>621264</v>
      </c>
      <c r="G44" s="2758">
        <v>1</v>
      </c>
      <c r="H44" s="2759">
        <v>642966</v>
      </c>
      <c r="I44" s="2758">
        <v>1</v>
      </c>
    </row>
    <row r="45" spans="1:11" ht="15" thickBot="1" x14ac:dyDescent="0.35">
      <c r="A45" s="2370" t="s">
        <v>83</v>
      </c>
      <c r="B45" s="2996">
        <f>$B$44*'DATOS DFB 20'!B45/'DATOS DFB 20'!$B$44</f>
        <v>21815.362073891338</v>
      </c>
      <c r="E45" s="2745" t="s">
        <v>1502</v>
      </c>
      <c r="F45" s="2760">
        <v>1159443</v>
      </c>
      <c r="G45" s="2743"/>
      <c r="H45" s="2760">
        <v>1154334</v>
      </c>
      <c r="K45" s="2365" t="s">
        <v>330</v>
      </c>
    </row>
    <row r="46" spans="1:11" ht="15" thickBot="1" x14ac:dyDescent="0.35">
      <c r="A46" s="2370" t="s">
        <v>84</v>
      </c>
      <c r="B46" s="2996">
        <f>$B$44*'DATOS DFB 20'!B46/'DATOS DFB 20'!$B$44</f>
        <v>48732.372859701893</v>
      </c>
      <c r="E46" s="2745" t="s">
        <v>1503</v>
      </c>
      <c r="F46" s="2751">
        <v>535.83000000000004</v>
      </c>
      <c r="G46" s="2743"/>
      <c r="H46" s="2751">
        <v>557</v>
      </c>
      <c r="K46" s="2365" t="s">
        <v>330</v>
      </c>
    </row>
    <row r="47" spans="1:11" ht="14.4" thickBot="1" x14ac:dyDescent="0.35">
      <c r="A47" s="2372" t="s">
        <v>85</v>
      </c>
      <c r="B47" s="2998">
        <f>SUM(B8,B9)</f>
        <v>457109.43270310957</v>
      </c>
      <c r="C47" s="2639"/>
    </row>
    <row r="48" spans="1:11" ht="15" thickBot="1" x14ac:dyDescent="0.35">
      <c r="A48" s="3948" t="s">
        <v>86</v>
      </c>
      <c r="B48" s="3948"/>
      <c r="E48" s="2765" t="s">
        <v>1512</v>
      </c>
    </row>
    <row r="49" spans="1:14" ht="14.4" thickBot="1" x14ac:dyDescent="0.35">
      <c r="A49" s="2367" t="s">
        <v>10</v>
      </c>
      <c r="B49" s="3005">
        <f>$H$7*'DATOS DFB 20'!B49/$F$7</f>
        <v>9942.0747129466017</v>
      </c>
    </row>
    <row r="50" spans="1:14" ht="15" thickBot="1" x14ac:dyDescent="0.35">
      <c r="A50" s="2369" t="s">
        <v>88</v>
      </c>
      <c r="B50" s="3000">
        <f>$B$49*'DATOS DFB 20'!B50/'DATOS DFB 20'!$B$49</f>
        <v>3725.4281239092229</v>
      </c>
      <c r="E50" s="2769" t="s">
        <v>1513</v>
      </c>
      <c r="F50" s="2769">
        <v>2015</v>
      </c>
      <c r="G50" s="2769">
        <v>2016</v>
      </c>
      <c r="H50" s="2769">
        <v>2017</v>
      </c>
      <c r="I50" s="2769">
        <v>2018</v>
      </c>
      <c r="J50" s="2769">
        <v>2019</v>
      </c>
      <c r="K50" s="2769">
        <v>2020</v>
      </c>
      <c r="L50" s="2769">
        <v>2021</v>
      </c>
      <c r="M50" s="2365" t="s">
        <v>330</v>
      </c>
    </row>
    <row r="51" spans="1:14" ht="15" thickBot="1" x14ac:dyDescent="0.35">
      <c r="A51" s="2369" t="s">
        <v>95</v>
      </c>
      <c r="B51" s="3000">
        <f>$B$49*'DATOS DFB 20'!B51/'DATOS DFB 20'!$B$49</f>
        <v>0</v>
      </c>
      <c r="E51" s="2770" t="s">
        <v>1514</v>
      </c>
      <c r="F51" s="2768">
        <v>220886</v>
      </c>
      <c r="G51" s="2768">
        <v>240988</v>
      </c>
      <c r="H51" s="2768">
        <v>274226</v>
      </c>
      <c r="I51" s="2768">
        <v>283430</v>
      </c>
      <c r="J51" s="2768">
        <v>288229</v>
      </c>
      <c r="K51" s="2768">
        <v>268821</v>
      </c>
      <c r="L51" s="3191">
        <v>285364</v>
      </c>
      <c r="M51" s="2365" t="s">
        <v>330</v>
      </c>
    </row>
    <row r="52" spans="1:14" ht="15" thickBot="1" x14ac:dyDescent="0.35">
      <c r="A52" s="2369" t="s">
        <v>89</v>
      </c>
      <c r="B52" s="3000">
        <f>$B$49*'DATOS DFB 20'!B52/'DATOS DFB 20'!$B$49</f>
        <v>6216.6465890373802</v>
      </c>
      <c r="E52" s="2770" t="s">
        <v>1515</v>
      </c>
      <c r="F52" s="2768"/>
      <c r="G52" s="2768">
        <v>6613</v>
      </c>
      <c r="H52" s="2768">
        <v>8139</v>
      </c>
      <c r="I52" s="2768">
        <v>10729</v>
      </c>
      <c r="J52" s="2768">
        <v>12993</v>
      </c>
      <c r="K52" s="2768">
        <v>13737</v>
      </c>
      <c r="L52" s="3191">
        <v>17586</v>
      </c>
      <c r="M52" s="2365" t="s">
        <v>330</v>
      </c>
    </row>
    <row r="53" spans="1:14" ht="15" thickBot="1" x14ac:dyDescent="0.35">
      <c r="A53" s="2367" t="s">
        <v>15</v>
      </c>
      <c r="B53" s="2368">
        <f>SUM(B54,B56:B59)</f>
        <v>27865.663803572439</v>
      </c>
      <c r="D53" s="3747" t="s">
        <v>1516</v>
      </c>
      <c r="E53" s="2770" t="s">
        <v>1517</v>
      </c>
      <c r="F53" s="2768">
        <v>9897</v>
      </c>
      <c r="G53" s="2768">
        <v>5811</v>
      </c>
      <c r="H53" s="2768">
        <v>8960</v>
      </c>
      <c r="I53" s="2768">
        <v>8520</v>
      </c>
      <c r="J53" s="2768">
        <v>7944</v>
      </c>
      <c r="K53" s="2768">
        <v>6642</v>
      </c>
      <c r="L53" s="3191">
        <v>6587</v>
      </c>
      <c r="N53" s="2365" t="s">
        <v>330</v>
      </c>
    </row>
    <row r="54" spans="1:14" ht="15" thickBot="1" x14ac:dyDescent="0.35">
      <c r="A54" s="2369" t="s">
        <v>5</v>
      </c>
      <c r="B54" s="3000">
        <f>$H$8*'DATOS DFB 20'!B54/$F$8</f>
        <v>663.78106723338487</v>
      </c>
      <c r="D54" s="3747"/>
      <c r="E54" s="2770" t="s">
        <v>1518</v>
      </c>
      <c r="F54" s="2768">
        <v>66886</v>
      </c>
      <c r="G54" s="2768">
        <v>44127</v>
      </c>
      <c r="H54" s="2768">
        <v>54245</v>
      </c>
      <c r="I54" s="2768">
        <v>38124</v>
      </c>
      <c r="J54" s="2768">
        <v>63626</v>
      </c>
      <c r="K54" s="2768">
        <v>67340</v>
      </c>
      <c r="L54" s="3191">
        <v>57344</v>
      </c>
      <c r="M54" s="2365" t="s">
        <v>330</v>
      </c>
    </row>
    <row r="55" spans="1:14" ht="15" thickBot="1" x14ac:dyDescent="0.35">
      <c r="A55" s="2370" t="s">
        <v>118</v>
      </c>
      <c r="B55" s="2996">
        <f>B54</f>
        <v>663.78106723338487</v>
      </c>
      <c r="D55" s="3747"/>
      <c r="E55" s="2770" t="s">
        <v>1519</v>
      </c>
      <c r="F55" s="2768">
        <v>62063</v>
      </c>
      <c r="G55" s="2768">
        <v>36710</v>
      </c>
      <c r="H55" s="2768">
        <v>78488</v>
      </c>
      <c r="I55" s="2768">
        <v>93131</v>
      </c>
      <c r="J55" s="2768">
        <v>71918</v>
      </c>
      <c r="K55" s="2768">
        <v>64888</v>
      </c>
      <c r="L55" s="3191">
        <v>72931</v>
      </c>
      <c r="M55" s="2365" t="s">
        <v>330</v>
      </c>
    </row>
    <row r="56" spans="1:14" ht="15" thickBot="1" x14ac:dyDescent="0.35">
      <c r="A56" s="2369" t="s">
        <v>14</v>
      </c>
      <c r="B56" s="3000">
        <f>$H$11*'DATOS DFB 20'!B56/$F$11</f>
        <v>1076.5636392054005</v>
      </c>
      <c r="D56" s="3747"/>
      <c r="E56" s="2770" t="s">
        <v>1520</v>
      </c>
      <c r="F56" s="2768"/>
      <c r="G56" s="2768">
        <v>1589</v>
      </c>
      <c r="H56" s="2768">
        <v>1605</v>
      </c>
      <c r="I56" s="2768">
        <v>1965</v>
      </c>
      <c r="J56" s="2768">
        <v>1100</v>
      </c>
      <c r="K56" s="2768">
        <v>1089</v>
      </c>
      <c r="L56" s="2768">
        <v>1100</v>
      </c>
      <c r="M56" s="2365" t="s">
        <v>330</v>
      </c>
    </row>
    <row r="57" spans="1:14" ht="15" thickBot="1" x14ac:dyDescent="0.35">
      <c r="A57" s="2369" t="s">
        <v>28</v>
      </c>
      <c r="B57" s="3000">
        <f>$H$9*'DATOS DFB 20'!B57/$F$9</f>
        <v>1704.8039182131492</v>
      </c>
      <c r="D57" s="3747"/>
      <c r="E57" s="2770" t="s">
        <v>1511</v>
      </c>
      <c r="F57" s="2768">
        <v>35689</v>
      </c>
      <c r="G57" s="2768">
        <v>24841</v>
      </c>
      <c r="H57" s="2768">
        <v>34579</v>
      </c>
      <c r="I57" s="2768">
        <v>37467</v>
      </c>
      <c r="J57" s="2768">
        <v>33942</v>
      </c>
      <c r="K57" s="2768">
        <v>38395</v>
      </c>
      <c r="L57" s="2768">
        <v>41276</v>
      </c>
      <c r="M57" s="2365" t="s">
        <v>330</v>
      </c>
      <c r="N57" s="3177">
        <f>K57-K56</f>
        <v>37306</v>
      </c>
    </row>
    <row r="58" spans="1:14" ht="15" thickBot="1" x14ac:dyDescent="0.35">
      <c r="A58" s="2369" t="s">
        <v>12</v>
      </c>
      <c r="B58" s="3000">
        <f>$H$10*'DATOS DFB 20'!B58/$F$10</f>
        <v>1111.2834054412888</v>
      </c>
      <c r="E58" s="2770" t="s">
        <v>1518</v>
      </c>
      <c r="F58" s="2768">
        <v>161408</v>
      </c>
      <c r="G58" s="2768">
        <v>170838</v>
      </c>
      <c r="H58" s="2768">
        <v>156893</v>
      </c>
      <c r="I58" s="2768">
        <v>161637</v>
      </c>
      <c r="J58" s="2768">
        <v>153598</v>
      </c>
      <c r="K58" s="2768">
        <v>145170</v>
      </c>
      <c r="L58" s="3191">
        <v>149047</v>
      </c>
      <c r="M58" s="2365" t="s">
        <v>330</v>
      </c>
    </row>
    <row r="59" spans="1:14" ht="15" thickBot="1" x14ac:dyDescent="0.35">
      <c r="A59" s="2371" t="s">
        <v>698</v>
      </c>
      <c r="B59" s="3003">
        <f>$H$17*'DATOS DFB 20'!B59/$F$17</f>
        <v>23309.231773479216</v>
      </c>
      <c r="E59" s="2770" t="s">
        <v>1519</v>
      </c>
      <c r="F59" s="2768">
        <v>19284</v>
      </c>
      <c r="G59" s="2768">
        <v>73715</v>
      </c>
      <c r="H59" s="2768">
        <v>20594</v>
      </c>
      <c r="I59" s="2768">
        <v>11571</v>
      </c>
      <c r="J59" s="2768">
        <v>14814</v>
      </c>
      <c r="K59" s="2768">
        <v>15181</v>
      </c>
      <c r="L59" s="3191">
        <v>11729</v>
      </c>
      <c r="M59" s="2365" t="s">
        <v>330</v>
      </c>
    </row>
    <row r="60" spans="1:14" ht="15" thickBot="1" x14ac:dyDescent="0.35">
      <c r="A60" s="2370" t="s">
        <v>83</v>
      </c>
      <c r="B60" s="2996">
        <f>$B$59*'DATOS DFB 20'!B60/'DATOS DFB 20'!$B$59</f>
        <v>2423.9291193212593</v>
      </c>
      <c r="E60" s="2771" t="s">
        <v>389</v>
      </c>
      <c r="F60" s="2772">
        <v>576113</v>
      </c>
      <c r="G60" s="2772">
        <v>605232</v>
      </c>
      <c r="H60" s="2772">
        <v>637729</v>
      </c>
      <c r="I60" s="2772">
        <v>646574</v>
      </c>
      <c r="J60" s="2772">
        <v>648164</v>
      </c>
      <c r="K60" s="2772">
        <v>621263</v>
      </c>
      <c r="L60" s="2772">
        <v>642966</v>
      </c>
      <c r="M60" s="2365" t="s">
        <v>330</v>
      </c>
    </row>
    <row r="61" spans="1:14" ht="14.4" thickBot="1" x14ac:dyDescent="0.35">
      <c r="A61" s="2370" t="s">
        <v>84</v>
      </c>
      <c r="B61" s="2996">
        <f>$B$59*'DATOS DFB 20'!B61/'DATOS DFB 20'!$B$59</f>
        <v>20885.302654157957</v>
      </c>
      <c r="F61" s="2766"/>
      <c r="G61" s="2766"/>
      <c r="H61" s="2766"/>
      <c r="I61" s="2766"/>
      <c r="J61" s="2766"/>
      <c r="K61" s="2766"/>
      <c r="L61" s="2766"/>
      <c r="N61" s="2365" t="s">
        <v>330</v>
      </c>
    </row>
    <row r="62" spans="1:14" ht="14.4" thickBot="1" x14ac:dyDescent="0.35">
      <c r="A62" s="2372" t="s">
        <v>96</v>
      </c>
      <c r="B62" s="2998">
        <f>SUM(B53,B49)</f>
        <v>37807.738516519043</v>
      </c>
    </row>
    <row r="63" spans="1:14" ht="14.4" thickBot="1" x14ac:dyDescent="0.35">
      <c r="A63" s="2373" t="s">
        <v>97</v>
      </c>
      <c r="B63" s="2374">
        <f>H19</f>
        <v>494917</v>
      </c>
    </row>
    <row r="64" spans="1:14" ht="15" thickBot="1" x14ac:dyDescent="0.35">
      <c r="A64" s="3946"/>
      <c r="B64" s="3946"/>
      <c r="E64" s="2769" t="s">
        <v>1504</v>
      </c>
      <c r="F64" s="2769">
        <v>2015</v>
      </c>
      <c r="G64" s="2769">
        <v>2016</v>
      </c>
      <c r="H64" s="2769">
        <v>2017</v>
      </c>
      <c r="I64" s="2769">
        <v>2018</v>
      </c>
      <c r="J64" s="2769">
        <v>2019</v>
      </c>
      <c r="K64" s="2769">
        <v>2020</v>
      </c>
      <c r="L64" s="2769">
        <v>2021</v>
      </c>
      <c r="M64" s="2365" t="s">
        <v>330</v>
      </c>
    </row>
    <row r="65" spans="1:14" ht="15" thickBot="1" x14ac:dyDescent="0.35">
      <c r="A65" s="3947" t="s">
        <v>98</v>
      </c>
      <c r="B65" s="3947"/>
      <c r="E65" s="2770" t="s">
        <v>1505</v>
      </c>
      <c r="F65" s="2768">
        <v>230783</v>
      </c>
      <c r="G65" s="2768">
        <v>246799</v>
      </c>
      <c r="H65" s="2768">
        <v>283186</v>
      </c>
      <c r="I65" s="2768">
        <v>291950</v>
      </c>
      <c r="J65" s="2768">
        <v>296173</v>
      </c>
      <c r="K65" s="2768">
        <v>275463</v>
      </c>
      <c r="L65" s="2768">
        <v>291952</v>
      </c>
      <c r="M65" s="2365" t="s">
        <v>330</v>
      </c>
    </row>
    <row r="66" spans="1:14" ht="15" thickBot="1" x14ac:dyDescent="0.35">
      <c r="A66" s="2367" t="s">
        <v>10</v>
      </c>
      <c r="B66" s="2368">
        <f>H20</f>
        <v>50324</v>
      </c>
      <c r="E66" s="2770" t="s">
        <v>1506</v>
      </c>
      <c r="F66" s="2768">
        <v>0</v>
      </c>
      <c r="G66" s="2768">
        <v>6613</v>
      </c>
      <c r="H66" s="2768">
        <v>8139</v>
      </c>
      <c r="I66" s="2768">
        <v>10729</v>
      </c>
      <c r="J66" s="2768">
        <v>12993</v>
      </c>
      <c r="K66" s="2768">
        <v>13737</v>
      </c>
      <c r="L66" s="2768">
        <v>17586</v>
      </c>
      <c r="M66" s="2365" t="s">
        <v>330</v>
      </c>
    </row>
    <row r="67" spans="1:14" ht="15" thickBot="1" x14ac:dyDescent="0.35">
      <c r="A67" s="2369" t="s">
        <v>89</v>
      </c>
      <c r="B67" s="2375">
        <f>H20</f>
        <v>50324</v>
      </c>
      <c r="E67" s="2770" t="s">
        <v>1507</v>
      </c>
      <c r="F67" s="2768">
        <v>228294</v>
      </c>
      <c r="G67" s="2768">
        <v>214965</v>
      </c>
      <c r="H67" s="2768">
        <v>211138</v>
      </c>
      <c r="I67" s="2768">
        <v>199761</v>
      </c>
      <c r="J67" s="2768">
        <v>217224</v>
      </c>
      <c r="K67" s="2768">
        <v>212510</v>
      </c>
      <c r="L67" s="2768">
        <v>206391</v>
      </c>
      <c r="M67" s="2365" t="s">
        <v>330</v>
      </c>
    </row>
    <row r="68" spans="1:14" ht="15" thickBot="1" x14ac:dyDescent="0.35">
      <c r="A68" s="2367" t="s">
        <v>15</v>
      </c>
      <c r="B68" s="2368">
        <f>H30</f>
        <v>97724</v>
      </c>
      <c r="E68" s="2770" t="s">
        <v>1508</v>
      </c>
      <c r="F68" s="2768">
        <v>62063</v>
      </c>
      <c r="G68" s="2768">
        <v>36710</v>
      </c>
      <c r="H68" s="2768">
        <v>78488</v>
      </c>
      <c r="I68" s="2768">
        <v>93131</v>
      </c>
      <c r="J68" s="2768">
        <v>71918</v>
      </c>
      <c r="K68" s="2768">
        <v>64888</v>
      </c>
      <c r="L68" s="2768">
        <v>72931</v>
      </c>
      <c r="M68" s="2365" t="s">
        <v>330</v>
      </c>
    </row>
    <row r="69" spans="1:14" ht="15" thickBot="1" x14ac:dyDescent="0.35">
      <c r="A69" s="2369" t="s">
        <v>5</v>
      </c>
      <c r="B69" s="2375">
        <f>H21</f>
        <v>1197</v>
      </c>
      <c r="E69" s="2770" t="s">
        <v>1509</v>
      </c>
      <c r="F69" s="2768">
        <v>19284</v>
      </c>
      <c r="G69" s="2768">
        <v>73715</v>
      </c>
      <c r="H69" s="2768">
        <v>20594</v>
      </c>
      <c r="I69" s="2768">
        <v>11571</v>
      </c>
      <c r="J69" s="2768">
        <v>14814</v>
      </c>
      <c r="K69" s="2768">
        <v>15181</v>
      </c>
      <c r="L69" s="2768">
        <v>11729</v>
      </c>
      <c r="M69" s="2365" t="s">
        <v>330</v>
      </c>
    </row>
    <row r="70" spans="1:14" ht="15" thickBot="1" x14ac:dyDescent="0.35">
      <c r="A70" s="2370" t="s">
        <v>147</v>
      </c>
      <c r="B70" s="2996">
        <f>$B$69*'DATOS DFB 20'!B70/'DATOS DFB 20'!$B$69</f>
        <v>0</v>
      </c>
      <c r="E70" s="2771" t="s">
        <v>389</v>
      </c>
      <c r="F70" s="2772">
        <v>540424</v>
      </c>
      <c r="G70" s="2772">
        <v>578802</v>
      </c>
      <c r="H70" s="2772">
        <v>601545</v>
      </c>
      <c r="I70" s="2772">
        <v>607142</v>
      </c>
      <c r="J70" s="2772">
        <v>613121</v>
      </c>
      <c r="K70" s="2772">
        <v>581779</v>
      </c>
      <c r="L70" s="2772">
        <v>600589</v>
      </c>
      <c r="M70" s="2365" t="s">
        <v>330</v>
      </c>
    </row>
    <row r="71" spans="1:14" ht="15" thickBot="1" x14ac:dyDescent="0.35">
      <c r="A71" s="2370" t="s">
        <v>699</v>
      </c>
      <c r="B71" s="2996">
        <f>$B$69*'DATOS DFB 20'!B71/'DATOS DFB 20'!$B$69</f>
        <v>0</v>
      </c>
      <c r="E71" s="2743"/>
      <c r="F71" s="2767"/>
      <c r="G71" s="2767"/>
      <c r="H71" s="2767"/>
      <c r="I71" s="2767"/>
      <c r="J71" s="2767"/>
      <c r="K71" s="2767"/>
      <c r="L71" s="2767"/>
    </row>
    <row r="72" spans="1:14" ht="15" thickBot="1" x14ac:dyDescent="0.35">
      <c r="A72" s="2370" t="s">
        <v>100</v>
      </c>
      <c r="B72" s="2996">
        <f>$B$69*'DATOS DFB 20'!B72/'DATOS DFB 20'!$B$69</f>
        <v>1197</v>
      </c>
      <c r="E72" s="2770" t="s">
        <v>1510</v>
      </c>
      <c r="F72" s="2768">
        <v>0</v>
      </c>
      <c r="G72" s="2768">
        <v>1589</v>
      </c>
      <c r="H72" s="2768">
        <v>1605</v>
      </c>
      <c r="I72" s="2768">
        <v>1965</v>
      </c>
      <c r="J72" s="2768">
        <v>1100</v>
      </c>
      <c r="K72" s="2768">
        <v>1089</v>
      </c>
      <c r="L72" s="2768">
        <v>1100</v>
      </c>
      <c r="M72" s="2365" t="s">
        <v>330</v>
      </c>
    </row>
    <row r="73" spans="1:14" ht="15" thickBot="1" x14ac:dyDescent="0.35">
      <c r="A73" s="2369" t="s">
        <v>28</v>
      </c>
      <c r="B73" s="2375">
        <f t="shared" ref="B73:B78" si="0">H22</f>
        <v>62333</v>
      </c>
      <c r="E73" s="2770" t="s">
        <v>1511</v>
      </c>
      <c r="F73" s="2768">
        <v>35689</v>
      </c>
      <c r="G73" s="2768">
        <v>24841</v>
      </c>
      <c r="H73" s="2768">
        <v>34579</v>
      </c>
      <c r="I73" s="2768">
        <v>37467</v>
      </c>
      <c r="J73" s="2768">
        <v>33942</v>
      </c>
      <c r="K73" s="2768">
        <v>38395</v>
      </c>
      <c r="L73" s="2768">
        <v>41276</v>
      </c>
      <c r="M73" s="2365" t="s">
        <v>330</v>
      </c>
    </row>
    <row r="74" spans="1:14" ht="15" thickBot="1" x14ac:dyDescent="0.35">
      <c r="A74" s="2369" t="s">
        <v>12</v>
      </c>
      <c r="B74" s="2375">
        <f t="shared" si="0"/>
        <v>12224</v>
      </c>
      <c r="E74" s="2743"/>
      <c r="F74" s="2767"/>
      <c r="G74" s="2767"/>
      <c r="H74" s="2767"/>
      <c r="I74" s="2767"/>
      <c r="J74" s="2767"/>
      <c r="K74" s="2767"/>
      <c r="L74" s="2767"/>
    </row>
    <row r="75" spans="1:14" ht="15" thickBot="1" x14ac:dyDescent="0.35">
      <c r="A75" s="2369" t="s">
        <v>14</v>
      </c>
      <c r="B75" s="2375">
        <f t="shared" si="0"/>
        <v>1077</v>
      </c>
      <c r="E75" s="2771" t="s">
        <v>389</v>
      </c>
      <c r="F75" s="2772">
        <v>576113</v>
      </c>
      <c r="G75" s="2772">
        <v>605232</v>
      </c>
      <c r="H75" s="2772">
        <v>637729</v>
      </c>
      <c r="I75" s="2772">
        <v>646574</v>
      </c>
      <c r="J75" s="2772">
        <v>648165</v>
      </c>
      <c r="K75" s="2772">
        <v>621264</v>
      </c>
      <c r="L75" s="2772">
        <v>642966</v>
      </c>
    </row>
    <row r="76" spans="1:14" ht="14.4" thickBot="1" x14ac:dyDescent="0.35">
      <c r="A76" s="2369" t="s">
        <v>16</v>
      </c>
      <c r="B76" s="2375">
        <f t="shared" si="0"/>
        <v>1619</v>
      </c>
      <c r="N76" s="2365" t="s">
        <v>330</v>
      </c>
    </row>
    <row r="77" spans="1:14" ht="14.4" thickBot="1" x14ac:dyDescent="0.35">
      <c r="A77" s="2369" t="s">
        <v>17</v>
      </c>
      <c r="B77" s="2375">
        <f t="shared" si="0"/>
        <v>47</v>
      </c>
    </row>
    <row r="78" spans="1:14" ht="14.4" thickBot="1" x14ac:dyDescent="0.35">
      <c r="A78" s="2369" t="s">
        <v>58</v>
      </c>
      <c r="B78" s="2375">
        <f t="shared" si="0"/>
        <v>20</v>
      </c>
    </row>
    <row r="79" spans="1:14" ht="14.4" thickBot="1" x14ac:dyDescent="0.35">
      <c r="A79" s="2370" t="s">
        <v>102</v>
      </c>
      <c r="B79" s="2996">
        <f>$B$78*'DATOS DFB 20'!B79/'DATOS DFB 20'!$B$78</f>
        <v>0</v>
      </c>
      <c r="N79" s="2365" t="s">
        <v>330</v>
      </c>
    </row>
    <row r="80" spans="1:14" ht="14.4" thickBot="1" x14ac:dyDescent="0.35">
      <c r="A80" s="2370" t="s">
        <v>44</v>
      </c>
      <c r="B80" s="2996">
        <f>$B$78*'DATOS DFB 20'!B80/'DATOS DFB 20'!$B$78</f>
        <v>0</v>
      </c>
      <c r="N80" s="2365" t="s">
        <v>330</v>
      </c>
    </row>
    <row r="81" spans="1:4" ht="14.4" thickBot="1" x14ac:dyDescent="0.35">
      <c r="A81" s="2370" t="s">
        <v>41</v>
      </c>
      <c r="B81" s="2996">
        <f>$B$78*'DATOS DFB 20'!B81/'DATOS DFB 20'!$B$78</f>
        <v>20</v>
      </c>
    </row>
    <row r="82" spans="1:4" ht="14.4" thickBot="1" x14ac:dyDescent="0.35">
      <c r="A82" s="2370" t="s">
        <v>54</v>
      </c>
      <c r="B82" s="2996">
        <f>$B$78*'DATOS DFB 20'!B82/'DATOS DFB 20'!$B$78</f>
        <v>0</v>
      </c>
    </row>
    <row r="83" spans="1:4" ht="14.4" thickBot="1" x14ac:dyDescent="0.35">
      <c r="A83" s="2369" t="s">
        <v>55</v>
      </c>
      <c r="B83" s="2375">
        <f>H28</f>
        <v>18407</v>
      </c>
    </row>
    <row r="84" spans="1:4" ht="14.4" thickBot="1" x14ac:dyDescent="0.35">
      <c r="A84" s="2370" t="s">
        <v>25</v>
      </c>
      <c r="B84" s="2996">
        <f>$B$83*'DATOS DFB 20'!B84/'DATOS DFB 20'!$B$83</f>
        <v>99.149953308287337</v>
      </c>
    </row>
    <row r="85" spans="1:4" ht="14.4" thickBot="1" x14ac:dyDescent="0.35">
      <c r="A85" s="2370" t="s">
        <v>29</v>
      </c>
      <c r="B85" s="2996">
        <f>$B$83*'DATOS DFB 20'!B85/'DATOS DFB 20'!$B$83</f>
        <v>18307.850046691714</v>
      </c>
    </row>
    <row r="86" spans="1:4" ht="14.4" thickBot="1" x14ac:dyDescent="0.35">
      <c r="A86" s="2370" t="s">
        <v>66</v>
      </c>
      <c r="B86" s="2996">
        <f>$B$83*'DATOS DFB 20'!B86/'DATOS DFB 20'!$B$83</f>
        <v>0</v>
      </c>
    </row>
    <row r="87" spans="1:4" ht="14.4" thickBot="1" x14ac:dyDescent="0.35">
      <c r="A87" s="2370" t="s">
        <v>33</v>
      </c>
      <c r="B87" s="2996">
        <f>$B$83*'DATOS DFB 20'!B87/'DATOS DFB 20'!$B$83</f>
        <v>0</v>
      </c>
    </row>
    <row r="88" spans="1:4" ht="14.4" thickBot="1" x14ac:dyDescent="0.35">
      <c r="A88" s="2370" t="s">
        <v>103</v>
      </c>
      <c r="B88" s="2996">
        <f>$B$83*'DATOS DFB 20'!B88/'DATOS DFB 20'!$B$83</f>
        <v>0</v>
      </c>
    </row>
    <row r="89" spans="1:4" ht="14.4" thickBot="1" x14ac:dyDescent="0.35">
      <c r="A89" s="2369" t="s">
        <v>76</v>
      </c>
      <c r="B89" s="2375">
        <f>H29</f>
        <v>802</v>
      </c>
    </row>
    <row r="90" spans="1:4" ht="14.4" thickBot="1" x14ac:dyDescent="0.35">
      <c r="A90" s="2370" t="s">
        <v>81</v>
      </c>
      <c r="B90" s="2996">
        <f>'DATOS DFB 20'!B90*$B$89/'DATOS DFB 20'!$B$89</f>
        <v>731.4874986201454</v>
      </c>
    </row>
    <row r="91" spans="1:4" ht="14.4" thickBot="1" x14ac:dyDescent="0.35">
      <c r="A91" s="2370" t="s">
        <v>104</v>
      </c>
      <c r="B91" s="2996">
        <f>'DATOS DFB 20'!B91*$B$89/'DATOS DFB 20'!$B$89</f>
        <v>14.102500275970934</v>
      </c>
    </row>
    <row r="92" spans="1:4" ht="14.4" thickBot="1" x14ac:dyDescent="0.35">
      <c r="A92" s="2370" t="s">
        <v>315</v>
      </c>
      <c r="B92" s="2996">
        <f>'DATOS DFB 20'!B92*$B$89/'DATOS DFB 20'!$B$89</f>
        <v>56.410001103883737</v>
      </c>
    </row>
    <row r="93" spans="1:4" ht="14.4" thickBot="1" x14ac:dyDescent="0.35">
      <c r="A93" s="2373" t="s">
        <v>108</v>
      </c>
      <c r="B93" s="2374">
        <f>H31</f>
        <v>148048</v>
      </c>
    </row>
    <row r="94" spans="1:4" ht="15" thickBot="1" x14ac:dyDescent="0.35">
      <c r="A94" s="3946"/>
      <c r="B94" s="3946"/>
    </row>
    <row r="95" spans="1:4" ht="14.4" thickBot="1" x14ac:dyDescent="0.35">
      <c r="A95" s="3947" t="s">
        <v>109</v>
      </c>
      <c r="B95" s="3947"/>
      <c r="C95" s="2365" t="s">
        <v>1477</v>
      </c>
    </row>
    <row r="96" spans="1:4" ht="14.4" thickBot="1" x14ac:dyDescent="0.35">
      <c r="A96" s="2367" t="s">
        <v>69</v>
      </c>
      <c r="B96" s="2368">
        <f>B9+B53+B68</f>
        <v>302950</v>
      </c>
      <c r="C96" s="3004">
        <f>H43</f>
        <v>302951</v>
      </c>
      <c r="D96" s="2639">
        <f>B96-C96</f>
        <v>-1</v>
      </c>
    </row>
    <row r="97" spans="1:4" ht="14.4" thickBot="1" x14ac:dyDescent="0.35">
      <c r="A97" s="2367" t="s">
        <v>110</v>
      </c>
      <c r="B97" s="2368">
        <f>B8+B49+B66</f>
        <v>340015.17121962865</v>
      </c>
      <c r="C97" s="3004">
        <f>H32</f>
        <v>340015</v>
      </c>
      <c r="D97" s="2639">
        <f t="shared" ref="D97:D98" si="1">B97-C97</f>
        <v>0.17121962865348905</v>
      </c>
    </row>
    <row r="98" spans="1:4" ht="14.4" thickBot="1" x14ac:dyDescent="0.35">
      <c r="A98" s="2373" t="s">
        <v>111</v>
      </c>
      <c r="B98" s="2374">
        <f>B93+B63</f>
        <v>642965</v>
      </c>
      <c r="C98" s="3004">
        <f>H44</f>
        <v>642966</v>
      </c>
      <c r="D98" s="2639">
        <f t="shared" si="1"/>
        <v>-1</v>
      </c>
    </row>
  </sheetData>
  <mergeCells count="12">
    <mergeCell ref="D20:D31"/>
    <mergeCell ref="D7:D19"/>
    <mergeCell ref="D32:D44"/>
    <mergeCell ref="A94:B94"/>
    <mergeCell ref="A95:B95"/>
    <mergeCell ref="A65:B65"/>
    <mergeCell ref="D53:D57"/>
    <mergeCell ref="A5:B5"/>
    <mergeCell ref="A6:B6"/>
    <mergeCell ref="A7:B7"/>
    <mergeCell ref="A48:B48"/>
    <mergeCell ref="A64:B64"/>
  </mergeCells>
  <pageMargins left="0.7" right="0.7" top="0.75" bottom="0.75" header="0.3" footer="0.3"/>
  <pageSetup paperSize="9" orientation="portrait" r:id="rId1"/>
  <drawing r:id="rId2"/>
  <legacy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filterMode="1">
    <tabColor rgb="FFFF99FF"/>
    <pageSetUpPr fitToPage="1"/>
  </sheetPr>
  <dimension ref="A1:AE135"/>
  <sheetViews>
    <sheetView workbookViewId="0"/>
  </sheetViews>
  <sheetFormatPr baseColWidth="10" defaultColWidth="8.88671875" defaultRowHeight="14.4" x14ac:dyDescent="0.3"/>
  <cols>
    <col min="1" max="1" width="77.5546875" style="1" customWidth="1"/>
    <col min="2" max="2" width="14.33203125" style="1" hidden="1" customWidth="1"/>
    <col min="3" max="3" width="12.109375" style="1" hidden="1" customWidth="1"/>
    <col min="4" max="4" width="13.44140625" style="1" hidden="1" customWidth="1"/>
    <col min="5" max="5" width="12.109375" style="1" hidden="1" customWidth="1"/>
    <col min="6" max="6" width="15" style="1" hidden="1" customWidth="1"/>
    <col min="7" max="7" width="12.109375" style="1" hidden="1" customWidth="1"/>
    <col min="8" max="8" width="13.6640625" style="1" hidden="1" customWidth="1"/>
    <col min="9" max="9" width="15" style="1" hidden="1" customWidth="1"/>
    <col min="10" max="10" width="16.88671875" style="1" hidden="1" customWidth="1"/>
    <col min="11" max="11" width="12.109375" style="1" hidden="1" customWidth="1"/>
    <col min="12" max="12" width="15" style="1" hidden="1" customWidth="1"/>
    <col min="13" max="13" width="12.109375" style="1" hidden="1" customWidth="1"/>
    <col min="14" max="14" width="14.109375" style="1" hidden="1" customWidth="1"/>
    <col min="15" max="15" width="12.109375" style="1" hidden="1" customWidth="1"/>
    <col min="16" max="16" width="14.88671875" style="1" hidden="1" customWidth="1"/>
    <col min="17" max="17" width="12.109375" style="1" hidden="1" customWidth="1"/>
    <col min="18" max="18" width="19.5546875" style="1" hidden="1" customWidth="1"/>
    <col min="19" max="19" width="12.109375" style="1" hidden="1" customWidth="1"/>
    <col min="20" max="20" width="0" style="1" hidden="1" customWidth="1"/>
    <col min="21" max="24" width="10.5546875" style="1" hidden="1" customWidth="1"/>
    <col min="25" max="25" width="3.6640625" style="1" hidden="1" customWidth="1"/>
    <col min="26" max="26" width="17.6640625" style="1" customWidth="1"/>
    <col min="27" max="27" width="17.6640625" customWidth="1"/>
    <col min="28" max="28" width="15" style="1" customWidth="1"/>
    <col min="29" max="29" width="22.109375" style="1" customWidth="1"/>
    <col min="30" max="30" width="24.6640625" style="1" customWidth="1"/>
    <col min="31" max="31" width="12.5546875" style="1" customWidth="1"/>
    <col min="32" max="16384" width="8.88671875" style="1"/>
  </cols>
  <sheetData>
    <row r="1" spans="1:31" ht="15" customHeight="1" x14ac:dyDescent="0.25">
      <c r="A1" s="2640"/>
      <c r="B1" s="3954" t="s">
        <v>1311</v>
      </c>
      <c r="C1" s="3954"/>
      <c r="D1" s="3954" t="s">
        <v>1310</v>
      </c>
      <c r="E1" s="3954"/>
      <c r="F1" s="3954" t="s">
        <v>1308</v>
      </c>
      <c r="G1" s="3954"/>
      <c r="H1" s="3954" t="s">
        <v>1309</v>
      </c>
      <c r="I1" s="3954"/>
      <c r="J1" s="3954" t="s">
        <v>1307</v>
      </c>
      <c r="K1" s="3954"/>
      <c r="L1" s="3954" t="s">
        <v>1306</v>
      </c>
      <c r="M1" s="3954"/>
      <c r="N1" s="3954" t="s">
        <v>1304</v>
      </c>
      <c r="O1" s="3954"/>
      <c r="P1" s="3954" t="s">
        <v>1305</v>
      </c>
      <c r="Q1" s="3954"/>
      <c r="R1" s="3954" t="s">
        <v>184</v>
      </c>
      <c r="S1" s="3954"/>
      <c r="U1" s="3956" t="s">
        <v>720</v>
      </c>
      <c r="V1" s="3956"/>
      <c r="W1" s="3956" t="s">
        <v>719</v>
      </c>
      <c r="X1" s="3956"/>
      <c r="Z1" s="3955" t="s">
        <v>1312</v>
      </c>
      <c r="AA1" s="3955"/>
      <c r="AB1" s="3240"/>
    </row>
    <row r="2" spans="1:31" ht="57.6" x14ac:dyDescent="0.25">
      <c r="A2" s="2641" t="s">
        <v>1478</v>
      </c>
      <c r="B2" s="2641" t="s">
        <v>154</v>
      </c>
      <c r="C2" s="2642" t="s">
        <v>1043</v>
      </c>
      <c r="D2" s="2641" t="s">
        <v>154</v>
      </c>
      <c r="E2" s="2642" t="s">
        <v>1043</v>
      </c>
      <c r="F2" s="2641" t="s">
        <v>154</v>
      </c>
      <c r="G2" s="2642" t="s">
        <v>1043</v>
      </c>
      <c r="H2" s="2641" t="s">
        <v>154</v>
      </c>
      <c r="I2" s="2642" t="s">
        <v>1043</v>
      </c>
      <c r="J2" s="2641" t="s">
        <v>154</v>
      </c>
      <c r="K2" s="2642" t="s">
        <v>1043</v>
      </c>
      <c r="L2" s="2641" t="s">
        <v>154</v>
      </c>
      <c r="M2" s="2642" t="s">
        <v>1043</v>
      </c>
      <c r="N2" s="2641" t="s">
        <v>154</v>
      </c>
      <c r="O2" s="2642" t="s">
        <v>1043</v>
      </c>
      <c r="P2" s="2641" t="s">
        <v>154</v>
      </c>
      <c r="Q2" s="2642" t="s">
        <v>1043</v>
      </c>
      <c r="R2" s="2641" t="s">
        <v>154</v>
      </c>
      <c r="S2" s="2642" t="s">
        <v>1043</v>
      </c>
      <c r="U2" s="2775" t="s">
        <v>154</v>
      </c>
      <c r="V2" s="2776" t="s">
        <v>1043</v>
      </c>
      <c r="W2" s="2775" t="s">
        <v>154</v>
      </c>
      <c r="X2" s="2776" t="s">
        <v>1043</v>
      </c>
      <c r="Z2" s="2775" t="s">
        <v>154</v>
      </c>
      <c r="AA2" s="2776" t="s">
        <v>1043</v>
      </c>
      <c r="AB2" s="2837" t="s">
        <v>1542</v>
      </c>
      <c r="AC2" s="643" t="s">
        <v>2</v>
      </c>
      <c r="AD2" s="643" t="s">
        <v>437</v>
      </c>
      <c r="AE2" s="643" t="s">
        <v>1454</v>
      </c>
    </row>
    <row r="3" spans="1:31" ht="18" hidden="1" customHeight="1" x14ac:dyDescent="0.25">
      <c r="A3" s="2643" t="s">
        <v>1479</v>
      </c>
      <c r="B3" s="2644">
        <v>72505</v>
      </c>
      <c r="C3" s="2644" t="s">
        <v>153</v>
      </c>
      <c r="D3" s="2644">
        <v>62551</v>
      </c>
      <c r="E3" s="2644" t="s">
        <v>153</v>
      </c>
      <c r="F3" s="2644">
        <v>318310</v>
      </c>
      <c r="G3" s="2644" t="s">
        <v>153</v>
      </c>
      <c r="H3" s="2644">
        <v>70250</v>
      </c>
      <c r="I3" s="2644" t="s">
        <v>153</v>
      </c>
      <c r="J3" s="2644">
        <v>62586</v>
      </c>
      <c r="K3" s="2644" t="s">
        <v>153</v>
      </c>
      <c r="L3" s="2644">
        <v>79785</v>
      </c>
      <c r="M3" s="2644" t="s">
        <v>153</v>
      </c>
      <c r="N3" s="2644">
        <v>32668</v>
      </c>
      <c r="O3" s="2644" t="s">
        <v>153</v>
      </c>
      <c r="P3" s="2644">
        <v>44341</v>
      </c>
      <c r="Q3" s="2644" t="s">
        <v>153</v>
      </c>
      <c r="R3" s="2644">
        <v>742996</v>
      </c>
      <c r="S3" s="2644"/>
      <c r="U3" s="3957">
        <v>1172</v>
      </c>
      <c r="V3" s="3957" t="s">
        <v>153</v>
      </c>
      <c r="W3" s="3957">
        <v>15791</v>
      </c>
      <c r="X3" s="3957" t="s">
        <v>153</v>
      </c>
      <c r="Z3" s="3957">
        <f>R3-U3-W3</f>
        <v>726033</v>
      </c>
      <c r="AA3" s="3957"/>
      <c r="AC3" s="2912">
        <v>0</v>
      </c>
      <c r="AD3" s="2912">
        <v>0</v>
      </c>
      <c r="AE3" s="2912">
        <v>0</v>
      </c>
    </row>
    <row r="4" spans="1:31" ht="18" hidden="1" customHeight="1" x14ac:dyDescent="0.25">
      <c r="A4" s="2645" t="s">
        <v>723</v>
      </c>
      <c r="B4" s="2645"/>
      <c r="C4" s="2645"/>
      <c r="D4" s="2645"/>
      <c r="E4" s="2645"/>
      <c r="F4" s="2645"/>
      <c r="G4" s="2645"/>
      <c r="H4" s="2645"/>
      <c r="I4" s="2645"/>
      <c r="J4" s="2645"/>
      <c r="K4" s="2645"/>
      <c r="L4" s="2645"/>
      <c r="M4" s="2645"/>
      <c r="N4" s="2645"/>
      <c r="O4" s="2645"/>
      <c r="P4" s="2645"/>
      <c r="Q4" s="2645"/>
      <c r="R4" s="2645"/>
      <c r="S4" s="2645"/>
      <c r="U4" s="2777"/>
      <c r="V4" s="2777"/>
      <c r="W4" s="2777"/>
      <c r="X4" s="2777"/>
      <c r="Z4" s="2777"/>
      <c r="AA4" s="2777"/>
      <c r="AB4" s="2838"/>
      <c r="AC4" s="2912">
        <v>0</v>
      </c>
      <c r="AD4" s="2912">
        <v>0</v>
      </c>
      <c r="AE4" s="2912">
        <v>0</v>
      </c>
    </row>
    <row r="5" spans="1:31" ht="27.75" hidden="1" customHeight="1" x14ac:dyDescent="0.25">
      <c r="A5" s="2646" t="s">
        <v>724</v>
      </c>
      <c r="B5" s="2647" t="s">
        <v>153</v>
      </c>
      <c r="C5" s="2647" t="s">
        <v>153</v>
      </c>
      <c r="D5" s="2647" t="s">
        <v>153</v>
      </c>
      <c r="E5" s="2647" t="s">
        <v>153</v>
      </c>
      <c r="F5" s="2647" t="s">
        <v>153</v>
      </c>
      <c r="G5" s="2647" t="s">
        <v>153</v>
      </c>
      <c r="H5" s="2647" t="s">
        <v>153</v>
      </c>
      <c r="I5" s="2647" t="s">
        <v>153</v>
      </c>
      <c r="J5" s="2647" t="s">
        <v>153</v>
      </c>
      <c r="K5" s="2647" t="s">
        <v>153</v>
      </c>
      <c r="L5" s="2647" t="s">
        <v>153</v>
      </c>
      <c r="M5" s="2647" t="s">
        <v>153</v>
      </c>
      <c r="N5" s="2647" t="s">
        <v>153</v>
      </c>
      <c r="O5" s="2647" t="s">
        <v>153</v>
      </c>
      <c r="P5" s="2647" t="s">
        <v>153</v>
      </c>
      <c r="Q5" s="2647" t="s">
        <v>153</v>
      </c>
      <c r="R5" s="2647" t="s">
        <v>153</v>
      </c>
      <c r="S5" s="2647" t="s">
        <v>153</v>
      </c>
      <c r="U5" s="2778" t="s">
        <v>153</v>
      </c>
      <c r="V5" s="2778" t="s">
        <v>153</v>
      </c>
      <c r="W5" s="2778" t="s">
        <v>153</v>
      </c>
      <c r="X5" s="2778" t="s">
        <v>153</v>
      </c>
      <c r="Z5" s="2778"/>
      <c r="AA5" s="2778"/>
      <c r="AB5" s="2839"/>
      <c r="AC5" s="2912">
        <v>0</v>
      </c>
      <c r="AD5" s="2912">
        <v>0</v>
      </c>
      <c r="AE5" s="2912">
        <v>0</v>
      </c>
    </row>
    <row r="6" spans="1:31" ht="24.75" customHeight="1" x14ac:dyDescent="0.25">
      <c r="A6" s="2648" t="s">
        <v>725</v>
      </c>
      <c r="B6" s="2649">
        <v>211306.66666666666</v>
      </c>
      <c r="C6" s="2649">
        <v>2.9143737213525505</v>
      </c>
      <c r="D6" s="2649">
        <v>593824</v>
      </c>
      <c r="E6" s="2649">
        <v>9.493437355118223</v>
      </c>
      <c r="F6" s="2650">
        <v>737856</v>
      </c>
      <c r="G6" s="2649">
        <v>2.3180421601583361</v>
      </c>
      <c r="H6" s="2649">
        <v>428288</v>
      </c>
      <c r="I6" s="2649">
        <v>6.0966263345195726</v>
      </c>
      <c r="J6" s="2649">
        <v>653408</v>
      </c>
      <c r="K6" s="2649">
        <v>10.440162336624804</v>
      </c>
      <c r="L6" s="2649">
        <v>149856</v>
      </c>
      <c r="M6" s="2649">
        <v>1.8782477909381463</v>
      </c>
      <c r="N6" s="2649">
        <v>427616</v>
      </c>
      <c r="O6" s="2649">
        <v>13.089751438716787</v>
      </c>
      <c r="P6" s="2650">
        <v>165088</v>
      </c>
      <c r="Q6" s="2649">
        <v>3.7231456214338872</v>
      </c>
      <c r="R6" s="2649">
        <v>3367242.6666666665</v>
      </c>
      <c r="S6" s="2649">
        <v>4.5319795351074115</v>
      </c>
      <c r="U6" s="2779">
        <v>34234.67</v>
      </c>
      <c r="V6" s="2779">
        <v>29.210469283276449</v>
      </c>
      <c r="W6" s="2779">
        <v>4704</v>
      </c>
      <c r="X6" s="2779">
        <v>0.29789120385029449</v>
      </c>
      <c r="Z6" s="2779">
        <f>R6-U6-W6</f>
        <v>3328303.9966666666</v>
      </c>
      <c r="AA6" s="2779">
        <f>Z6/$Z$3</f>
        <v>4.5842323925588317</v>
      </c>
      <c r="AB6" s="2840">
        <f>Z6/1000</f>
        <v>3328.3039966666665</v>
      </c>
      <c r="AC6" s="2887" t="s">
        <v>1457</v>
      </c>
      <c r="AD6" s="2888" t="s">
        <v>1339</v>
      </c>
      <c r="AE6" s="643" t="s">
        <v>155</v>
      </c>
    </row>
    <row r="7" spans="1:31" ht="18" hidden="1" customHeight="1" x14ac:dyDescent="0.25">
      <c r="A7" s="2648" t="s">
        <v>726</v>
      </c>
      <c r="B7" s="2649">
        <v>943.33333333333337</v>
      </c>
      <c r="C7" s="2649">
        <v>1.3010596970323886E-2</v>
      </c>
      <c r="D7" s="2649">
        <v>2651</v>
      </c>
      <c r="E7" s="2649">
        <v>4.238141676392064E-2</v>
      </c>
      <c r="F7" s="2650">
        <v>3294</v>
      </c>
      <c r="G7" s="2649">
        <v>1.0348402500706858E-2</v>
      </c>
      <c r="H7" s="2649">
        <v>1912</v>
      </c>
      <c r="I7" s="2649">
        <v>2.7217081850533807E-2</v>
      </c>
      <c r="J7" s="2649">
        <v>2917</v>
      </c>
      <c r="K7" s="2649">
        <v>4.6607867574217879E-2</v>
      </c>
      <c r="L7" s="2649">
        <v>669</v>
      </c>
      <c r="M7" s="2649">
        <v>8.3850347809738667E-3</v>
      </c>
      <c r="N7" s="2649">
        <v>1909</v>
      </c>
      <c r="O7" s="2649">
        <v>5.8436390351414229E-2</v>
      </c>
      <c r="P7" s="2650">
        <v>737</v>
      </c>
      <c r="Q7" s="2649">
        <v>1.6621185809972711E-2</v>
      </c>
      <c r="R7" s="2649">
        <v>15032.333333333334</v>
      </c>
      <c r="S7" s="2649">
        <v>2.0232051496015233E-2</v>
      </c>
      <c r="U7" s="2779">
        <v>152.83333333333334</v>
      </c>
      <c r="V7" s="2779">
        <v>1.5648464163822526</v>
      </c>
      <c r="W7" s="2779">
        <v>21</v>
      </c>
      <c r="X7" s="2779">
        <v>1.5958457349122917E-2</v>
      </c>
      <c r="Z7" s="2779">
        <f t="shared" ref="Z7" si="0">R7-U7-W7</f>
        <v>14858.5</v>
      </c>
      <c r="AA7" s="2779">
        <f t="shared" ref="AA7:AA9" si="1">Z7/$Z$3</f>
        <v>2.0465323201562462E-2</v>
      </c>
      <c r="AB7" s="2840">
        <f t="shared" ref="AB7:AB9" si="2">Z7/1000</f>
        <v>14.858499999999999</v>
      </c>
      <c r="AC7" s="2912">
        <v>0</v>
      </c>
      <c r="AD7" s="2912">
        <v>0</v>
      </c>
      <c r="AE7" s="2912">
        <v>0</v>
      </c>
    </row>
    <row r="8" spans="1:31" ht="18" hidden="1" customHeight="1" x14ac:dyDescent="0.25">
      <c r="A8" s="2648" t="s">
        <v>727</v>
      </c>
      <c r="B8" s="2649">
        <v>80</v>
      </c>
      <c r="C8" s="2649">
        <v>1.1033721812288807E-3</v>
      </c>
      <c r="D8" s="2649">
        <v>80</v>
      </c>
      <c r="E8" s="2649">
        <v>1.2789563716007737E-3</v>
      </c>
      <c r="F8" s="2649">
        <v>80</v>
      </c>
      <c r="G8" s="2649">
        <v>2.5132732242153877E-4</v>
      </c>
      <c r="H8" s="2649">
        <v>80</v>
      </c>
      <c r="I8" s="2649">
        <v>1.1387900355871886E-3</v>
      </c>
      <c r="J8" s="2649">
        <v>80</v>
      </c>
      <c r="K8" s="2649">
        <v>1.2782411401910971E-3</v>
      </c>
      <c r="L8" s="2649">
        <v>80</v>
      </c>
      <c r="M8" s="2649">
        <v>1.0026947421194459E-3</v>
      </c>
      <c r="N8" s="2649">
        <v>80</v>
      </c>
      <c r="O8" s="2649">
        <v>2.4488796375658137E-3</v>
      </c>
      <c r="P8" s="2649">
        <v>80</v>
      </c>
      <c r="Q8" s="2649">
        <v>1.8041992738097924E-3</v>
      </c>
      <c r="R8" s="2649">
        <v>80</v>
      </c>
      <c r="S8" s="2649">
        <v>1.0767218127688439E-4</v>
      </c>
      <c r="U8" s="2779">
        <v>80</v>
      </c>
      <c r="V8" s="2779">
        <v>6.8259385665529013E-2</v>
      </c>
      <c r="W8" s="2779">
        <v>80</v>
      </c>
      <c r="X8" s="2779">
        <v>5.0661769362294979E-3</v>
      </c>
      <c r="Z8" s="2779">
        <f>R8</f>
        <v>80</v>
      </c>
      <c r="AA8" s="2779">
        <f t="shared" si="1"/>
        <v>1.1018782892788619E-4</v>
      </c>
      <c r="AB8" s="2840">
        <f t="shared" si="2"/>
        <v>0.08</v>
      </c>
      <c r="AC8" s="2912">
        <v>0</v>
      </c>
      <c r="AD8" s="2912">
        <v>0</v>
      </c>
      <c r="AE8" s="2912">
        <v>0</v>
      </c>
    </row>
    <row r="9" spans="1:31" ht="18" hidden="1" customHeight="1" x14ac:dyDescent="0.25">
      <c r="A9" s="2648" t="s">
        <v>728</v>
      </c>
      <c r="B9" s="2649">
        <v>2.8</v>
      </c>
      <c r="C9" s="2649">
        <v>3.8618026343010823E-5</v>
      </c>
      <c r="D9" s="2649">
        <v>2.8</v>
      </c>
      <c r="E9" s="2649">
        <v>4.4763473006027079E-5</v>
      </c>
      <c r="F9" s="2649">
        <v>2.8</v>
      </c>
      <c r="G9" s="2649">
        <v>8.7964562847538566E-6</v>
      </c>
      <c r="H9" s="2649">
        <v>2.8</v>
      </c>
      <c r="I9" s="2649">
        <v>3.9857651245551601E-5</v>
      </c>
      <c r="J9" s="2649">
        <v>2.8</v>
      </c>
      <c r="K9" s="2649">
        <v>4.4738439906688392E-5</v>
      </c>
      <c r="L9" s="2649">
        <v>2.8</v>
      </c>
      <c r="M9" s="2649">
        <v>3.509431597418061E-5</v>
      </c>
      <c r="N9" s="2649">
        <v>2.8</v>
      </c>
      <c r="O9" s="2649">
        <v>8.5710787314803471E-5</v>
      </c>
      <c r="P9" s="2649">
        <v>2.8</v>
      </c>
      <c r="Q9" s="2649">
        <v>6.314697458334272E-5</v>
      </c>
      <c r="R9" s="2649">
        <v>2.8</v>
      </c>
      <c r="S9" s="2649">
        <v>3.7685263446909538E-6</v>
      </c>
      <c r="U9" s="2779">
        <v>2.8</v>
      </c>
      <c r="V9" s="2779">
        <v>2.3890784982935152E-3</v>
      </c>
      <c r="W9" s="2779">
        <v>2.8</v>
      </c>
      <c r="X9" s="2779">
        <v>1.7731619276803242E-4</v>
      </c>
      <c r="Z9" s="2779">
        <f>R9</f>
        <v>2.8</v>
      </c>
      <c r="AA9" s="2779">
        <f t="shared" si="1"/>
        <v>3.8565740124760171E-6</v>
      </c>
      <c r="AB9" s="2840">
        <f t="shared" si="2"/>
        <v>2.8E-3</v>
      </c>
      <c r="AC9" s="2912">
        <v>0</v>
      </c>
      <c r="AD9" s="2912">
        <v>0</v>
      </c>
      <c r="AE9" s="2912">
        <v>0</v>
      </c>
    </row>
    <row r="10" spans="1:31" ht="18" hidden="1" customHeight="1" x14ac:dyDescent="0.25">
      <c r="A10" s="2646" t="s">
        <v>729</v>
      </c>
      <c r="B10" s="2651" t="s">
        <v>153</v>
      </c>
      <c r="C10" s="2651"/>
      <c r="D10" s="2651" t="s">
        <v>153</v>
      </c>
      <c r="E10" s="2651"/>
      <c r="F10" s="2651" t="s">
        <v>153</v>
      </c>
      <c r="G10" s="2651"/>
      <c r="H10" s="2651" t="s">
        <v>153</v>
      </c>
      <c r="I10" s="2651"/>
      <c r="J10" s="2651" t="s">
        <v>153</v>
      </c>
      <c r="K10" s="2651"/>
      <c r="L10" s="2651" t="s">
        <v>153</v>
      </c>
      <c r="M10" s="2651"/>
      <c r="N10" s="2651" t="s">
        <v>153</v>
      </c>
      <c r="O10" s="2651"/>
      <c r="P10" s="2651" t="s">
        <v>153</v>
      </c>
      <c r="Q10" s="2651"/>
      <c r="R10" s="2651" t="s">
        <v>153</v>
      </c>
      <c r="S10" s="2651"/>
      <c r="U10" s="2778" t="s">
        <v>153</v>
      </c>
      <c r="V10" s="2778" t="s">
        <v>153</v>
      </c>
      <c r="W10" s="2778" t="s">
        <v>153</v>
      </c>
      <c r="X10" s="2778" t="s">
        <v>153</v>
      </c>
      <c r="Z10" s="2778"/>
      <c r="AA10" s="2778"/>
      <c r="AB10" s="2839"/>
      <c r="AC10" s="2912">
        <v>0</v>
      </c>
      <c r="AD10" s="2912">
        <v>0</v>
      </c>
      <c r="AE10" s="2912">
        <v>0</v>
      </c>
    </row>
    <row r="11" spans="1:31" ht="18" hidden="1" customHeight="1" x14ac:dyDescent="0.25">
      <c r="A11" s="2652" t="s">
        <v>730</v>
      </c>
      <c r="B11" s="2653" t="s">
        <v>153</v>
      </c>
      <c r="C11" s="2653"/>
      <c r="D11" s="2653" t="s">
        <v>153</v>
      </c>
      <c r="E11" s="2653"/>
      <c r="F11" s="2653" t="s">
        <v>153</v>
      </c>
      <c r="G11" s="2653"/>
      <c r="H11" s="2653" t="s">
        <v>153</v>
      </c>
      <c r="I11" s="2653"/>
      <c r="J11" s="2653" t="s">
        <v>153</v>
      </c>
      <c r="K11" s="2653"/>
      <c r="L11" s="2653" t="s">
        <v>153</v>
      </c>
      <c r="M11" s="2653"/>
      <c r="N11" s="2653" t="s">
        <v>153</v>
      </c>
      <c r="O11" s="2653"/>
      <c r="P11" s="2653" t="s">
        <v>153</v>
      </c>
      <c r="Q11" s="2653"/>
      <c r="R11" s="2653" t="s">
        <v>153</v>
      </c>
      <c r="S11" s="2653"/>
      <c r="U11" s="2780" t="s">
        <v>153</v>
      </c>
      <c r="V11" s="2780" t="s">
        <v>153</v>
      </c>
      <c r="W11" s="2780" t="s">
        <v>153</v>
      </c>
      <c r="X11" s="2780" t="s">
        <v>153</v>
      </c>
      <c r="Z11" s="2780"/>
      <c r="AA11" s="2780"/>
      <c r="AB11" s="2841"/>
      <c r="AC11" s="2912">
        <v>0</v>
      </c>
      <c r="AD11" s="2912">
        <v>0</v>
      </c>
      <c r="AE11" s="2912">
        <v>0</v>
      </c>
    </row>
    <row r="12" spans="1:31" ht="18" customHeight="1" x14ac:dyDescent="0.25">
      <c r="A12" s="2654" t="s">
        <v>731</v>
      </c>
      <c r="B12" s="2653">
        <v>0</v>
      </c>
      <c r="C12" s="2653">
        <v>0</v>
      </c>
      <c r="D12" s="2653">
        <v>1078800</v>
      </c>
      <c r="E12" s="2653">
        <v>17.246726671036434</v>
      </c>
      <c r="F12" s="2653">
        <v>3510700</v>
      </c>
      <c r="G12" s="2653">
        <v>11.029185385316202</v>
      </c>
      <c r="H12" s="2653">
        <v>274060</v>
      </c>
      <c r="I12" s="2653">
        <v>3.9012099644128115</v>
      </c>
      <c r="J12" s="2653">
        <v>391213</v>
      </c>
      <c r="K12" s="2653">
        <v>6.2508068897197457</v>
      </c>
      <c r="L12" s="2653">
        <v>0</v>
      </c>
      <c r="M12" s="2653">
        <v>0</v>
      </c>
      <c r="N12" s="2653">
        <v>275681</v>
      </c>
      <c r="O12" s="2653">
        <v>8.4388698420472625</v>
      </c>
      <c r="P12" s="2653">
        <v>0</v>
      </c>
      <c r="Q12" s="2653">
        <v>0</v>
      </c>
      <c r="R12" s="2653">
        <v>5530454</v>
      </c>
      <c r="S12" s="2653">
        <v>7.44345057039338</v>
      </c>
      <c r="U12" s="2781">
        <v>0</v>
      </c>
      <c r="V12" s="2781">
        <v>0</v>
      </c>
      <c r="W12" s="2781">
        <v>0</v>
      </c>
      <c r="X12" s="2781">
        <v>0</v>
      </c>
      <c r="Z12" s="2781">
        <f>R12-U12-W12</f>
        <v>5530454</v>
      </c>
      <c r="AA12" s="2781">
        <f>Z12/$Z$3</f>
        <v>7.6173589905692989</v>
      </c>
      <c r="AB12" s="2842">
        <f>Z12/1000</f>
        <v>5530.4539999999997</v>
      </c>
      <c r="AC12" s="2889" t="s">
        <v>1457</v>
      </c>
      <c r="AD12" s="2890" t="s">
        <v>147</v>
      </c>
      <c r="AE12" s="644" t="s">
        <v>155</v>
      </c>
    </row>
    <row r="13" spans="1:31" ht="18" customHeight="1" x14ac:dyDescent="0.25">
      <c r="A13" s="2654" t="s">
        <v>732</v>
      </c>
      <c r="B13" s="2653">
        <v>4487945</v>
      </c>
      <c r="C13" s="2653">
        <v>61.898420798565617</v>
      </c>
      <c r="D13" s="2653">
        <v>3429100</v>
      </c>
      <c r="E13" s="2653">
        <v>54.820866173202667</v>
      </c>
      <c r="F13" s="2653">
        <v>10004270</v>
      </c>
      <c r="G13" s="2653">
        <v>31.429329898526593</v>
      </c>
      <c r="H13" s="2653">
        <v>6053540</v>
      </c>
      <c r="I13" s="2653">
        <v>86.171387900355867</v>
      </c>
      <c r="J13" s="2653">
        <v>3747686</v>
      </c>
      <c r="K13" s="2653">
        <v>59.880580321477645</v>
      </c>
      <c r="L13" s="2653">
        <v>2584214.0099999998</v>
      </c>
      <c r="M13" s="2653">
        <v>32.389722504230114</v>
      </c>
      <c r="N13" s="2653">
        <v>1933302.4900000002</v>
      </c>
      <c r="O13" s="2653">
        <v>59.18031376270357</v>
      </c>
      <c r="P13" s="2653">
        <v>3132299.6300000008</v>
      </c>
      <c r="Q13" s="2653">
        <v>70.641158972508535</v>
      </c>
      <c r="R13" s="2653">
        <v>35372357.130000003</v>
      </c>
      <c r="S13" s="2653">
        <v>47.607735613650682</v>
      </c>
      <c r="U13" s="2781">
        <v>31130</v>
      </c>
      <c r="V13" s="2781">
        <v>26.561433447098977</v>
      </c>
      <c r="W13" s="2781">
        <v>781250</v>
      </c>
      <c r="X13" s="2781">
        <v>49.474384142866192</v>
      </c>
      <c r="Z13" s="2781">
        <f t="shared" ref="Z13:Z75" si="3">R13-U13-W13</f>
        <v>34559977.130000003</v>
      </c>
      <c r="AA13" s="2781">
        <f t="shared" ref="AA13:AA75" si="4">Z13/$Z$3</f>
        <v>47.601110596901243</v>
      </c>
      <c r="AB13" s="2842">
        <f t="shared" ref="AB13:AB18" si="5">Z13/1000</f>
        <v>34559.977129999999</v>
      </c>
      <c r="AC13" s="2889" t="s">
        <v>1457</v>
      </c>
      <c r="AD13" s="2890" t="s">
        <v>147</v>
      </c>
      <c r="AE13" s="644" t="s">
        <v>155</v>
      </c>
    </row>
    <row r="14" spans="1:31" ht="18" customHeight="1" x14ac:dyDescent="0.25">
      <c r="A14" s="2654" t="s">
        <v>733</v>
      </c>
      <c r="B14" s="2653">
        <v>0</v>
      </c>
      <c r="C14" s="2653">
        <v>0</v>
      </c>
      <c r="D14" s="2653">
        <v>19400.12</v>
      </c>
      <c r="E14" s="2653">
        <v>0.310148838547745</v>
      </c>
      <c r="F14" s="2653">
        <v>0</v>
      </c>
      <c r="G14" s="2653">
        <v>0</v>
      </c>
      <c r="H14" s="2653">
        <v>0</v>
      </c>
      <c r="I14" s="2653">
        <v>0</v>
      </c>
      <c r="J14" s="2653">
        <v>178785</v>
      </c>
      <c r="K14" s="2653">
        <v>2.8566292781133162</v>
      </c>
      <c r="L14" s="2653">
        <v>0</v>
      </c>
      <c r="M14" s="2653">
        <v>0</v>
      </c>
      <c r="N14" s="2653">
        <v>0</v>
      </c>
      <c r="O14" s="2653">
        <v>0</v>
      </c>
      <c r="P14" s="2653">
        <v>0</v>
      </c>
      <c r="Q14" s="2653">
        <v>0</v>
      </c>
      <c r="R14" s="2653">
        <v>198185.12</v>
      </c>
      <c r="S14" s="2653">
        <v>0.2667378020877636</v>
      </c>
      <c r="U14" s="2781">
        <v>0</v>
      </c>
      <c r="V14" s="2781">
        <v>0</v>
      </c>
      <c r="W14" s="2781">
        <v>0</v>
      </c>
      <c r="X14" s="2781">
        <v>0</v>
      </c>
      <c r="Z14" s="2781">
        <f t="shared" si="3"/>
        <v>198185.12</v>
      </c>
      <c r="AA14" s="2781">
        <f t="shared" si="4"/>
        <v>0.27296985123265749</v>
      </c>
      <c r="AB14" s="2842">
        <f t="shared" si="5"/>
        <v>198.18511999999998</v>
      </c>
      <c r="AC14" s="2889" t="s">
        <v>1457</v>
      </c>
      <c r="AD14" s="2890" t="s">
        <v>147</v>
      </c>
      <c r="AE14" s="644" t="s">
        <v>155</v>
      </c>
    </row>
    <row r="15" spans="1:31" ht="18" customHeight="1" x14ac:dyDescent="0.25">
      <c r="A15" s="2654" t="s">
        <v>734</v>
      </c>
      <c r="B15" s="2653">
        <v>0</v>
      </c>
      <c r="C15" s="2653">
        <v>0</v>
      </c>
      <c r="D15" s="2653">
        <v>929120</v>
      </c>
      <c r="E15" s="2653">
        <v>14.853799299771387</v>
      </c>
      <c r="F15" s="2653">
        <v>210820</v>
      </c>
      <c r="G15" s="2653">
        <v>0.66231032641136001</v>
      </c>
      <c r="H15" s="2653">
        <v>0</v>
      </c>
      <c r="I15" s="2653">
        <v>0</v>
      </c>
      <c r="J15" s="2653">
        <v>620272</v>
      </c>
      <c r="K15" s="2653">
        <v>9.9107148563576519</v>
      </c>
      <c r="L15" s="2653">
        <v>797226.01</v>
      </c>
      <c r="M15" s="2653">
        <v>9.9921791063483116</v>
      </c>
      <c r="N15" s="2653">
        <v>302082.30000000005</v>
      </c>
      <c r="O15" s="2653">
        <v>9.2470399167380943</v>
      </c>
      <c r="P15" s="2653">
        <v>1094580</v>
      </c>
      <c r="Q15" s="2653">
        <v>24.685505514084031</v>
      </c>
      <c r="R15" s="2653">
        <v>3954100.31</v>
      </c>
      <c r="S15" s="2653">
        <v>5.32183256706631</v>
      </c>
      <c r="U15" s="2781">
        <v>0</v>
      </c>
      <c r="V15" s="2781">
        <v>0</v>
      </c>
      <c r="W15" s="2781">
        <v>0</v>
      </c>
      <c r="X15" s="2781">
        <v>0</v>
      </c>
      <c r="Z15" s="2781">
        <f t="shared" si="3"/>
        <v>3954100.31</v>
      </c>
      <c r="AA15" s="2781">
        <f t="shared" si="4"/>
        <v>5.4461716065247723</v>
      </c>
      <c r="AB15" s="2842">
        <f t="shared" si="5"/>
        <v>3954.1003100000003</v>
      </c>
      <c r="AC15" s="2889" t="s">
        <v>1458</v>
      </c>
      <c r="AD15" s="2890" t="s">
        <v>100</v>
      </c>
      <c r="AE15" s="644" t="s">
        <v>114</v>
      </c>
    </row>
    <row r="16" spans="1:31" ht="18" customHeight="1" x14ac:dyDescent="0.25">
      <c r="A16" s="2654" t="s">
        <v>735</v>
      </c>
      <c r="B16" s="2653">
        <v>195235</v>
      </c>
      <c r="C16" s="2653">
        <v>2.6927108475277568</v>
      </c>
      <c r="D16" s="2653">
        <v>437480.12000000005</v>
      </c>
      <c r="E16" s="2653">
        <v>6.9939748365333898</v>
      </c>
      <c r="F16" s="2653">
        <v>787190</v>
      </c>
      <c r="G16" s="2653">
        <v>2.4730294367126384</v>
      </c>
      <c r="H16" s="2653">
        <v>0</v>
      </c>
      <c r="I16" s="2653">
        <v>0</v>
      </c>
      <c r="J16" s="2653">
        <v>0</v>
      </c>
      <c r="K16" s="2653">
        <v>0</v>
      </c>
      <c r="L16" s="2653">
        <v>0</v>
      </c>
      <c r="M16" s="2653">
        <v>0</v>
      </c>
      <c r="N16" s="2653">
        <v>154.95000000000002</v>
      </c>
      <c r="O16" s="2653">
        <v>4.7431737480102855E-3</v>
      </c>
      <c r="P16" s="2653">
        <v>0</v>
      </c>
      <c r="Q16" s="2653">
        <v>0</v>
      </c>
      <c r="R16" s="2653">
        <v>1420060.07</v>
      </c>
      <c r="S16" s="2653">
        <v>1.9112620660138144</v>
      </c>
      <c r="U16" s="2781">
        <v>46349</v>
      </c>
      <c r="V16" s="2781">
        <v>39.546928327645048</v>
      </c>
      <c r="W16" s="2781">
        <v>0</v>
      </c>
      <c r="X16" s="2781">
        <v>0</v>
      </c>
      <c r="Z16" s="2781">
        <f t="shared" si="3"/>
        <v>1373711.07</v>
      </c>
      <c r="AA16" s="2781">
        <f t="shared" si="4"/>
        <v>1.8920780047187939</v>
      </c>
      <c r="AB16" s="2842">
        <f t="shared" si="5"/>
        <v>1373.7110700000001</v>
      </c>
      <c r="AC16" s="2889" t="s">
        <v>1459</v>
      </c>
      <c r="AD16" s="2891" t="s">
        <v>91</v>
      </c>
      <c r="AE16" s="644" t="s">
        <v>117</v>
      </c>
    </row>
    <row r="17" spans="1:31" ht="18" customHeight="1" x14ac:dyDescent="0.25">
      <c r="A17" s="2654" t="s">
        <v>736</v>
      </c>
      <c r="B17" s="2653">
        <v>0</v>
      </c>
      <c r="C17" s="2653">
        <v>0</v>
      </c>
      <c r="D17" s="2653">
        <v>0</v>
      </c>
      <c r="E17" s="2653">
        <v>0</v>
      </c>
      <c r="F17" s="2653">
        <v>0</v>
      </c>
      <c r="G17" s="2653">
        <v>0</v>
      </c>
      <c r="H17" s="2653">
        <v>0</v>
      </c>
      <c r="I17" s="2653">
        <v>0</v>
      </c>
      <c r="J17" s="2653">
        <v>0</v>
      </c>
      <c r="K17" s="2653">
        <v>0</v>
      </c>
      <c r="L17" s="2653">
        <v>0</v>
      </c>
      <c r="M17" s="2653">
        <v>0</v>
      </c>
      <c r="N17" s="2653">
        <v>0</v>
      </c>
      <c r="O17" s="2653">
        <v>0</v>
      </c>
      <c r="P17" s="2653">
        <v>0</v>
      </c>
      <c r="Q17" s="2653">
        <v>0</v>
      </c>
      <c r="R17" s="2653">
        <v>0</v>
      </c>
      <c r="S17" s="2653">
        <v>0</v>
      </c>
      <c r="U17" s="2781">
        <v>0</v>
      </c>
      <c r="V17" s="2781">
        <v>0</v>
      </c>
      <c r="W17" s="2781">
        <v>0</v>
      </c>
      <c r="X17" s="2781">
        <v>0</v>
      </c>
      <c r="Z17" s="2781">
        <f t="shared" si="3"/>
        <v>0</v>
      </c>
      <c r="AA17" s="2781">
        <f t="shared" si="4"/>
        <v>0</v>
      </c>
      <c r="AB17" s="2842">
        <f t="shared" si="5"/>
        <v>0</v>
      </c>
      <c r="AC17" s="2889" t="s">
        <v>1457</v>
      </c>
      <c r="AD17" s="2890" t="s">
        <v>147</v>
      </c>
      <c r="AE17" s="644" t="s">
        <v>155</v>
      </c>
    </row>
    <row r="18" spans="1:31" ht="18" customHeight="1" x14ac:dyDescent="0.25">
      <c r="A18" s="2654" t="s">
        <v>737</v>
      </c>
      <c r="B18" s="2653">
        <v>0</v>
      </c>
      <c r="C18" s="2653">
        <v>0</v>
      </c>
      <c r="D18" s="2653">
        <v>0</v>
      </c>
      <c r="E18" s="2653">
        <v>0</v>
      </c>
      <c r="F18" s="2653">
        <v>0</v>
      </c>
      <c r="G18" s="2653">
        <v>0</v>
      </c>
      <c r="H18" s="2653">
        <v>122154</v>
      </c>
      <c r="I18" s="2653">
        <v>1.7388469750889679</v>
      </c>
      <c r="J18" s="2653">
        <v>0</v>
      </c>
      <c r="K18" s="2653">
        <v>0</v>
      </c>
      <c r="L18" s="2653">
        <v>734083</v>
      </c>
      <c r="M18" s="2653">
        <v>9.2007645547408661</v>
      </c>
      <c r="N18" s="2653">
        <v>60820</v>
      </c>
      <c r="O18" s="2653">
        <v>1.8617607444594098</v>
      </c>
      <c r="P18" s="2653">
        <v>123641</v>
      </c>
      <c r="Q18" s="2653">
        <v>2.7884125301639564</v>
      </c>
      <c r="R18" s="2653">
        <v>1040698</v>
      </c>
      <c r="S18" s="2653">
        <v>1.4006777963811381</v>
      </c>
      <c r="U18" s="2781">
        <v>0</v>
      </c>
      <c r="V18" s="2781">
        <v>0</v>
      </c>
      <c r="W18" s="2781">
        <v>0</v>
      </c>
      <c r="X18" s="2781">
        <v>0</v>
      </c>
      <c r="Z18" s="2781">
        <f t="shared" si="3"/>
        <v>1040698</v>
      </c>
      <c r="AA18" s="2781">
        <f t="shared" si="4"/>
        <v>1.4334031648699164</v>
      </c>
      <c r="AB18" s="2842">
        <f t="shared" si="5"/>
        <v>1040.6980000000001</v>
      </c>
      <c r="AC18" s="2889" t="s">
        <v>1458</v>
      </c>
      <c r="AD18" s="2890" t="s">
        <v>100</v>
      </c>
      <c r="AE18" s="644" t="s">
        <v>114</v>
      </c>
    </row>
    <row r="19" spans="1:31" ht="18" hidden="1" customHeight="1" x14ac:dyDescent="0.25">
      <c r="A19" s="2655" t="s">
        <v>738</v>
      </c>
      <c r="B19" s="2656">
        <v>4683180</v>
      </c>
      <c r="C19" s="2656">
        <v>64.591131646093373</v>
      </c>
      <c r="D19" s="2656">
        <v>5893900.2400000002</v>
      </c>
      <c r="E19" s="2656">
        <v>94.225515819091626</v>
      </c>
      <c r="F19" s="2656">
        <v>14512980</v>
      </c>
      <c r="G19" s="2656">
        <v>45.593855046966794</v>
      </c>
      <c r="H19" s="2656">
        <v>6449754</v>
      </c>
      <c r="I19" s="2656">
        <v>91.811444839857657</v>
      </c>
      <c r="J19" s="2656">
        <v>4937956</v>
      </c>
      <c r="K19" s="2656">
        <v>78.898731345668367</v>
      </c>
      <c r="L19" s="2656">
        <v>4115523.0199999996</v>
      </c>
      <c r="M19" s="2656">
        <v>51.582666165319289</v>
      </c>
      <c r="N19" s="2656">
        <v>2572040.7400000002</v>
      </c>
      <c r="O19" s="2656">
        <v>78.732727439696347</v>
      </c>
      <c r="P19" s="2656">
        <v>4350520.6300000008</v>
      </c>
      <c r="Q19" s="2656">
        <v>98.115077016756516</v>
      </c>
      <c r="R19" s="2656">
        <v>47515854.630000003</v>
      </c>
      <c r="S19" s="2656">
        <v>63.951696415593091</v>
      </c>
      <c r="U19" s="2782">
        <v>77479</v>
      </c>
      <c r="V19" s="2782">
        <v>66.108361774744026</v>
      </c>
      <c r="W19" s="2782">
        <v>781250</v>
      </c>
      <c r="X19" s="2782">
        <v>49.474384142866192</v>
      </c>
      <c r="Z19" s="2782">
        <f t="shared" si="3"/>
        <v>46657125.630000003</v>
      </c>
      <c r="AA19" s="2782">
        <f t="shared" si="4"/>
        <v>64.26309221481668</v>
      </c>
      <c r="AB19" s="2843">
        <f>Z19/1000</f>
        <v>46657.125630000002</v>
      </c>
      <c r="AC19" s="2912">
        <v>0</v>
      </c>
      <c r="AD19" s="2912">
        <v>0</v>
      </c>
      <c r="AE19" s="2912">
        <v>0</v>
      </c>
    </row>
    <row r="20" spans="1:31" ht="18" hidden="1" customHeight="1" x14ac:dyDescent="0.25">
      <c r="A20" s="2657" t="s">
        <v>739</v>
      </c>
      <c r="B20" s="2658" t="s">
        <v>153</v>
      </c>
      <c r="C20" s="2658"/>
      <c r="D20" s="2658" t="s">
        <v>153</v>
      </c>
      <c r="E20" s="2658"/>
      <c r="F20" s="2658" t="s">
        <v>153</v>
      </c>
      <c r="G20" s="2658"/>
      <c r="H20" s="2658" t="s">
        <v>153</v>
      </c>
      <c r="I20" s="2658"/>
      <c r="J20" s="2658" t="s">
        <v>153</v>
      </c>
      <c r="K20" s="2658"/>
      <c r="L20" s="2658" t="s">
        <v>153</v>
      </c>
      <c r="M20" s="2658"/>
      <c r="N20" s="2658" t="s">
        <v>153</v>
      </c>
      <c r="O20" s="2658"/>
      <c r="P20" s="2658" t="s">
        <v>153</v>
      </c>
      <c r="Q20" s="2658"/>
      <c r="R20" s="2658" t="s">
        <v>153</v>
      </c>
      <c r="S20" s="2658"/>
      <c r="U20" s="2783" t="s">
        <v>153</v>
      </c>
      <c r="V20" s="2783" t="s">
        <v>153</v>
      </c>
      <c r="W20" s="2783" t="s">
        <v>153</v>
      </c>
      <c r="X20" s="2783" t="s">
        <v>153</v>
      </c>
      <c r="Z20" s="2783"/>
      <c r="AA20" s="2783"/>
      <c r="AB20" s="2844"/>
      <c r="AC20" s="2912">
        <v>0</v>
      </c>
      <c r="AD20" s="2912">
        <v>0</v>
      </c>
      <c r="AE20" s="2912">
        <v>0</v>
      </c>
    </row>
    <row r="21" spans="1:31" ht="18" customHeight="1" x14ac:dyDescent="0.25">
      <c r="A21" s="2659" t="s">
        <v>740</v>
      </c>
      <c r="B21" s="2660">
        <v>158920</v>
      </c>
      <c r="C21" s="2660">
        <v>2.1918488380111718</v>
      </c>
      <c r="D21" s="2660">
        <v>1635742.39</v>
      </c>
      <c r="E21" s="2660">
        <v>26.15053939984972</v>
      </c>
      <c r="F21" s="2660">
        <v>1206690</v>
      </c>
      <c r="G21" s="2660">
        <v>3.7909270836605824</v>
      </c>
      <c r="H21" s="2660">
        <v>599888</v>
      </c>
      <c r="I21" s="2660">
        <v>8.5393309608540928</v>
      </c>
      <c r="J21" s="2660">
        <v>0</v>
      </c>
      <c r="K21" s="2660">
        <v>0</v>
      </c>
      <c r="L21" s="2660">
        <v>0</v>
      </c>
      <c r="M21" s="2660">
        <v>0</v>
      </c>
      <c r="N21" s="2660">
        <v>0</v>
      </c>
      <c r="O21" s="2660">
        <v>0</v>
      </c>
      <c r="P21" s="2660">
        <v>0</v>
      </c>
      <c r="Q21" s="2660">
        <v>0</v>
      </c>
      <c r="R21" s="2660">
        <v>3601240.3899999997</v>
      </c>
      <c r="S21" s="2660">
        <v>4.846917601171473</v>
      </c>
      <c r="U21" s="2784">
        <v>2632</v>
      </c>
      <c r="V21" s="2784">
        <v>2.2457337883959045</v>
      </c>
      <c r="W21" s="2784">
        <v>35381</v>
      </c>
      <c r="X21" s="2784">
        <v>2.2405800772591982</v>
      </c>
      <c r="Z21" s="2784">
        <f t="shared" si="3"/>
        <v>3563227.3899999997</v>
      </c>
      <c r="AA21" s="2784">
        <f t="shared" si="4"/>
        <v>4.9078036260059799</v>
      </c>
      <c r="AB21" s="2845">
        <f>Z21/1000</f>
        <v>3563.2273899999996</v>
      </c>
      <c r="AC21" s="2892" t="s">
        <v>1459</v>
      </c>
      <c r="AD21" s="2891" t="s">
        <v>90</v>
      </c>
      <c r="AE21" s="644" t="s">
        <v>117</v>
      </c>
    </row>
    <row r="22" spans="1:31" ht="18" customHeight="1" x14ac:dyDescent="0.25">
      <c r="A22" s="2659" t="s">
        <v>741</v>
      </c>
      <c r="B22" s="2660">
        <v>0</v>
      </c>
      <c r="C22" s="2660">
        <v>0</v>
      </c>
      <c r="D22" s="2660">
        <v>0</v>
      </c>
      <c r="E22" s="2660">
        <v>0</v>
      </c>
      <c r="F22" s="2660">
        <v>426525</v>
      </c>
      <c r="G22" s="2660">
        <v>1.3399673274480852</v>
      </c>
      <c r="H22" s="2660">
        <v>46840</v>
      </c>
      <c r="I22" s="2660">
        <v>0.66676156583629898</v>
      </c>
      <c r="J22" s="2660">
        <v>726940</v>
      </c>
      <c r="K22" s="2660">
        <v>11.615057680631452</v>
      </c>
      <c r="L22" s="2660">
        <v>2585970</v>
      </c>
      <c r="M22" s="2660">
        <v>32.411731528482797</v>
      </c>
      <c r="N22" s="2660">
        <v>499480</v>
      </c>
      <c r="O22" s="2660">
        <v>15.289580017142157</v>
      </c>
      <c r="P22" s="2660">
        <v>170195</v>
      </c>
      <c r="Q22" s="2660">
        <v>3.8383211925757199</v>
      </c>
      <c r="R22" s="2660">
        <v>4455950</v>
      </c>
      <c r="S22" s="2660">
        <v>5.997273202009163</v>
      </c>
      <c r="U22" s="2784">
        <v>0</v>
      </c>
      <c r="V22" s="2784">
        <v>0</v>
      </c>
      <c r="W22" s="2784">
        <v>0</v>
      </c>
      <c r="X22" s="2784">
        <v>0</v>
      </c>
      <c r="Z22" s="2784">
        <f t="shared" si="3"/>
        <v>4455950</v>
      </c>
      <c r="AA22" s="2784">
        <f t="shared" si="4"/>
        <v>6.1373932038901815</v>
      </c>
      <c r="AB22" s="2845">
        <f>Z22/1000</f>
        <v>4455.95</v>
      </c>
      <c r="AC22" s="2892" t="s">
        <v>1459</v>
      </c>
      <c r="AD22" s="2891" t="s">
        <v>90</v>
      </c>
      <c r="AE22" s="644" t="s">
        <v>117</v>
      </c>
    </row>
    <row r="23" spans="1:31" ht="18" hidden="1" customHeight="1" x14ac:dyDescent="0.25">
      <c r="A23" s="2661" t="s">
        <v>742</v>
      </c>
      <c r="B23" s="2662">
        <v>158920</v>
      </c>
      <c r="C23" s="2662">
        <v>2.1918488380111718</v>
      </c>
      <c r="D23" s="2662">
        <v>1635742.39</v>
      </c>
      <c r="E23" s="2662">
        <v>26.15053939984972</v>
      </c>
      <c r="F23" s="2662">
        <v>1633215</v>
      </c>
      <c r="G23" s="2662">
        <v>5.1308944111086676</v>
      </c>
      <c r="H23" s="2662">
        <v>646728</v>
      </c>
      <c r="I23" s="2662">
        <v>9.2060925266903908</v>
      </c>
      <c r="J23" s="2662">
        <v>726940</v>
      </c>
      <c r="K23" s="2662">
        <v>11.615057680631452</v>
      </c>
      <c r="L23" s="2662">
        <v>2585970</v>
      </c>
      <c r="M23" s="2662">
        <v>32.411731528482797</v>
      </c>
      <c r="N23" s="2662">
        <v>499480</v>
      </c>
      <c r="O23" s="2662">
        <v>15.289580017142157</v>
      </c>
      <c r="P23" s="2662">
        <v>170195</v>
      </c>
      <c r="Q23" s="2662">
        <v>3.8383211925757199</v>
      </c>
      <c r="R23" s="2662">
        <v>8057190.3899999997</v>
      </c>
      <c r="S23" s="2662">
        <v>10.844190803180636</v>
      </c>
      <c r="U23" s="2785">
        <v>2632</v>
      </c>
      <c r="V23" s="2785">
        <v>2.2457337883959045</v>
      </c>
      <c r="W23" s="2785">
        <v>35381</v>
      </c>
      <c r="X23" s="2785">
        <v>2.2405800772591982</v>
      </c>
      <c r="Z23" s="2830">
        <f t="shared" si="3"/>
        <v>8019177.3899999997</v>
      </c>
      <c r="AA23" s="2830">
        <f t="shared" si="4"/>
        <v>11.045196829896161</v>
      </c>
      <c r="AB23" s="2846">
        <f>Z23/1000</f>
        <v>8019.1773899999998</v>
      </c>
      <c r="AC23" s="2912">
        <v>0</v>
      </c>
      <c r="AD23" s="2912">
        <v>0</v>
      </c>
      <c r="AE23" s="2912">
        <v>0</v>
      </c>
    </row>
    <row r="24" spans="1:31" ht="18" hidden="1" customHeight="1" x14ac:dyDescent="0.25">
      <c r="A24" s="2663" t="s">
        <v>743</v>
      </c>
      <c r="B24" s="2664">
        <v>4842100</v>
      </c>
      <c r="C24" s="2664">
        <v>66.782980484104542</v>
      </c>
      <c r="D24" s="2664">
        <v>7529642.6299999999</v>
      </c>
      <c r="E24" s="2664">
        <v>120.37605521894135</v>
      </c>
      <c r="F24" s="2664">
        <v>16146195</v>
      </c>
      <c r="G24" s="2664">
        <v>50.724749458075458</v>
      </c>
      <c r="H24" s="2664">
        <v>7096482</v>
      </c>
      <c r="I24" s="2664">
        <v>101.01753736654804</v>
      </c>
      <c r="J24" s="2664">
        <v>5664896</v>
      </c>
      <c r="K24" s="2664">
        <v>90.513789026299818</v>
      </c>
      <c r="L24" s="2664">
        <v>6701493.0199999996</v>
      </c>
      <c r="M24" s="2664">
        <v>83.994397693802085</v>
      </c>
      <c r="N24" s="2664">
        <v>3071520.74</v>
      </c>
      <c r="O24" s="2664">
        <v>94.022307456838504</v>
      </c>
      <c r="P24" s="2664">
        <v>4520715.6300000008</v>
      </c>
      <c r="Q24" s="2664">
        <v>101.95339820933224</v>
      </c>
      <c r="R24" s="2664">
        <v>55573045.020000003</v>
      </c>
      <c r="S24" s="2664">
        <v>74.795887218773728</v>
      </c>
      <c r="U24" s="2786">
        <v>80111</v>
      </c>
      <c r="V24" s="2786">
        <v>68.354095563139936</v>
      </c>
      <c r="W24" s="2786">
        <v>816631</v>
      </c>
      <c r="X24" s="2786">
        <v>51.714964220125388</v>
      </c>
      <c r="Z24" s="2786">
        <f t="shared" si="3"/>
        <v>54676303.020000003</v>
      </c>
      <c r="AA24" s="2786">
        <f t="shared" si="4"/>
        <v>75.308289044712851</v>
      </c>
      <c r="AB24" s="2847">
        <f>Z24/1000</f>
        <v>54676.303020000007</v>
      </c>
      <c r="AC24" s="2912">
        <v>0</v>
      </c>
      <c r="AD24" s="2912">
        <v>0</v>
      </c>
      <c r="AE24" s="2912">
        <v>0</v>
      </c>
    </row>
    <row r="25" spans="1:31" ht="18" hidden="1" customHeight="1" x14ac:dyDescent="0.25">
      <c r="A25" s="2663" t="s">
        <v>744</v>
      </c>
      <c r="B25" s="2664">
        <v>5053406.666666667</v>
      </c>
      <c r="C25" s="2664">
        <v>69.697354205457103</v>
      </c>
      <c r="D25" s="2664">
        <v>8123466.6299999999</v>
      </c>
      <c r="E25" s="2664">
        <v>129.86949257405956</v>
      </c>
      <c r="F25" s="2664">
        <v>16884051</v>
      </c>
      <c r="G25" s="2664">
        <v>53.0427916182338</v>
      </c>
      <c r="H25" s="2664">
        <v>7524770</v>
      </c>
      <c r="I25" s="2664">
        <v>107.11416370106761</v>
      </c>
      <c r="J25" s="2664">
        <v>6318304</v>
      </c>
      <c r="K25" s="2664">
        <v>100.95395136292461</v>
      </c>
      <c r="L25" s="2664">
        <v>6851349.0199999996</v>
      </c>
      <c r="M25" s="2664">
        <v>85.872645484740232</v>
      </c>
      <c r="N25" s="2664">
        <v>3499136.74</v>
      </c>
      <c r="O25" s="2664">
        <v>107.11205889555529</v>
      </c>
      <c r="P25" s="2664">
        <v>4685803.6300000008</v>
      </c>
      <c r="Q25" s="2664">
        <v>105.67654383076612</v>
      </c>
      <c r="R25" s="2664">
        <v>58940287.686666667</v>
      </c>
      <c r="S25" s="2664">
        <v>79.327866753881139</v>
      </c>
      <c r="U25" s="2786">
        <v>114345.67</v>
      </c>
      <c r="V25" s="2786">
        <v>97.564564846416374</v>
      </c>
      <c r="W25" s="2786">
        <v>821335</v>
      </c>
      <c r="X25" s="2786">
        <v>52.01285542397568</v>
      </c>
      <c r="Z25" s="2786">
        <f t="shared" si="3"/>
        <v>58004607.016666666</v>
      </c>
      <c r="AA25" s="2786">
        <f t="shared" si="4"/>
        <v>79.892521437271668</v>
      </c>
      <c r="AB25" s="2847">
        <f>Z25/1000</f>
        <v>58004.607016666669</v>
      </c>
      <c r="AC25" s="2912">
        <v>0</v>
      </c>
      <c r="AD25" s="2912">
        <v>0</v>
      </c>
      <c r="AE25" s="2912">
        <v>0</v>
      </c>
    </row>
    <row r="26" spans="1:31" ht="18" hidden="1" customHeight="1" x14ac:dyDescent="0.25">
      <c r="A26" s="2646" t="s">
        <v>745</v>
      </c>
      <c r="B26" s="2651" t="s">
        <v>153</v>
      </c>
      <c r="C26" s="2651"/>
      <c r="D26" s="2651" t="s">
        <v>153</v>
      </c>
      <c r="E26" s="2651"/>
      <c r="F26" s="2651" t="s">
        <v>153</v>
      </c>
      <c r="G26" s="2651"/>
      <c r="H26" s="2651" t="s">
        <v>153</v>
      </c>
      <c r="I26" s="2651"/>
      <c r="J26" s="2651"/>
      <c r="K26" s="2651"/>
      <c r="L26" s="2651" t="s">
        <v>153</v>
      </c>
      <c r="M26" s="2651"/>
      <c r="N26" s="2651" t="s">
        <v>153</v>
      </c>
      <c r="O26" s="2651"/>
      <c r="P26" s="2651" t="s">
        <v>153</v>
      </c>
      <c r="Q26" s="2651"/>
      <c r="R26" s="2651" t="s">
        <v>153</v>
      </c>
      <c r="S26" s="2651"/>
      <c r="U26" s="2778" t="s">
        <v>153</v>
      </c>
      <c r="V26" s="2778" t="s">
        <v>153</v>
      </c>
      <c r="W26" s="2778" t="s">
        <v>153</v>
      </c>
      <c r="X26" s="2778" t="s">
        <v>153</v>
      </c>
      <c r="Z26" s="2778"/>
      <c r="AA26" s="2778"/>
      <c r="AB26" s="2839"/>
      <c r="AC26" s="2912">
        <v>0</v>
      </c>
      <c r="AD26" s="2912">
        <v>0</v>
      </c>
      <c r="AE26" s="2912">
        <v>0</v>
      </c>
    </row>
    <row r="27" spans="1:31" ht="18" customHeight="1" x14ac:dyDescent="0.25">
      <c r="A27" s="2665" t="s">
        <v>746</v>
      </c>
      <c r="B27" s="2666">
        <v>0</v>
      </c>
      <c r="C27" s="2666">
        <v>0</v>
      </c>
      <c r="D27" s="2666">
        <v>348630</v>
      </c>
      <c r="E27" s="2666">
        <v>5.573531997889722</v>
      </c>
      <c r="F27" s="2666">
        <v>1335940</v>
      </c>
      <c r="G27" s="2666">
        <v>4.1969777889478808</v>
      </c>
      <c r="H27" s="2666">
        <v>116300</v>
      </c>
      <c r="I27" s="2666">
        <v>1.6555160142348755</v>
      </c>
      <c r="J27" s="2666">
        <v>66637</v>
      </c>
      <c r="K27" s="2666">
        <v>1.0647269357364266</v>
      </c>
      <c r="L27" s="2666">
        <v>0</v>
      </c>
      <c r="M27" s="2666">
        <v>0</v>
      </c>
      <c r="N27" s="2666">
        <v>0</v>
      </c>
      <c r="O27" s="2666">
        <v>0</v>
      </c>
      <c r="P27" s="2666">
        <v>0</v>
      </c>
      <c r="Q27" s="2666">
        <v>0</v>
      </c>
      <c r="R27" s="2666">
        <v>1867507</v>
      </c>
      <c r="S27" s="2666">
        <v>2.5134819029981319</v>
      </c>
      <c r="U27" s="2787">
        <v>0</v>
      </c>
      <c r="V27" s="2787">
        <v>0</v>
      </c>
      <c r="W27" s="2787">
        <v>0</v>
      </c>
      <c r="X27" s="2787">
        <v>0</v>
      </c>
      <c r="Z27" s="2787">
        <f t="shared" si="3"/>
        <v>1867507</v>
      </c>
      <c r="AA27" s="2787">
        <f t="shared" si="4"/>
        <v>2.5722067729703748</v>
      </c>
      <c r="AB27" s="2848">
        <f>Z27/1000</f>
        <v>1867.5070000000001</v>
      </c>
      <c r="AC27" s="2893" t="s">
        <v>1457</v>
      </c>
      <c r="AD27" s="47" t="s">
        <v>101</v>
      </c>
      <c r="AE27" s="644" t="s">
        <v>155</v>
      </c>
    </row>
    <row r="28" spans="1:31" ht="18" customHeight="1" x14ac:dyDescent="0.25">
      <c r="A28" s="2665" t="s">
        <v>747</v>
      </c>
      <c r="B28" s="2666">
        <v>1670329</v>
      </c>
      <c r="C28" s="2666">
        <v>23.037431901248191</v>
      </c>
      <c r="D28" s="2666">
        <v>1568603.5</v>
      </c>
      <c r="E28" s="2666">
        <v>25.077193010503429</v>
      </c>
      <c r="F28" s="2666">
        <v>9555300</v>
      </c>
      <c r="G28" s="2666">
        <v>30.018849549181617</v>
      </c>
      <c r="H28" s="2666">
        <v>2327720</v>
      </c>
      <c r="I28" s="2666">
        <v>33.134804270462631</v>
      </c>
      <c r="J28" s="2666">
        <v>2029606</v>
      </c>
      <c r="K28" s="2666">
        <v>32.429073594733644</v>
      </c>
      <c r="L28" s="2666">
        <v>2614650</v>
      </c>
      <c r="M28" s="2666">
        <v>32.771197593532619</v>
      </c>
      <c r="N28" s="2666">
        <v>1019526.9699999999</v>
      </c>
      <c r="O28" s="2666">
        <v>31.208735459777149</v>
      </c>
      <c r="P28" s="2666">
        <v>1690908.19</v>
      </c>
      <c r="Q28" s="2666">
        <v>38.134191605962876</v>
      </c>
      <c r="R28" s="2666">
        <v>22476643.66</v>
      </c>
      <c r="S28" s="2666">
        <v>30.251365633193181</v>
      </c>
      <c r="U28" s="2787">
        <v>17153</v>
      </c>
      <c r="V28" s="2787">
        <v>14.63566552901024</v>
      </c>
      <c r="W28" s="2787">
        <v>294544</v>
      </c>
      <c r="X28" s="2787">
        <v>18.652650243809767</v>
      </c>
      <c r="Z28" s="2787">
        <f t="shared" si="3"/>
        <v>22164946.66</v>
      </c>
      <c r="AA28" s="2787">
        <f t="shared" si="4"/>
        <v>30.528841884597533</v>
      </c>
      <c r="AB28" s="2848">
        <f t="shared" ref="AB28:AB35" si="6">Z28/1000</f>
        <v>22164.946660000001</v>
      </c>
      <c r="AC28" s="2893" t="s">
        <v>1457</v>
      </c>
      <c r="AD28" s="47" t="s">
        <v>101</v>
      </c>
      <c r="AE28" s="644" t="s">
        <v>155</v>
      </c>
    </row>
    <row r="29" spans="1:31" ht="18" customHeight="1" x14ac:dyDescent="0.25">
      <c r="A29" s="2665" t="s">
        <v>748</v>
      </c>
      <c r="B29" s="2666">
        <v>18916</v>
      </c>
      <c r="C29" s="2666">
        <v>0.26089235225156887</v>
      </c>
      <c r="D29" s="2666">
        <v>5676.62</v>
      </c>
      <c r="E29" s="2666">
        <v>9.0751866476954809E-2</v>
      </c>
      <c r="F29" s="2666">
        <v>0</v>
      </c>
      <c r="G29" s="2666">
        <v>0</v>
      </c>
      <c r="H29" s="2666">
        <v>0</v>
      </c>
      <c r="I29" s="2666">
        <v>0</v>
      </c>
      <c r="J29" s="2666">
        <v>81127</v>
      </c>
      <c r="K29" s="2666">
        <v>1.2962483622535392</v>
      </c>
      <c r="L29" s="2666">
        <v>0</v>
      </c>
      <c r="M29" s="2666">
        <v>0</v>
      </c>
      <c r="N29" s="2666">
        <v>88993.64999999998</v>
      </c>
      <c r="O29" s="2666">
        <v>2.7241842169707353</v>
      </c>
      <c r="P29" s="2666">
        <v>0</v>
      </c>
      <c r="Q29" s="2666">
        <v>0</v>
      </c>
      <c r="R29" s="2666">
        <v>194713.26999999996</v>
      </c>
      <c r="S29" s="2666">
        <v>0.26206503130568665</v>
      </c>
      <c r="U29" s="2787">
        <v>18916</v>
      </c>
      <c r="V29" s="2787">
        <v>16.139931740614333</v>
      </c>
      <c r="W29" s="2787">
        <v>0</v>
      </c>
      <c r="X29" s="2787">
        <v>0</v>
      </c>
      <c r="Z29" s="2787">
        <f t="shared" si="3"/>
        <v>175797.26999999996</v>
      </c>
      <c r="AA29" s="2787">
        <f t="shared" si="4"/>
        <v>0.24213399390936771</v>
      </c>
      <c r="AB29" s="2848">
        <f t="shared" si="6"/>
        <v>175.79726999999997</v>
      </c>
      <c r="AC29" s="2893" t="s">
        <v>1457</v>
      </c>
      <c r="AD29" s="47" t="s">
        <v>101</v>
      </c>
      <c r="AE29" s="644" t="s">
        <v>155</v>
      </c>
    </row>
    <row r="30" spans="1:31" ht="18" customHeight="1" x14ac:dyDescent="0.25">
      <c r="A30" s="2665" t="s">
        <v>749</v>
      </c>
      <c r="B30" s="2666">
        <v>633583</v>
      </c>
      <c r="C30" s="2666">
        <v>8.7384732087442245</v>
      </c>
      <c r="D30" s="2666">
        <v>0</v>
      </c>
      <c r="E30" s="2666">
        <v>0</v>
      </c>
      <c r="F30" s="2666">
        <v>0</v>
      </c>
      <c r="G30" s="2666">
        <v>0</v>
      </c>
      <c r="H30" s="2666">
        <v>0</v>
      </c>
      <c r="I30" s="2666">
        <v>0</v>
      </c>
      <c r="J30" s="2666">
        <v>256200</v>
      </c>
      <c r="K30" s="2666">
        <v>4.0935672514619883</v>
      </c>
      <c r="L30" s="2666">
        <v>0</v>
      </c>
      <c r="M30" s="2666">
        <v>0</v>
      </c>
      <c r="N30" s="2666">
        <v>0</v>
      </c>
      <c r="O30" s="2666">
        <v>0</v>
      </c>
      <c r="P30" s="2666">
        <v>0</v>
      </c>
      <c r="Q30" s="2666">
        <v>0</v>
      </c>
      <c r="R30" s="2666">
        <v>889783</v>
      </c>
      <c r="S30" s="2666">
        <v>1.1975609559136253</v>
      </c>
      <c r="U30" s="2787">
        <v>2709</v>
      </c>
      <c r="V30" s="2787">
        <v>2.3114334470989761</v>
      </c>
      <c r="W30" s="2787">
        <v>157260</v>
      </c>
      <c r="X30" s="2787">
        <v>9.9588373123931362</v>
      </c>
      <c r="Z30" s="2787">
        <f t="shared" si="3"/>
        <v>729814</v>
      </c>
      <c r="AA30" s="2787">
        <f t="shared" si="4"/>
        <v>1.0052077522647043</v>
      </c>
      <c r="AB30" s="2848">
        <f t="shared" si="6"/>
        <v>729.81399999999996</v>
      </c>
      <c r="AC30" s="2893" t="s">
        <v>1457</v>
      </c>
      <c r="AD30" s="47" t="s">
        <v>101</v>
      </c>
      <c r="AE30" s="644" t="s">
        <v>155</v>
      </c>
    </row>
    <row r="31" spans="1:31" ht="18" customHeight="1" x14ac:dyDescent="0.25">
      <c r="A31" s="2665" t="s">
        <v>750</v>
      </c>
      <c r="B31" s="2666">
        <v>0</v>
      </c>
      <c r="C31" s="2666">
        <v>0</v>
      </c>
      <c r="D31" s="2666">
        <v>813514.34000000008</v>
      </c>
      <c r="E31" s="2666">
        <v>13.005616856644979</v>
      </c>
      <c r="F31" s="2666">
        <v>3110868</v>
      </c>
      <c r="G31" s="2666">
        <v>9.7730765605855918</v>
      </c>
      <c r="H31" s="2666">
        <v>533650</v>
      </c>
      <c r="I31" s="2666">
        <v>7.59644128113879</v>
      </c>
      <c r="J31" s="2666">
        <v>113677</v>
      </c>
      <c r="K31" s="2666">
        <v>1.8163327261687918</v>
      </c>
      <c r="L31" s="2666">
        <v>442840</v>
      </c>
      <c r="M31" s="2666">
        <v>5.5504167450021935</v>
      </c>
      <c r="N31" s="2666">
        <v>251831.29000000004</v>
      </c>
      <c r="O31" s="2666">
        <v>7.7088064772866423</v>
      </c>
      <c r="P31" s="2666">
        <v>526250</v>
      </c>
      <c r="Q31" s="2666">
        <v>11.86824834803004</v>
      </c>
      <c r="R31" s="2666">
        <v>5792630.6299999999</v>
      </c>
      <c r="S31" s="2666">
        <v>7.7963146907924132</v>
      </c>
      <c r="U31" s="2787">
        <v>0</v>
      </c>
      <c r="V31" s="2787">
        <v>0</v>
      </c>
      <c r="W31" s="2787">
        <v>0</v>
      </c>
      <c r="X31" s="2787">
        <v>0</v>
      </c>
      <c r="Z31" s="2787">
        <f t="shared" si="3"/>
        <v>5792630.6299999999</v>
      </c>
      <c r="AA31" s="2787">
        <f t="shared" si="4"/>
        <v>7.9784674112609206</v>
      </c>
      <c r="AB31" s="2848">
        <f t="shared" si="6"/>
        <v>5792.6306299999997</v>
      </c>
      <c r="AC31" s="2893" t="s">
        <v>1458</v>
      </c>
      <c r="AD31" s="47" t="s">
        <v>101</v>
      </c>
      <c r="AE31" s="644" t="s">
        <v>114</v>
      </c>
    </row>
    <row r="32" spans="1:31" ht="18" customHeight="1" x14ac:dyDescent="0.25">
      <c r="A32" s="2665" t="s">
        <v>751</v>
      </c>
      <c r="B32" s="2666">
        <v>0</v>
      </c>
      <c r="C32" s="2666">
        <v>0</v>
      </c>
      <c r="D32" s="2666">
        <v>0</v>
      </c>
      <c r="E32" s="2666">
        <v>0</v>
      </c>
      <c r="F32" s="2666">
        <v>806900</v>
      </c>
      <c r="G32" s="2666">
        <v>2.534950205774245</v>
      </c>
      <c r="H32" s="2666">
        <v>0</v>
      </c>
      <c r="I32" s="2666">
        <v>0</v>
      </c>
      <c r="J32" s="2666">
        <v>0</v>
      </c>
      <c r="K32" s="2666">
        <v>0</v>
      </c>
      <c r="L32" s="2666">
        <v>0</v>
      </c>
      <c r="M32" s="2666">
        <v>0</v>
      </c>
      <c r="N32" s="2666">
        <v>0</v>
      </c>
      <c r="O32" s="2666">
        <v>0</v>
      </c>
      <c r="P32" s="2666">
        <v>0</v>
      </c>
      <c r="Q32" s="2666">
        <v>0</v>
      </c>
      <c r="R32" s="2666">
        <v>806900</v>
      </c>
      <c r="S32" s="2666">
        <v>1.0860085384039753</v>
      </c>
      <c r="U32" s="2787">
        <v>0</v>
      </c>
      <c r="V32" s="2787">
        <v>0</v>
      </c>
      <c r="W32" s="2787">
        <v>0</v>
      </c>
      <c r="X32" s="2787">
        <v>0</v>
      </c>
      <c r="Z32" s="2787">
        <f t="shared" si="3"/>
        <v>806900</v>
      </c>
      <c r="AA32" s="2787">
        <f t="shared" si="4"/>
        <v>1.1113819895238921</v>
      </c>
      <c r="AB32" s="2848">
        <f t="shared" si="6"/>
        <v>806.9</v>
      </c>
      <c r="AC32" s="2893" t="s">
        <v>1459</v>
      </c>
      <c r="AD32" s="47" t="s">
        <v>101</v>
      </c>
      <c r="AE32" s="644" t="s">
        <v>117</v>
      </c>
    </row>
    <row r="33" spans="1:31" ht="18" customHeight="1" x14ac:dyDescent="0.25">
      <c r="A33" s="2665" t="s">
        <v>752</v>
      </c>
      <c r="B33" s="2666">
        <v>1096073</v>
      </c>
      <c r="C33" s="2666">
        <v>15.117205709951039</v>
      </c>
      <c r="D33" s="2666">
        <v>0</v>
      </c>
      <c r="E33" s="2666">
        <v>0</v>
      </c>
      <c r="F33" s="2666">
        <v>598220</v>
      </c>
      <c r="G33" s="2666">
        <v>1.8793628852376614</v>
      </c>
      <c r="H33" s="2666">
        <v>0</v>
      </c>
      <c r="I33" s="2666">
        <v>0</v>
      </c>
      <c r="J33" s="2666">
        <v>0</v>
      </c>
      <c r="K33" s="2666">
        <v>0</v>
      </c>
      <c r="L33" s="2666">
        <v>1251291.05</v>
      </c>
      <c r="M33" s="2666">
        <v>15.68328695870151</v>
      </c>
      <c r="N33" s="2666">
        <v>0</v>
      </c>
      <c r="O33" s="2666">
        <v>0</v>
      </c>
      <c r="P33" s="2666">
        <v>0</v>
      </c>
      <c r="Q33" s="2666">
        <v>0</v>
      </c>
      <c r="R33" s="2666">
        <v>2945584.05</v>
      </c>
      <c r="S33" s="2666">
        <v>3.9644682474737412</v>
      </c>
      <c r="U33" s="2787">
        <v>450905</v>
      </c>
      <c r="V33" s="2787">
        <v>384.73122866894198</v>
      </c>
      <c r="W33" s="2787">
        <v>75590</v>
      </c>
      <c r="X33" s="2787">
        <v>4.7869039326198468</v>
      </c>
      <c r="Z33" s="2787">
        <f t="shared" si="3"/>
        <v>2419089.0499999998</v>
      </c>
      <c r="AA33" s="2787">
        <f t="shared" si="4"/>
        <v>3.3319271300340341</v>
      </c>
      <c r="AB33" s="2848">
        <f t="shared" si="6"/>
        <v>2419.0890499999996</v>
      </c>
      <c r="AC33" s="2893" t="s">
        <v>1459</v>
      </c>
      <c r="AD33" s="47" t="s">
        <v>101</v>
      </c>
      <c r="AE33" s="644" t="s">
        <v>117</v>
      </c>
    </row>
    <row r="34" spans="1:31" ht="18" customHeight="1" x14ac:dyDescent="0.25">
      <c r="A34" s="2665" t="s">
        <v>753</v>
      </c>
      <c r="B34" s="2666">
        <v>57355</v>
      </c>
      <c r="C34" s="2666">
        <v>0.79104889317978067</v>
      </c>
      <c r="D34" s="2666">
        <v>207560.36999999997</v>
      </c>
      <c r="E34" s="2666">
        <v>3.3182582212914258</v>
      </c>
      <c r="F34" s="2666">
        <v>254118</v>
      </c>
      <c r="G34" s="2666">
        <v>0.79833495648895736</v>
      </c>
      <c r="H34" s="2666">
        <v>198727</v>
      </c>
      <c r="I34" s="2666">
        <v>2.8288540925266905</v>
      </c>
      <c r="J34" s="2666">
        <v>155044</v>
      </c>
      <c r="K34" s="2666">
        <v>2.4772952417473557</v>
      </c>
      <c r="L34" s="2666">
        <v>0</v>
      </c>
      <c r="M34" s="2666">
        <v>0</v>
      </c>
      <c r="N34" s="2666">
        <v>51840</v>
      </c>
      <c r="O34" s="2666">
        <v>1.5868740051426473</v>
      </c>
      <c r="P34" s="2666">
        <v>77740</v>
      </c>
      <c r="Q34" s="2666">
        <v>1.7532306443246657</v>
      </c>
      <c r="R34" s="2666">
        <v>1002384.37</v>
      </c>
      <c r="S34" s="2666">
        <v>1.3491113949469444</v>
      </c>
      <c r="U34" s="2787">
        <v>0</v>
      </c>
      <c r="V34" s="2787">
        <v>0</v>
      </c>
      <c r="W34" s="2787">
        <v>0</v>
      </c>
      <c r="X34" s="2787">
        <v>0</v>
      </c>
      <c r="Z34" s="2787">
        <f t="shared" si="3"/>
        <v>1002384.37</v>
      </c>
      <c r="AA34" s="2787">
        <f t="shared" si="4"/>
        <v>1.3806319685193373</v>
      </c>
      <c r="AB34" s="2848">
        <f t="shared" si="6"/>
        <v>1002.38437</v>
      </c>
      <c r="AC34" s="2893" t="s">
        <v>1459</v>
      </c>
      <c r="AD34" s="47" t="s">
        <v>101</v>
      </c>
      <c r="AE34" s="644" t="s">
        <v>117</v>
      </c>
    </row>
    <row r="35" spans="1:31" ht="18" customHeight="1" x14ac:dyDescent="0.25">
      <c r="A35" s="2665" t="s">
        <v>754</v>
      </c>
      <c r="B35" s="2666">
        <v>429593</v>
      </c>
      <c r="C35" s="2666">
        <v>5.9250120681332321</v>
      </c>
      <c r="D35" s="2666">
        <v>325815.90000000008</v>
      </c>
      <c r="E35" s="2666">
        <v>5.2088040159230085</v>
      </c>
      <c r="F35" s="2666">
        <v>2451200</v>
      </c>
      <c r="G35" s="2666">
        <v>7.7006691589959475</v>
      </c>
      <c r="H35" s="2666">
        <v>541100</v>
      </c>
      <c r="I35" s="2666">
        <v>7.7024911032028474</v>
      </c>
      <c r="J35" s="2666">
        <v>847605.11</v>
      </c>
      <c r="K35" s="2666">
        <v>13.543046527977502</v>
      </c>
      <c r="L35" s="2666">
        <v>1124100</v>
      </c>
      <c r="M35" s="2666">
        <v>14.089114495205866</v>
      </c>
      <c r="N35" s="2666">
        <v>480008.7900000001</v>
      </c>
      <c r="O35" s="2666">
        <v>14.693546896045062</v>
      </c>
      <c r="P35" s="2666">
        <v>374320</v>
      </c>
      <c r="Q35" s="2666">
        <v>8.4418484021560189</v>
      </c>
      <c r="R35" s="2666">
        <v>6573742.8000000007</v>
      </c>
      <c r="S35" s="2666">
        <v>8.847615330365171</v>
      </c>
      <c r="U35" s="2787">
        <v>59432</v>
      </c>
      <c r="V35" s="2787">
        <v>50.709897610921502</v>
      </c>
      <c r="W35" s="2787">
        <v>19810</v>
      </c>
      <c r="X35" s="2787">
        <v>1.2545120638338294</v>
      </c>
      <c r="Z35" s="2787">
        <f t="shared" si="3"/>
        <v>6494500.8000000007</v>
      </c>
      <c r="AA35" s="2787">
        <f t="shared" si="4"/>
        <v>8.9451867890302523</v>
      </c>
      <c r="AB35" s="2848">
        <f t="shared" si="6"/>
        <v>6494.5008000000007</v>
      </c>
      <c r="AC35" s="2893" t="s">
        <v>1459</v>
      </c>
      <c r="AD35" s="47" t="s">
        <v>101</v>
      </c>
      <c r="AE35" s="644" t="s">
        <v>117</v>
      </c>
    </row>
    <row r="36" spans="1:31" ht="18" hidden="1" customHeight="1" x14ac:dyDescent="0.25">
      <c r="A36" s="2667" t="s">
        <v>755</v>
      </c>
      <c r="B36" s="2668">
        <v>3905849</v>
      </c>
      <c r="C36" s="2668">
        <v>53.870064133508031</v>
      </c>
      <c r="D36" s="2668">
        <v>3269800.73</v>
      </c>
      <c r="E36" s="2668">
        <v>52.274155968729517</v>
      </c>
      <c r="F36" s="2668">
        <v>18112546</v>
      </c>
      <c r="G36" s="2668">
        <v>56.9022211052119</v>
      </c>
      <c r="H36" s="2668">
        <v>3717497</v>
      </c>
      <c r="I36" s="2668">
        <v>52.918106761565838</v>
      </c>
      <c r="J36" s="2668">
        <v>3549896.11</v>
      </c>
      <c r="K36" s="2668">
        <v>56.720290640079249</v>
      </c>
      <c r="L36" s="2668">
        <v>5432881.0499999998</v>
      </c>
      <c r="M36" s="2668">
        <v>68.094015792442192</v>
      </c>
      <c r="N36" s="2668">
        <v>1892200.7</v>
      </c>
      <c r="O36" s="2668">
        <v>57.922147055222233</v>
      </c>
      <c r="P36" s="2668">
        <v>2669218.19</v>
      </c>
      <c r="Q36" s="2668">
        <v>60.197519000473598</v>
      </c>
      <c r="R36" s="2668">
        <v>42549888.780000001</v>
      </c>
      <c r="S36" s="2668">
        <v>57.267991725392868</v>
      </c>
      <c r="U36" s="2788">
        <v>549115</v>
      </c>
      <c r="V36" s="2788">
        <v>468.52815699658703</v>
      </c>
      <c r="W36" s="2788">
        <v>547204</v>
      </c>
      <c r="X36" s="2788">
        <v>34.652903552656575</v>
      </c>
      <c r="Z36" s="2788">
        <f t="shared" si="3"/>
        <v>41453569.780000001</v>
      </c>
      <c r="AA36" s="2788">
        <f t="shared" si="4"/>
        <v>57.095985692110418</v>
      </c>
      <c r="AB36" s="2849">
        <f>Z36/1000</f>
        <v>41453.569779999998</v>
      </c>
      <c r="AC36" s="2912">
        <v>0</v>
      </c>
      <c r="AD36" s="2912">
        <v>0</v>
      </c>
      <c r="AE36" s="2912">
        <v>0</v>
      </c>
    </row>
    <row r="37" spans="1:31" ht="18" hidden="1" customHeight="1" x14ac:dyDescent="0.25">
      <c r="A37" s="2646" t="s">
        <v>756</v>
      </c>
      <c r="B37" s="2651" t="s">
        <v>153</v>
      </c>
      <c r="C37" s="2651"/>
      <c r="D37" s="2651" t="s">
        <v>153</v>
      </c>
      <c r="E37" s="2651"/>
      <c r="F37" s="2651" t="s">
        <v>153</v>
      </c>
      <c r="G37" s="2651"/>
      <c r="H37" s="2651" t="s">
        <v>153</v>
      </c>
      <c r="I37" s="2651"/>
      <c r="J37" s="2651" t="s">
        <v>153</v>
      </c>
      <c r="K37" s="2651"/>
      <c r="L37" s="2651" t="s">
        <v>153</v>
      </c>
      <c r="M37" s="2651"/>
      <c r="N37" s="2651" t="s">
        <v>153</v>
      </c>
      <c r="O37" s="2651"/>
      <c r="P37" s="2651" t="s">
        <v>153</v>
      </c>
      <c r="Q37" s="2651"/>
      <c r="R37" s="2651" t="s">
        <v>153</v>
      </c>
      <c r="S37" s="2651"/>
      <c r="U37" s="2778" t="s">
        <v>153</v>
      </c>
      <c r="V37" s="2778" t="s">
        <v>153</v>
      </c>
      <c r="W37" s="2778" t="s">
        <v>153</v>
      </c>
      <c r="X37" s="2778" t="s">
        <v>153</v>
      </c>
      <c r="Z37" s="2778"/>
      <c r="AA37" s="2778"/>
      <c r="AB37" s="2839"/>
      <c r="AC37" s="2912">
        <v>0</v>
      </c>
      <c r="AD37" s="2912">
        <v>0</v>
      </c>
      <c r="AE37" s="2912">
        <v>0</v>
      </c>
    </row>
    <row r="38" spans="1:31" ht="18" customHeight="1" x14ac:dyDescent="0.25">
      <c r="A38" s="2669" t="s">
        <v>757</v>
      </c>
      <c r="B38" s="2670">
        <v>0</v>
      </c>
      <c r="C38" s="2670">
        <v>0</v>
      </c>
      <c r="D38" s="2670">
        <v>461410</v>
      </c>
      <c r="E38" s="2670">
        <v>7.3765407427539129</v>
      </c>
      <c r="F38" s="2670">
        <v>1382072</v>
      </c>
      <c r="G38" s="2670">
        <v>4.3419056894222612</v>
      </c>
      <c r="H38" s="2670">
        <v>141440</v>
      </c>
      <c r="I38" s="2670">
        <v>2.0133807829181496</v>
      </c>
      <c r="J38" s="2670">
        <v>73440</v>
      </c>
      <c r="K38" s="2670">
        <v>1.1734253666954271</v>
      </c>
      <c r="L38" s="2670">
        <v>0</v>
      </c>
      <c r="M38" s="2670">
        <v>0</v>
      </c>
      <c r="N38" s="2670">
        <v>45362.1</v>
      </c>
      <c r="O38" s="2670">
        <v>1.3885790375903024</v>
      </c>
      <c r="P38" s="2670">
        <v>0</v>
      </c>
      <c r="Q38" s="2670">
        <v>0</v>
      </c>
      <c r="R38" s="2670">
        <v>2103724.1</v>
      </c>
      <c r="S38" s="2670">
        <v>2.8314070331468812</v>
      </c>
      <c r="U38" s="2789">
        <v>0</v>
      </c>
      <c r="V38" s="2789">
        <v>0</v>
      </c>
      <c r="W38" s="2789">
        <v>0</v>
      </c>
      <c r="X38" s="2789">
        <v>0</v>
      </c>
      <c r="Z38" s="2789">
        <f t="shared" si="3"/>
        <v>2103724.1</v>
      </c>
      <c r="AA38" s="2789">
        <f t="shared" si="4"/>
        <v>2.8975598905283921</v>
      </c>
      <c r="AB38" s="2850">
        <f>Z38/1000</f>
        <v>2103.7240999999999</v>
      </c>
      <c r="AC38" s="2894" t="s">
        <v>1457</v>
      </c>
      <c r="AD38" s="2895" t="s">
        <v>14</v>
      </c>
      <c r="AE38" s="644" t="s">
        <v>155</v>
      </c>
    </row>
    <row r="39" spans="1:31" ht="18" customHeight="1" x14ac:dyDescent="0.25">
      <c r="A39" s="2669" t="s">
        <v>758</v>
      </c>
      <c r="B39" s="2670">
        <v>123940</v>
      </c>
      <c r="C39" s="2670">
        <v>1.7093993517688435</v>
      </c>
      <c r="D39" s="2670">
        <v>0</v>
      </c>
      <c r="E39" s="2670">
        <v>0</v>
      </c>
      <c r="F39" s="2670">
        <v>796346</v>
      </c>
      <c r="G39" s="2670">
        <v>2.5017938487637839</v>
      </c>
      <c r="H39" s="2670">
        <v>0</v>
      </c>
      <c r="I39" s="2670">
        <v>0</v>
      </c>
      <c r="J39" s="2670">
        <v>0</v>
      </c>
      <c r="K39" s="2670">
        <v>0</v>
      </c>
      <c r="L39" s="2670">
        <v>58460</v>
      </c>
      <c r="M39" s="2670">
        <v>0.73271918280378512</v>
      </c>
      <c r="N39" s="2670">
        <v>13749.410000000002</v>
      </c>
      <c r="O39" s="2670">
        <v>0.42088312721929722</v>
      </c>
      <c r="P39" s="2670">
        <v>0</v>
      </c>
      <c r="Q39" s="2670">
        <v>0</v>
      </c>
      <c r="R39" s="2670">
        <v>992495.41</v>
      </c>
      <c r="S39" s="2670">
        <v>1.3358018212749463</v>
      </c>
      <c r="U39" s="2789">
        <v>2068</v>
      </c>
      <c r="V39" s="2789">
        <v>1.764505119453925</v>
      </c>
      <c r="W39" s="2789">
        <v>23771</v>
      </c>
      <c r="X39" s="2789">
        <v>1.5053511493888925</v>
      </c>
      <c r="Z39" s="2789">
        <f t="shared" si="3"/>
        <v>966656.41</v>
      </c>
      <c r="AA39" s="2789">
        <f t="shared" si="4"/>
        <v>1.3314221392140577</v>
      </c>
      <c r="AB39" s="2850">
        <f t="shared" ref="AB39:AB43" si="7">Z39/1000</f>
        <v>966.65641000000005</v>
      </c>
      <c r="AC39" s="2894" t="s">
        <v>1459</v>
      </c>
      <c r="AD39" s="2895" t="s">
        <v>14</v>
      </c>
      <c r="AE39" s="644" t="s">
        <v>117</v>
      </c>
    </row>
    <row r="40" spans="1:31" ht="18" customHeight="1" x14ac:dyDescent="0.25">
      <c r="A40" s="2669" t="s">
        <v>759</v>
      </c>
      <c r="B40" s="2670">
        <v>1381480</v>
      </c>
      <c r="C40" s="2670">
        <v>19.053582511550928</v>
      </c>
      <c r="D40" s="2670">
        <v>1810925.24</v>
      </c>
      <c r="E40" s="2670">
        <v>28.951179677383255</v>
      </c>
      <c r="F40" s="2670">
        <v>7457500</v>
      </c>
      <c r="G40" s="2670">
        <v>23.428418836982814</v>
      </c>
      <c r="H40" s="2670">
        <v>3334640</v>
      </c>
      <c r="I40" s="2670">
        <v>47.468185053380786</v>
      </c>
      <c r="J40" s="2670">
        <v>2475931</v>
      </c>
      <c r="K40" s="2670">
        <v>39.560460805931037</v>
      </c>
      <c r="L40" s="2670">
        <v>1715120</v>
      </c>
      <c r="M40" s="2670">
        <v>21.496772576298802</v>
      </c>
      <c r="N40" s="2670">
        <v>928562.18</v>
      </c>
      <c r="O40" s="2670">
        <v>28.424212685196522</v>
      </c>
      <c r="P40" s="2670">
        <v>1945840.2999999996</v>
      </c>
      <c r="Q40" s="2670">
        <v>43.883545702622847</v>
      </c>
      <c r="R40" s="2670">
        <v>21049998.719999999</v>
      </c>
      <c r="S40" s="2670">
        <v>28.331240975725304</v>
      </c>
      <c r="U40" s="2789">
        <v>25911</v>
      </c>
      <c r="V40" s="2789">
        <v>22.108361774744026</v>
      </c>
      <c r="W40" s="2789">
        <v>263967</v>
      </c>
      <c r="X40" s="2789">
        <v>16.716294091571147</v>
      </c>
      <c r="Z40" s="2789">
        <f t="shared" si="3"/>
        <v>20760120.719999999</v>
      </c>
      <c r="AA40" s="2789">
        <f t="shared" si="4"/>
        <v>28.593907880220318</v>
      </c>
      <c r="AB40" s="2850">
        <f t="shared" si="7"/>
        <v>20760.120719999999</v>
      </c>
      <c r="AC40" s="2894" t="s">
        <v>1457</v>
      </c>
      <c r="AD40" s="2895" t="s">
        <v>14</v>
      </c>
      <c r="AE40" s="644" t="s">
        <v>155</v>
      </c>
    </row>
    <row r="41" spans="1:31" ht="18" customHeight="1" x14ac:dyDescent="0.25">
      <c r="A41" s="2669" t="s">
        <v>748</v>
      </c>
      <c r="B41" s="2670">
        <v>0</v>
      </c>
      <c r="C41" s="2670">
        <v>0</v>
      </c>
      <c r="D41" s="2670">
        <v>6004.8799999999992</v>
      </c>
      <c r="E41" s="2670">
        <v>9.5999744208725674E-2</v>
      </c>
      <c r="F41" s="2670">
        <v>0</v>
      </c>
      <c r="G41" s="2670">
        <v>0</v>
      </c>
      <c r="H41" s="2670">
        <v>0</v>
      </c>
      <c r="I41" s="2670">
        <v>0</v>
      </c>
      <c r="J41" s="2670">
        <v>100541</v>
      </c>
      <c r="K41" s="2670">
        <v>1.6064455309494137</v>
      </c>
      <c r="L41" s="2670">
        <v>0</v>
      </c>
      <c r="M41" s="2670">
        <v>0</v>
      </c>
      <c r="N41" s="2670">
        <v>178634.25</v>
      </c>
      <c r="O41" s="2670">
        <v>5.4681722174605119</v>
      </c>
      <c r="P41" s="2670">
        <v>0</v>
      </c>
      <c r="Q41" s="2670">
        <v>0</v>
      </c>
      <c r="R41" s="2670">
        <v>285180.13</v>
      </c>
      <c r="S41" s="2670">
        <v>0.38382458317406826</v>
      </c>
      <c r="U41" s="2789">
        <v>0</v>
      </c>
      <c r="V41" s="2789">
        <v>0</v>
      </c>
      <c r="W41" s="2789">
        <v>0</v>
      </c>
      <c r="X41" s="2789">
        <v>0</v>
      </c>
      <c r="Z41" s="2789">
        <f t="shared" si="3"/>
        <v>285180.13</v>
      </c>
      <c r="AA41" s="2789">
        <f t="shared" si="4"/>
        <v>0.39279224222590436</v>
      </c>
      <c r="AB41" s="2850">
        <f t="shared" si="7"/>
        <v>285.18013000000002</v>
      </c>
      <c r="AC41" s="2894" t="s">
        <v>1457</v>
      </c>
      <c r="AD41" s="2895" t="s">
        <v>14</v>
      </c>
      <c r="AE41" s="644" t="s">
        <v>155</v>
      </c>
    </row>
    <row r="42" spans="1:31" ht="18" customHeight="1" x14ac:dyDescent="0.25">
      <c r="A42" s="2669" t="s">
        <v>760</v>
      </c>
      <c r="B42" s="2670">
        <v>0</v>
      </c>
      <c r="C42" s="2670">
        <v>0</v>
      </c>
      <c r="D42" s="2670">
        <v>0</v>
      </c>
      <c r="E42" s="2670">
        <v>0</v>
      </c>
      <c r="F42" s="2670">
        <v>0</v>
      </c>
      <c r="G42" s="2670">
        <v>0</v>
      </c>
      <c r="H42" s="2670">
        <v>0</v>
      </c>
      <c r="I42" s="2670">
        <v>0</v>
      </c>
      <c r="J42" s="2670">
        <v>0</v>
      </c>
      <c r="K42" s="2670">
        <v>0</v>
      </c>
      <c r="L42" s="2670">
        <v>0</v>
      </c>
      <c r="M42" s="2670">
        <v>0</v>
      </c>
      <c r="N42" s="2670">
        <v>5638.3600000000006</v>
      </c>
      <c r="O42" s="2670">
        <v>0.17259581241581978</v>
      </c>
      <c r="P42" s="2670">
        <v>0</v>
      </c>
      <c r="Q42" s="2670">
        <v>0</v>
      </c>
      <c r="R42" s="2670">
        <v>5638.3600000000006</v>
      </c>
      <c r="S42" s="2670">
        <v>7.5886815003041747E-3</v>
      </c>
      <c r="U42" s="2789">
        <v>0</v>
      </c>
      <c r="V42" s="2789">
        <v>0</v>
      </c>
      <c r="W42" s="2789">
        <v>0</v>
      </c>
      <c r="X42" s="2789">
        <v>0</v>
      </c>
      <c r="Z42" s="2789">
        <f t="shared" si="3"/>
        <v>5638.3600000000006</v>
      </c>
      <c r="AA42" s="2789">
        <f t="shared" si="4"/>
        <v>7.7659830889229564E-3</v>
      </c>
      <c r="AB42" s="2850">
        <f t="shared" si="7"/>
        <v>5.6383600000000005</v>
      </c>
      <c r="AC42" s="2894" t="s">
        <v>1459</v>
      </c>
      <c r="AD42" s="2895" t="s">
        <v>14</v>
      </c>
      <c r="AE42" s="644" t="s">
        <v>117</v>
      </c>
    </row>
    <row r="43" spans="1:31" ht="18" customHeight="1" x14ac:dyDescent="0.25">
      <c r="A43" s="2669" t="s">
        <v>754</v>
      </c>
      <c r="B43" s="2670">
        <v>0</v>
      </c>
      <c r="C43" s="2670">
        <v>0</v>
      </c>
      <c r="D43" s="2670">
        <v>156180.12</v>
      </c>
      <c r="E43" s="2670">
        <v>2.496844494892168</v>
      </c>
      <c r="F43" s="2670">
        <v>165470</v>
      </c>
      <c r="G43" s="2670">
        <v>0.51983915051365026</v>
      </c>
      <c r="H43" s="2670">
        <v>8940</v>
      </c>
      <c r="I43" s="2670">
        <v>0.12725978647686834</v>
      </c>
      <c r="J43" s="2670">
        <v>0</v>
      </c>
      <c r="K43" s="2670">
        <v>0</v>
      </c>
      <c r="L43" s="2670">
        <v>0</v>
      </c>
      <c r="M43" s="2670">
        <v>0</v>
      </c>
      <c r="N43" s="2670">
        <v>55040.639999999999</v>
      </c>
      <c r="O43" s="2670">
        <v>1.6848487816823803</v>
      </c>
      <c r="P43" s="2670">
        <v>72040</v>
      </c>
      <c r="Q43" s="2670">
        <v>1.624681446065718</v>
      </c>
      <c r="R43" s="2670">
        <v>457670.76</v>
      </c>
      <c r="S43" s="2670">
        <v>0.61598011294811816</v>
      </c>
      <c r="U43" s="2789">
        <v>0</v>
      </c>
      <c r="V43" s="2789">
        <v>0</v>
      </c>
      <c r="W43" s="2789">
        <v>0</v>
      </c>
      <c r="X43" s="2789">
        <v>0</v>
      </c>
      <c r="Z43" s="2789">
        <f t="shared" si="3"/>
        <v>457670.76</v>
      </c>
      <c r="AA43" s="2789">
        <f t="shared" si="4"/>
        <v>0.63037184260219581</v>
      </c>
      <c r="AB43" s="2850">
        <f t="shared" si="7"/>
        <v>457.67076000000003</v>
      </c>
      <c r="AC43" s="2894" t="s">
        <v>1459</v>
      </c>
      <c r="AD43" s="2895" t="s">
        <v>14</v>
      </c>
      <c r="AE43" s="644" t="s">
        <v>117</v>
      </c>
    </row>
    <row r="44" spans="1:31" ht="18" hidden="1" customHeight="1" x14ac:dyDescent="0.25">
      <c r="A44" s="2671" t="s">
        <v>761</v>
      </c>
      <c r="B44" s="2672">
        <v>1505420</v>
      </c>
      <c r="C44" s="2672">
        <v>20.762981863319769</v>
      </c>
      <c r="D44" s="2672">
        <v>2434520.2400000002</v>
      </c>
      <c r="E44" s="2672">
        <v>38.920564659238067</v>
      </c>
      <c r="F44" s="2672">
        <v>9801388</v>
      </c>
      <c r="G44" s="2672">
        <v>30.791957525682509</v>
      </c>
      <c r="H44" s="2672">
        <v>3485020</v>
      </c>
      <c r="I44" s="2672">
        <v>49.608825622775804</v>
      </c>
      <c r="J44" s="2672">
        <v>2649912</v>
      </c>
      <c r="K44" s="2672">
        <v>42.340331703575877</v>
      </c>
      <c r="L44" s="2672">
        <v>1773580</v>
      </c>
      <c r="M44" s="2672">
        <v>22.229491759102586</v>
      </c>
      <c r="N44" s="2672">
        <v>1226986.94</v>
      </c>
      <c r="O44" s="2672">
        <v>37.559291661564835</v>
      </c>
      <c r="P44" s="2672">
        <v>2017880.2999999996</v>
      </c>
      <c r="Q44" s="2672">
        <v>45.508227148688562</v>
      </c>
      <c r="R44" s="2672">
        <v>24894707.48</v>
      </c>
      <c r="S44" s="2672">
        <v>33.505843207769622</v>
      </c>
      <c r="U44" s="2790">
        <v>27979</v>
      </c>
      <c r="V44" s="2790">
        <v>23.872866894197951</v>
      </c>
      <c r="W44" s="2790">
        <v>287738</v>
      </c>
      <c r="X44" s="2790">
        <v>18.22164524096004</v>
      </c>
      <c r="Z44" s="2790">
        <f t="shared" si="3"/>
        <v>24578990.48</v>
      </c>
      <c r="AA44" s="2790">
        <f t="shared" si="4"/>
        <v>33.853819977879795</v>
      </c>
      <c r="AB44" s="2851">
        <f>Z44/1000</f>
        <v>24578.99048</v>
      </c>
      <c r="AC44" s="2912">
        <v>0</v>
      </c>
      <c r="AD44" s="2912">
        <v>0</v>
      </c>
      <c r="AE44" s="2912">
        <v>0</v>
      </c>
    </row>
    <row r="45" spans="1:31" ht="18" hidden="1" customHeight="1" x14ac:dyDescent="0.25">
      <c r="A45" s="2646" t="s">
        <v>1480</v>
      </c>
      <c r="B45" s="2651" t="s">
        <v>153</v>
      </c>
      <c r="C45" s="2651"/>
      <c r="D45" s="2651" t="s">
        <v>153</v>
      </c>
      <c r="E45" s="2651"/>
      <c r="F45" s="2651" t="s">
        <v>153</v>
      </c>
      <c r="G45" s="2651"/>
      <c r="H45" s="2651" t="s">
        <v>153</v>
      </c>
      <c r="I45" s="2651"/>
      <c r="J45" s="2651" t="s">
        <v>153</v>
      </c>
      <c r="K45" s="2651"/>
      <c r="L45" s="2651" t="s">
        <v>153</v>
      </c>
      <c r="M45" s="2651"/>
      <c r="N45" s="2651" t="s">
        <v>153</v>
      </c>
      <c r="O45" s="2651"/>
      <c r="P45" s="2651" t="s">
        <v>153</v>
      </c>
      <c r="Q45" s="2651"/>
      <c r="R45" s="2651" t="s">
        <v>153</v>
      </c>
      <c r="S45" s="2651"/>
      <c r="U45" s="2778" t="s">
        <v>153</v>
      </c>
      <c r="V45" s="2778" t="s">
        <v>153</v>
      </c>
      <c r="W45" s="2778" t="s">
        <v>153</v>
      </c>
      <c r="X45" s="2778" t="s">
        <v>153</v>
      </c>
      <c r="Z45" s="2778"/>
      <c r="AA45" s="2778"/>
      <c r="AB45" s="2839"/>
      <c r="AC45" s="2912">
        <v>0</v>
      </c>
      <c r="AD45" s="2912">
        <v>0</v>
      </c>
      <c r="AE45" s="2912">
        <v>0</v>
      </c>
    </row>
    <row r="46" spans="1:31" ht="18" customHeight="1" x14ac:dyDescent="0.25">
      <c r="A46" s="2673" t="s">
        <v>1481</v>
      </c>
      <c r="B46" s="2674">
        <v>2124</v>
      </c>
      <c r="C46" s="2674">
        <v>2.9294531411626783E-2</v>
      </c>
      <c r="D46" s="2674">
        <v>0</v>
      </c>
      <c r="E46" s="2674">
        <v>0</v>
      </c>
      <c r="F46" s="2674">
        <v>48937.120000000003</v>
      </c>
      <c r="G46" s="2674">
        <v>0.15374044170776915</v>
      </c>
      <c r="H46" s="2674">
        <v>2650</v>
      </c>
      <c r="I46" s="2674">
        <v>3.7722419928825621E-2</v>
      </c>
      <c r="J46" s="2674">
        <v>5112.8767029972751</v>
      </c>
      <c r="K46" s="2674">
        <v>8.1693616831196678E-2</v>
      </c>
      <c r="L46" s="2674">
        <v>0</v>
      </c>
      <c r="M46" s="2674">
        <v>0</v>
      </c>
      <c r="N46" s="2674">
        <v>0</v>
      </c>
      <c r="O46" s="2674">
        <v>0</v>
      </c>
      <c r="P46" s="2674">
        <v>0</v>
      </c>
      <c r="Q46" s="2674">
        <v>0</v>
      </c>
      <c r="R46" s="2674">
        <v>58823.996702997276</v>
      </c>
      <c r="S46" s="2675">
        <v>7.9171350455449666E-2</v>
      </c>
      <c r="U46" s="2791">
        <v>0</v>
      </c>
      <c r="V46" s="2791">
        <v>0</v>
      </c>
      <c r="W46" s="2791">
        <v>0</v>
      </c>
      <c r="X46" s="2791">
        <v>0</v>
      </c>
      <c r="Z46" s="2791">
        <f t="shared" si="3"/>
        <v>58823.996702997276</v>
      </c>
      <c r="AA46" s="2791">
        <f t="shared" si="4"/>
        <v>8.1021106069555066E-2</v>
      </c>
      <c r="AB46" s="2852">
        <f t="shared" ref="AB46:AB47" si="8">Z46/1000</f>
        <v>58.823996702997277</v>
      </c>
      <c r="AC46" s="1902" t="s">
        <v>1457</v>
      </c>
      <c r="AD46" s="1902" t="s">
        <v>1543</v>
      </c>
      <c r="AE46" s="1902" t="s">
        <v>155</v>
      </c>
    </row>
    <row r="47" spans="1:31" ht="18" hidden="1" customHeight="1" x14ac:dyDescent="0.25">
      <c r="A47" s="2676" t="s">
        <v>1482</v>
      </c>
      <c r="B47" s="2677">
        <v>2124</v>
      </c>
      <c r="C47" s="2677">
        <v>2.9294531411626783E-2</v>
      </c>
      <c r="D47" s="2677">
        <v>0</v>
      </c>
      <c r="E47" s="2677">
        <v>0</v>
      </c>
      <c r="F47" s="2674">
        <v>48937.120000000003</v>
      </c>
      <c r="G47" s="2674">
        <v>0.15374044170776915</v>
      </c>
      <c r="H47" s="2674">
        <v>2650</v>
      </c>
      <c r="I47" s="2674">
        <v>3.7722419928825621E-2</v>
      </c>
      <c r="J47" s="2674">
        <v>5112.8767029972751</v>
      </c>
      <c r="K47" s="2674">
        <v>8.1693616831196678E-2</v>
      </c>
      <c r="L47" s="2677">
        <v>0</v>
      </c>
      <c r="M47" s="2677">
        <v>0</v>
      </c>
      <c r="N47" s="2677">
        <v>0</v>
      </c>
      <c r="O47" s="2677">
        <v>0</v>
      </c>
      <c r="P47" s="2677">
        <v>0</v>
      </c>
      <c r="Q47" s="2677">
        <v>0</v>
      </c>
      <c r="R47" s="2677">
        <v>58823.996702997276</v>
      </c>
      <c r="S47" s="2677">
        <v>7.9171350455449666E-2</v>
      </c>
      <c r="U47" s="2792">
        <v>0</v>
      </c>
      <c r="V47" s="2792">
        <v>0</v>
      </c>
      <c r="W47" s="2792">
        <v>0</v>
      </c>
      <c r="X47" s="2792">
        <v>0</v>
      </c>
      <c r="Z47" s="2792">
        <f t="shared" si="3"/>
        <v>58823.996702997276</v>
      </c>
      <c r="AA47" s="2792">
        <f t="shared" si="4"/>
        <v>8.1021106069555066E-2</v>
      </c>
      <c r="AB47" s="2853">
        <f t="shared" si="8"/>
        <v>58.823996702997277</v>
      </c>
      <c r="AC47" s="2912">
        <v>0</v>
      </c>
      <c r="AD47" s="2912">
        <v>0</v>
      </c>
      <c r="AE47" s="2912">
        <v>0</v>
      </c>
    </row>
    <row r="48" spans="1:31" ht="18" hidden="1" customHeight="1" x14ac:dyDescent="0.25">
      <c r="A48" s="2646" t="s">
        <v>762</v>
      </c>
      <c r="B48" s="2651" t="s">
        <v>153</v>
      </c>
      <c r="C48" s="2651"/>
      <c r="D48" s="2651" t="s">
        <v>153</v>
      </c>
      <c r="E48" s="2651"/>
      <c r="F48" s="2651" t="s">
        <v>153</v>
      </c>
      <c r="G48" s="2651"/>
      <c r="H48" s="2651" t="s">
        <v>153</v>
      </c>
      <c r="I48" s="2651"/>
      <c r="J48" s="2651" t="s">
        <v>153</v>
      </c>
      <c r="K48" s="2651"/>
      <c r="L48" s="2651" t="s">
        <v>153</v>
      </c>
      <c r="M48" s="2651"/>
      <c r="N48" s="2651" t="s">
        <v>153</v>
      </c>
      <c r="O48" s="2651"/>
      <c r="P48" s="2651" t="s">
        <v>153</v>
      </c>
      <c r="Q48" s="2651"/>
      <c r="R48" s="2651" t="s">
        <v>153</v>
      </c>
      <c r="S48" s="2651"/>
      <c r="U48" s="2778" t="s">
        <v>153</v>
      </c>
      <c r="V48" s="2778" t="s">
        <v>153</v>
      </c>
      <c r="W48" s="2778" t="s">
        <v>153</v>
      </c>
      <c r="X48" s="2778" t="s">
        <v>153</v>
      </c>
      <c r="Z48" s="2778"/>
      <c r="AA48" s="2778"/>
      <c r="AB48" s="2839"/>
      <c r="AC48" s="2912">
        <v>0</v>
      </c>
      <c r="AD48" s="2912">
        <v>0</v>
      </c>
      <c r="AE48" s="2912">
        <v>0</v>
      </c>
    </row>
    <row r="49" spans="1:31" ht="18" customHeight="1" x14ac:dyDescent="0.25">
      <c r="A49" s="2678" t="s">
        <v>747</v>
      </c>
      <c r="B49" s="2679">
        <v>2254615</v>
      </c>
      <c r="C49" s="2679">
        <v>31.095993379766913</v>
      </c>
      <c r="D49" s="2679">
        <v>2407853</v>
      </c>
      <c r="E49" s="2679">
        <v>38.494236702850472</v>
      </c>
      <c r="F49" s="2679">
        <v>9644189</v>
      </c>
      <c r="G49" s="2679">
        <v>30.298102478715716</v>
      </c>
      <c r="H49" s="2679">
        <v>2445875</v>
      </c>
      <c r="I49" s="2679">
        <v>34.816725978647689</v>
      </c>
      <c r="J49" s="2679">
        <v>2230498</v>
      </c>
      <c r="K49" s="2679">
        <v>35.638928833924517</v>
      </c>
      <c r="L49" s="2679">
        <v>2229099.0099999998</v>
      </c>
      <c r="M49" s="2679">
        <v>27.938823212383276</v>
      </c>
      <c r="N49" s="2679">
        <v>982235</v>
      </c>
      <c r="O49" s="2679">
        <v>30.067191135055712</v>
      </c>
      <c r="P49" s="2679">
        <v>2107890</v>
      </c>
      <c r="Q49" s="2679">
        <v>47.538170090886538</v>
      </c>
      <c r="R49" s="2679">
        <v>24302254.009999998</v>
      </c>
      <c r="S49" s="2679">
        <v>32.708458740020134</v>
      </c>
      <c r="U49" s="2793">
        <v>52396</v>
      </c>
      <c r="V49" s="2793">
        <v>44.706484641638227</v>
      </c>
      <c r="W49" s="2793">
        <v>371923</v>
      </c>
      <c r="X49" s="2793">
        <v>23.552846558166046</v>
      </c>
      <c r="Z49" s="2793">
        <f t="shared" si="3"/>
        <v>23877935.009999998</v>
      </c>
      <c r="AA49" s="2793">
        <f t="shared" si="4"/>
        <v>32.888222725413307</v>
      </c>
      <c r="AB49" s="2854">
        <f t="shared" ref="AB49:AB52" si="9">Z49/1000</f>
        <v>23877.935009999997</v>
      </c>
      <c r="AC49" s="2896" t="s">
        <v>1457</v>
      </c>
      <c r="AD49" s="47" t="s">
        <v>12</v>
      </c>
      <c r="AE49" s="644" t="s">
        <v>155</v>
      </c>
    </row>
    <row r="50" spans="1:31" ht="18" customHeight="1" x14ac:dyDescent="0.25">
      <c r="A50" s="2678" t="s">
        <v>763</v>
      </c>
      <c r="B50" s="2679">
        <v>0</v>
      </c>
      <c r="C50" s="2679">
        <v>0</v>
      </c>
      <c r="D50" s="2679">
        <v>0</v>
      </c>
      <c r="E50" s="2679">
        <v>0</v>
      </c>
      <c r="F50" s="2679">
        <v>1254280</v>
      </c>
      <c r="G50" s="2679">
        <v>3.9404354245860955</v>
      </c>
      <c r="H50" s="2679">
        <v>0</v>
      </c>
      <c r="I50" s="2679">
        <v>0</v>
      </c>
      <c r="J50" s="2679">
        <v>0</v>
      </c>
      <c r="K50" s="2679">
        <v>0</v>
      </c>
      <c r="L50" s="2679">
        <v>228930</v>
      </c>
      <c r="M50" s="2679">
        <v>2.8693363414175597</v>
      </c>
      <c r="N50" s="2679">
        <v>117790</v>
      </c>
      <c r="O50" s="2679">
        <v>3.6056691563609649</v>
      </c>
      <c r="P50" s="2679">
        <v>0</v>
      </c>
      <c r="Q50" s="2679">
        <v>0</v>
      </c>
      <c r="R50" s="2679">
        <v>1601000</v>
      </c>
      <c r="S50" s="2679">
        <v>2.1547895278036489</v>
      </c>
      <c r="U50" s="2793">
        <v>0</v>
      </c>
      <c r="V50" s="2793">
        <v>0</v>
      </c>
      <c r="W50" s="2793">
        <v>0</v>
      </c>
      <c r="X50" s="2793">
        <v>0</v>
      </c>
      <c r="Z50" s="2793">
        <f t="shared" si="3"/>
        <v>1601000</v>
      </c>
      <c r="AA50" s="2793">
        <f t="shared" si="4"/>
        <v>2.2051339264193226</v>
      </c>
      <c r="AB50" s="2854">
        <f t="shared" si="9"/>
        <v>1601</v>
      </c>
      <c r="AC50" s="2896" t="s">
        <v>1458</v>
      </c>
      <c r="AD50" s="47" t="s">
        <v>12</v>
      </c>
      <c r="AE50" s="644" t="s">
        <v>114</v>
      </c>
    </row>
    <row r="51" spans="1:31" ht="18" customHeight="1" x14ac:dyDescent="0.25">
      <c r="A51" s="2678" t="s">
        <v>764</v>
      </c>
      <c r="B51" s="2679">
        <v>0</v>
      </c>
      <c r="C51" s="2679">
        <v>0</v>
      </c>
      <c r="D51" s="2679">
        <v>0</v>
      </c>
      <c r="E51" s="2679">
        <v>0</v>
      </c>
      <c r="F51" s="2679">
        <v>0</v>
      </c>
      <c r="G51" s="2679">
        <v>0</v>
      </c>
      <c r="H51" s="2679">
        <v>0</v>
      </c>
      <c r="I51" s="2679">
        <v>0</v>
      </c>
      <c r="J51" s="2679">
        <v>0</v>
      </c>
      <c r="K51" s="2679">
        <v>0</v>
      </c>
      <c r="L51" s="2679">
        <v>0</v>
      </c>
      <c r="M51" s="2679">
        <v>0</v>
      </c>
      <c r="N51" s="2679">
        <v>5700</v>
      </c>
      <c r="O51" s="2679">
        <v>0.17448267417656421</v>
      </c>
      <c r="P51" s="2679">
        <v>0</v>
      </c>
      <c r="Q51" s="2679">
        <v>0</v>
      </c>
      <c r="R51" s="2679">
        <v>5700</v>
      </c>
      <c r="S51" s="2679">
        <v>7.6716429159780133E-3</v>
      </c>
      <c r="U51" s="2793">
        <v>0</v>
      </c>
      <c r="V51" s="2793">
        <v>0</v>
      </c>
      <c r="W51" s="2793">
        <v>0</v>
      </c>
      <c r="X51" s="2793">
        <v>0</v>
      </c>
      <c r="Z51" s="2793">
        <f t="shared" si="3"/>
        <v>5700</v>
      </c>
      <c r="AA51" s="2793">
        <f t="shared" si="4"/>
        <v>7.8508828111118912E-3</v>
      </c>
      <c r="AB51" s="2854">
        <f t="shared" si="9"/>
        <v>5.7</v>
      </c>
      <c r="AC51" s="2896" t="s">
        <v>1459</v>
      </c>
      <c r="AD51" s="47" t="s">
        <v>12</v>
      </c>
      <c r="AE51" s="644" t="s">
        <v>117</v>
      </c>
    </row>
    <row r="52" spans="1:31" ht="18" hidden="1" customHeight="1" x14ac:dyDescent="0.25">
      <c r="A52" s="2680" t="s">
        <v>765</v>
      </c>
      <c r="B52" s="2681">
        <v>2254615</v>
      </c>
      <c r="C52" s="2681">
        <v>31.095993379766913</v>
      </c>
      <c r="D52" s="2681">
        <v>2407853</v>
      </c>
      <c r="E52" s="2681">
        <v>38.494236702850472</v>
      </c>
      <c r="F52" s="2681">
        <v>10898469</v>
      </c>
      <c r="G52" s="2681">
        <v>34.238537903301811</v>
      </c>
      <c r="H52" s="2681">
        <v>2445875</v>
      </c>
      <c r="I52" s="2681">
        <v>34.816725978647689</v>
      </c>
      <c r="J52" s="2681">
        <v>2230498</v>
      </c>
      <c r="K52" s="2681">
        <v>35.638928833924517</v>
      </c>
      <c r="L52" s="2681">
        <v>2458029.0099999998</v>
      </c>
      <c r="M52" s="2681">
        <v>30.808159553800838</v>
      </c>
      <c r="N52" s="2681">
        <v>1105725</v>
      </c>
      <c r="O52" s="2681">
        <v>33.847342965593242</v>
      </c>
      <c r="P52" s="2681">
        <v>2107890</v>
      </c>
      <c r="Q52" s="2681">
        <v>47.538170090886538</v>
      </c>
      <c r="R52" s="2681">
        <v>25908954.009999998</v>
      </c>
      <c r="S52" s="2681">
        <v>34.870919910739758</v>
      </c>
      <c r="U52" s="2794">
        <v>52396</v>
      </c>
      <c r="V52" s="2794">
        <v>44.706484641638227</v>
      </c>
      <c r="W52" s="2794">
        <v>371923</v>
      </c>
      <c r="X52" s="2794">
        <v>23.552846558166046</v>
      </c>
      <c r="Z52" s="2794">
        <f t="shared" si="3"/>
        <v>25484635.009999998</v>
      </c>
      <c r="AA52" s="2794">
        <f t="shared" si="4"/>
        <v>35.101207534643741</v>
      </c>
      <c r="AB52" s="2855">
        <f t="shared" si="9"/>
        <v>25484.635009999998</v>
      </c>
      <c r="AC52" s="2912">
        <v>0</v>
      </c>
      <c r="AD52" s="2912">
        <v>0</v>
      </c>
      <c r="AE52" s="2912">
        <v>0</v>
      </c>
    </row>
    <row r="53" spans="1:31" ht="18" hidden="1" customHeight="1" x14ac:dyDescent="0.25">
      <c r="A53" s="2646" t="s">
        <v>768</v>
      </c>
      <c r="B53" s="2651" t="s">
        <v>153</v>
      </c>
      <c r="C53" s="2651"/>
      <c r="D53" s="2651" t="s">
        <v>153</v>
      </c>
      <c r="E53" s="2651"/>
      <c r="F53" s="2651" t="s">
        <v>153</v>
      </c>
      <c r="G53" s="2651"/>
      <c r="H53" s="2651"/>
      <c r="I53" s="2651"/>
      <c r="J53" s="2651" t="s">
        <v>153</v>
      </c>
      <c r="K53" s="2651"/>
      <c r="L53" s="2651" t="s">
        <v>153</v>
      </c>
      <c r="M53" s="2651"/>
      <c r="N53" s="2651" t="s">
        <v>153</v>
      </c>
      <c r="O53" s="2651"/>
      <c r="P53" s="2651" t="s">
        <v>153</v>
      </c>
      <c r="Q53" s="2651"/>
      <c r="R53" s="2651" t="s">
        <v>153</v>
      </c>
      <c r="S53" s="2651"/>
      <c r="U53" s="2778" t="s">
        <v>153</v>
      </c>
      <c r="V53" s="2778" t="s">
        <v>153</v>
      </c>
      <c r="W53" s="2778" t="s">
        <v>153</v>
      </c>
      <c r="X53" s="2778" t="s">
        <v>153</v>
      </c>
      <c r="Z53" s="2778"/>
      <c r="AA53" s="2778"/>
      <c r="AB53" s="2839"/>
      <c r="AC53" s="2912">
        <v>0</v>
      </c>
      <c r="AD53" s="2912">
        <v>0</v>
      </c>
      <c r="AE53" s="2912">
        <v>0</v>
      </c>
    </row>
    <row r="54" spans="1:31" ht="18" customHeight="1" x14ac:dyDescent="0.25">
      <c r="A54" s="2990" t="s">
        <v>769</v>
      </c>
      <c r="B54" s="2682">
        <v>132892</v>
      </c>
      <c r="C54" s="2682">
        <v>1.8328666988483553</v>
      </c>
      <c r="D54" s="2682">
        <v>104180.51999999999</v>
      </c>
      <c r="E54" s="2682">
        <v>1.6655292481335229</v>
      </c>
      <c r="F54" s="2682">
        <v>4597097</v>
      </c>
      <c r="G54" s="2682">
        <v>14.442200999026106</v>
      </c>
      <c r="H54" s="2682">
        <v>481660</v>
      </c>
      <c r="I54" s="2682">
        <v>6.8563701067615659</v>
      </c>
      <c r="J54" s="2682">
        <v>0</v>
      </c>
      <c r="K54" s="2682">
        <v>0</v>
      </c>
      <c r="L54" s="2682">
        <v>0</v>
      </c>
      <c r="M54" s="2682">
        <v>0</v>
      </c>
      <c r="N54" s="2682">
        <v>104553</v>
      </c>
      <c r="O54" s="2682">
        <v>3.2004714093302313</v>
      </c>
      <c r="P54" s="2682">
        <v>0</v>
      </c>
      <c r="Q54" s="2682">
        <v>0</v>
      </c>
      <c r="R54" s="2682">
        <v>5420382.5199999996</v>
      </c>
      <c r="S54" s="2682">
        <v>7.2953051160436928</v>
      </c>
      <c r="U54" s="2795">
        <v>2204</v>
      </c>
      <c r="V54" s="2795">
        <v>1.8805460750853242</v>
      </c>
      <c r="W54" s="2795">
        <v>29584</v>
      </c>
      <c r="X54" s="2795">
        <v>1.8734722310176684</v>
      </c>
      <c r="Z54" s="2831">
        <f t="shared" si="3"/>
        <v>5388594.5199999996</v>
      </c>
      <c r="AA54" s="2831">
        <f t="shared" si="4"/>
        <v>7.4219691391438127</v>
      </c>
      <c r="AB54" s="2856">
        <f t="shared" ref="AB54:AB57" si="10">Z54/1000</f>
        <v>5388.5945199999996</v>
      </c>
      <c r="AC54" s="2897" t="s">
        <v>1457</v>
      </c>
      <c r="AD54" s="2890" t="s">
        <v>81</v>
      </c>
      <c r="AE54" s="644" t="s">
        <v>155</v>
      </c>
    </row>
    <row r="55" spans="1:31" ht="34.5" customHeight="1" x14ac:dyDescent="0.25">
      <c r="A55" s="2990" t="s">
        <v>770</v>
      </c>
      <c r="B55" s="2682">
        <v>0</v>
      </c>
      <c r="C55" s="2682">
        <v>0</v>
      </c>
      <c r="D55" s="2682">
        <v>0</v>
      </c>
      <c r="E55" s="2682">
        <v>0</v>
      </c>
      <c r="F55" s="2682">
        <v>31820</v>
      </c>
      <c r="G55" s="2682">
        <v>9.9965442493167037E-2</v>
      </c>
      <c r="H55" s="2682">
        <v>0</v>
      </c>
      <c r="I55" s="2682">
        <v>0</v>
      </c>
      <c r="J55" s="2682">
        <v>0</v>
      </c>
      <c r="K55" s="2682">
        <v>0</v>
      </c>
      <c r="L55" s="2682">
        <v>0</v>
      </c>
      <c r="M55" s="2682">
        <v>0</v>
      </c>
      <c r="N55" s="2682">
        <v>0</v>
      </c>
      <c r="O55" s="2682">
        <v>0</v>
      </c>
      <c r="P55" s="2682">
        <v>0</v>
      </c>
      <c r="Q55" s="2682">
        <v>0</v>
      </c>
      <c r="R55" s="2682">
        <v>31820</v>
      </c>
      <c r="S55" s="2682">
        <v>4.2826610102880767E-2</v>
      </c>
      <c r="U55" s="2795">
        <v>0</v>
      </c>
      <c r="V55" s="2795">
        <v>0</v>
      </c>
      <c r="W55" s="2795">
        <v>0</v>
      </c>
      <c r="X55" s="2795">
        <v>0</v>
      </c>
      <c r="Z55" s="2831">
        <f t="shared" si="3"/>
        <v>31820</v>
      </c>
      <c r="AA55" s="2831">
        <f t="shared" si="4"/>
        <v>4.3827208956066732E-2</v>
      </c>
      <c r="AB55" s="2856">
        <f t="shared" si="10"/>
        <v>31.82</v>
      </c>
      <c r="AC55" s="2897" t="s">
        <v>1459</v>
      </c>
      <c r="AD55" s="2890" t="s">
        <v>81</v>
      </c>
      <c r="AE55" s="643" t="s">
        <v>114</v>
      </c>
    </row>
    <row r="56" spans="1:31" ht="18" customHeight="1" x14ac:dyDescent="0.25">
      <c r="A56" s="2990" t="s">
        <v>771</v>
      </c>
      <c r="B56" s="2682">
        <v>247740</v>
      </c>
      <c r="C56" s="2682">
        <v>3.4168678022205365</v>
      </c>
      <c r="D56" s="2682">
        <v>210240.43000000002</v>
      </c>
      <c r="E56" s="2682">
        <v>3.361104218957331</v>
      </c>
      <c r="F56" s="2682">
        <v>649945</v>
      </c>
      <c r="G56" s="2682">
        <v>2.0418617071408374</v>
      </c>
      <c r="H56" s="2682">
        <v>0</v>
      </c>
      <c r="I56" s="2682">
        <v>0</v>
      </c>
      <c r="J56" s="2682">
        <v>363080</v>
      </c>
      <c r="K56" s="2682">
        <v>5.8012974147572942</v>
      </c>
      <c r="L56" s="2682">
        <v>0</v>
      </c>
      <c r="M56" s="2682">
        <v>0</v>
      </c>
      <c r="N56" s="2682">
        <v>49440</v>
      </c>
      <c r="O56" s="2682">
        <v>1.5134076160156729</v>
      </c>
      <c r="P56" s="2682">
        <v>0</v>
      </c>
      <c r="Q56" s="2682">
        <v>0</v>
      </c>
      <c r="R56" s="2682">
        <v>1520445.43</v>
      </c>
      <c r="S56" s="2682">
        <v>2.0463709495071307</v>
      </c>
      <c r="U56" s="2795">
        <v>0</v>
      </c>
      <c r="V56" s="2795">
        <v>0</v>
      </c>
      <c r="W56" s="2795">
        <v>51560</v>
      </c>
      <c r="X56" s="2795">
        <v>3.2651510353999114</v>
      </c>
      <c r="Z56" s="2831">
        <f t="shared" si="3"/>
        <v>1468885.43</v>
      </c>
      <c r="AA56" s="2831">
        <f t="shared" si="4"/>
        <v>2.0231662059438067</v>
      </c>
      <c r="AB56" s="2856">
        <f t="shared" si="10"/>
        <v>1468.88543</v>
      </c>
      <c r="AC56" s="2897" t="s">
        <v>1459</v>
      </c>
      <c r="AD56" s="2890" t="s">
        <v>81</v>
      </c>
      <c r="AE56" s="643" t="s">
        <v>155</v>
      </c>
    </row>
    <row r="57" spans="1:31" ht="18" hidden="1" customHeight="1" x14ac:dyDescent="0.25">
      <c r="A57" s="2683" t="s">
        <v>772</v>
      </c>
      <c r="B57" s="2684">
        <v>380632</v>
      </c>
      <c r="C57" s="2684">
        <v>5.2497345010688914</v>
      </c>
      <c r="D57" s="2684">
        <v>314420.95</v>
      </c>
      <c r="E57" s="2684">
        <v>5.0266334670908543</v>
      </c>
      <c r="F57" s="2684">
        <v>5278862</v>
      </c>
      <c r="G57" s="2684">
        <v>16.58402814866011</v>
      </c>
      <c r="H57" s="2684">
        <v>481660</v>
      </c>
      <c r="I57" s="2684">
        <v>6.8563701067615659</v>
      </c>
      <c r="J57" s="2684">
        <v>363080</v>
      </c>
      <c r="K57" s="2684">
        <v>5.8012974147572942</v>
      </c>
      <c r="L57" s="2684">
        <v>0</v>
      </c>
      <c r="M57" s="2684">
        <v>0</v>
      </c>
      <c r="N57" s="2684">
        <v>153993</v>
      </c>
      <c r="O57" s="2684">
        <v>4.7138790253459044</v>
      </c>
      <c r="P57" s="2684">
        <v>0</v>
      </c>
      <c r="Q57" s="2684">
        <v>0</v>
      </c>
      <c r="R57" s="2684">
        <v>6972647.9499999993</v>
      </c>
      <c r="S57" s="2684">
        <v>9.3845026756537031</v>
      </c>
      <c r="U57" s="2796">
        <v>2204</v>
      </c>
      <c r="V57" s="2796">
        <v>1.8805460750853242</v>
      </c>
      <c r="W57" s="2796">
        <v>81144</v>
      </c>
      <c r="X57" s="2796">
        <v>5.1386232664175795</v>
      </c>
      <c r="Z57" s="2796">
        <f t="shared" si="3"/>
        <v>6889299.9499999993</v>
      </c>
      <c r="AA57" s="2796">
        <f t="shared" si="4"/>
        <v>9.4889625540436864</v>
      </c>
      <c r="AB57" s="2857">
        <f t="shared" si="10"/>
        <v>6889.2999499999996</v>
      </c>
      <c r="AC57" s="2912">
        <v>0</v>
      </c>
      <c r="AD57" s="2912">
        <v>0</v>
      </c>
      <c r="AE57" s="2912">
        <v>0</v>
      </c>
    </row>
    <row r="58" spans="1:31" ht="18" hidden="1" customHeight="1" x14ac:dyDescent="0.25">
      <c r="A58" s="2646" t="s">
        <v>773</v>
      </c>
      <c r="B58" s="2651" t="s">
        <v>153</v>
      </c>
      <c r="C58" s="2651"/>
      <c r="D58" s="2651" t="s">
        <v>153</v>
      </c>
      <c r="E58" s="2651"/>
      <c r="F58" s="2651" t="s">
        <v>153</v>
      </c>
      <c r="G58" s="2651"/>
      <c r="H58" s="2651" t="s">
        <v>153</v>
      </c>
      <c r="I58" s="2651"/>
      <c r="J58" s="2651" t="s">
        <v>153</v>
      </c>
      <c r="K58" s="2651"/>
      <c r="L58" s="2651" t="s">
        <v>153</v>
      </c>
      <c r="M58" s="2651"/>
      <c r="N58" s="2651" t="s">
        <v>153</v>
      </c>
      <c r="O58" s="2651"/>
      <c r="P58" s="2651" t="s">
        <v>153</v>
      </c>
      <c r="Q58" s="2651"/>
      <c r="R58" s="2651" t="s">
        <v>153</v>
      </c>
      <c r="S58" s="2651"/>
      <c r="U58" s="2778" t="s">
        <v>153</v>
      </c>
      <c r="V58" s="2778" t="s">
        <v>153</v>
      </c>
      <c r="W58" s="2778" t="s">
        <v>153</v>
      </c>
      <c r="X58" s="2778" t="s">
        <v>153</v>
      </c>
      <c r="Z58" s="2778"/>
      <c r="AA58" s="2778"/>
      <c r="AB58" s="2839"/>
      <c r="AC58" s="2912">
        <v>0</v>
      </c>
      <c r="AD58" s="2912">
        <v>0</v>
      </c>
      <c r="AE58" s="2912">
        <v>0</v>
      </c>
    </row>
    <row r="59" spans="1:31" ht="30" customHeight="1" x14ac:dyDescent="0.25">
      <c r="A59" s="2685" t="s">
        <v>774</v>
      </c>
      <c r="B59" s="2686">
        <v>1189035</v>
      </c>
      <c r="C59" s="2686">
        <v>16.399351768843527</v>
      </c>
      <c r="D59" s="2686">
        <v>0</v>
      </c>
      <c r="E59" s="2686">
        <v>0</v>
      </c>
      <c r="F59" s="2686">
        <v>2471620</v>
      </c>
      <c r="G59" s="2686">
        <v>7.7648204580440447</v>
      </c>
      <c r="H59" s="2686">
        <v>756400</v>
      </c>
      <c r="I59" s="2686">
        <v>10.767259786476869</v>
      </c>
      <c r="J59" s="2686">
        <v>1002450</v>
      </c>
      <c r="K59" s="2686">
        <v>16.017160387307065</v>
      </c>
      <c r="L59" s="2686">
        <v>1023540</v>
      </c>
      <c r="M59" s="2686">
        <v>12.828727204361723</v>
      </c>
      <c r="N59" s="2686">
        <v>130671.25000000003</v>
      </c>
      <c r="O59" s="2686">
        <v>3.9999770417533989</v>
      </c>
      <c r="P59" s="2686">
        <v>451300</v>
      </c>
      <c r="Q59" s="2686">
        <v>10.177939153379491</v>
      </c>
      <c r="R59" s="2686">
        <v>7025016.25</v>
      </c>
      <c r="S59" s="2686">
        <v>9.4549852892882331</v>
      </c>
      <c r="U59" s="2797">
        <v>188819</v>
      </c>
      <c r="V59" s="2797">
        <v>161.10836177474403</v>
      </c>
      <c r="W59" s="2797">
        <v>129476</v>
      </c>
      <c r="X59" s="2797">
        <v>8.19935406244063</v>
      </c>
      <c r="Z59" s="2797">
        <f t="shared" si="3"/>
        <v>6706721.25</v>
      </c>
      <c r="AA59" s="2797">
        <f t="shared" si="4"/>
        <v>9.2374881720252393</v>
      </c>
      <c r="AB59" s="2858">
        <f t="shared" ref="AB59:AB63" si="11">Z59/1000</f>
        <v>6706.7212499999996</v>
      </c>
      <c r="AC59" s="2898" t="s">
        <v>1459</v>
      </c>
      <c r="AD59" s="46" t="s">
        <v>29</v>
      </c>
      <c r="AE59" s="644" t="s">
        <v>117</v>
      </c>
    </row>
    <row r="60" spans="1:31" ht="18" customHeight="1" x14ac:dyDescent="0.25">
      <c r="A60" s="2685" t="s">
        <v>775</v>
      </c>
      <c r="B60" s="2686">
        <v>453240</v>
      </c>
      <c r="C60" s="2686">
        <v>6.2511550927522244</v>
      </c>
      <c r="D60" s="2686">
        <v>0</v>
      </c>
      <c r="E60" s="2686">
        <v>0</v>
      </c>
      <c r="F60" s="2686">
        <v>572280</v>
      </c>
      <c r="G60" s="2686">
        <v>1.7978700009424775</v>
      </c>
      <c r="H60" s="2686">
        <v>0</v>
      </c>
      <c r="I60" s="2686">
        <v>0</v>
      </c>
      <c r="J60" s="2686">
        <v>0</v>
      </c>
      <c r="K60" s="2686">
        <v>0</v>
      </c>
      <c r="L60" s="2686">
        <v>0</v>
      </c>
      <c r="M60" s="2686">
        <v>0</v>
      </c>
      <c r="N60" s="2686">
        <v>3755</v>
      </c>
      <c r="O60" s="2686">
        <v>0.11494428798824538</v>
      </c>
      <c r="P60" s="2686">
        <v>108040</v>
      </c>
      <c r="Q60" s="2686">
        <v>2.4365711192801247</v>
      </c>
      <c r="R60" s="2686">
        <v>1137315</v>
      </c>
      <c r="S60" s="2686">
        <v>1.5307148356114972</v>
      </c>
      <c r="U60" s="2797">
        <v>7449</v>
      </c>
      <c r="V60" s="2797">
        <v>6.3558020477815695</v>
      </c>
      <c r="W60" s="2797">
        <v>101308</v>
      </c>
      <c r="X60" s="2797">
        <v>6.4155531631942244</v>
      </c>
      <c r="Z60" s="2797">
        <f t="shared" si="3"/>
        <v>1028558</v>
      </c>
      <c r="AA60" s="2797">
        <f t="shared" si="4"/>
        <v>1.4166821618301098</v>
      </c>
      <c r="AB60" s="2858">
        <f t="shared" si="11"/>
        <v>1028.558</v>
      </c>
      <c r="AC60" s="2898" t="s">
        <v>1459</v>
      </c>
      <c r="AD60" s="46" t="s">
        <v>29</v>
      </c>
      <c r="AE60" s="644" t="s">
        <v>117</v>
      </c>
    </row>
    <row r="61" spans="1:31" ht="18" customHeight="1" x14ac:dyDescent="0.25">
      <c r="A61" s="2685" t="s">
        <v>776</v>
      </c>
      <c r="B61" s="2686">
        <v>0</v>
      </c>
      <c r="C61" s="2686">
        <v>0</v>
      </c>
      <c r="D61" s="2686">
        <v>22600</v>
      </c>
      <c r="E61" s="2686">
        <v>0.36130517497721859</v>
      </c>
      <c r="F61" s="2686">
        <v>1380080</v>
      </c>
      <c r="G61" s="2686">
        <v>4.3356476390939651</v>
      </c>
      <c r="H61" s="2686">
        <v>0</v>
      </c>
      <c r="I61" s="2686">
        <v>0</v>
      </c>
      <c r="J61" s="2686">
        <v>0</v>
      </c>
      <c r="K61" s="2686">
        <v>0</v>
      </c>
      <c r="L61" s="2686">
        <v>0</v>
      </c>
      <c r="M61" s="2686">
        <v>0</v>
      </c>
      <c r="N61" s="2686">
        <v>3735.23</v>
      </c>
      <c r="O61" s="2686">
        <v>0.11433910860781192</v>
      </c>
      <c r="P61" s="2686">
        <v>0</v>
      </c>
      <c r="Q61" s="2686">
        <v>0</v>
      </c>
      <c r="R61" s="2686">
        <v>1406415.23</v>
      </c>
      <c r="S61" s="2686">
        <v>1.8928974449391383</v>
      </c>
      <c r="U61" s="2797">
        <v>0</v>
      </c>
      <c r="V61" s="2797">
        <v>0</v>
      </c>
      <c r="W61" s="2797">
        <v>0</v>
      </c>
      <c r="X61" s="2797">
        <v>0</v>
      </c>
      <c r="Z61" s="2797">
        <f t="shared" si="3"/>
        <v>1406415.23</v>
      </c>
      <c r="AA61" s="2797">
        <f t="shared" si="4"/>
        <v>1.9371230095601715</v>
      </c>
      <c r="AB61" s="2858">
        <f t="shared" si="11"/>
        <v>1406.4152300000001</v>
      </c>
      <c r="AC61" s="2898" t="s">
        <v>1458</v>
      </c>
      <c r="AD61" s="46" t="s">
        <v>29</v>
      </c>
      <c r="AE61" s="644" t="s">
        <v>114</v>
      </c>
    </row>
    <row r="62" spans="1:31" ht="18" customHeight="1" x14ac:dyDescent="0.25">
      <c r="A62" s="2685" t="s">
        <v>777</v>
      </c>
      <c r="B62" s="2686">
        <v>384820</v>
      </c>
      <c r="C62" s="2686">
        <v>5.3074960347562241</v>
      </c>
      <c r="D62" s="2686">
        <v>1350248.01</v>
      </c>
      <c r="E62" s="2686">
        <v>21.586353695384567</v>
      </c>
      <c r="F62" s="2686">
        <v>1592857</v>
      </c>
      <c r="G62" s="2686">
        <v>5.004106060130062</v>
      </c>
      <c r="H62" s="2686">
        <v>1443520</v>
      </c>
      <c r="I62" s="2686">
        <v>20.548327402135232</v>
      </c>
      <c r="J62" s="2686">
        <v>1379380</v>
      </c>
      <c r="K62" s="2686">
        <v>22.039753299459942</v>
      </c>
      <c r="L62" s="2686">
        <v>2865300</v>
      </c>
      <c r="M62" s="2686">
        <v>35.912765557435606</v>
      </c>
      <c r="N62" s="2686">
        <v>1667720</v>
      </c>
      <c r="O62" s="2686">
        <v>51.050569364515731</v>
      </c>
      <c r="P62" s="2686">
        <v>1042060</v>
      </c>
      <c r="Q62" s="2686">
        <v>23.501048690827901</v>
      </c>
      <c r="R62" s="2686">
        <v>11725905.01</v>
      </c>
      <c r="S62" s="2686">
        <v>15.781922123403087</v>
      </c>
      <c r="U62" s="2797">
        <v>0</v>
      </c>
      <c r="V62" s="2797">
        <v>0</v>
      </c>
      <c r="W62" s="2797">
        <v>148480</v>
      </c>
      <c r="X62" s="2797">
        <v>9.4028243936419482</v>
      </c>
      <c r="Z62" s="2797">
        <f t="shared" si="3"/>
        <v>11577425.01</v>
      </c>
      <c r="AA62" s="2797">
        <f t="shared" si="4"/>
        <v>15.94614158034139</v>
      </c>
      <c r="AB62" s="2858">
        <f t="shared" si="11"/>
        <v>11577.425009999999</v>
      </c>
      <c r="AC62" s="2898" t="s">
        <v>1459</v>
      </c>
      <c r="AD62" s="46" t="s">
        <v>29</v>
      </c>
      <c r="AE62" s="644" t="s">
        <v>117</v>
      </c>
    </row>
    <row r="63" spans="1:31" ht="18" hidden="1" customHeight="1" x14ac:dyDescent="0.25">
      <c r="A63" s="2687" t="s">
        <v>778</v>
      </c>
      <c r="B63" s="2688">
        <v>2027095</v>
      </c>
      <c r="C63" s="2688">
        <v>27.958002896351974</v>
      </c>
      <c r="D63" s="2688">
        <v>1372848.0100000002</v>
      </c>
      <c r="E63" s="2688">
        <v>21.947658870361789</v>
      </c>
      <c r="F63" s="2688">
        <v>6016837</v>
      </c>
      <c r="G63" s="2688">
        <v>18.90244415821055</v>
      </c>
      <c r="H63" s="2688">
        <v>2199920</v>
      </c>
      <c r="I63" s="2688">
        <v>31.315587188612099</v>
      </c>
      <c r="J63" s="2688">
        <v>2381830</v>
      </c>
      <c r="K63" s="2688">
        <v>38.056913686767011</v>
      </c>
      <c r="L63" s="2688">
        <v>3888840</v>
      </c>
      <c r="M63" s="2688">
        <v>48.741492761797332</v>
      </c>
      <c r="N63" s="2688">
        <v>1805881.48</v>
      </c>
      <c r="O63" s="2688">
        <v>55.279829802865187</v>
      </c>
      <c r="P63" s="2688">
        <v>1601400</v>
      </c>
      <c r="Q63" s="2688">
        <v>36.115558963487516</v>
      </c>
      <c r="R63" s="2688">
        <v>21294651.490000002</v>
      </c>
      <c r="S63" s="2688">
        <v>28.660519693241959</v>
      </c>
      <c r="U63" s="2798">
        <v>196268</v>
      </c>
      <c r="V63" s="2798">
        <v>167.46416382252559</v>
      </c>
      <c r="W63" s="2798">
        <v>379264</v>
      </c>
      <c r="X63" s="2798">
        <v>24.017731619276802</v>
      </c>
      <c r="Z63" s="2798">
        <f t="shared" si="3"/>
        <v>20719119.490000002</v>
      </c>
      <c r="AA63" s="2798">
        <f t="shared" si="4"/>
        <v>28.537434923756912</v>
      </c>
      <c r="AB63" s="2859">
        <f t="shared" si="11"/>
        <v>20719.119490000001</v>
      </c>
      <c r="AC63" s="2912">
        <v>0</v>
      </c>
      <c r="AD63" s="2912">
        <v>0</v>
      </c>
      <c r="AE63" s="2912">
        <v>0</v>
      </c>
    </row>
    <row r="64" spans="1:31" ht="18" hidden="1" customHeight="1" x14ac:dyDescent="0.25">
      <c r="A64" s="2646" t="s">
        <v>779</v>
      </c>
      <c r="B64" s="2651" t="s">
        <v>153</v>
      </c>
      <c r="C64" s="2651"/>
      <c r="D64" s="2651" t="s">
        <v>153</v>
      </c>
      <c r="E64" s="2651"/>
      <c r="F64" s="2651" t="s">
        <v>153</v>
      </c>
      <c r="G64" s="2651"/>
      <c r="H64" s="2651" t="s">
        <v>153</v>
      </c>
      <c r="I64" s="2651"/>
      <c r="J64" s="2651" t="s">
        <v>153</v>
      </c>
      <c r="K64" s="2651"/>
      <c r="L64" s="2651" t="s">
        <v>153</v>
      </c>
      <c r="M64" s="2651"/>
      <c r="N64" s="2651" t="s">
        <v>153</v>
      </c>
      <c r="O64" s="2651"/>
      <c r="P64" s="2651" t="s">
        <v>153</v>
      </c>
      <c r="Q64" s="2651"/>
      <c r="R64" s="2651" t="s">
        <v>153</v>
      </c>
      <c r="S64" s="2651"/>
      <c r="U64" s="2778" t="s">
        <v>153</v>
      </c>
      <c r="V64" s="2778" t="s">
        <v>153</v>
      </c>
      <c r="W64" s="2778" t="s">
        <v>153</v>
      </c>
      <c r="X64" s="2778" t="s">
        <v>153</v>
      </c>
      <c r="Z64" s="2778"/>
      <c r="AA64" s="2778"/>
      <c r="AB64" s="2839"/>
      <c r="AC64" s="2912">
        <v>0</v>
      </c>
      <c r="AD64" s="2912">
        <v>0</v>
      </c>
      <c r="AE64" s="2912">
        <v>0</v>
      </c>
    </row>
    <row r="65" spans="1:31" ht="18" customHeight="1" x14ac:dyDescent="0.25">
      <c r="A65" s="2835" t="s">
        <v>780</v>
      </c>
      <c r="B65" s="2689">
        <v>238626</v>
      </c>
      <c r="C65" s="2689">
        <v>3.2911661264740362</v>
      </c>
      <c r="D65" s="2689">
        <v>403352.18000000005</v>
      </c>
      <c r="E65" s="2689">
        <v>6.4483730076257784</v>
      </c>
      <c r="F65" s="2689">
        <v>1286125</v>
      </c>
      <c r="G65" s="2689">
        <v>4.0404794068675187</v>
      </c>
      <c r="H65" s="2689">
        <v>386031</v>
      </c>
      <c r="I65" s="2689">
        <v>5.4951032028469751</v>
      </c>
      <c r="J65" s="2689">
        <v>305371</v>
      </c>
      <c r="K65" s="2689">
        <v>4.8792221902661934</v>
      </c>
      <c r="L65" s="2689">
        <v>249258.03000000003</v>
      </c>
      <c r="M65" s="2689">
        <v>3.1241214514006397</v>
      </c>
      <c r="N65" s="2689">
        <v>195384.52000000002</v>
      </c>
      <c r="O65" s="2689">
        <v>5.9809146565446314</v>
      </c>
      <c r="P65" s="2689">
        <v>273454.49</v>
      </c>
      <c r="Q65" s="2689">
        <v>6.1670799034753383</v>
      </c>
      <c r="R65" s="2833">
        <v>3337602.22</v>
      </c>
      <c r="S65" s="2833">
        <v>4.4920863907746478</v>
      </c>
      <c r="T65" s="2834"/>
      <c r="U65" s="2832">
        <v>2899</v>
      </c>
      <c r="V65" s="2832">
        <v>2.4735494880546076</v>
      </c>
      <c r="W65" s="2832">
        <v>53798</v>
      </c>
      <c r="X65" s="2832">
        <v>3.4068773351909316</v>
      </c>
      <c r="Z65" s="2832">
        <f t="shared" si="3"/>
        <v>3280905.22</v>
      </c>
      <c r="AA65" s="2832">
        <f t="shared" si="4"/>
        <v>4.5189477888746108</v>
      </c>
      <c r="AB65" s="2860">
        <f t="shared" ref="AB65:AB128" si="12">Z65/1000</f>
        <v>3280.9052200000001</v>
      </c>
      <c r="AC65" s="2899" t="s">
        <v>1457</v>
      </c>
      <c r="AD65" s="2888" t="s">
        <v>25</v>
      </c>
      <c r="AE65" s="644" t="s">
        <v>155</v>
      </c>
    </row>
    <row r="66" spans="1:31" ht="18" customHeight="1" x14ac:dyDescent="0.25">
      <c r="A66" s="2835" t="s">
        <v>781</v>
      </c>
      <c r="B66" s="2689">
        <v>0</v>
      </c>
      <c r="C66" s="2689">
        <v>0</v>
      </c>
      <c r="D66" s="2689">
        <v>0</v>
      </c>
      <c r="E66" s="2689">
        <v>0</v>
      </c>
      <c r="F66" s="2689">
        <v>0</v>
      </c>
      <c r="G66" s="2689">
        <v>0</v>
      </c>
      <c r="H66" s="2689">
        <v>20936</v>
      </c>
      <c r="I66" s="2689">
        <v>0.29802135231316729</v>
      </c>
      <c r="J66" s="2689">
        <v>0</v>
      </c>
      <c r="K66" s="2689">
        <v>0</v>
      </c>
      <c r="L66" s="2689">
        <v>0</v>
      </c>
      <c r="M66" s="2689">
        <v>0</v>
      </c>
      <c r="N66" s="2689">
        <v>0</v>
      </c>
      <c r="O66" s="2689">
        <v>0</v>
      </c>
      <c r="P66" s="2689">
        <v>19412.16</v>
      </c>
      <c r="Q66" s="2689">
        <v>0.43779256218849372</v>
      </c>
      <c r="R66" s="2833">
        <v>40348.160000000003</v>
      </c>
      <c r="S66" s="2833">
        <v>5.4304679971359203E-2</v>
      </c>
      <c r="T66" s="2834"/>
      <c r="U66" s="2832">
        <v>0</v>
      </c>
      <c r="V66" s="2832">
        <v>0</v>
      </c>
      <c r="W66" s="2832">
        <v>0</v>
      </c>
      <c r="X66" s="2832">
        <v>0</v>
      </c>
      <c r="Z66" s="2832">
        <f t="shared" si="3"/>
        <v>40348.160000000003</v>
      </c>
      <c r="AA66" s="2832">
        <f t="shared" si="4"/>
        <v>5.5573451895437262E-2</v>
      </c>
      <c r="AB66" s="2860">
        <f t="shared" si="12"/>
        <v>40.34816</v>
      </c>
      <c r="AC66" s="2899" t="s">
        <v>1459</v>
      </c>
      <c r="AD66" s="2888" t="s">
        <v>25</v>
      </c>
      <c r="AE66" s="644" t="s">
        <v>155</v>
      </c>
    </row>
    <row r="67" spans="1:31" ht="18" hidden="1" customHeight="1" x14ac:dyDescent="0.25">
      <c r="A67" s="2690" t="s">
        <v>782</v>
      </c>
      <c r="B67" s="2691">
        <v>238626</v>
      </c>
      <c r="C67" s="2691">
        <v>3.2911661264740362</v>
      </c>
      <c r="D67" s="2691">
        <v>403352.18000000005</v>
      </c>
      <c r="E67" s="2691">
        <v>6.4483730076257784</v>
      </c>
      <c r="F67" s="2691">
        <v>1286125</v>
      </c>
      <c r="G67" s="2691">
        <v>4.0404794068675187</v>
      </c>
      <c r="H67" s="2691">
        <v>406967</v>
      </c>
      <c r="I67" s="2691">
        <v>5.7931245551601425</v>
      </c>
      <c r="J67" s="2691">
        <v>305371</v>
      </c>
      <c r="K67" s="2691">
        <v>4.8792221902661934</v>
      </c>
      <c r="L67" s="2691">
        <v>249258.03000000003</v>
      </c>
      <c r="M67" s="2691">
        <v>3.1241214514006397</v>
      </c>
      <c r="N67" s="2691">
        <v>195384.52000000002</v>
      </c>
      <c r="O67" s="2691">
        <v>5.9809146565446314</v>
      </c>
      <c r="P67" s="2691">
        <v>292866.64999999997</v>
      </c>
      <c r="Q67" s="2691">
        <v>6.6048724656638313</v>
      </c>
      <c r="R67" s="2691">
        <v>3377950.3800000004</v>
      </c>
      <c r="S67" s="2691">
        <v>4.5463910707460071</v>
      </c>
      <c r="U67" s="2799">
        <v>2899</v>
      </c>
      <c r="V67" s="2799">
        <v>2.4735494880546076</v>
      </c>
      <c r="W67" s="2799">
        <v>53798</v>
      </c>
      <c r="X67" s="2799">
        <v>3.4068773351909316</v>
      </c>
      <c r="Z67" s="2799">
        <f t="shared" si="3"/>
        <v>3321253.3800000004</v>
      </c>
      <c r="AA67" s="2799">
        <f t="shared" si="4"/>
        <v>4.5745212407700482</v>
      </c>
      <c r="AB67" s="2861">
        <f t="shared" si="12"/>
        <v>3321.2533800000006</v>
      </c>
      <c r="AC67" s="2912">
        <v>0</v>
      </c>
      <c r="AD67" s="2912">
        <v>0</v>
      </c>
      <c r="AE67" s="2912">
        <v>0</v>
      </c>
    </row>
    <row r="68" spans="1:31" ht="18" hidden="1" customHeight="1" x14ac:dyDescent="0.25">
      <c r="A68" s="2646" t="s">
        <v>1483</v>
      </c>
      <c r="B68" s="2651" t="s">
        <v>153</v>
      </c>
      <c r="C68" s="2651"/>
      <c r="D68" s="2651" t="s">
        <v>153</v>
      </c>
      <c r="E68" s="2651"/>
      <c r="F68" s="2651" t="s">
        <v>153</v>
      </c>
      <c r="G68" s="2651"/>
      <c r="H68" s="2651" t="s">
        <v>153</v>
      </c>
      <c r="I68" s="2651"/>
      <c r="J68" s="2651" t="s">
        <v>153</v>
      </c>
      <c r="K68" s="2651"/>
      <c r="L68" s="2651" t="s">
        <v>153</v>
      </c>
      <c r="M68" s="2651"/>
      <c r="N68" s="2651" t="s">
        <v>153</v>
      </c>
      <c r="O68" s="2651"/>
      <c r="P68" s="2651" t="s">
        <v>153</v>
      </c>
      <c r="Q68" s="2651"/>
      <c r="R68" s="2651" t="s">
        <v>153</v>
      </c>
      <c r="S68" s="2651"/>
      <c r="U68" s="2778" t="s">
        <v>153</v>
      </c>
      <c r="V68" s="2778" t="s">
        <v>153</v>
      </c>
      <c r="W68" s="2778" t="s">
        <v>153</v>
      </c>
      <c r="X68" s="2778" t="s">
        <v>153</v>
      </c>
      <c r="Z68" s="2778"/>
      <c r="AA68" s="2778"/>
      <c r="AB68" s="2839"/>
      <c r="AC68" s="2912">
        <v>0</v>
      </c>
      <c r="AD68" s="2912">
        <v>0</v>
      </c>
      <c r="AE68" s="2912">
        <v>0</v>
      </c>
    </row>
    <row r="69" spans="1:31" ht="31.5" customHeight="1" x14ac:dyDescent="0.25">
      <c r="A69" s="2692" t="s">
        <v>1484</v>
      </c>
      <c r="B69" s="2693">
        <v>0</v>
      </c>
      <c r="C69" s="2693">
        <v>0</v>
      </c>
      <c r="D69" s="2693">
        <v>4141.1299999999992</v>
      </c>
      <c r="E69" s="2693">
        <v>6.6204057489088891E-2</v>
      </c>
      <c r="F69" s="2693">
        <v>0</v>
      </c>
      <c r="G69" s="2693">
        <v>0</v>
      </c>
      <c r="H69" s="2693">
        <v>0</v>
      </c>
      <c r="I69" s="2693">
        <v>0</v>
      </c>
      <c r="J69" s="2693">
        <v>0</v>
      </c>
      <c r="K69" s="2693">
        <v>0</v>
      </c>
      <c r="L69" s="2693">
        <v>0</v>
      </c>
      <c r="M69" s="2693">
        <v>0</v>
      </c>
      <c r="N69" s="2693">
        <v>0</v>
      </c>
      <c r="O69" s="2693">
        <v>0</v>
      </c>
      <c r="P69" s="2693">
        <v>0</v>
      </c>
      <c r="Q69" s="2693">
        <v>0</v>
      </c>
      <c r="R69" s="2693">
        <v>4141.1299999999992</v>
      </c>
      <c r="S69" s="2693">
        <v>5.5735562506393022E-3</v>
      </c>
      <c r="U69" s="2800">
        <v>0</v>
      </c>
      <c r="V69" s="2800">
        <v>0</v>
      </c>
      <c r="W69" s="2800">
        <v>0</v>
      </c>
      <c r="X69" s="2800">
        <v>0</v>
      </c>
      <c r="Z69" s="2800">
        <f t="shared" si="3"/>
        <v>4141.1299999999992</v>
      </c>
      <c r="AA69" s="2800">
        <f t="shared" si="4"/>
        <v>5.7037765501017157E-3</v>
      </c>
      <c r="AB69" s="2862">
        <f t="shared" si="12"/>
        <v>4.1411299999999995</v>
      </c>
      <c r="AC69" s="1921" t="s">
        <v>1457</v>
      </c>
      <c r="AD69" s="1921" t="s">
        <v>1544</v>
      </c>
      <c r="AE69" s="1921" t="s">
        <v>155</v>
      </c>
    </row>
    <row r="70" spans="1:31" ht="41.25" hidden="1" customHeight="1" x14ac:dyDescent="0.25">
      <c r="A70" s="2694" t="s">
        <v>1485</v>
      </c>
      <c r="B70" s="2695">
        <v>0</v>
      </c>
      <c r="C70" s="2695">
        <v>0</v>
      </c>
      <c r="D70" s="2695">
        <v>4141.1299999999992</v>
      </c>
      <c r="E70" s="2695">
        <v>6.6204057489088891E-2</v>
      </c>
      <c r="F70" s="2695">
        <v>0</v>
      </c>
      <c r="G70" s="2695">
        <v>0</v>
      </c>
      <c r="H70" s="2695">
        <v>0</v>
      </c>
      <c r="I70" s="2695">
        <v>0</v>
      </c>
      <c r="J70" s="2695">
        <v>0</v>
      </c>
      <c r="K70" s="2695">
        <v>0</v>
      </c>
      <c r="L70" s="2695">
        <v>0</v>
      </c>
      <c r="M70" s="2695">
        <v>0</v>
      </c>
      <c r="N70" s="2695">
        <v>0</v>
      </c>
      <c r="O70" s="2695">
        <v>0</v>
      </c>
      <c r="P70" s="2695">
        <v>0</v>
      </c>
      <c r="Q70" s="2695">
        <v>0</v>
      </c>
      <c r="R70" s="2695">
        <v>4141.1299999999992</v>
      </c>
      <c r="S70" s="2695">
        <v>5.5735562506393022E-3</v>
      </c>
      <c r="U70" s="2801">
        <v>0</v>
      </c>
      <c r="V70" s="2801">
        <v>0</v>
      </c>
      <c r="W70" s="2801">
        <v>0</v>
      </c>
      <c r="X70" s="2801">
        <v>0</v>
      </c>
      <c r="Z70" s="2801">
        <f t="shared" si="3"/>
        <v>4141.1299999999992</v>
      </c>
      <c r="AA70" s="2801">
        <f t="shared" si="4"/>
        <v>5.7037765501017157E-3</v>
      </c>
      <c r="AB70" s="2863">
        <f t="shared" si="12"/>
        <v>4.1411299999999995</v>
      </c>
      <c r="AC70" s="2912">
        <v>0</v>
      </c>
      <c r="AD70" s="2912">
        <v>0</v>
      </c>
      <c r="AE70" s="2912">
        <v>0</v>
      </c>
    </row>
    <row r="71" spans="1:31" ht="18" hidden="1" customHeight="1" x14ac:dyDescent="0.25">
      <c r="A71" s="2646" t="s">
        <v>783</v>
      </c>
      <c r="B71" s="2651" t="s">
        <v>153</v>
      </c>
      <c r="C71" s="2651"/>
      <c r="D71" s="2651" t="s">
        <v>153</v>
      </c>
      <c r="E71" s="2651"/>
      <c r="F71" s="2651" t="s">
        <v>153</v>
      </c>
      <c r="G71" s="2651"/>
      <c r="H71" s="2651" t="s">
        <v>153</v>
      </c>
      <c r="I71" s="2651"/>
      <c r="J71" s="2651" t="s">
        <v>153</v>
      </c>
      <c r="K71" s="2651"/>
      <c r="L71" s="2651" t="s">
        <v>153</v>
      </c>
      <c r="M71" s="2651"/>
      <c r="N71" s="2651" t="s">
        <v>153</v>
      </c>
      <c r="O71" s="2651"/>
      <c r="P71" s="2651" t="s">
        <v>153</v>
      </c>
      <c r="Q71" s="2651"/>
      <c r="R71" s="2651" t="s">
        <v>153</v>
      </c>
      <c r="S71" s="2651"/>
      <c r="U71" s="2778" t="s">
        <v>153</v>
      </c>
      <c r="V71" s="2778" t="s">
        <v>153</v>
      </c>
      <c r="W71" s="2778" t="s">
        <v>153</v>
      </c>
      <c r="X71" s="2778" t="s">
        <v>153</v>
      </c>
      <c r="Z71" s="2778"/>
      <c r="AA71" s="2778"/>
      <c r="AB71" s="2839"/>
      <c r="AC71" s="2912">
        <v>0</v>
      </c>
      <c r="AD71" s="2912">
        <v>0</v>
      </c>
      <c r="AE71" s="2912">
        <v>0</v>
      </c>
    </row>
    <row r="72" spans="1:31" ht="26.25" customHeight="1" x14ac:dyDescent="0.25">
      <c r="A72" s="2836" t="s">
        <v>784</v>
      </c>
      <c r="B72" s="2696">
        <v>60367</v>
      </c>
      <c r="C72" s="2696">
        <v>0.83259085580304804</v>
      </c>
      <c r="D72" s="2696">
        <v>64912</v>
      </c>
      <c r="E72" s="2696">
        <v>1.0377451999168679</v>
      </c>
      <c r="F72" s="2696">
        <v>188706</v>
      </c>
      <c r="G72" s="2696">
        <v>0.59283717131098612</v>
      </c>
      <c r="H72" s="2696">
        <v>55912.619999999995</v>
      </c>
      <c r="I72" s="2696">
        <v>0.79590918149466183</v>
      </c>
      <c r="J72" s="2696">
        <v>42026</v>
      </c>
      <c r="K72" s="2696">
        <v>0.67149202697088806</v>
      </c>
      <c r="L72" s="2696">
        <v>38848.019999999997</v>
      </c>
      <c r="M72" s="2696">
        <v>0.48690881744688846</v>
      </c>
      <c r="N72" s="2696">
        <v>21706.34</v>
      </c>
      <c r="O72" s="2696">
        <v>0.66445267540100406</v>
      </c>
      <c r="P72" s="2696">
        <v>37899.47</v>
      </c>
      <c r="Q72" s="2696">
        <v>0.85472745314720011</v>
      </c>
      <c r="R72" s="2696">
        <v>510377.44999999995</v>
      </c>
      <c r="S72" s="2696">
        <v>0.68691816645042503</v>
      </c>
      <c r="U72" s="2802">
        <v>939</v>
      </c>
      <c r="V72" s="2802">
        <v>0.80119453924914674</v>
      </c>
      <c r="W72" s="2802">
        <v>12679</v>
      </c>
      <c r="X72" s="2802">
        <v>0.80292571718067252</v>
      </c>
      <c r="Z72" s="2802">
        <f t="shared" si="3"/>
        <v>496759.44999999995</v>
      </c>
      <c r="AA72" s="2802">
        <f t="shared" si="4"/>
        <v>0.68421056618638543</v>
      </c>
      <c r="AB72" s="2864">
        <f t="shared" si="12"/>
        <v>496.75944999999996</v>
      </c>
      <c r="AC72" s="2900" t="s">
        <v>1457</v>
      </c>
      <c r="AD72" s="2890" t="s">
        <v>33</v>
      </c>
      <c r="AE72" s="644" t="s">
        <v>155</v>
      </c>
    </row>
    <row r="73" spans="1:31" ht="41.25" customHeight="1" x14ac:dyDescent="0.25">
      <c r="A73" s="2836" t="s">
        <v>785</v>
      </c>
      <c r="B73" s="2696">
        <v>0</v>
      </c>
      <c r="C73" s="2696">
        <v>0</v>
      </c>
      <c r="D73" s="2696">
        <v>0</v>
      </c>
      <c r="E73" s="2696">
        <v>0</v>
      </c>
      <c r="F73" s="2696">
        <v>12501</v>
      </c>
      <c r="G73" s="2696">
        <v>3.9273035719895696E-2</v>
      </c>
      <c r="H73" s="2696">
        <v>0</v>
      </c>
      <c r="I73" s="2696">
        <v>0</v>
      </c>
      <c r="J73" s="2696">
        <v>0</v>
      </c>
      <c r="K73" s="2696">
        <v>0</v>
      </c>
      <c r="L73" s="2696">
        <v>0</v>
      </c>
      <c r="M73" s="2696">
        <v>0</v>
      </c>
      <c r="N73" s="2696">
        <v>0</v>
      </c>
      <c r="O73" s="2696">
        <v>0</v>
      </c>
      <c r="P73" s="2696">
        <v>0</v>
      </c>
      <c r="Q73" s="2696">
        <v>0</v>
      </c>
      <c r="R73" s="2696">
        <v>12501</v>
      </c>
      <c r="S73" s="2696">
        <v>1.6825124226779148E-2</v>
      </c>
      <c r="U73" s="2802">
        <v>0</v>
      </c>
      <c r="V73" s="2802">
        <v>0</v>
      </c>
      <c r="W73" s="2802">
        <v>0</v>
      </c>
      <c r="X73" s="2802">
        <v>0</v>
      </c>
      <c r="Z73" s="2802">
        <f t="shared" si="3"/>
        <v>12501</v>
      </c>
      <c r="AA73" s="2802">
        <f t="shared" si="4"/>
        <v>1.7218225617843818E-2</v>
      </c>
      <c r="AB73" s="2864">
        <f t="shared" si="12"/>
        <v>12.500999999999999</v>
      </c>
      <c r="AC73" s="2900" t="s">
        <v>1457</v>
      </c>
      <c r="AD73" s="2890" t="s">
        <v>33</v>
      </c>
      <c r="AE73" s="644" t="s">
        <v>155</v>
      </c>
    </row>
    <row r="74" spans="1:31" ht="45.75" customHeight="1" x14ac:dyDescent="0.25">
      <c r="A74" s="2836" t="s">
        <v>786</v>
      </c>
      <c r="B74" s="2696">
        <v>0</v>
      </c>
      <c r="C74" s="2696">
        <v>0</v>
      </c>
      <c r="D74" s="2696">
        <v>1340.1499999999999</v>
      </c>
      <c r="E74" s="2696">
        <v>2.142491726750971E-2</v>
      </c>
      <c r="F74" s="2696">
        <v>0</v>
      </c>
      <c r="G74" s="2696">
        <v>0</v>
      </c>
      <c r="H74" s="2696">
        <v>1349.65</v>
      </c>
      <c r="I74" s="2696">
        <v>1.9212099644128115E-2</v>
      </c>
      <c r="J74" s="2696">
        <v>0</v>
      </c>
      <c r="K74" s="2696">
        <v>0</v>
      </c>
      <c r="L74" s="2696">
        <v>0</v>
      </c>
      <c r="M74" s="2696">
        <v>0</v>
      </c>
      <c r="N74" s="2696">
        <v>251</v>
      </c>
      <c r="O74" s="2696">
        <v>7.6833598628627403E-3</v>
      </c>
      <c r="P74" s="2696">
        <v>0</v>
      </c>
      <c r="Q74" s="2696">
        <v>0</v>
      </c>
      <c r="R74" s="2696">
        <v>2940.8</v>
      </c>
      <c r="S74" s="2696">
        <v>3.9580293837382704E-3</v>
      </c>
      <c r="U74" s="2802">
        <v>0</v>
      </c>
      <c r="V74" s="2802">
        <v>0</v>
      </c>
      <c r="W74" s="2802">
        <v>0</v>
      </c>
      <c r="X74" s="2802">
        <v>0</v>
      </c>
      <c r="Z74" s="2802">
        <f t="shared" si="3"/>
        <v>2940.8</v>
      </c>
      <c r="AA74" s="2802">
        <f t="shared" si="4"/>
        <v>4.0505045913890965E-3</v>
      </c>
      <c r="AB74" s="2864">
        <f t="shared" si="12"/>
        <v>2.9408000000000003</v>
      </c>
      <c r="AC74" s="2900" t="s">
        <v>1459</v>
      </c>
      <c r="AD74" s="2890" t="s">
        <v>33</v>
      </c>
      <c r="AE74" s="644" t="s">
        <v>155</v>
      </c>
    </row>
    <row r="75" spans="1:31" ht="18" hidden="1" customHeight="1" x14ac:dyDescent="0.25">
      <c r="A75" s="2697" t="s">
        <v>787</v>
      </c>
      <c r="B75" s="2698">
        <v>60367</v>
      </c>
      <c r="C75" s="2698">
        <v>0.83259085580304804</v>
      </c>
      <c r="D75" s="2698">
        <v>66252.149999999994</v>
      </c>
      <c r="E75" s="2698">
        <v>1.0591701171843775</v>
      </c>
      <c r="F75" s="2698">
        <v>201207</v>
      </c>
      <c r="G75" s="2698">
        <v>0.63211020703088183</v>
      </c>
      <c r="H75" s="2698">
        <v>57262.27</v>
      </c>
      <c r="I75" s="2698">
        <v>0.81512128113879001</v>
      </c>
      <c r="J75" s="2698">
        <v>42026</v>
      </c>
      <c r="K75" s="2698">
        <v>0.67149202697088806</v>
      </c>
      <c r="L75" s="2698">
        <v>38848.019999999997</v>
      </c>
      <c r="M75" s="2698">
        <v>0.48690881744688846</v>
      </c>
      <c r="N75" s="2698">
        <v>21957.34</v>
      </c>
      <c r="O75" s="2698">
        <v>0.67213603526386678</v>
      </c>
      <c r="P75" s="2698">
        <v>37899.47</v>
      </c>
      <c r="Q75" s="2698">
        <v>0.85472745314720011</v>
      </c>
      <c r="R75" s="2698">
        <v>525819.25</v>
      </c>
      <c r="S75" s="2698">
        <v>0.70770132006094244</v>
      </c>
      <c r="U75" s="2803">
        <v>939</v>
      </c>
      <c r="V75" s="2803">
        <v>0.80119453924914674</v>
      </c>
      <c r="W75" s="2803">
        <v>12679</v>
      </c>
      <c r="X75" s="2803">
        <v>0.80292571718067252</v>
      </c>
      <c r="Z75" s="2803">
        <f t="shared" si="3"/>
        <v>512201.25</v>
      </c>
      <c r="AA75" s="2803">
        <f t="shared" si="4"/>
        <v>0.70547929639561835</v>
      </c>
      <c r="AB75" s="2865">
        <f t="shared" si="12"/>
        <v>512.20124999999996</v>
      </c>
      <c r="AC75" s="2912">
        <v>0</v>
      </c>
      <c r="AD75" s="2912">
        <v>0</v>
      </c>
      <c r="AE75" s="2912">
        <v>0</v>
      </c>
    </row>
    <row r="76" spans="1:31" ht="18" hidden="1" customHeight="1" x14ac:dyDescent="0.25">
      <c r="A76" s="2646" t="s">
        <v>788</v>
      </c>
      <c r="B76" s="2651" t="s">
        <v>153</v>
      </c>
      <c r="C76" s="2651"/>
      <c r="D76" s="2651" t="s">
        <v>153</v>
      </c>
      <c r="E76" s="2651"/>
      <c r="F76" s="2651" t="s">
        <v>153</v>
      </c>
      <c r="G76" s="2651"/>
      <c r="H76" s="2651" t="s">
        <v>153</v>
      </c>
      <c r="I76" s="2651"/>
      <c r="J76" s="2651" t="s">
        <v>153</v>
      </c>
      <c r="K76" s="2651"/>
      <c r="L76" s="2651" t="s">
        <v>153</v>
      </c>
      <c r="M76" s="2651"/>
      <c r="N76" s="2651" t="s">
        <v>153</v>
      </c>
      <c r="O76" s="2651"/>
      <c r="P76" s="2651" t="s">
        <v>153</v>
      </c>
      <c r="Q76" s="2651"/>
      <c r="R76" s="2651" t="s">
        <v>153</v>
      </c>
      <c r="S76" s="2651"/>
      <c r="U76" s="2778" t="s">
        <v>153</v>
      </c>
      <c r="V76" s="2778" t="s">
        <v>153</v>
      </c>
      <c r="W76" s="2778" t="s">
        <v>153</v>
      </c>
      <c r="X76" s="2778" t="s">
        <v>153</v>
      </c>
      <c r="Z76" s="2778"/>
      <c r="AA76" s="2778"/>
      <c r="AB76" s="2839"/>
      <c r="AC76" s="2912">
        <v>0</v>
      </c>
      <c r="AD76" s="2912">
        <v>0</v>
      </c>
      <c r="AE76" s="2912">
        <v>0</v>
      </c>
    </row>
    <row r="77" spans="1:31" ht="30.75" customHeight="1" x14ac:dyDescent="0.25">
      <c r="A77" s="2699" t="s">
        <v>789</v>
      </c>
      <c r="B77" s="2700">
        <v>4678</v>
      </c>
      <c r="C77" s="2700">
        <v>6.4519688297358796E-2</v>
      </c>
      <c r="D77" s="2700">
        <v>0</v>
      </c>
      <c r="E77" s="2700">
        <v>0</v>
      </c>
      <c r="F77" s="2700">
        <v>36220</v>
      </c>
      <c r="G77" s="2700">
        <v>0.11378844522635168</v>
      </c>
      <c r="H77" s="2700">
        <v>10716.02</v>
      </c>
      <c r="I77" s="2700">
        <v>0.15254120996441281</v>
      </c>
      <c r="J77" s="2700">
        <v>0</v>
      </c>
      <c r="K77" s="2700">
        <v>0</v>
      </c>
      <c r="L77" s="2700">
        <v>7983.01</v>
      </c>
      <c r="M77" s="2700">
        <v>0.10005652691608699</v>
      </c>
      <c r="N77" s="2700">
        <v>0</v>
      </c>
      <c r="O77" s="2700">
        <v>0</v>
      </c>
      <c r="P77" s="2700">
        <v>0</v>
      </c>
      <c r="Q77" s="2700">
        <v>0</v>
      </c>
      <c r="R77" s="2700">
        <v>59597.03</v>
      </c>
      <c r="S77" s="2700">
        <v>8.0211777721548971E-2</v>
      </c>
      <c r="U77" s="2804">
        <v>70</v>
      </c>
      <c r="V77" s="2804">
        <v>5.9726962457337884E-2</v>
      </c>
      <c r="W77" s="2804">
        <v>960</v>
      </c>
      <c r="X77" s="2804">
        <v>6.0794123234753972E-2</v>
      </c>
      <c r="Z77" s="2804">
        <f t="shared" ref="Z77:Z134" si="13">R77-U77-W77</f>
        <v>58567.03</v>
      </c>
      <c r="AA77" s="2804">
        <f t="shared" ref="AA77:AA134" si="14">Z77/$Z$3</f>
        <v>8.0667173530679731E-2</v>
      </c>
      <c r="AB77" s="2866">
        <f t="shared" si="12"/>
        <v>58.567029999999995</v>
      </c>
      <c r="AC77" s="2901" t="s">
        <v>1457</v>
      </c>
      <c r="AD77" s="2888" t="s">
        <v>60</v>
      </c>
      <c r="AE77" s="644" t="s">
        <v>155</v>
      </c>
    </row>
    <row r="78" spans="1:31" ht="26.25" customHeight="1" x14ac:dyDescent="0.25">
      <c r="A78" s="2699" t="s">
        <v>790</v>
      </c>
      <c r="B78" s="2700">
        <v>910</v>
      </c>
      <c r="C78" s="2700">
        <v>1.2550858561478518E-2</v>
      </c>
      <c r="D78" s="2700">
        <v>12390.41</v>
      </c>
      <c r="E78" s="2700">
        <v>0.19808492270307429</v>
      </c>
      <c r="F78" s="2700">
        <v>0</v>
      </c>
      <c r="G78" s="2700">
        <v>0</v>
      </c>
      <c r="H78" s="2700">
        <v>0</v>
      </c>
      <c r="I78" s="2700">
        <v>0</v>
      </c>
      <c r="J78" s="2700">
        <v>12060</v>
      </c>
      <c r="K78" s="2700">
        <v>0.19269485188380789</v>
      </c>
      <c r="L78" s="2700">
        <v>0</v>
      </c>
      <c r="M78" s="2700">
        <v>0</v>
      </c>
      <c r="N78" s="2700">
        <v>570</v>
      </c>
      <c r="O78" s="2700">
        <v>1.7448267417656423E-2</v>
      </c>
      <c r="P78" s="2700">
        <v>4045</v>
      </c>
      <c r="Q78" s="2700">
        <v>9.1224825782007621E-2</v>
      </c>
      <c r="R78" s="2700">
        <v>29975.41</v>
      </c>
      <c r="S78" s="2700">
        <v>4.034397224211167E-2</v>
      </c>
      <c r="U78" s="2804">
        <v>0</v>
      </c>
      <c r="V78" s="2804">
        <v>0</v>
      </c>
      <c r="W78" s="2804">
        <v>0</v>
      </c>
      <c r="X78" s="2804">
        <v>0</v>
      </c>
      <c r="Z78" s="2804">
        <f t="shared" si="13"/>
        <v>29975.41</v>
      </c>
      <c r="AA78" s="2804">
        <f t="shared" si="14"/>
        <v>4.1286566864040614E-2</v>
      </c>
      <c r="AB78" s="2866">
        <f t="shared" si="12"/>
        <v>29.97541</v>
      </c>
      <c r="AC78" s="2901" t="s">
        <v>1457</v>
      </c>
      <c r="AD78" s="2888" t="s">
        <v>41</v>
      </c>
      <c r="AE78" s="644" t="s">
        <v>114</v>
      </c>
    </row>
    <row r="79" spans="1:31" ht="18" hidden="1" customHeight="1" x14ac:dyDescent="0.25">
      <c r="A79" s="2701" t="s">
        <v>791</v>
      </c>
      <c r="B79" s="2702">
        <v>5588</v>
      </c>
      <c r="C79" s="2702">
        <v>7.7070546858837324E-2</v>
      </c>
      <c r="D79" s="2702">
        <v>12390.41</v>
      </c>
      <c r="E79" s="2702">
        <v>0.19808492270307429</v>
      </c>
      <c r="F79" s="2702">
        <v>36220</v>
      </c>
      <c r="G79" s="2702">
        <v>0.11378844522635168</v>
      </c>
      <c r="H79" s="2702">
        <v>10716.02</v>
      </c>
      <c r="I79" s="2702">
        <v>0.15254120996441281</v>
      </c>
      <c r="J79" s="2702">
        <v>12060</v>
      </c>
      <c r="K79" s="2702">
        <v>0.19269485188380789</v>
      </c>
      <c r="L79" s="2702">
        <v>7983.01</v>
      </c>
      <c r="M79" s="2702">
        <v>0.10005652691608699</v>
      </c>
      <c r="N79" s="2702">
        <v>570</v>
      </c>
      <c r="O79" s="2702">
        <v>1.7448267417656423E-2</v>
      </c>
      <c r="P79" s="2702">
        <v>4045</v>
      </c>
      <c r="Q79" s="2702">
        <v>9.1224825782007621E-2</v>
      </c>
      <c r="R79" s="2702">
        <v>89572.44</v>
      </c>
      <c r="S79" s="2702">
        <v>0.12055574996366064</v>
      </c>
      <c r="U79" s="2805">
        <v>70</v>
      </c>
      <c r="V79" s="2805">
        <v>5.9726962457337884E-2</v>
      </c>
      <c r="W79" s="2805">
        <v>960</v>
      </c>
      <c r="X79" s="2805">
        <v>6.0794123234753972E-2</v>
      </c>
      <c r="Z79" s="2805">
        <f t="shared" si="13"/>
        <v>88542.44</v>
      </c>
      <c r="AA79" s="2805">
        <f t="shared" si="14"/>
        <v>0.12195374039472036</v>
      </c>
      <c r="AB79" s="2867">
        <f t="shared" si="12"/>
        <v>88.542439999999999</v>
      </c>
      <c r="AC79" s="2912">
        <v>0</v>
      </c>
      <c r="AD79" s="2912">
        <v>0</v>
      </c>
      <c r="AE79" s="2912">
        <v>0</v>
      </c>
    </row>
    <row r="80" spans="1:31" ht="18" hidden="1" customHeight="1" x14ac:dyDescent="0.25">
      <c r="A80" s="2646" t="s">
        <v>792</v>
      </c>
      <c r="B80" s="2651" t="s">
        <v>153</v>
      </c>
      <c r="C80" s="2651"/>
      <c r="D80" s="2651" t="s">
        <v>153</v>
      </c>
      <c r="E80" s="2651"/>
      <c r="F80" s="2651" t="s">
        <v>153</v>
      </c>
      <c r="G80" s="2651"/>
      <c r="H80" s="2651" t="s">
        <v>153</v>
      </c>
      <c r="I80" s="2651"/>
      <c r="J80" s="2651" t="s">
        <v>153</v>
      </c>
      <c r="K80" s="2651"/>
      <c r="L80" s="2651" t="s">
        <v>153</v>
      </c>
      <c r="M80" s="2651"/>
      <c r="N80" s="2651" t="s">
        <v>153</v>
      </c>
      <c r="O80" s="2651"/>
      <c r="P80" s="2651" t="s">
        <v>153</v>
      </c>
      <c r="Q80" s="2651"/>
      <c r="R80" s="2651" t="s">
        <v>153</v>
      </c>
      <c r="S80" s="2651"/>
      <c r="U80" s="2778" t="s">
        <v>153</v>
      </c>
      <c r="V80" s="2778" t="s">
        <v>153</v>
      </c>
      <c r="W80" s="2778" t="s">
        <v>153</v>
      </c>
      <c r="X80" s="2778" t="s">
        <v>153</v>
      </c>
      <c r="Z80" s="2778"/>
      <c r="AA80" s="2778"/>
      <c r="AB80" s="2839"/>
      <c r="AC80" s="2912">
        <v>0</v>
      </c>
      <c r="AD80" s="2912">
        <v>0</v>
      </c>
      <c r="AE80" s="2912">
        <v>0</v>
      </c>
    </row>
    <row r="81" spans="1:31" ht="18" customHeight="1" x14ac:dyDescent="0.25">
      <c r="A81" s="2703" t="s">
        <v>793</v>
      </c>
      <c r="B81" s="2704">
        <v>0</v>
      </c>
      <c r="C81" s="2704">
        <v>0</v>
      </c>
      <c r="D81" s="2704">
        <v>27460.41</v>
      </c>
      <c r="E81" s="2704">
        <v>0.43900832920337007</v>
      </c>
      <c r="F81" s="2704">
        <v>0</v>
      </c>
      <c r="G81" s="2704">
        <v>0</v>
      </c>
      <c r="H81" s="2704">
        <v>196040</v>
      </c>
      <c r="I81" s="2704">
        <v>2.7906049822064056</v>
      </c>
      <c r="J81" s="2704">
        <v>0</v>
      </c>
      <c r="K81" s="2704">
        <v>0</v>
      </c>
      <c r="L81" s="2704">
        <v>0</v>
      </c>
      <c r="M81" s="2704">
        <v>0</v>
      </c>
      <c r="N81" s="2704">
        <v>16862</v>
      </c>
      <c r="O81" s="2704">
        <v>0.51616260560793437</v>
      </c>
      <c r="P81" s="2704">
        <v>10150</v>
      </c>
      <c r="Q81" s="2704">
        <v>0.22890778286461741</v>
      </c>
      <c r="R81" s="2704">
        <v>250512.41</v>
      </c>
      <c r="S81" s="2704">
        <v>0.33716522027036483</v>
      </c>
      <c r="U81" s="2806">
        <v>0</v>
      </c>
      <c r="V81" s="2806">
        <v>0</v>
      </c>
      <c r="W81" s="2806">
        <v>0</v>
      </c>
      <c r="X81" s="2806">
        <v>0</v>
      </c>
      <c r="Z81" s="2806">
        <f t="shared" si="13"/>
        <v>250512.41</v>
      </c>
      <c r="AA81" s="2806">
        <f t="shared" si="14"/>
        <v>0.34504273221740611</v>
      </c>
      <c r="AB81" s="2868">
        <f t="shared" si="12"/>
        <v>250.51241000000002</v>
      </c>
      <c r="AC81" s="2902" t="s">
        <v>1457</v>
      </c>
      <c r="AD81" s="2890" t="s">
        <v>79</v>
      </c>
      <c r="AE81" s="644" t="s">
        <v>155</v>
      </c>
    </row>
    <row r="82" spans="1:31" ht="18" customHeight="1" x14ac:dyDescent="0.25">
      <c r="A82" s="2703" t="s">
        <v>794</v>
      </c>
      <c r="B82" s="2704">
        <v>179736</v>
      </c>
      <c r="C82" s="2704">
        <v>2.4789462795669266</v>
      </c>
      <c r="D82" s="2704">
        <v>162961.94</v>
      </c>
      <c r="E82" s="2704">
        <v>2.6052651436427876</v>
      </c>
      <c r="F82" s="2704">
        <v>365961</v>
      </c>
      <c r="G82" s="2704">
        <v>1.1496999780088593</v>
      </c>
      <c r="H82" s="2704">
        <v>210332.69999999998</v>
      </c>
      <c r="I82" s="2704">
        <v>2.9940597864768681</v>
      </c>
      <c r="J82" s="2704">
        <v>276022</v>
      </c>
      <c r="K82" s="2704">
        <v>4.4102834499728374</v>
      </c>
      <c r="L82" s="2704">
        <v>192316.01</v>
      </c>
      <c r="M82" s="2704">
        <v>2.410428150654885</v>
      </c>
      <c r="N82" s="2704">
        <v>30013.43</v>
      </c>
      <c r="O82" s="2704">
        <v>0.91874096975633646</v>
      </c>
      <c r="P82" s="2704">
        <v>191641</v>
      </c>
      <c r="Q82" s="2704">
        <v>4.3219819129022801</v>
      </c>
      <c r="R82" s="2704">
        <v>1608984.0799999998</v>
      </c>
      <c r="S82" s="2704">
        <v>2.1655353191672631</v>
      </c>
      <c r="U82" s="2806">
        <v>0</v>
      </c>
      <c r="V82" s="2806">
        <v>0</v>
      </c>
      <c r="W82" s="2806">
        <v>18114</v>
      </c>
      <c r="X82" s="2806">
        <v>1.147109112785764</v>
      </c>
      <c r="Z82" s="2806">
        <f t="shared" si="13"/>
        <v>1590870.0799999998</v>
      </c>
      <c r="AA82" s="2806">
        <f t="shared" si="14"/>
        <v>2.1911815027691577</v>
      </c>
      <c r="AB82" s="2868">
        <f t="shared" si="12"/>
        <v>1590.8700799999999</v>
      </c>
      <c r="AC82" s="2902" t="s">
        <v>1457</v>
      </c>
      <c r="AD82" s="2890" t="s">
        <v>79</v>
      </c>
      <c r="AE82" s="644" t="s">
        <v>155</v>
      </c>
    </row>
    <row r="83" spans="1:31" ht="18" customHeight="1" x14ac:dyDescent="0.25">
      <c r="A83" s="2703" t="s">
        <v>795</v>
      </c>
      <c r="B83" s="2704">
        <v>0</v>
      </c>
      <c r="C83" s="2704">
        <v>0</v>
      </c>
      <c r="D83" s="2704">
        <v>0</v>
      </c>
      <c r="E83" s="2704">
        <v>0</v>
      </c>
      <c r="F83" s="2704">
        <v>8046</v>
      </c>
      <c r="G83" s="2704">
        <v>2.5277245452546261E-2</v>
      </c>
      <c r="H83" s="2704">
        <v>0</v>
      </c>
      <c r="I83" s="2704">
        <v>0</v>
      </c>
      <c r="J83" s="2704">
        <v>0</v>
      </c>
      <c r="K83" s="2704">
        <v>0</v>
      </c>
      <c r="L83" s="2704">
        <v>0</v>
      </c>
      <c r="M83" s="2704">
        <v>0</v>
      </c>
      <c r="N83" s="2704">
        <v>1850</v>
      </c>
      <c r="O83" s="2704">
        <v>5.6630341618709439E-2</v>
      </c>
      <c r="P83" s="2704">
        <v>0</v>
      </c>
      <c r="Q83" s="2704">
        <v>0</v>
      </c>
      <c r="R83" s="2704">
        <v>9896</v>
      </c>
      <c r="S83" s="2704">
        <v>1.33190488239506E-2</v>
      </c>
      <c r="U83" s="2806">
        <v>0</v>
      </c>
      <c r="V83" s="2806">
        <v>0</v>
      </c>
      <c r="W83" s="2806">
        <v>0</v>
      </c>
      <c r="X83" s="2806">
        <v>0</v>
      </c>
      <c r="Z83" s="2806">
        <f t="shared" si="13"/>
        <v>9896</v>
      </c>
      <c r="AA83" s="2806">
        <f t="shared" si="14"/>
        <v>1.3630234438379523E-2</v>
      </c>
      <c r="AB83" s="2868">
        <f t="shared" si="12"/>
        <v>9.8960000000000008</v>
      </c>
      <c r="AC83" s="2902" t="s">
        <v>1459</v>
      </c>
      <c r="AD83" s="2890" t="s">
        <v>79</v>
      </c>
      <c r="AE83" s="644" t="s">
        <v>114</v>
      </c>
    </row>
    <row r="84" spans="1:31" ht="31.5" hidden="1" customHeight="1" x14ac:dyDescent="0.25">
      <c r="A84" s="2705" t="s">
        <v>796</v>
      </c>
      <c r="B84" s="2706">
        <v>179736</v>
      </c>
      <c r="C84" s="2706">
        <v>2.4789462795669266</v>
      </c>
      <c r="D84" s="2706">
        <v>190422.35</v>
      </c>
      <c r="E84" s="2706">
        <v>3.0442734728461578</v>
      </c>
      <c r="F84" s="2706">
        <v>374007</v>
      </c>
      <c r="G84" s="2706">
        <v>1.1749772234614055</v>
      </c>
      <c r="H84" s="2706">
        <v>406372.69999999995</v>
      </c>
      <c r="I84" s="2706">
        <v>5.7846647686832737</v>
      </c>
      <c r="J84" s="2706">
        <v>276022</v>
      </c>
      <c r="K84" s="2706">
        <v>4.4102834499728374</v>
      </c>
      <c r="L84" s="2706">
        <v>192316.01</v>
      </c>
      <c r="M84" s="2706">
        <v>2.410428150654885</v>
      </c>
      <c r="N84" s="2706">
        <v>48725.43</v>
      </c>
      <c r="O84" s="2706">
        <v>1.4915339169829802</v>
      </c>
      <c r="P84" s="2706">
        <v>201791</v>
      </c>
      <c r="Q84" s="2706">
        <v>4.5508896957668972</v>
      </c>
      <c r="R84" s="2706">
        <v>1869392.4899999998</v>
      </c>
      <c r="S84" s="2706">
        <v>2.5160195882615786</v>
      </c>
      <c r="U84" s="2807">
        <v>0</v>
      </c>
      <c r="V84" s="2807">
        <v>0</v>
      </c>
      <c r="W84" s="2807">
        <v>18114</v>
      </c>
      <c r="X84" s="2807">
        <v>1.147109112785764</v>
      </c>
      <c r="Z84" s="2807">
        <f t="shared" si="13"/>
        <v>1851278.4899999998</v>
      </c>
      <c r="AA84" s="2807">
        <f t="shared" si="14"/>
        <v>2.5498544694249432</v>
      </c>
      <c r="AB84" s="2869">
        <f t="shared" si="12"/>
        <v>1851.2784899999997</v>
      </c>
      <c r="AC84" s="2912">
        <v>0</v>
      </c>
      <c r="AD84" s="2912">
        <v>0</v>
      </c>
      <c r="AE84" s="2912">
        <v>0</v>
      </c>
    </row>
    <row r="85" spans="1:31" ht="31.5" hidden="1" customHeight="1" x14ac:dyDescent="0.25">
      <c r="A85" s="2646" t="s">
        <v>797</v>
      </c>
      <c r="B85" s="2651" t="s">
        <v>153</v>
      </c>
      <c r="C85" s="2651"/>
      <c r="D85" s="2651" t="s">
        <v>153</v>
      </c>
      <c r="E85" s="2651"/>
      <c r="F85" s="2651" t="s">
        <v>153</v>
      </c>
      <c r="G85" s="2651"/>
      <c r="H85" s="2651" t="s">
        <v>153</v>
      </c>
      <c r="I85" s="2651"/>
      <c r="J85" s="2651" t="s">
        <v>153</v>
      </c>
      <c r="K85" s="2651"/>
      <c r="L85" s="2651" t="s">
        <v>153</v>
      </c>
      <c r="M85" s="2651"/>
      <c r="N85" s="2651" t="s">
        <v>153</v>
      </c>
      <c r="O85" s="2651"/>
      <c r="P85" s="2651" t="s">
        <v>153</v>
      </c>
      <c r="Q85" s="2651"/>
      <c r="R85" s="2651" t="s">
        <v>153</v>
      </c>
      <c r="S85" s="2651"/>
      <c r="U85" s="2778" t="s">
        <v>153</v>
      </c>
      <c r="V85" s="2778" t="s">
        <v>153</v>
      </c>
      <c r="W85" s="2778" t="s">
        <v>153</v>
      </c>
      <c r="X85" s="2778" t="s">
        <v>153</v>
      </c>
      <c r="Z85" s="2778"/>
      <c r="AA85" s="2778"/>
      <c r="AB85" s="2839"/>
      <c r="AC85" s="2912">
        <v>0</v>
      </c>
      <c r="AD85" s="2912">
        <v>0</v>
      </c>
      <c r="AE85" s="2912">
        <v>0</v>
      </c>
    </row>
    <row r="86" spans="1:31" ht="31.5" customHeight="1" x14ac:dyDescent="0.25">
      <c r="A86" s="2707" t="s">
        <v>798</v>
      </c>
      <c r="B86" s="2708">
        <v>31625</v>
      </c>
      <c r="C86" s="2708">
        <v>0.43617681539204195</v>
      </c>
      <c r="D86" s="2708">
        <v>43040.27</v>
      </c>
      <c r="E86" s="2708">
        <v>0.68808284439897038</v>
      </c>
      <c r="F86" s="2708">
        <v>90689</v>
      </c>
      <c r="G86" s="2708">
        <v>0.28490779428858659</v>
      </c>
      <c r="H86" s="2708">
        <v>51193</v>
      </c>
      <c r="I86" s="2708">
        <v>0.72872597864768685</v>
      </c>
      <c r="J86" s="2708">
        <v>51440</v>
      </c>
      <c r="K86" s="2708">
        <v>0.82190905314287543</v>
      </c>
      <c r="L86" s="2708">
        <v>64004.03</v>
      </c>
      <c r="M86" s="2708">
        <v>0.80220630444319108</v>
      </c>
      <c r="N86" s="2708">
        <v>38907.879999999997</v>
      </c>
      <c r="O86" s="2708">
        <v>1.191008938410677</v>
      </c>
      <c r="P86" s="2708">
        <v>17534.7</v>
      </c>
      <c r="Q86" s="2708">
        <v>0.39545116258090707</v>
      </c>
      <c r="R86" s="2708">
        <v>388433.88</v>
      </c>
      <c r="S86" s="2708">
        <v>0.52279403926804446</v>
      </c>
      <c r="U86" s="2808">
        <v>0</v>
      </c>
      <c r="V86" s="2808">
        <v>0</v>
      </c>
      <c r="W86" s="2808">
        <v>4157</v>
      </c>
      <c r="X86" s="2808">
        <v>0.26325121904882526</v>
      </c>
      <c r="Z86" s="2808">
        <f t="shared" si="13"/>
        <v>384276.88</v>
      </c>
      <c r="AA86" s="2808">
        <f t="shared" si="14"/>
        <v>0.52928293892977318</v>
      </c>
      <c r="AB86" s="2870">
        <f t="shared" si="12"/>
        <v>384.27688000000001</v>
      </c>
      <c r="AC86" s="2903" t="s">
        <v>1459</v>
      </c>
      <c r="AD86" s="643" t="s">
        <v>54</v>
      </c>
      <c r="AE86" s="644" t="s">
        <v>155</v>
      </c>
    </row>
    <row r="87" spans="1:31" ht="31.5" customHeight="1" x14ac:dyDescent="0.25">
      <c r="A87" s="2707" t="s">
        <v>799</v>
      </c>
      <c r="B87" s="2708">
        <v>0</v>
      </c>
      <c r="C87" s="2708">
        <v>0</v>
      </c>
      <c r="D87" s="2708">
        <v>0</v>
      </c>
      <c r="E87" s="2708">
        <v>0</v>
      </c>
      <c r="F87" s="2708">
        <v>15334</v>
      </c>
      <c r="G87" s="2708">
        <v>4.8173164525148443E-2</v>
      </c>
      <c r="H87" s="2708">
        <v>0</v>
      </c>
      <c r="I87" s="2708">
        <v>0</v>
      </c>
      <c r="J87" s="2708">
        <v>0</v>
      </c>
      <c r="K87" s="2708">
        <v>0</v>
      </c>
      <c r="L87" s="2708">
        <v>0</v>
      </c>
      <c r="M87" s="2708">
        <v>0</v>
      </c>
      <c r="N87" s="2708">
        <v>0</v>
      </c>
      <c r="O87" s="2708">
        <v>0</v>
      </c>
      <c r="P87" s="2708">
        <v>5082</v>
      </c>
      <c r="Q87" s="2708">
        <v>0.11461175886876705</v>
      </c>
      <c r="R87" s="2708">
        <v>20416</v>
      </c>
      <c r="S87" s="2708">
        <v>2.7477940661860899E-2</v>
      </c>
      <c r="U87" s="2808">
        <v>0</v>
      </c>
      <c r="V87" s="2808">
        <v>0</v>
      </c>
      <c r="W87" s="2808">
        <v>0</v>
      </c>
      <c r="X87" s="2808">
        <v>0</v>
      </c>
      <c r="Z87" s="2808">
        <f t="shared" si="13"/>
        <v>20416</v>
      </c>
      <c r="AA87" s="2808">
        <f t="shared" si="14"/>
        <v>2.8119933942396556E-2</v>
      </c>
      <c r="AB87" s="2870">
        <f t="shared" si="12"/>
        <v>20.416</v>
      </c>
      <c r="AC87" s="2903" t="s">
        <v>1457</v>
      </c>
      <c r="AD87" s="643" t="s">
        <v>54</v>
      </c>
      <c r="AE87" s="644" t="s">
        <v>155</v>
      </c>
    </row>
    <row r="88" spans="1:31" ht="31.5" hidden="1" customHeight="1" x14ac:dyDescent="0.25">
      <c r="A88" s="2709" t="s">
        <v>800</v>
      </c>
      <c r="B88" s="2710">
        <v>31625</v>
      </c>
      <c r="C88" s="2710">
        <v>0.43617681539204195</v>
      </c>
      <c r="D88" s="2710">
        <v>43040.27</v>
      </c>
      <c r="E88" s="2710">
        <v>0.68808284439897038</v>
      </c>
      <c r="F88" s="2710">
        <v>106023</v>
      </c>
      <c r="G88" s="2710">
        <v>0.33308095881373506</v>
      </c>
      <c r="H88" s="2710">
        <v>51193</v>
      </c>
      <c r="I88" s="2710">
        <v>0.72872597864768685</v>
      </c>
      <c r="J88" s="2710">
        <v>51440</v>
      </c>
      <c r="K88" s="2710">
        <v>0.82190905314287543</v>
      </c>
      <c r="L88" s="2710">
        <v>64004.03</v>
      </c>
      <c r="M88" s="2710">
        <v>0.80220630444319108</v>
      </c>
      <c r="N88" s="2710">
        <v>38907.879999999997</v>
      </c>
      <c r="O88" s="2710">
        <v>1.191008938410677</v>
      </c>
      <c r="P88" s="2710">
        <v>22616.7</v>
      </c>
      <c r="Q88" s="2710">
        <v>0.51006292144967413</v>
      </c>
      <c r="R88" s="2710">
        <v>408849.88</v>
      </c>
      <c r="S88" s="2710">
        <v>0.5502719799299054</v>
      </c>
      <c r="U88" s="2809">
        <v>0</v>
      </c>
      <c r="V88" s="2809">
        <v>0</v>
      </c>
      <c r="W88" s="2809">
        <v>4157</v>
      </c>
      <c r="X88" s="2809">
        <v>0.26325121904882526</v>
      </c>
      <c r="Z88" s="2809">
        <f t="shared" si="13"/>
        <v>404692.88</v>
      </c>
      <c r="AA88" s="2809">
        <f t="shared" si="14"/>
        <v>0.55740287287216972</v>
      </c>
      <c r="AB88" s="2871">
        <f t="shared" si="12"/>
        <v>404.69288</v>
      </c>
      <c r="AC88" s="2912">
        <v>0</v>
      </c>
      <c r="AD88" s="2912">
        <v>0</v>
      </c>
      <c r="AE88" s="2912">
        <v>0</v>
      </c>
    </row>
    <row r="89" spans="1:31" ht="18" hidden="1" customHeight="1" x14ac:dyDescent="0.25">
      <c r="A89" s="2646" t="s">
        <v>801</v>
      </c>
      <c r="B89" s="2651" t="s">
        <v>153</v>
      </c>
      <c r="C89" s="2651"/>
      <c r="D89" s="2651" t="s">
        <v>153</v>
      </c>
      <c r="E89" s="2651"/>
      <c r="F89" s="2651" t="s">
        <v>153</v>
      </c>
      <c r="G89" s="2651"/>
      <c r="H89" s="2651" t="s">
        <v>153</v>
      </c>
      <c r="I89" s="2651"/>
      <c r="J89" s="2651" t="s">
        <v>153</v>
      </c>
      <c r="K89" s="2651"/>
      <c r="L89" s="2651" t="s">
        <v>153</v>
      </c>
      <c r="M89" s="2651"/>
      <c r="N89" s="2651" t="s">
        <v>153</v>
      </c>
      <c r="O89" s="2651"/>
      <c r="P89" s="2651" t="s">
        <v>153</v>
      </c>
      <c r="Q89" s="2651"/>
      <c r="R89" s="2651" t="s">
        <v>153</v>
      </c>
      <c r="S89" s="2651"/>
      <c r="U89" s="2778" t="s">
        <v>153</v>
      </c>
      <c r="V89" s="2778" t="s">
        <v>153</v>
      </c>
      <c r="W89" s="2778" t="s">
        <v>153</v>
      </c>
      <c r="X89" s="2778" t="s">
        <v>153</v>
      </c>
      <c r="Z89" s="2778"/>
      <c r="AA89" s="2778"/>
      <c r="AB89" s="2839"/>
      <c r="AC89" s="2912">
        <v>0</v>
      </c>
      <c r="AD89" s="2912">
        <v>0</v>
      </c>
      <c r="AE89" s="2912">
        <v>0</v>
      </c>
    </row>
    <row r="90" spans="1:31" ht="42.75" customHeight="1" x14ac:dyDescent="0.25">
      <c r="A90" s="2711" t="s">
        <v>802</v>
      </c>
      <c r="B90" s="2712">
        <v>216664</v>
      </c>
      <c r="C90" s="2712">
        <v>2.9882628784221779</v>
      </c>
      <c r="D90" s="2712">
        <v>0</v>
      </c>
      <c r="E90" s="2712">
        <v>0</v>
      </c>
      <c r="F90" s="2712">
        <v>577040</v>
      </c>
      <c r="G90" s="2712">
        <v>1.812823976626559</v>
      </c>
      <c r="H90" s="2712">
        <v>106080</v>
      </c>
      <c r="I90" s="2712">
        <v>1.5100355871886122</v>
      </c>
      <c r="J90" s="2712">
        <v>249760</v>
      </c>
      <c r="K90" s="2712">
        <v>3.990668839676605</v>
      </c>
      <c r="L90" s="2712">
        <v>429054.03</v>
      </c>
      <c r="M90" s="2712">
        <v>5.3776277495769884</v>
      </c>
      <c r="N90" s="2712">
        <v>156120.03</v>
      </c>
      <c r="O90" s="2712">
        <v>4.7789895310395494</v>
      </c>
      <c r="P90" s="2712">
        <v>112760</v>
      </c>
      <c r="Q90" s="2712">
        <v>2.5430188764349024</v>
      </c>
      <c r="R90" s="2712">
        <v>1847478.06</v>
      </c>
      <c r="S90" s="2712">
        <v>2.4865249072673339</v>
      </c>
      <c r="U90" s="2810">
        <v>28233</v>
      </c>
      <c r="V90" s="2810">
        <v>24.089590443686006</v>
      </c>
      <c r="W90" s="2810">
        <v>33564</v>
      </c>
      <c r="X90" s="2810">
        <v>2.1255145335950858</v>
      </c>
      <c r="Z90" s="2810">
        <f t="shared" si="13"/>
        <v>1785681.06</v>
      </c>
      <c r="AA90" s="2810">
        <f t="shared" si="14"/>
        <v>2.459503989488081</v>
      </c>
      <c r="AB90" s="2872">
        <f t="shared" si="12"/>
        <v>1785.6810600000001</v>
      </c>
      <c r="AC90" s="2904" t="s">
        <v>1459</v>
      </c>
      <c r="AD90" s="46" t="s">
        <v>176</v>
      </c>
      <c r="AE90" s="644" t="s">
        <v>117</v>
      </c>
    </row>
    <row r="91" spans="1:31" ht="42.75" customHeight="1" x14ac:dyDescent="0.25">
      <c r="A91" s="2711" t="s">
        <v>803</v>
      </c>
      <c r="B91" s="2712">
        <v>16400</v>
      </c>
      <c r="C91" s="2712">
        <v>0.22619129715192055</v>
      </c>
      <c r="D91" s="2712">
        <v>252509.06000000006</v>
      </c>
      <c r="E91" s="2712">
        <v>4.0368508896740272</v>
      </c>
      <c r="F91" s="2712">
        <v>151792</v>
      </c>
      <c r="G91" s="2712">
        <v>0.47686846156262763</v>
      </c>
      <c r="H91" s="2712">
        <v>138880</v>
      </c>
      <c r="I91" s="2712">
        <v>1.9769395017793594</v>
      </c>
      <c r="J91" s="2712">
        <v>33820</v>
      </c>
      <c r="K91" s="2712">
        <v>0.54037644201578627</v>
      </c>
      <c r="L91" s="2712">
        <v>296700</v>
      </c>
      <c r="M91" s="2712">
        <v>3.7187441248354953</v>
      </c>
      <c r="N91" s="2712">
        <v>57930</v>
      </c>
      <c r="O91" s="2712">
        <v>1.7732949675523448</v>
      </c>
      <c r="P91" s="2712">
        <v>87300</v>
      </c>
      <c r="Q91" s="2712">
        <v>1.9688324575449359</v>
      </c>
      <c r="R91" s="2712">
        <v>1035331.06</v>
      </c>
      <c r="S91" s="2712">
        <v>1.393454419673861</v>
      </c>
      <c r="U91" s="2810">
        <v>0</v>
      </c>
      <c r="V91" s="2810">
        <v>0</v>
      </c>
      <c r="W91" s="2810">
        <v>0</v>
      </c>
      <c r="X91" s="2810">
        <v>0</v>
      </c>
      <c r="Z91" s="2810">
        <f t="shared" si="13"/>
        <v>1035331.06</v>
      </c>
      <c r="AA91" s="2810">
        <f t="shared" si="14"/>
        <v>1.4260110215375885</v>
      </c>
      <c r="AB91" s="2872">
        <f t="shared" si="12"/>
        <v>1035.33106</v>
      </c>
      <c r="AC91" s="2904" t="s">
        <v>1459</v>
      </c>
      <c r="AD91" s="46" t="s">
        <v>176</v>
      </c>
      <c r="AE91" s="644" t="s">
        <v>117</v>
      </c>
    </row>
    <row r="92" spans="1:31" ht="18" hidden="1" customHeight="1" x14ac:dyDescent="0.25">
      <c r="A92" s="2713" t="s">
        <v>804</v>
      </c>
      <c r="B92" s="2714">
        <v>233064</v>
      </c>
      <c r="C92" s="2714">
        <v>3.2144541755740983</v>
      </c>
      <c r="D92" s="2714">
        <v>252509.06000000006</v>
      </c>
      <c r="E92" s="2714">
        <v>4.0368508896740272</v>
      </c>
      <c r="F92" s="2714">
        <v>728832</v>
      </c>
      <c r="G92" s="2714">
        <v>2.2896924381891868</v>
      </c>
      <c r="H92" s="2714">
        <v>244960</v>
      </c>
      <c r="I92" s="2714">
        <v>3.4869750889679714</v>
      </c>
      <c r="J92" s="2714">
        <v>283580</v>
      </c>
      <c r="K92" s="2714">
        <v>4.531045281692391</v>
      </c>
      <c r="L92" s="2714">
        <v>725754.03</v>
      </c>
      <c r="M92" s="2714">
        <v>9.0963718744124833</v>
      </c>
      <c r="N92" s="2714">
        <v>214050.03</v>
      </c>
      <c r="O92" s="2714">
        <v>6.5522844985918942</v>
      </c>
      <c r="P92" s="2714">
        <v>200060</v>
      </c>
      <c r="Q92" s="2714">
        <v>4.5118513339798385</v>
      </c>
      <c r="R92" s="2714">
        <v>2882809.12</v>
      </c>
      <c r="S92" s="2714">
        <v>3.8799793269411951</v>
      </c>
      <c r="U92" s="2811">
        <v>28233</v>
      </c>
      <c r="V92" s="2811">
        <v>24.089590443686006</v>
      </c>
      <c r="W92" s="2811">
        <v>33564</v>
      </c>
      <c r="X92" s="2811">
        <v>2.1255145335950858</v>
      </c>
      <c r="Z92" s="2811">
        <f t="shared" si="13"/>
        <v>2821012.12</v>
      </c>
      <c r="AA92" s="2811">
        <f t="shared" si="14"/>
        <v>3.88551501102567</v>
      </c>
      <c r="AB92" s="2873">
        <f t="shared" si="12"/>
        <v>2821.0121200000003</v>
      </c>
      <c r="AC92" s="2912">
        <v>0</v>
      </c>
      <c r="AD92" s="2912">
        <v>0</v>
      </c>
      <c r="AE92" s="2912">
        <v>0</v>
      </c>
    </row>
    <row r="93" spans="1:31" ht="18" hidden="1" customHeight="1" x14ac:dyDescent="0.25">
      <c r="A93" s="2646" t="s">
        <v>805</v>
      </c>
      <c r="B93" s="2651" t="s">
        <v>153</v>
      </c>
      <c r="C93" s="2651"/>
      <c r="D93" s="2651" t="s">
        <v>153</v>
      </c>
      <c r="E93" s="2651"/>
      <c r="F93" s="2651" t="s">
        <v>153</v>
      </c>
      <c r="G93" s="2651"/>
      <c r="H93" s="2651" t="s">
        <v>153</v>
      </c>
      <c r="I93" s="2651"/>
      <c r="J93" s="2651" t="s">
        <v>153</v>
      </c>
      <c r="K93" s="2651"/>
      <c r="L93" s="2651" t="s">
        <v>153</v>
      </c>
      <c r="M93" s="2651"/>
      <c r="N93" s="2651" t="s">
        <v>153</v>
      </c>
      <c r="O93" s="2651"/>
      <c r="P93" s="2651" t="s">
        <v>153</v>
      </c>
      <c r="Q93" s="2651"/>
      <c r="R93" s="2651" t="s">
        <v>153</v>
      </c>
      <c r="S93" s="2651"/>
      <c r="U93" s="2778" t="s">
        <v>153</v>
      </c>
      <c r="V93" s="2778" t="s">
        <v>153</v>
      </c>
      <c r="W93" s="2778" t="s">
        <v>153</v>
      </c>
      <c r="X93" s="2778" t="s">
        <v>153</v>
      </c>
      <c r="Z93" s="2778"/>
      <c r="AA93" s="2778"/>
      <c r="AB93" s="2839"/>
      <c r="AC93" s="2912">
        <v>0</v>
      </c>
      <c r="AD93" s="2912">
        <v>0</v>
      </c>
      <c r="AE93" s="2912">
        <v>0</v>
      </c>
    </row>
    <row r="94" spans="1:31" ht="18" customHeight="1" x14ac:dyDescent="0.25">
      <c r="A94" s="2715" t="s">
        <v>806</v>
      </c>
      <c r="B94" s="2716">
        <v>5620</v>
      </c>
      <c r="C94" s="2716">
        <v>7.751189573132887E-2</v>
      </c>
      <c r="D94" s="2716">
        <v>0</v>
      </c>
      <c r="E94" s="2716">
        <v>0</v>
      </c>
      <c r="F94" s="2716">
        <v>0</v>
      </c>
      <c r="G94" s="2716">
        <v>0</v>
      </c>
      <c r="H94" s="2716">
        <v>0</v>
      </c>
      <c r="I94" s="2716">
        <v>0</v>
      </c>
      <c r="J94" s="2716">
        <v>0</v>
      </c>
      <c r="K94" s="2716">
        <v>0</v>
      </c>
      <c r="L94" s="2716">
        <v>0</v>
      </c>
      <c r="M94" s="2716">
        <v>0</v>
      </c>
      <c r="N94" s="2716">
        <v>0</v>
      </c>
      <c r="O94" s="2716">
        <v>0</v>
      </c>
      <c r="P94" s="2716">
        <v>3920</v>
      </c>
      <c r="Q94" s="2716">
        <v>8.8405764416679827E-2</v>
      </c>
      <c r="R94" s="2716">
        <v>9540</v>
      </c>
      <c r="S94" s="2716">
        <v>1.2839907617268465E-2</v>
      </c>
      <c r="U94" s="2812">
        <v>0</v>
      </c>
      <c r="V94" s="2812">
        <v>0</v>
      </c>
      <c r="W94" s="2812">
        <v>0</v>
      </c>
      <c r="X94" s="2812">
        <v>0</v>
      </c>
      <c r="Z94" s="2812">
        <f t="shared" si="13"/>
        <v>9540</v>
      </c>
      <c r="AA94" s="2812">
        <f t="shared" si="14"/>
        <v>1.3139898599650429E-2</v>
      </c>
      <c r="AB94" s="2874">
        <f t="shared" si="12"/>
        <v>9.5399999999999991</v>
      </c>
      <c r="AC94" s="2905" t="s">
        <v>1457</v>
      </c>
      <c r="AD94" s="2895" t="s">
        <v>17</v>
      </c>
      <c r="AE94" s="644" t="s">
        <v>155</v>
      </c>
    </row>
    <row r="95" spans="1:31" ht="18" customHeight="1" x14ac:dyDescent="0.25">
      <c r="A95" s="2715" t="s">
        <v>807</v>
      </c>
      <c r="B95" s="2716">
        <v>89880</v>
      </c>
      <c r="C95" s="2716">
        <v>1.2396386456106476</v>
      </c>
      <c r="D95" s="2716">
        <v>205400.43999999997</v>
      </c>
      <c r="E95" s="2716">
        <v>3.2837275183450298</v>
      </c>
      <c r="F95" s="2716">
        <v>185493</v>
      </c>
      <c r="G95" s="2716">
        <v>0.58274323772423109</v>
      </c>
      <c r="H95" s="2716">
        <v>214980</v>
      </c>
      <c r="I95" s="2716">
        <v>3.0602135231316727</v>
      </c>
      <c r="J95" s="2716">
        <v>223950</v>
      </c>
      <c r="K95" s="2716">
        <v>3.5782762918224522</v>
      </c>
      <c r="L95" s="2716">
        <v>251730</v>
      </c>
      <c r="M95" s="2716">
        <v>3.1551043429216019</v>
      </c>
      <c r="N95" s="2716">
        <v>71000</v>
      </c>
      <c r="O95" s="2716">
        <v>2.1733806783396594</v>
      </c>
      <c r="P95" s="2716">
        <v>123220</v>
      </c>
      <c r="Q95" s="2716">
        <v>2.7789179314855326</v>
      </c>
      <c r="R95" s="2716">
        <v>1365653.44</v>
      </c>
      <c r="S95" s="2716">
        <v>1.8380360594135094</v>
      </c>
      <c r="U95" s="2812">
        <v>0</v>
      </c>
      <c r="V95" s="2812">
        <v>0</v>
      </c>
      <c r="W95" s="2812">
        <v>0</v>
      </c>
      <c r="X95" s="2812">
        <v>0</v>
      </c>
      <c r="Z95" s="2812">
        <f t="shared" si="13"/>
        <v>1365653.44</v>
      </c>
      <c r="AA95" s="2812">
        <f t="shared" si="14"/>
        <v>1.8809798452687412</v>
      </c>
      <c r="AB95" s="2874">
        <f t="shared" si="12"/>
        <v>1365.65344</v>
      </c>
      <c r="AC95" s="2905" t="s">
        <v>1459</v>
      </c>
      <c r="AD95" s="2895" t="s">
        <v>17</v>
      </c>
      <c r="AE95" s="644" t="s">
        <v>155</v>
      </c>
    </row>
    <row r="96" spans="1:31" ht="18" hidden="1" customHeight="1" x14ac:dyDescent="0.25">
      <c r="A96" s="2717" t="s">
        <v>808</v>
      </c>
      <c r="B96" s="2718">
        <v>95500</v>
      </c>
      <c r="C96" s="2718">
        <v>1.3171505413419764</v>
      </c>
      <c r="D96" s="2718">
        <v>205400.43999999997</v>
      </c>
      <c r="E96" s="2718">
        <v>3.2837275183450298</v>
      </c>
      <c r="F96" s="2718">
        <v>185493</v>
      </c>
      <c r="G96" s="2718">
        <v>0.58274323772423109</v>
      </c>
      <c r="H96" s="2718">
        <v>214980</v>
      </c>
      <c r="I96" s="2718">
        <v>3.0602135231316727</v>
      </c>
      <c r="J96" s="2718">
        <v>223950</v>
      </c>
      <c r="K96" s="2718">
        <v>3.5782762918224522</v>
      </c>
      <c r="L96" s="2718">
        <v>251730</v>
      </c>
      <c r="M96" s="2718">
        <v>3.1551043429216019</v>
      </c>
      <c r="N96" s="2718">
        <v>71000</v>
      </c>
      <c r="O96" s="2718">
        <v>2.1733806783396594</v>
      </c>
      <c r="P96" s="2718">
        <v>127140</v>
      </c>
      <c r="Q96" s="2718">
        <v>2.8673236959022126</v>
      </c>
      <c r="R96" s="2718">
        <v>1375193.44</v>
      </c>
      <c r="S96" s="2718">
        <v>1.8508759670307779</v>
      </c>
      <c r="U96" s="2813">
        <v>0</v>
      </c>
      <c r="V96" s="2813">
        <v>0</v>
      </c>
      <c r="W96" s="2813">
        <v>0</v>
      </c>
      <c r="X96" s="2813">
        <v>0</v>
      </c>
      <c r="Z96" s="2813">
        <f t="shared" si="13"/>
        <v>1375193.44</v>
      </c>
      <c r="AA96" s="2813">
        <f t="shared" si="14"/>
        <v>1.8941197438683917</v>
      </c>
      <c r="AB96" s="2875">
        <f t="shared" si="12"/>
        <v>1375.19344</v>
      </c>
      <c r="AC96" s="2912">
        <v>0</v>
      </c>
      <c r="AD96" s="2912">
        <v>0</v>
      </c>
      <c r="AE96" s="2912">
        <v>0</v>
      </c>
    </row>
    <row r="97" spans="1:31" ht="18" hidden="1" customHeight="1" x14ac:dyDescent="0.25">
      <c r="A97" s="2646" t="s">
        <v>813</v>
      </c>
      <c r="B97" s="2651" t="s">
        <v>153</v>
      </c>
      <c r="C97" s="2651"/>
      <c r="D97" s="2651" t="s">
        <v>153</v>
      </c>
      <c r="E97" s="2651"/>
      <c r="F97" s="2651" t="s">
        <v>153</v>
      </c>
      <c r="G97" s="2651"/>
      <c r="H97" s="2651" t="s">
        <v>153</v>
      </c>
      <c r="I97" s="2651"/>
      <c r="J97" s="2651" t="s">
        <v>153</v>
      </c>
      <c r="K97" s="2651"/>
      <c r="L97" s="2651" t="s">
        <v>153</v>
      </c>
      <c r="M97" s="2651"/>
      <c r="N97" s="2651" t="s">
        <v>153</v>
      </c>
      <c r="O97" s="2651"/>
      <c r="P97" s="2651" t="s">
        <v>153</v>
      </c>
      <c r="Q97" s="2651"/>
      <c r="R97" s="2651" t="s">
        <v>153</v>
      </c>
      <c r="S97" s="2651"/>
      <c r="U97" s="2778" t="s">
        <v>153</v>
      </c>
      <c r="V97" s="2778" t="s">
        <v>153</v>
      </c>
      <c r="W97" s="2778" t="s">
        <v>153</v>
      </c>
      <c r="X97" s="2778" t="s">
        <v>153</v>
      </c>
      <c r="Z97" s="2778"/>
      <c r="AA97" s="2778"/>
      <c r="AB97" s="2839"/>
      <c r="AC97" s="2912">
        <v>0</v>
      </c>
      <c r="AD97" s="2912">
        <v>0</v>
      </c>
      <c r="AE97" s="2912">
        <v>0</v>
      </c>
    </row>
    <row r="98" spans="1:31" ht="18" customHeight="1" x14ac:dyDescent="0.25">
      <c r="A98" s="2719" t="s">
        <v>975</v>
      </c>
      <c r="B98" s="2720">
        <v>0</v>
      </c>
      <c r="C98" s="2720">
        <v>0</v>
      </c>
      <c r="D98" s="2720">
        <v>0</v>
      </c>
      <c r="E98" s="2720">
        <v>0</v>
      </c>
      <c r="F98" s="2720">
        <v>0</v>
      </c>
      <c r="G98" s="2720">
        <v>0</v>
      </c>
      <c r="H98" s="2720">
        <v>0</v>
      </c>
      <c r="I98" s="2720">
        <v>0</v>
      </c>
      <c r="J98" s="2720">
        <v>0</v>
      </c>
      <c r="K98" s="2720">
        <v>0</v>
      </c>
      <c r="L98" s="2720">
        <v>0</v>
      </c>
      <c r="M98" s="2720">
        <v>0</v>
      </c>
      <c r="N98" s="2720">
        <v>0</v>
      </c>
      <c r="O98" s="2720">
        <v>0</v>
      </c>
      <c r="P98" s="2720">
        <v>3100</v>
      </c>
      <c r="Q98" s="2720">
        <v>6.9912721860129451E-2</v>
      </c>
      <c r="R98" s="2720">
        <v>3100</v>
      </c>
      <c r="S98" s="2720">
        <v>4.1722970244792703E-3</v>
      </c>
      <c r="U98" s="2814">
        <v>0</v>
      </c>
      <c r="V98" s="2814">
        <v>0</v>
      </c>
      <c r="W98" s="2814">
        <v>0</v>
      </c>
      <c r="X98" s="2814">
        <v>0</v>
      </c>
      <c r="Z98" s="2814">
        <f t="shared" si="13"/>
        <v>3100</v>
      </c>
      <c r="AA98" s="2814">
        <f t="shared" si="14"/>
        <v>4.2697783709555901E-3</v>
      </c>
      <c r="AB98" s="2876">
        <f t="shared" si="12"/>
        <v>3.1</v>
      </c>
      <c r="AC98" s="2906" t="s">
        <v>1457</v>
      </c>
      <c r="AD98" s="2888" t="s">
        <v>65</v>
      </c>
      <c r="AE98" s="644" t="s">
        <v>155</v>
      </c>
    </row>
    <row r="99" spans="1:31" ht="18" hidden="1" customHeight="1" x14ac:dyDescent="0.25">
      <c r="A99" s="2721" t="s">
        <v>815</v>
      </c>
      <c r="B99" s="2722">
        <v>0</v>
      </c>
      <c r="C99" s="2722">
        <v>0</v>
      </c>
      <c r="D99" s="2722">
        <v>0</v>
      </c>
      <c r="E99" s="2722">
        <v>0</v>
      </c>
      <c r="F99" s="2722">
        <v>0</v>
      </c>
      <c r="G99" s="2722">
        <v>0</v>
      </c>
      <c r="H99" s="2722">
        <v>0</v>
      </c>
      <c r="I99" s="2722">
        <v>0</v>
      </c>
      <c r="J99" s="2722">
        <v>0</v>
      </c>
      <c r="K99" s="2722">
        <v>0</v>
      </c>
      <c r="L99" s="2722">
        <v>0</v>
      </c>
      <c r="M99" s="2722">
        <v>0</v>
      </c>
      <c r="N99" s="2722">
        <v>0</v>
      </c>
      <c r="O99" s="2722">
        <v>0</v>
      </c>
      <c r="P99" s="2722">
        <v>3100</v>
      </c>
      <c r="Q99" s="2722">
        <v>6.9912721860129451E-2</v>
      </c>
      <c r="R99" s="2722">
        <v>3100</v>
      </c>
      <c r="S99" s="2722">
        <v>4.1722970244792703E-3</v>
      </c>
      <c r="U99" s="2815">
        <v>0</v>
      </c>
      <c r="V99" s="2815">
        <v>0</v>
      </c>
      <c r="W99" s="2815">
        <v>0</v>
      </c>
      <c r="X99" s="2815">
        <v>0</v>
      </c>
      <c r="Z99" s="2815">
        <f t="shared" si="13"/>
        <v>3100</v>
      </c>
      <c r="AA99" s="2815">
        <f t="shared" si="14"/>
        <v>4.2697783709555901E-3</v>
      </c>
      <c r="AB99" s="2877">
        <f t="shared" si="12"/>
        <v>3.1</v>
      </c>
      <c r="AC99" s="2912">
        <v>0</v>
      </c>
      <c r="AD99" s="2912">
        <v>0</v>
      </c>
      <c r="AE99" s="2912">
        <v>0</v>
      </c>
    </row>
    <row r="100" spans="1:31" ht="31.5" hidden="1" customHeight="1" x14ac:dyDescent="0.25">
      <c r="A100" s="2721" t="s">
        <v>816</v>
      </c>
      <c r="B100" s="2722">
        <v>15762341</v>
      </c>
      <c r="C100" s="2722">
        <v>217.39660713054272</v>
      </c>
      <c r="D100" s="2722">
        <v>18506593.549999997</v>
      </c>
      <c r="E100" s="2722">
        <v>295.86407171747851</v>
      </c>
      <c r="F100" s="2722">
        <v>69221141.120000005</v>
      </c>
      <c r="G100" s="2722">
        <v>217.46455065816343</v>
      </c>
      <c r="H100" s="2722">
        <v>20821554.989999998</v>
      </c>
      <c r="I100" s="2722">
        <v>296.39224185053376</v>
      </c>
      <c r="J100" s="2722">
        <v>18039673.986702997</v>
      </c>
      <c r="K100" s="2722">
        <v>288.23816806798641</v>
      </c>
      <c r="L100" s="2722">
        <v>21784716.210000005</v>
      </c>
      <c r="M100" s="2722">
        <v>273.04275502914089</v>
      </c>
      <c r="N100" s="2722">
        <v>9846903.0600000005</v>
      </c>
      <c r="O100" s="2722">
        <v>301.42350495898125</v>
      </c>
      <c r="P100" s="2722">
        <v>13806622.939999999</v>
      </c>
      <c r="Q100" s="2722">
        <v>311.37373852642025</v>
      </c>
      <c r="R100" s="2722">
        <v>187789546.85670301</v>
      </c>
      <c r="S100" s="2722">
        <v>252.74637663823628</v>
      </c>
      <c r="U100" s="2815">
        <v>940214</v>
      </c>
      <c r="V100" s="2815">
        <v>802.23037542662121</v>
      </c>
      <c r="W100" s="2815">
        <v>2607176</v>
      </c>
      <c r="X100" s="2815">
        <v>165.10518649863846</v>
      </c>
      <c r="Z100" s="2815">
        <f t="shared" si="13"/>
        <v>184242156.85670301</v>
      </c>
      <c r="AA100" s="2815">
        <f t="shared" si="14"/>
        <v>253.76554076288957</v>
      </c>
      <c r="AB100" s="2877">
        <f t="shared" si="12"/>
        <v>184242.15685670302</v>
      </c>
      <c r="AC100" s="2912">
        <v>0</v>
      </c>
      <c r="AD100" s="2912">
        <v>0</v>
      </c>
      <c r="AE100" s="2912">
        <v>0</v>
      </c>
    </row>
    <row r="101" spans="1:31" ht="42" hidden="1" customHeight="1" x14ac:dyDescent="0.25">
      <c r="A101" s="2721" t="s">
        <v>817</v>
      </c>
      <c r="B101" s="2722">
        <v>15973647.666666666</v>
      </c>
      <c r="C101" s="2722">
        <v>220.31098085189527</v>
      </c>
      <c r="D101" s="2722">
        <v>19100417.549999997</v>
      </c>
      <c r="E101" s="2722">
        <v>305.35750907259671</v>
      </c>
      <c r="F101" s="2722">
        <v>69958997.120000005</v>
      </c>
      <c r="G101" s="2722">
        <v>219.78259281832177</v>
      </c>
      <c r="H101" s="2722">
        <v>21249842.989999998</v>
      </c>
      <c r="I101" s="2722">
        <v>302.48886818505338</v>
      </c>
      <c r="J101" s="2722">
        <v>18693081.986702997</v>
      </c>
      <c r="K101" s="2722">
        <v>298.67833040461119</v>
      </c>
      <c r="L101" s="2722">
        <v>21934572.210000005</v>
      </c>
      <c r="M101" s="2722">
        <v>274.92100282007902</v>
      </c>
      <c r="N101" s="2722">
        <v>10274519.060000001</v>
      </c>
      <c r="O101" s="2722">
        <v>314.51325639769806</v>
      </c>
      <c r="P101" s="2722">
        <v>13971710.939999999</v>
      </c>
      <c r="Q101" s="2722">
        <v>315.0968841478541</v>
      </c>
      <c r="R101" s="2722">
        <v>191156789.52336967</v>
      </c>
      <c r="S101" s="2722">
        <v>257.2783561733437</v>
      </c>
      <c r="U101" s="2815">
        <v>974448.67</v>
      </c>
      <c r="V101" s="2815">
        <v>831.44084470989765</v>
      </c>
      <c r="W101" s="2815">
        <v>2611880</v>
      </c>
      <c r="X101" s="2815">
        <v>165.40307770248876</v>
      </c>
      <c r="Z101" s="2815">
        <f t="shared" si="13"/>
        <v>187570460.85336968</v>
      </c>
      <c r="AA101" s="2815">
        <f t="shared" si="14"/>
        <v>258.34977315544842</v>
      </c>
      <c r="AB101" s="2877">
        <f t="shared" si="12"/>
        <v>187570.46085336967</v>
      </c>
      <c r="AC101" s="2912">
        <v>0</v>
      </c>
      <c r="AD101" s="2912">
        <v>0</v>
      </c>
      <c r="AE101" s="2912">
        <v>0</v>
      </c>
    </row>
    <row r="102" spans="1:31" ht="18" hidden="1" customHeight="1" x14ac:dyDescent="0.25">
      <c r="A102" s="2646" t="s">
        <v>818</v>
      </c>
      <c r="B102" s="2651" t="s">
        <v>153</v>
      </c>
      <c r="C102" s="2651"/>
      <c r="D102" s="2651" t="s">
        <v>153</v>
      </c>
      <c r="E102" s="2651"/>
      <c r="F102" s="2651" t="s">
        <v>153</v>
      </c>
      <c r="G102" s="2651"/>
      <c r="H102" s="2651" t="s">
        <v>153</v>
      </c>
      <c r="I102" s="2651"/>
      <c r="J102" s="2651" t="s">
        <v>153</v>
      </c>
      <c r="K102" s="2651"/>
      <c r="L102" s="2651" t="s">
        <v>153</v>
      </c>
      <c r="M102" s="2651"/>
      <c r="N102" s="2651" t="s">
        <v>153</v>
      </c>
      <c r="O102" s="2651"/>
      <c r="P102" s="2651" t="s">
        <v>153</v>
      </c>
      <c r="Q102" s="2651"/>
      <c r="R102" s="2651" t="s">
        <v>153</v>
      </c>
      <c r="S102" s="2651"/>
      <c r="U102" s="2778" t="s">
        <v>153</v>
      </c>
      <c r="V102" s="2778" t="s">
        <v>153</v>
      </c>
      <c r="W102" s="2778" t="s">
        <v>153</v>
      </c>
      <c r="X102" s="2778" t="s">
        <v>153</v>
      </c>
      <c r="Z102" s="2778"/>
      <c r="AA102" s="2778"/>
      <c r="AB102" s="2839"/>
      <c r="AC102" s="2912">
        <v>0</v>
      </c>
      <c r="AD102" s="2912">
        <v>0</v>
      </c>
      <c r="AE102" s="2912">
        <v>0</v>
      </c>
    </row>
    <row r="103" spans="1:31" ht="18" customHeight="1" x14ac:dyDescent="0.25">
      <c r="A103" s="2723" t="s">
        <v>819</v>
      </c>
      <c r="B103" s="2724">
        <v>0</v>
      </c>
      <c r="C103" s="2724">
        <v>0</v>
      </c>
      <c r="D103" s="2724">
        <v>1214706.0100000002</v>
      </c>
      <c r="E103" s="2724">
        <v>19.419449888890668</v>
      </c>
      <c r="F103" s="2724">
        <v>1900100</v>
      </c>
      <c r="G103" s="2724">
        <v>5.9693380666645721</v>
      </c>
      <c r="H103" s="2724">
        <v>277800</v>
      </c>
      <c r="I103" s="2724">
        <v>3.9544483985765124</v>
      </c>
      <c r="J103" s="2724">
        <v>326320</v>
      </c>
      <c r="K103" s="2724">
        <v>5.2139456108394846</v>
      </c>
      <c r="L103" s="2724">
        <v>0</v>
      </c>
      <c r="M103" s="2724">
        <v>0</v>
      </c>
      <c r="N103" s="2724">
        <v>382528.08000000007</v>
      </c>
      <c r="O103" s="2724">
        <v>11.709565323864334</v>
      </c>
      <c r="P103" s="2724">
        <v>0</v>
      </c>
      <c r="Q103" s="2724">
        <v>0</v>
      </c>
      <c r="R103" s="2724">
        <v>4101454.0900000003</v>
      </c>
      <c r="S103" s="2724">
        <v>5.5201563534662368</v>
      </c>
      <c r="U103" s="2816">
        <v>0</v>
      </c>
      <c r="V103" s="2816">
        <v>0</v>
      </c>
      <c r="W103" s="2816">
        <v>0</v>
      </c>
      <c r="X103" s="2816">
        <v>0</v>
      </c>
      <c r="Z103" s="2816">
        <f t="shared" si="13"/>
        <v>4101454.0900000003</v>
      </c>
      <c r="AA103" s="2816">
        <f t="shared" si="14"/>
        <v>5.6491290203062396</v>
      </c>
      <c r="AB103" s="2878">
        <f t="shared" si="12"/>
        <v>4101.4540900000002</v>
      </c>
      <c r="AC103" s="2907" t="s">
        <v>1457</v>
      </c>
      <c r="AD103" s="2908" t="s">
        <v>6</v>
      </c>
      <c r="AE103" s="644" t="s">
        <v>155</v>
      </c>
    </row>
    <row r="104" spans="1:31" ht="18" customHeight="1" x14ac:dyDescent="0.25">
      <c r="A104" s="2723" t="s">
        <v>820</v>
      </c>
      <c r="B104" s="2724">
        <v>11209399</v>
      </c>
      <c r="C104" s="2724">
        <v>154.60173781118544</v>
      </c>
      <c r="D104" s="2724">
        <v>4918084.8800000008</v>
      </c>
      <c r="E104" s="2724">
        <v>78.625199916867842</v>
      </c>
      <c r="F104" s="2724">
        <v>58138709</v>
      </c>
      <c r="G104" s="2724">
        <v>182.64807577518772</v>
      </c>
      <c r="H104" s="2724">
        <v>4543700</v>
      </c>
      <c r="I104" s="2724">
        <v>64.679003558718861</v>
      </c>
      <c r="J104" s="2724">
        <v>5526269</v>
      </c>
      <c r="K104" s="2724">
        <v>88.298804844533919</v>
      </c>
      <c r="L104" s="2724">
        <v>18196512</v>
      </c>
      <c r="M104" s="2724">
        <v>228.06933634141757</v>
      </c>
      <c r="N104" s="2724">
        <v>2575688.4599999995</v>
      </c>
      <c r="O104" s="2724">
        <v>78.844387780090599</v>
      </c>
      <c r="P104" s="2724">
        <v>4553820.29</v>
      </c>
      <c r="Q104" s="2724">
        <v>102.69999075347872</v>
      </c>
      <c r="R104" s="2724">
        <v>109662182.63</v>
      </c>
      <c r="S104" s="2724">
        <v>147.59458009195203</v>
      </c>
      <c r="U104" s="2816">
        <v>81886</v>
      </c>
      <c r="V104" s="2816">
        <v>69.868600682593851</v>
      </c>
      <c r="W104" s="2816">
        <v>2803587</v>
      </c>
      <c r="X104" s="2816">
        <v>177.54334747641062</v>
      </c>
      <c r="Z104" s="2816">
        <f t="shared" si="13"/>
        <v>106776709.63</v>
      </c>
      <c r="AA104" s="2816">
        <f t="shared" si="14"/>
        <v>147.06867267741274</v>
      </c>
      <c r="AB104" s="2878">
        <f t="shared" si="12"/>
        <v>106776.70963</v>
      </c>
      <c r="AC104" s="2907" t="s">
        <v>1457</v>
      </c>
      <c r="AD104" s="2908" t="s">
        <v>6</v>
      </c>
      <c r="AE104" s="644" t="s">
        <v>155</v>
      </c>
    </row>
    <row r="105" spans="1:31" ht="18" customHeight="1" x14ac:dyDescent="0.25">
      <c r="A105" s="2723" t="s">
        <v>821</v>
      </c>
      <c r="B105" s="2724">
        <v>0</v>
      </c>
      <c r="C105" s="2724">
        <v>0</v>
      </c>
      <c r="D105" s="2724">
        <v>20979.41</v>
      </c>
      <c r="E105" s="2724">
        <v>0.33539687614906238</v>
      </c>
      <c r="F105" s="2724">
        <v>0</v>
      </c>
      <c r="G105" s="2724">
        <v>0</v>
      </c>
      <c r="H105" s="2724">
        <v>0</v>
      </c>
      <c r="I105" s="2724">
        <v>0</v>
      </c>
      <c r="J105" s="2724">
        <v>206475</v>
      </c>
      <c r="K105" s="2724">
        <v>3.2990604927619596</v>
      </c>
      <c r="L105" s="2724">
        <v>0</v>
      </c>
      <c r="M105" s="2724">
        <v>0</v>
      </c>
      <c r="N105" s="2724">
        <v>219789.23999999996</v>
      </c>
      <c r="O105" s="2724">
        <v>6.7279674299008194</v>
      </c>
      <c r="P105" s="2724">
        <v>0</v>
      </c>
      <c r="Q105" s="2724">
        <v>0</v>
      </c>
      <c r="R105" s="2724">
        <v>447243.64999999997</v>
      </c>
      <c r="S105" s="2724">
        <v>0.60194624197169289</v>
      </c>
      <c r="U105" s="2816">
        <v>0</v>
      </c>
      <c r="V105" s="2816">
        <v>0</v>
      </c>
      <c r="W105" s="2816">
        <v>0</v>
      </c>
      <c r="X105" s="2816">
        <v>0</v>
      </c>
      <c r="Z105" s="2816">
        <f t="shared" si="13"/>
        <v>447243.64999999997</v>
      </c>
      <c r="AA105" s="2816">
        <f t="shared" si="14"/>
        <v>0.61601008494104259</v>
      </c>
      <c r="AB105" s="2878">
        <f t="shared" si="12"/>
        <v>447.24364999999995</v>
      </c>
      <c r="AC105" s="2907" t="s">
        <v>1457</v>
      </c>
      <c r="AD105" s="2908" t="s">
        <v>6</v>
      </c>
      <c r="AE105" s="644" t="s">
        <v>155</v>
      </c>
    </row>
    <row r="106" spans="1:31" ht="18" customHeight="1" x14ac:dyDescent="0.25">
      <c r="A106" s="2723" t="s">
        <v>822</v>
      </c>
      <c r="B106" s="2724">
        <v>783405</v>
      </c>
      <c r="C106" s="2724">
        <v>10.804841045445142</v>
      </c>
      <c r="D106" s="2724">
        <v>0</v>
      </c>
      <c r="E106" s="2724">
        <v>0</v>
      </c>
      <c r="F106" s="2724">
        <v>87700</v>
      </c>
      <c r="G106" s="2724">
        <v>0.27551757720461184</v>
      </c>
      <c r="H106" s="2724">
        <v>0</v>
      </c>
      <c r="I106" s="2724">
        <v>0</v>
      </c>
      <c r="J106" s="2724">
        <v>0</v>
      </c>
      <c r="K106" s="2724">
        <v>0</v>
      </c>
      <c r="L106" s="2724">
        <v>0</v>
      </c>
      <c r="M106" s="2724">
        <v>0</v>
      </c>
      <c r="N106" s="2724">
        <v>0</v>
      </c>
      <c r="O106" s="2724">
        <v>0</v>
      </c>
      <c r="P106" s="2724">
        <v>0</v>
      </c>
      <c r="Q106" s="2724">
        <v>0</v>
      </c>
      <c r="R106" s="2724">
        <v>871105</v>
      </c>
      <c r="S106" s="2724">
        <v>1.1724221933900048</v>
      </c>
      <c r="U106" s="2816">
        <v>159090</v>
      </c>
      <c r="V106" s="2816">
        <v>135.74232081911262</v>
      </c>
      <c r="W106" s="2816">
        <v>37907</v>
      </c>
      <c r="X106" s="2816">
        <v>2.4005446140206446</v>
      </c>
      <c r="Z106" s="2816">
        <f t="shared" si="13"/>
        <v>674108</v>
      </c>
      <c r="AA106" s="2816">
        <f t="shared" si="14"/>
        <v>0.92848121228649383</v>
      </c>
      <c r="AB106" s="2878">
        <f t="shared" si="12"/>
        <v>674.10799999999995</v>
      </c>
      <c r="AC106" s="2907" t="s">
        <v>1457</v>
      </c>
      <c r="AD106" s="2908" t="s">
        <v>6</v>
      </c>
      <c r="AE106" s="644" t="s">
        <v>155</v>
      </c>
    </row>
    <row r="107" spans="1:31" ht="18" customHeight="1" x14ac:dyDescent="0.25">
      <c r="A107" s="2723" t="s">
        <v>823</v>
      </c>
      <c r="B107" s="2724">
        <v>0</v>
      </c>
      <c r="C107" s="2724">
        <v>0</v>
      </c>
      <c r="D107" s="2724">
        <v>0</v>
      </c>
      <c r="E107" s="2724">
        <v>0</v>
      </c>
      <c r="F107" s="2724">
        <v>250460</v>
      </c>
      <c r="G107" s="2724">
        <v>0.78684301467123241</v>
      </c>
      <c r="H107" s="2724">
        <v>0</v>
      </c>
      <c r="I107" s="2724">
        <v>0</v>
      </c>
      <c r="J107" s="2724">
        <v>17792</v>
      </c>
      <c r="K107" s="2724">
        <v>0.28428082957849998</v>
      </c>
      <c r="L107" s="2724">
        <v>0</v>
      </c>
      <c r="M107" s="2724">
        <v>0</v>
      </c>
      <c r="N107" s="2724">
        <v>252269.09</v>
      </c>
      <c r="O107" s="2724">
        <v>7.7222079711032201</v>
      </c>
      <c r="P107" s="2724">
        <v>501200</v>
      </c>
      <c r="Q107" s="2724">
        <v>11.303308450418349</v>
      </c>
      <c r="R107" s="2724">
        <v>1021721.09</v>
      </c>
      <c r="S107" s="2724">
        <v>1.375136730211199</v>
      </c>
      <c r="U107" s="2816">
        <v>0</v>
      </c>
      <c r="V107" s="2816">
        <v>0</v>
      </c>
      <c r="W107" s="2816">
        <v>0</v>
      </c>
      <c r="X107" s="2816">
        <v>0</v>
      </c>
      <c r="Z107" s="2816">
        <f t="shared" si="13"/>
        <v>1021721.09</v>
      </c>
      <c r="AA107" s="2816">
        <f t="shared" si="14"/>
        <v>1.4072653584616677</v>
      </c>
      <c r="AB107" s="2878">
        <f t="shared" si="12"/>
        <v>1021.72109</v>
      </c>
      <c r="AC107" s="2907" t="s">
        <v>1458</v>
      </c>
      <c r="AD107" s="46" t="s">
        <v>89</v>
      </c>
      <c r="AE107" s="644" t="s">
        <v>114</v>
      </c>
    </row>
    <row r="108" spans="1:31" ht="18" customHeight="1" x14ac:dyDescent="0.25">
      <c r="A108" s="2723" t="s">
        <v>824</v>
      </c>
      <c r="B108" s="2724">
        <v>1937551</v>
      </c>
      <c r="C108" s="2724">
        <v>26.722998413902488</v>
      </c>
      <c r="D108" s="2724">
        <v>0</v>
      </c>
      <c r="E108" s="2724">
        <v>0</v>
      </c>
      <c r="F108" s="2724">
        <v>3539000</v>
      </c>
      <c r="G108" s="2724">
        <v>11.118092425622821</v>
      </c>
      <c r="H108" s="2724">
        <v>1193460</v>
      </c>
      <c r="I108" s="2724">
        <v>16.988754448398577</v>
      </c>
      <c r="J108" s="2724">
        <v>1420763</v>
      </c>
      <c r="K108" s="2724">
        <v>22.700971463266544</v>
      </c>
      <c r="L108" s="2724">
        <v>1807668</v>
      </c>
      <c r="M108" s="2724">
        <v>22.656739988719686</v>
      </c>
      <c r="N108" s="2724">
        <v>425755.4599999999</v>
      </c>
      <c r="O108" s="2724">
        <v>13.032798457205825</v>
      </c>
      <c r="P108" s="2724">
        <v>766320</v>
      </c>
      <c r="Q108" s="2724">
        <v>17.282424843824</v>
      </c>
      <c r="R108" s="2724">
        <v>11090517.460000001</v>
      </c>
      <c r="S108" s="2724">
        <v>14.926752580094645</v>
      </c>
      <c r="U108" s="2816">
        <v>368266</v>
      </c>
      <c r="V108" s="2816">
        <v>314.22013651877131</v>
      </c>
      <c r="W108" s="2816">
        <v>252629</v>
      </c>
      <c r="X108" s="2816">
        <v>15.998290165284022</v>
      </c>
      <c r="Z108" s="2816">
        <f t="shared" si="13"/>
        <v>10469622.460000001</v>
      </c>
      <c r="AA108" s="2816">
        <f t="shared" si="14"/>
        <v>14.42031210702544</v>
      </c>
      <c r="AB108" s="2878">
        <f t="shared" si="12"/>
        <v>10469.622460000001</v>
      </c>
      <c r="AC108" s="2907" t="s">
        <v>1459</v>
      </c>
      <c r="AD108" s="46" t="s">
        <v>89</v>
      </c>
      <c r="AE108" s="644" t="s">
        <v>117</v>
      </c>
    </row>
    <row r="109" spans="1:31" ht="18" customHeight="1" x14ac:dyDescent="0.25">
      <c r="A109" s="2723" t="s">
        <v>825</v>
      </c>
      <c r="B109" s="2724">
        <v>284334</v>
      </c>
      <c r="C109" s="2724">
        <v>3.9215778222191573</v>
      </c>
      <c r="D109" s="2724">
        <v>0</v>
      </c>
      <c r="E109" s="2724">
        <v>0</v>
      </c>
      <c r="F109" s="2724">
        <v>2247100</v>
      </c>
      <c r="G109" s="2724">
        <v>7.0594703276679969</v>
      </c>
      <c r="H109" s="2724">
        <v>0</v>
      </c>
      <c r="I109" s="2724">
        <v>0</v>
      </c>
      <c r="J109" s="2724">
        <v>0</v>
      </c>
      <c r="K109" s="2724">
        <v>0</v>
      </c>
      <c r="L109" s="2724">
        <v>260840</v>
      </c>
      <c r="M109" s="2724">
        <v>3.2692862066804538</v>
      </c>
      <c r="N109" s="2724">
        <v>65920.289999999994</v>
      </c>
      <c r="O109" s="2724">
        <v>2.0178856985429166</v>
      </c>
      <c r="P109" s="2724">
        <v>0</v>
      </c>
      <c r="Q109" s="2724">
        <v>0</v>
      </c>
      <c r="R109" s="2724">
        <v>2858194.29</v>
      </c>
      <c r="S109" s="2724">
        <v>3.8468501714679486</v>
      </c>
      <c r="U109" s="2816">
        <v>0</v>
      </c>
      <c r="V109" s="2816">
        <v>0</v>
      </c>
      <c r="W109" s="2816">
        <v>62622</v>
      </c>
      <c r="X109" s="2816">
        <v>3.9656766512570449</v>
      </c>
      <c r="Z109" s="2816">
        <f t="shared" si="13"/>
        <v>2795572.29</v>
      </c>
      <c r="AA109" s="2816">
        <f t="shared" si="14"/>
        <v>3.8504755155757384</v>
      </c>
      <c r="AB109" s="2878">
        <f t="shared" si="12"/>
        <v>2795.5722900000001</v>
      </c>
      <c r="AC109" s="2907" t="s">
        <v>1459</v>
      </c>
      <c r="AD109" s="2908" t="s">
        <v>88</v>
      </c>
      <c r="AE109" s="644" t="s">
        <v>117</v>
      </c>
    </row>
    <row r="110" spans="1:31" ht="18" customHeight="1" x14ac:dyDescent="0.25">
      <c r="A110" s="2723" t="s">
        <v>826</v>
      </c>
      <c r="B110" s="2724">
        <v>293325</v>
      </c>
      <c r="C110" s="2724">
        <v>4.045583063237018</v>
      </c>
      <c r="D110" s="2724">
        <v>1340</v>
      </c>
      <c r="E110" s="2724">
        <v>2.1422519224312962E-2</v>
      </c>
      <c r="F110" s="2724">
        <v>515990</v>
      </c>
      <c r="G110" s="2724">
        <v>1.6210298137036223</v>
      </c>
      <c r="H110" s="2724">
        <v>0</v>
      </c>
      <c r="I110" s="2724">
        <v>0</v>
      </c>
      <c r="J110" s="2724">
        <v>0</v>
      </c>
      <c r="K110" s="2724">
        <v>0</v>
      </c>
      <c r="L110" s="2724">
        <v>29462</v>
      </c>
      <c r="M110" s="2724">
        <v>0.36926740615403897</v>
      </c>
      <c r="N110" s="2724">
        <v>0</v>
      </c>
      <c r="O110" s="2724">
        <v>0</v>
      </c>
      <c r="P110" s="2724">
        <v>260790</v>
      </c>
      <c r="Q110" s="2724">
        <v>5.8814641077106966</v>
      </c>
      <c r="R110" s="2724">
        <v>1100907</v>
      </c>
      <c r="S110" s="2724">
        <v>1.4817132259123871</v>
      </c>
      <c r="U110" s="2816">
        <v>0</v>
      </c>
      <c r="V110" s="2816">
        <v>0</v>
      </c>
      <c r="W110" s="2816">
        <v>0</v>
      </c>
      <c r="X110" s="2816">
        <v>0</v>
      </c>
      <c r="Z110" s="2816">
        <f t="shared" si="13"/>
        <v>1100907</v>
      </c>
      <c r="AA110" s="2816">
        <f t="shared" si="14"/>
        <v>1.5163319022689052</v>
      </c>
      <c r="AB110" s="2878">
        <f t="shared" si="12"/>
        <v>1100.9069999999999</v>
      </c>
      <c r="AC110" s="2907" t="s">
        <v>1459</v>
      </c>
      <c r="AD110" s="2908" t="s">
        <v>88</v>
      </c>
      <c r="AE110" s="644" t="s">
        <v>117</v>
      </c>
    </row>
    <row r="111" spans="1:31" ht="18" customHeight="1" x14ac:dyDescent="0.25">
      <c r="A111" s="2723" t="s">
        <v>827</v>
      </c>
      <c r="B111" s="2724">
        <v>0</v>
      </c>
      <c r="C111" s="2724">
        <v>0</v>
      </c>
      <c r="D111" s="2724">
        <v>0</v>
      </c>
      <c r="E111" s="2724">
        <v>0</v>
      </c>
      <c r="F111" s="2724">
        <v>191606</v>
      </c>
      <c r="G111" s="2724">
        <v>0.60194778674876692</v>
      </c>
      <c r="H111" s="2724">
        <v>0</v>
      </c>
      <c r="I111" s="2724">
        <v>0</v>
      </c>
      <c r="J111" s="2724">
        <v>424900</v>
      </c>
      <c r="K111" s="2724">
        <v>6.7890582558399641</v>
      </c>
      <c r="L111" s="2724">
        <v>0</v>
      </c>
      <c r="M111" s="2724">
        <v>0</v>
      </c>
      <c r="N111" s="2724">
        <v>27970</v>
      </c>
      <c r="O111" s="2724">
        <v>0.85618954328394759</v>
      </c>
      <c r="P111" s="2724">
        <v>994520</v>
      </c>
      <c r="Q111" s="2724">
        <v>22.428903272366433</v>
      </c>
      <c r="R111" s="2724">
        <v>1638996</v>
      </c>
      <c r="S111" s="2724">
        <v>2.2059284303011051</v>
      </c>
      <c r="U111" s="2816">
        <v>0</v>
      </c>
      <c r="V111" s="2816">
        <v>0</v>
      </c>
      <c r="W111" s="2816">
        <v>0</v>
      </c>
      <c r="X111" s="2816">
        <v>0</v>
      </c>
      <c r="Z111" s="2816">
        <f t="shared" si="13"/>
        <v>1638996</v>
      </c>
      <c r="AA111" s="2816">
        <f t="shared" si="14"/>
        <v>2.2574676357686223</v>
      </c>
      <c r="AB111" s="2878">
        <f t="shared" si="12"/>
        <v>1638.9960000000001</v>
      </c>
      <c r="AC111" s="2907" t="s">
        <v>1459</v>
      </c>
      <c r="AD111" s="46" t="s">
        <v>89</v>
      </c>
      <c r="AE111" s="644" t="s">
        <v>117</v>
      </c>
    </row>
    <row r="112" spans="1:31" ht="18" customHeight="1" x14ac:dyDescent="0.25">
      <c r="A112" s="2723" t="s">
        <v>828</v>
      </c>
      <c r="B112" s="2724">
        <v>0</v>
      </c>
      <c r="C112" s="2724">
        <v>0</v>
      </c>
      <c r="D112" s="2724">
        <v>0</v>
      </c>
      <c r="E112" s="2724">
        <v>0</v>
      </c>
      <c r="F112" s="2724">
        <v>0</v>
      </c>
      <c r="G112" s="2724">
        <v>0</v>
      </c>
      <c r="H112" s="2724">
        <v>0</v>
      </c>
      <c r="I112" s="2724">
        <v>0</v>
      </c>
      <c r="J112" s="2724">
        <v>0</v>
      </c>
      <c r="K112" s="2724">
        <v>0</v>
      </c>
      <c r="L112" s="2724">
        <v>0</v>
      </c>
      <c r="M112" s="2724">
        <v>0</v>
      </c>
      <c r="N112" s="2724">
        <v>0</v>
      </c>
      <c r="O112" s="2724">
        <v>0</v>
      </c>
      <c r="P112" s="2724">
        <v>0</v>
      </c>
      <c r="Q112" s="2724">
        <v>0</v>
      </c>
      <c r="R112" s="2724">
        <v>0</v>
      </c>
      <c r="S112" s="2724">
        <v>0</v>
      </c>
      <c r="U112" s="2816">
        <v>0</v>
      </c>
      <c r="V112" s="2816">
        <v>0</v>
      </c>
      <c r="W112" s="2816">
        <v>0</v>
      </c>
      <c r="X112" s="2816">
        <v>0</v>
      </c>
      <c r="Z112" s="2816">
        <f t="shared" si="13"/>
        <v>0</v>
      </c>
      <c r="AA112" s="2816">
        <f t="shared" si="14"/>
        <v>0</v>
      </c>
      <c r="AB112" s="2878">
        <f t="shared" si="12"/>
        <v>0</v>
      </c>
      <c r="AC112" s="2907" t="s">
        <v>1459</v>
      </c>
      <c r="AD112" s="46" t="s">
        <v>89</v>
      </c>
      <c r="AE112" s="644" t="s">
        <v>117</v>
      </c>
    </row>
    <row r="113" spans="1:31" ht="18" customHeight="1" x14ac:dyDescent="0.25">
      <c r="A113" s="2723" t="s">
        <v>829</v>
      </c>
      <c r="B113" s="2724">
        <v>0</v>
      </c>
      <c r="C113" s="2724">
        <v>0</v>
      </c>
      <c r="D113" s="2724">
        <v>0</v>
      </c>
      <c r="E113" s="2724">
        <v>0</v>
      </c>
      <c r="F113" s="2724">
        <v>0</v>
      </c>
      <c r="G113" s="2724">
        <v>0</v>
      </c>
      <c r="H113" s="2724">
        <v>0</v>
      </c>
      <c r="I113" s="2724">
        <v>0</v>
      </c>
      <c r="J113" s="2724">
        <v>0</v>
      </c>
      <c r="K113" s="2724">
        <v>0</v>
      </c>
      <c r="L113" s="2724">
        <v>0</v>
      </c>
      <c r="M113" s="2724">
        <v>0</v>
      </c>
      <c r="N113" s="2724">
        <v>0</v>
      </c>
      <c r="O113" s="2724">
        <v>0</v>
      </c>
      <c r="P113" s="2724">
        <v>0</v>
      </c>
      <c r="Q113" s="2724">
        <v>0</v>
      </c>
      <c r="R113" s="2724">
        <v>0</v>
      </c>
      <c r="S113" s="2724">
        <v>0</v>
      </c>
      <c r="U113" s="2816">
        <v>0</v>
      </c>
      <c r="V113" s="2816">
        <v>0</v>
      </c>
      <c r="W113" s="2816">
        <v>0</v>
      </c>
      <c r="X113" s="2816">
        <v>0</v>
      </c>
      <c r="Z113" s="2816">
        <f t="shared" si="13"/>
        <v>0</v>
      </c>
      <c r="AA113" s="2816">
        <f t="shared" si="14"/>
        <v>0</v>
      </c>
      <c r="AB113" s="2878">
        <f t="shared" si="12"/>
        <v>0</v>
      </c>
      <c r="AC113" s="2907" t="s">
        <v>1459</v>
      </c>
      <c r="AD113" s="46" t="s">
        <v>89</v>
      </c>
      <c r="AE113" s="644" t="s">
        <v>117</v>
      </c>
    </row>
    <row r="114" spans="1:31" ht="18" customHeight="1" x14ac:dyDescent="0.25">
      <c r="A114" s="2723" t="s">
        <v>830</v>
      </c>
      <c r="B114" s="2724">
        <v>412240</v>
      </c>
      <c r="C114" s="2724">
        <v>5.6856768498724222</v>
      </c>
      <c r="D114" s="2724">
        <v>125772.443724</v>
      </c>
      <c r="E114" s="2724">
        <v>2.0107183534076194</v>
      </c>
      <c r="F114" s="2724">
        <v>2358840.6</v>
      </c>
      <c r="G114" s="2724">
        <v>7.4105136502151989</v>
      </c>
      <c r="H114" s="2724">
        <v>667700</v>
      </c>
      <c r="I114" s="2724">
        <v>9.5046263345195729</v>
      </c>
      <c r="J114" s="2724">
        <v>767400</v>
      </c>
      <c r="K114" s="2724">
        <v>12.261528137283099</v>
      </c>
      <c r="L114" s="2724">
        <v>346400</v>
      </c>
      <c r="M114" s="2724">
        <v>4.3416682333772014</v>
      </c>
      <c r="N114" s="2724">
        <v>364988.45</v>
      </c>
      <c r="O114" s="2724">
        <v>11.172659789396352</v>
      </c>
      <c r="P114" s="2724">
        <v>110240</v>
      </c>
      <c r="Q114" s="2724">
        <v>2.4861865993098937</v>
      </c>
      <c r="R114" s="2724">
        <v>5153581.4937239997</v>
      </c>
      <c r="S114" s="2724">
        <v>6.9362170102180896</v>
      </c>
      <c r="U114" s="2816">
        <v>0</v>
      </c>
      <c r="V114" s="2816">
        <v>0</v>
      </c>
      <c r="W114" s="2816">
        <v>0</v>
      </c>
      <c r="X114" s="2816">
        <v>0</v>
      </c>
      <c r="Z114" s="2816">
        <f t="shared" si="13"/>
        <v>5153581.4937239997</v>
      </c>
      <c r="AA114" s="2816">
        <f t="shared" si="14"/>
        <v>7.0982744499547534</v>
      </c>
      <c r="AB114" s="2878">
        <f t="shared" si="12"/>
        <v>5153.5814937239993</v>
      </c>
      <c r="AC114" s="2907" t="s">
        <v>1457</v>
      </c>
      <c r="AD114" s="2908" t="s">
        <v>6</v>
      </c>
      <c r="AE114" s="644" t="s">
        <v>155</v>
      </c>
    </row>
    <row r="115" spans="1:31" ht="18" customHeight="1" x14ac:dyDescent="0.25">
      <c r="A115" s="2723" t="s">
        <v>831</v>
      </c>
      <c r="B115" s="2724">
        <v>0</v>
      </c>
      <c r="C115" s="2724">
        <v>0</v>
      </c>
      <c r="D115" s="2724">
        <v>73880</v>
      </c>
      <c r="E115" s="2724">
        <v>1.1811162091733145</v>
      </c>
      <c r="F115" s="2724">
        <v>0</v>
      </c>
      <c r="G115" s="2724">
        <v>0</v>
      </c>
      <c r="H115" s="2724">
        <v>0</v>
      </c>
      <c r="I115" s="2724">
        <v>0</v>
      </c>
      <c r="J115" s="2724">
        <v>0</v>
      </c>
      <c r="K115" s="2724">
        <v>0</v>
      </c>
      <c r="L115" s="2724">
        <v>0</v>
      </c>
      <c r="M115" s="2724">
        <v>0</v>
      </c>
      <c r="N115" s="2724">
        <v>0</v>
      </c>
      <c r="O115" s="2724">
        <v>0</v>
      </c>
      <c r="P115" s="2724">
        <v>0</v>
      </c>
      <c r="Q115" s="2724">
        <v>0</v>
      </c>
      <c r="R115" s="2724">
        <v>73880</v>
      </c>
      <c r="S115" s="2724">
        <v>9.9435259409202739E-2</v>
      </c>
      <c r="U115" s="2816">
        <v>0</v>
      </c>
      <c r="V115" s="2816">
        <v>0</v>
      </c>
      <c r="W115" s="2816">
        <v>0</v>
      </c>
      <c r="X115" s="2816">
        <v>0</v>
      </c>
      <c r="Z115" s="2816">
        <f t="shared" si="13"/>
        <v>73880</v>
      </c>
      <c r="AA115" s="2816">
        <f t="shared" si="14"/>
        <v>0.10175846001490291</v>
      </c>
      <c r="AB115" s="2878">
        <f t="shared" si="12"/>
        <v>73.88</v>
      </c>
      <c r="AC115" s="2907" t="s">
        <v>1459</v>
      </c>
      <c r="AD115" s="46" t="s">
        <v>89</v>
      </c>
      <c r="AE115" s="644" t="s">
        <v>117</v>
      </c>
    </row>
    <row r="116" spans="1:31" ht="31.5" hidden="1" customHeight="1" x14ac:dyDescent="0.25">
      <c r="A116" s="2725" t="s">
        <v>832</v>
      </c>
      <c r="B116" s="2726">
        <v>14920254</v>
      </c>
      <c r="C116" s="2726">
        <v>205.78241500586165</v>
      </c>
      <c r="D116" s="2726">
        <v>6354762.7437240006</v>
      </c>
      <c r="E116" s="2726">
        <v>101.59330376371283</v>
      </c>
      <c r="F116" s="2726">
        <v>69229505.599999994</v>
      </c>
      <c r="G116" s="2726">
        <v>217.4908284376865</v>
      </c>
      <c r="H116" s="2726">
        <v>6682660</v>
      </c>
      <c r="I116" s="2726">
        <v>95.12683274021353</v>
      </c>
      <c r="J116" s="2726">
        <v>8689919</v>
      </c>
      <c r="K116" s="2726">
        <v>138.84764963410348</v>
      </c>
      <c r="L116" s="2726">
        <v>20640882</v>
      </c>
      <c r="M116" s="2726">
        <v>258.70629817634892</v>
      </c>
      <c r="N116" s="2726">
        <v>4314909.0699999994</v>
      </c>
      <c r="O116" s="2726">
        <v>132.08366199338801</v>
      </c>
      <c r="P116" s="2726">
        <v>7186890.29</v>
      </c>
      <c r="Q116" s="2726">
        <v>162.08227802710809</v>
      </c>
      <c r="R116" s="2726">
        <v>138019782.70372403</v>
      </c>
      <c r="S116" s="2726">
        <v>185.76113828839459</v>
      </c>
      <c r="U116" s="2817">
        <v>609242</v>
      </c>
      <c r="V116" s="2817">
        <v>519.83105802047783</v>
      </c>
      <c r="W116" s="2817">
        <v>3156745</v>
      </c>
      <c r="X116" s="2817">
        <v>199.90785890697234</v>
      </c>
      <c r="Z116" s="2817">
        <f t="shared" si="13"/>
        <v>134253795.70372403</v>
      </c>
      <c r="AA116" s="2817">
        <f t="shared" si="14"/>
        <v>184.91417842401657</v>
      </c>
      <c r="AB116" s="2879">
        <f>Z116/1000</f>
        <v>134253.79570372403</v>
      </c>
      <c r="AC116" s="2912">
        <v>0</v>
      </c>
      <c r="AD116" s="2912">
        <v>0</v>
      </c>
      <c r="AE116" s="2912">
        <v>0</v>
      </c>
    </row>
    <row r="117" spans="1:31" ht="36.75" hidden="1" customHeight="1" x14ac:dyDescent="0.25">
      <c r="A117" s="2725" t="s">
        <v>833</v>
      </c>
      <c r="B117" s="2726">
        <v>30682595</v>
      </c>
      <c r="C117" s="2726">
        <v>423.1790221364044</v>
      </c>
      <c r="D117" s="2726">
        <v>24861356.293723997</v>
      </c>
      <c r="E117" s="2726">
        <v>397.45737548119132</v>
      </c>
      <c r="F117" s="2726">
        <v>138450646.72</v>
      </c>
      <c r="G117" s="2726">
        <v>434.95537909584993</v>
      </c>
      <c r="H117" s="2726">
        <v>27504214.989999998</v>
      </c>
      <c r="I117" s="2726">
        <v>391.51907459074732</v>
      </c>
      <c r="J117" s="2726">
        <v>26729592.986702997</v>
      </c>
      <c r="K117" s="2726">
        <v>427.08581770208986</v>
      </c>
      <c r="L117" s="2726">
        <v>42425598.210000008</v>
      </c>
      <c r="M117" s="2726">
        <v>531.74905320548987</v>
      </c>
      <c r="N117" s="2726">
        <v>14161812.129999999</v>
      </c>
      <c r="O117" s="2726">
        <v>433.50716695236923</v>
      </c>
      <c r="P117" s="2726">
        <v>20993513.23</v>
      </c>
      <c r="Q117" s="2726">
        <v>473.45601655352834</v>
      </c>
      <c r="R117" s="2726">
        <v>325809329.56042707</v>
      </c>
      <c r="S117" s="2726">
        <v>438.5075149266309</v>
      </c>
      <c r="U117" s="2817">
        <v>1549456</v>
      </c>
      <c r="V117" s="2817">
        <v>1322.061433447099</v>
      </c>
      <c r="W117" s="2817">
        <v>5763921</v>
      </c>
      <c r="X117" s="2817">
        <v>365.0130454056108</v>
      </c>
      <c r="Z117" s="2817">
        <f t="shared" si="13"/>
        <v>318495952.56042707</v>
      </c>
      <c r="AA117" s="2817">
        <f t="shared" si="14"/>
        <v>438.6797191869062</v>
      </c>
      <c r="AB117" s="2879">
        <f>Z117/1000</f>
        <v>318495.95256042707</v>
      </c>
      <c r="AC117" s="2912">
        <v>0</v>
      </c>
      <c r="AD117" s="2912">
        <v>0</v>
      </c>
      <c r="AE117" s="2912">
        <v>0</v>
      </c>
    </row>
    <row r="118" spans="1:31" ht="34.5" hidden="1" customHeight="1" x14ac:dyDescent="0.25">
      <c r="A118" s="2725" t="s">
        <v>834</v>
      </c>
      <c r="B118" s="2726">
        <v>30893901.666666664</v>
      </c>
      <c r="C118" s="2726">
        <v>426.09339585775689</v>
      </c>
      <c r="D118" s="2726">
        <v>25455180.293723997</v>
      </c>
      <c r="E118" s="2726">
        <v>406.95081283630952</v>
      </c>
      <c r="F118" s="2726">
        <v>139188502.72</v>
      </c>
      <c r="G118" s="2726">
        <v>437.27342125600831</v>
      </c>
      <c r="H118" s="2726">
        <v>27932502.989999998</v>
      </c>
      <c r="I118" s="2726">
        <v>397.61570092526688</v>
      </c>
      <c r="J118" s="2726">
        <v>27383000.986702997</v>
      </c>
      <c r="K118" s="2726">
        <v>437.52598003871469</v>
      </c>
      <c r="L118" s="2726">
        <v>42575454.210000008</v>
      </c>
      <c r="M118" s="2726">
        <v>533.62730099642795</v>
      </c>
      <c r="N118" s="2726">
        <v>14589428.129999999</v>
      </c>
      <c r="O118" s="2726">
        <v>446.59691839108604</v>
      </c>
      <c r="P118" s="2726">
        <v>21158601.23</v>
      </c>
      <c r="Q118" s="2726">
        <v>477.17916217496224</v>
      </c>
      <c r="R118" s="2726">
        <v>329176572.2270937</v>
      </c>
      <c r="S118" s="2726">
        <v>443.03949446173829</v>
      </c>
      <c r="U118" s="2817">
        <v>1583690.67</v>
      </c>
      <c r="V118" s="2817">
        <v>1351.2719027303754</v>
      </c>
      <c r="W118" s="2817">
        <v>5768625</v>
      </c>
      <c r="X118" s="2817">
        <v>365.31093660946107</v>
      </c>
      <c r="Z118" s="2817">
        <f t="shared" si="13"/>
        <v>321824256.55709368</v>
      </c>
      <c r="AA118" s="2817">
        <f t="shared" si="14"/>
        <v>443.26395157946496</v>
      </c>
      <c r="AB118" s="2879">
        <f t="shared" si="12"/>
        <v>321824.2565570937</v>
      </c>
      <c r="AC118" s="2912">
        <v>0</v>
      </c>
      <c r="AD118" s="2912">
        <v>0</v>
      </c>
      <c r="AE118" s="2912">
        <v>0</v>
      </c>
    </row>
    <row r="119" spans="1:31" ht="42.75" hidden="1" customHeight="1" x14ac:dyDescent="0.25">
      <c r="A119" s="2725" t="s">
        <v>1486</v>
      </c>
      <c r="B119" s="2727">
        <v>0.51704856961791978</v>
      </c>
      <c r="C119" s="2726">
        <v>7.1312126007574622E-6</v>
      </c>
      <c r="D119" s="2727">
        <v>0.75035483267463743</v>
      </c>
      <c r="E119" s="2726">
        <v>1.199588867763325E-5</v>
      </c>
      <c r="F119" s="2727">
        <v>0.50262051644260985</v>
      </c>
      <c r="G119" s="2726">
        <v>1.5790283573956515E-6</v>
      </c>
      <c r="H119" s="2727">
        <v>0.76075685009709182</v>
      </c>
      <c r="I119" s="2726">
        <v>1.0829279004940808E-5</v>
      </c>
      <c r="J119" s="2727">
        <v>0.68265278870567303</v>
      </c>
      <c r="K119" s="2726">
        <v>1.0907435987372145E-5</v>
      </c>
      <c r="L119" s="2727">
        <v>0.51519291143224188</v>
      </c>
      <c r="M119" s="2726">
        <v>6.4572652933789797E-6</v>
      </c>
      <c r="N119" s="2727">
        <v>0.70424412584566476</v>
      </c>
      <c r="O119" s="2726">
        <v>2.1557613745734811E-5</v>
      </c>
      <c r="P119" s="2727">
        <v>0.66033244769460586</v>
      </c>
      <c r="Q119" s="2726">
        <v>1.4892141532545631E-5</v>
      </c>
      <c r="R119" s="2727">
        <v>0.58071201188489696</v>
      </c>
      <c r="S119" s="2726">
        <v>7.8158161266668593E-7</v>
      </c>
      <c r="U119" s="2818">
        <v>0.615302399931421</v>
      </c>
      <c r="V119" s="2817">
        <v>5.2500204772305543E-4</v>
      </c>
      <c r="W119" s="2818">
        <v>0.45277340787449349</v>
      </c>
      <c r="X119" s="2817">
        <v>2.8672877453897379E-5</v>
      </c>
      <c r="Z119" s="2818">
        <f t="shared" si="13"/>
        <v>-0.48736379592101753</v>
      </c>
      <c r="AA119" s="2817">
        <f t="shared" si="14"/>
        <v>-6.7126948213237905E-7</v>
      </c>
      <c r="AB119" s="2879"/>
      <c r="AC119" s="2912">
        <v>0</v>
      </c>
      <c r="AD119" s="2912">
        <v>0</v>
      </c>
      <c r="AE119" s="2912">
        <v>0</v>
      </c>
    </row>
    <row r="120" spans="1:31" ht="18" hidden="1" customHeight="1" x14ac:dyDescent="0.25">
      <c r="A120" s="2646" t="s">
        <v>809</v>
      </c>
      <c r="B120" s="2651" t="s">
        <v>153</v>
      </c>
      <c r="C120" s="2651"/>
      <c r="D120" s="2651" t="s">
        <v>153</v>
      </c>
      <c r="E120" s="2651"/>
      <c r="F120" s="2651" t="s">
        <v>153</v>
      </c>
      <c r="G120" s="2651"/>
      <c r="H120" s="2651" t="s">
        <v>153</v>
      </c>
      <c r="I120" s="2651"/>
      <c r="J120" s="2651" t="s">
        <v>153</v>
      </c>
      <c r="K120" s="2651"/>
      <c r="L120" s="2651" t="s">
        <v>153</v>
      </c>
      <c r="M120" s="2651"/>
      <c r="N120" s="2651" t="s">
        <v>153</v>
      </c>
      <c r="O120" s="2651"/>
      <c r="P120" s="2651" t="s">
        <v>153</v>
      </c>
      <c r="Q120" s="2651"/>
      <c r="R120" s="2651" t="s">
        <v>153</v>
      </c>
      <c r="S120" s="2651"/>
      <c r="U120" s="2778" t="s">
        <v>153</v>
      </c>
      <c r="V120" s="2778" t="s">
        <v>153</v>
      </c>
      <c r="W120" s="2778" t="s">
        <v>153</v>
      </c>
      <c r="X120" s="2778" t="s">
        <v>153</v>
      </c>
      <c r="Z120" s="2778"/>
      <c r="AA120" s="2778"/>
      <c r="AB120" s="2839"/>
      <c r="AC120" s="2912">
        <v>0</v>
      </c>
      <c r="AD120" s="2912">
        <v>0</v>
      </c>
      <c r="AE120" s="2912">
        <v>0</v>
      </c>
    </row>
    <row r="121" spans="1:31" ht="18" customHeight="1" x14ac:dyDescent="0.25">
      <c r="A121" s="2728" t="s">
        <v>810</v>
      </c>
      <c r="B121" s="2729">
        <v>27560</v>
      </c>
      <c r="C121" s="2729">
        <v>0.3801117164333494</v>
      </c>
      <c r="D121" s="2729">
        <v>0</v>
      </c>
      <c r="E121" s="2729">
        <v>0</v>
      </c>
      <c r="F121" s="2729">
        <v>30157</v>
      </c>
      <c r="G121" s="2729">
        <v>9.4740975778329295E-2</v>
      </c>
      <c r="H121" s="2729">
        <v>18096</v>
      </c>
      <c r="I121" s="2729">
        <v>0.25759430604982209</v>
      </c>
      <c r="J121" s="2729">
        <v>36200</v>
      </c>
      <c r="K121" s="2729">
        <v>0.57840411593647145</v>
      </c>
      <c r="L121" s="2729">
        <v>26940</v>
      </c>
      <c r="M121" s="2729">
        <v>0.33765745440872347</v>
      </c>
      <c r="N121" s="2729">
        <v>2280</v>
      </c>
      <c r="O121" s="2729">
        <v>6.9793069670625693E-2</v>
      </c>
      <c r="P121" s="2729">
        <v>7640</v>
      </c>
      <c r="Q121" s="2729">
        <v>0.17230103064883517</v>
      </c>
      <c r="R121" s="2729">
        <v>148873</v>
      </c>
      <c r="S121" s="2729">
        <v>0.20036850804042014</v>
      </c>
      <c r="U121" s="2819">
        <v>0</v>
      </c>
      <c r="V121" s="2819">
        <v>0</v>
      </c>
      <c r="W121" s="2819">
        <v>0</v>
      </c>
      <c r="X121" s="2819">
        <v>0</v>
      </c>
      <c r="Z121" s="2819">
        <f t="shared" si="13"/>
        <v>148873</v>
      </c>
      <c r="AA121" s="2819">
        <f t="shared" si="14"/>
        <v>0.20504990819976501</v>
      </c>
      <c r="AB121" s="2880">
        <f t="shared" si="12"/>
        <v>148.87299999999999</v>
      </c>
      <c r="AC121" s="2909" t="s">
        <v>1457</v>
      </c>
      <c r="AD121" s="2888" t="s">
        <v>66</v>
      </c>
      <c r="AE121" s="644" t="s">
        <v>155</v>
      </c>
    </row>
    <row r="122" spans="1:31" ht="18" customHeight="1" x14ac:dyDescent="0.25">
      <c r="A122" s="2728" t="s">
        <v>811</v>
      </c>
      <c r="B122" s="2729">
        <v>0</v>
      </c>
      <c r="C122" s="2729">
        <v>0</v>
      </c>
      <c r="D122" s="2729">
        <v>0</v>
      </c>
      <c r="E122" s="2729">
        <v>0</v>
      </c>
      <c r="F122" s="2729">
        <v>0</v>
      </c>
      <c r="G122" s="2729">
        <v>0</v>
      </c>
      <c r="H122" s="2729">
        <v>0</v>
      </c>
      <c r="I122" s="2729">
        <v>0</v>
      </c>
      <c r="J122" s="2729">
        <v>0</v>
      </c>
      <c r="K122" s="2729">
        <v>0</v>
      </c>
      <c r="L122" s="2729">
        <v>0</v>
      </c>
      <c r="M122" s="2729">
        <v>0</v>
      </c>
      <c r="N122" s="2729">
        <v>0</v>
      </c>
      <c r="O122" s="2729">
        <v>0</v>
      </c>
      <c r="P122" s="2729">
        <v>0</v>
      </c>
      <c r="Q122" s="2729">
        <v>0</v>
      </c>
      <c r="R122" s="2729">
        <v>0</v>
      </c>
      <c r="S122" s="2729">
        <v>0</v>
      </c>
      <c r="U122" s="2819">
        <v>0</v>
      </c>
      <c r="V122" s="2819">
        <v>0</v>
      </c>
      <c r="W122" s="2819">
        <v>0</v>
      </c>
      <c r="X122" s="2819">
        <v>0</v>
      </c>
      <c r="Z122" s="2819">
        <f t="shared" si="13"/>
        <v>0</v>
      </c>
      <c r="AA122" s="2819">
        <f t="shared" si="14"/>
        <v>0</v>
      </c>
      <c r="AB122" s="2880">
        <f t="shared" si="12"/>
        <v>0</v>
      </c>
      <c r="AC122" s="2909" t="s">
        <v>1459</v>
      </c>
      <c r="AD122" s="2888" t="s">
        <v>66</v>
      </c>
      <c r="AE122" s="644" t="s">
        <v>155</v>
      </c>
    </row>
    <row r="123" spans="1:31" ht="18" hidden="1" customHeight="1" x14ac:dyDescent="0.25">
      <c r="A123" s="2730" t="s">
        <v>812</v>
      </c>
      <c r="B123" s="2731">
        <v>27560</v>
      </c>
      <c r="C123" s="2731">
        <v>0.3801117164333494</v>
      </c>
      <c r="D123" s="2731">
        <v>0</v>
      </c>
      <c r="E123" s="2731">
        <v>0</v>
      </c>
      <c r="F123" s="2731">
        <v>30157</v>
      </c>
      <c r="G123" s="2731">
        <v>9.4740975778329295E-2</v>
      </c>
      <c r="H123" s="2731">
        <v>18096</v>
      </c>
      <c r="I123" s="2731">
        <v>0.25759430604982209</v>
      </c>
      <c r="J123" s="2731">
        <v>36200</v>
      </c>
      <c r="K123" s="2731">
        <v>0.57840411593647145</v>
      </c>
      <c r="L123" s="2731">
        <v>26940</v>
      </c>
      <c r="M123" s="2731">
        <v>0.33765745440872347</v>
      </c>
      <c r="N123" s="2731">
        <v>2280</v>
      </c>
      <c r="O123" s="2731">
        <v>6.9793069670625693E-2</v>
      </c>
      <c r="P123" s="2731">
        <v>7640</v>
      </c>
      <c r="Q123" s="2731">
        <v>0.17230103064883517</v>
      </c>
      <c r="R123" s="2731">
        <v>148873</v>
      </c>
      <c r="S123" s="2731">
        <v>0.20036850804042014</v>
      </c>
      <c r="U123" s="2820">
        <v>0</v>
      </c>
      <c r="V123" s="2820">
        <v>0</v>
      </c>
      <c r="W123" s="2820">
        <v>0</v>
      </c>
      <c r="X123" s="2820">
        <v>0</v>
      </c>
      <c r="Z123" s="2820">
        <f t="shared" si="13"/>
        <v>148873</v>
      </c>
      <c r="AA123" s="2820">
        <f t="shared" si="14"/>
        <v>0.20504990819976501</v>
      </c>
      <c r="AB123" s="2881">
        <f t="shared" si="12"/>
        <v>148.87299999999999</v>
      </c>
      <c r="AC123" s="2912">
        <v>0</v>
      </c>
      <c r="AD123" s="2912">
        <v>0</v>
      </c>
      <c r="AE123" s="2912">
        <v>0</v>
      </c>
    </row>
    <row r="124" spans="1:31" ht="18" hidden="1" customHeight="1" x14ac:dyDescent="0.25">
      <c r="A124" s="2646" t="s">
        <v>766</v>
      </c>
      <c r="B124" s="2651" t="s">
        <v>153</v>
      </c>
      <c r="C124" s="2651"/>
      <c r="D124" s="2651" t="s">
        <v>153</v>
      </c>
      <c r="E124" s="2651"/>
      <c r="F124" s="2651" t="s">
        <v>153</v>
      </c>
      <c r="G124" s="2651"/>
      <c r="H124" s="2651" t="s">
        <v>153</v>
      </c>
      <c r="I124" s="2651"/>
      <c r="J124" s="2651" t="s">
        <v>153</v>
      </c>
      <c r="K124" s="2651"/>
      <c r="L124" s="2651" t="s">
        <v>153</v>
      </c>
      <c r="M124" s="2651"/>
      <c r="N124" s="2651" t="s">
        <v>153</v>
      </c>
      <c r="O124" s="2651"/>
      <c r="P124" s="2651" t="s">
        <v>153</v>
      </c>
      <c r="Q124" s="2651"/>
      <c r="R124" s="2651" t="s">
        <v>153</v>
      </c>
      <c r="S124" s="2651"/>
      <c r="U124" s="2778" t="s">
        <v>153</v>
      </c>
      <c r="V124" s="2778" t="s">
        <v>153</v>
      </c>
      <c r="W124" s="2778" t="s">
        <v>153</v>
      </c>
      <c r="X124" s="2778" t="s">
        <v>153</v>
      </c>
      <c r="Z124" s="2778"/>
      <c r="AA124" s="2778"/>
      <c r="AB124" s="2839"/>
      <c r="AC124" s="2912">
        <v>0</v>
      </c>
      <c r="AD124" s="2912">
        <v>0</v>
      </c>
      <c r="AE124" s="2912">
        <v>0</v>
      </c>
    </row>
    <row r="125" spans="1:31" ht="18" hidden="1" customHeight="1" x14ac:dyDescent="0.25">
      <c r="A125" s="2732" t="s">
        <v>766</v>
      </c>
      <c r="B125" s="2733">
        <v>0</v>
      </c>
      <c r="C125" s="2733">
        <v>0</v>
      </c>
      <c r="D125" s="2733">
        <v>0</v>
      </c>
      <c r="E125" s="2733">
        <v>0</v>
      </c>
      <c r="F125" s="2733">
        <v>109108</v>
      </c>
      <c r="G125" s="2733">
        <v>0.34277276868461565</v>
      </c>
      <c r="H125" s="2733">
        <v>0</v>
      </c>
      <c r="I125" s="2733">
        <v>0</v>
      </c>
      <c r="J125" s="2733">
        <v>116240</v>
      </c>
      <c r="K125" s="2733">
        <v>1.8572843766976641</v>
      </c>
      <c r="L125" s="2733">
        <v>140780</v>
      </c>
      <c r="M125" s="2733">
        <v>1.7644920724446951</v>
      </c>
      <c r="N125" s="2733">
        <v>0</v>
      </c>
      <c r="O125" s="2733">
        <v>0</v>
      </c>
      <c r="P125" s="2733">
        <v>0</v>
      </c>
      <c r="Q125" s="2733">
        <v>0</v>
      </c>
      <c r="R125" s="2733">
        <v>366128</v>
      </c>
      <c r="S125" s="2733">
        <v>0.49277250483178914</v>
      </c>
      <c r="U125" s="2821">
        <v>0</v>
      </c>
      <c r="V125" s="2821">
        <v>0</v>
      </c>
      <c r="W125" s="2821">
        <v>0</v>
      </c>
      <c r="X125" s="2821">
        <v>0</v>
      </c>
      <c r="Z125" s="2821">
        <f t="shared" si="13"/>
        <v>366128</v>
      </c>
      <c r="AA125" s="2821">
        <f t="shared" si="14"/>
        <v>0.50428561787136394</v>
      </c>
      <c r="AB125" s="2882">
        <f t="shared" si="12"/>
        <v>366.12799999999999</v>
      </c>
      <c r="AC125" s="2912">
        <v>0</v>
      </c>
      <c r="AD125" s="2912">
        <v>0</v>
      </c>
      <c r="AE125" s="2912">
        <v>0</v>
      </c>
    </row>
    <row r="126" spans="1:31" ht="18" customHeight="1" x14ac:dyDescent="0.25">
      <c r="A126" s="2734" t="s">
        <v>767</v>
      </c>
      <c r="B126" s="2735">
        <v>0</v>
      </c>
      <c r="C126" s="2735">
        <v>0</v>
      </c>
      <c r="D126" s="2735">
        <v>0</v>
      </c>
      <c r="E126" s="2735">
        <v>0</v>
      </c>
      <c r="F126" s="2735">
        <v>109108</v>
      </c>
      <c r="G126" s="2735">
        <v>0.34277276868461565</v>
      </c>
      <c r="H126" s="2735">
        <v>0</v>
      </c>
      <c r="I126" s="2735">
        <v>0</v>
      </c>
      <c r="J126" s="2735">
        <v>116240</v>
      </c>
      <c r="K126" s="2735">
        <v>1.8572843766976641</v>
      </c>
      <c r="L126" s="2735">
        <v>140780</v>
      </c>
      <c r="M126" s="2735">
        <v>1.7644920724446951</v>
      </c>
      <c r="N126" s="2735">
        <v>0</v>
      </c>
      <c r="O126" s="2735">
        <v>0</v>
      </c>
      <c r="P126" s="2735">
        <v>0</v>
      </c>
      <c r="Q126" s="2735">
        <v>0</v>
      </c>
      <c r="R126" s="2735">
        <v>366128</v>
      </c>
      <c r="S126" s="2735">
        <v>0.49277250483178914</v>
      </c>
      <c r="U126" s="2822">
        <v>0</v>
      </c>
      <c r="V126" s="2822">
        <v>0</v>
      </c>
      <c r="W126" s="2822">
        <v>0</v>
      </c>
      <c r="X126" s="2822">
        <v>0</v>
      </c>
      <c r="Z126" s="2822">
        <f t="shared" si="13"/>
        <v>366128</v>
      </c>
      <c r="AA126" s="2822">
        <f t="shared" si="14"/>
        <v>0.50428561787136394</v>
      </c>
      <c r="AB126" s="2883">
        <f t="shared" si="12"/>
        <v>366.12799999999999</v>
      </c>
      <c r="AC126" s="2910" t="s">
        <v>1457</v>
      </c>
      <c r="AD126" s="2890" t="s">
        <v>178</v>
      </c>
      <c r="AE126" s="644" t="s">
        <v>155</v>
      </c>
    </row>
    <row r="127" spans="1:31" ht="18" hidden="1" customHeight="1" x14ac:dyDescent="0.25">
      <c r="A127" s="2646" t="s">
        <v>836</v>
      </c>
      <c r="B127" s="2651" t="s">
        <v>153</v>
      </c>
      <c r="C127" s="2651"/>
      <c r="D127" s="2651" t="s">
        <v>153</v>
      </c>
      <c r="E127" s="2651"/>
      <c r="F127" s="2651" t="s">
        <v>153</v>
      </c>
      <c r="G127" s="2651"/>
      <c r="H127" s="2651" t="s">
        <v>153</v>
      </c>
      <c r="I127" s="2651"/>
      <c r="J127" s="2651" t="s">
        <v>153</v>
      </c>
      <c r="K127" s="2651"/>
      <c r="L127" s="2651" t="s">
        <v>153</v>
      </c>
      <c r="M127" s="2651"/>
      <c r="N127" s="2651" t="s">
        <v>153</v>
      </c>
      <c r="O127" s="2651"/>
      <c r="P127" s="2651" t="s">
        <v>153</v>
      </c>
      <c r="Q127" s="2651"/>
      <c r="R127" s="2651" t="s">
        <v>153</v>
      </c>
      <c r="S127" s="2651"/>
      <c r="U127" s="2778" t="s">
        <v>153</v>
      </c>
      <c r="V127" s="2778" t="s">
        <v>153</v>
      </c>
      <c r="W127" s="2778" t="s">
        <v>153</v>
      </c>
      <c r="X127" s="2778" t="s">
        <v>153</v>
      </c>
      <c r="Z127" s="2778"/>
      <c r="AA127" s="2778"/>
      <c r="AB127" s="2839"/>
      <c r="AC127" s="2912">
        <v>0</v>
      </c>
      <c r="AD127" s="2912">
        <v>0</v>
      </c>
      <c r="AE127" s="2912">
        <v>0</v>
      </c>
    </row>
    <row r="128" spans="1:31" ht="28.5" customHeight="1" x14ac:dyDescent="0.25">
      <c r="A128" s="2736" t="s">
        <v>837</v>
      </c>
      <c r="B128" s="2737">
        <v>1001210</v>
      </c>
      <c r="C128" s="2737">
        <v>13.808840769602096</v>
      </c>
      <c r="D128" s="2737">
        <v>2972740.41</v>
      </c>
      <c r="E128" s="2737">
        <v>47.525066106057459</v>
      </c>
      <c r="F128" s="2737">
        <v>2319474</v>
      </c>
      <c r="G128" s="2737">
        <v>7.2868398730797024</v>
      </c>
      <c r="H128" s="2737">
        <v>0</v>
      </c>
      <c r="I128" s="2737">
        <v>0</v>
      </c>
      <c r="J128" s="2737">
        <v>2100020</v>
      </c>
      <c r="K128" s="2737">
        <v>33.554149490301349</v>
      </c>
      <c r="L128" s="2737">
        <v>6280120</v>
      </c>
      <c r="M128" s="2737">
        <v>78.713041298489685</v>
      </c>
      <c r="N128" s="2737">
        <v>2009510</v>
      </c>
      <c r="O128" s="2737">
        <v>61.513101506060977</v>
      </c>
      <c r="P128" s="2737">
        <v>975800</v>
      </c>
      <c r="Q128" s="2737">
        <v>22.00672064229494</v>
      </c>
      <c r="R128" s="2737">
        <v>17658874.41</v>
      </c>
      <c r="S128" s="2737">
        <v>23.767119082740688</v>
      </c>
      <c r="U128" s="2823">
        <v>0</v>
      </c>
      <c r="V128" s="2823">
        <v>0</v>
      </c>
      <c r="W128" s="2823">
        <v>275300</v>
      </c>
      <c r="X128" s="2823">
        <v>17.433981381799761</v>
      </c>
      <c r="Z128" s="2823">
        <f t="shared" si="13"/>
        <v>17383574.41</v>
      </c>
      <c r="AA128" s="2823">
        <f t="shared" si="14"/>
        <v>23.943229040553252</v>
      </c>
      <c r="AB128" s="2884">
        <f t="shared" si="12"/>
        <v>17383.574410000001</v>
      </c>
      <c r="AC128" s="2911" t="s">
        <v>1460</v>
      </c>
      <c r="AD128" s="2890" t="s">
        <v>83</v>
      </c>
      <c r="AE128" s="644" t="s">
        <v>155</v>
      </c>
    </row>
    <row r="129" spans="1:31" ht="30.75" customHeight="1" x14ac:dyDescent="0.25">
      <c r="A129" s="2736" t="s">
        <v>838</v>
      </c>
      <c r="B129" s="2737">
        <v>16400</v>
      </c>
      <c r="C129" s="2737">
        <v>0.22619129715192055</v>
      </c>
      <c r="D129" s="2737">
        <v>0</v>
      </c>
      <c r="E129" s="2737">
        <v>0</v>
      </c>
      <c r="F129" s="2737">
        <v>0</v>
      </c>
      <c r="G129" s="2737">
        <v>0</v>
      </c>
      <c r="H129" s="2737">
        <v>0</v>
      </c>
      <c r="I129" s="2737">
        <v>0</v>
      </c>
      <c r="J129" s="2737">
        <v>0</v>
      </c>
      <c r="K129" s="2737">
        <v>0</v>
      </c>
      <c r="L129" s="2737">
        <v>0</v>
      </c>
      <c r="M129" s="2737">
        <v>0</v>
      </c>
      <c r="N129" s="2737">
        <v>157361</v>
      </c>
      <c r="O129" s="2737">
        <v>4.8169768580874246</v>
      </c>
      <c r="P129" s="2737">
        <v>0</v>
      </c>
      <c r="Q129" s="2737">
        <v>0</v>
      </c>
      <c r="R129" s="2737">
        <v>173761</v>
      </c>
      <c r="S129" s="2737">
        <v>0.23386532363565887</v>
      </c>
      <c r="U129" s="2823">
        <v>0</v>
      </c>
      <c r="V129" s="2823">
        <v>0</v>
      </c>
      <c r="W129" s="2823">
        <v>0</v>
      </c>
      <c r="X129" s="2823">
        <v>0</v>
      </c>
      <c r="Z129" s="2823">
        <f t="shared" si="13"/>
        <v>173761</v>
      </c>
      <c r="AA129" s="2823">
        <f t="shared" si="14"/>
        <v>0.23932934177923043</v>
      </c>
      <c r="AB129" s="2884">
        <f t="shared" ref="AB129:AB134" si="15">Z129/1000</f>
        <v>173.761</v>
      </c>
      <c r="AC129" s="2911" t="s">
        <v>1460</v>
      </c>
      <c r="AD129" s="2890" t="s">
        <v>83</v>
      </c>
      <c r="AE129" s="644" t="s">
        <v>117</v>
      </c>
    </row>
    <row r="130" spans="1:31" ht="18" hidden="1" customHeight="1" x14ac:dyDescent="0.25">
      <c r="A130" s="2738" t="s">
        <v>839</v>
      </c>
      <c r="B130" s="2739">
        <v>1017610</v>
      </c>
      <c r="C130" s="2739">
        <v>14.035032066754017</v>
      </c>
      <c r="D130" s="2739">
        <v>2972740.41</v>
      </c>
      <c r="E130" s="2739">
        <v>47.525066106057459</v>
      </c>
      <c r="F130" s="2739">
        <v>2319474</v>
      </c>
      <c r="G130" s="2739">
        <v>7.2868398730797024</v>
      </c>
      <c r="H130" s="2739">
        <v>0</v>
      </c>
      <c r="I130" s="2739">
        <v>0</v>
      </c>
      <c r="J130" s="2739">
        <v>2100020</v>
      </c>
      <c r="K130" s="2739">
        <v>33.554149490301349</v>
      </c>
      <c r="L130" s="2739">
        <v>6280120</v>
      </c>
      <c r="M130" s="2739">
        <v>78.713041298489685</v>
      </c>
      <c r="N130" s="2739">
        <v>2166871</v>
      </c>
      <c r="O130" s="2739">
        <v>66.330078364148406</v>
      </c>
      <c r="P130" s="2739">
        <v>975800</v>
      </c>
      <c r="Q130" s="2739">
        <v>22.00672064229494</v>
      </c>
      <c r="R130" s="2739">
        <v>17832635.41</v>
      </c>
      <c r="S130" s="2739">
        <v>24.000984406376347</v>
      </c>
      <c r="U130" s="2824">
        <v>0</v>
      </c>
      <c r="V130" s="2824">
        <v>0</v>
      </c>
      <c r="W130" s="2824">
        <v>275300</v>
      </c>
      <c r="X130" s="2824">
        <v>17.433981381799761</v>
      </c>
      <c r="Z130" s="2824">
        <f t="shared" si="13"/>
        <v>17557335.41</v>
      </c>
      <c r="AA130" s="2824">
        <f t="shared" si="14"/>
        <v>24.182558382332484</v>
      </c>
      <c r="AB130" s="2885">
        <f>Z130/1000</f>
        <v>17557.33541</v>
      </c>
      <c r="AC130" s="2912">
        <v>0</v>
      </c>
      <c r="AD130" s="2912">
        <v>0</v>
      </c>
      <c r="AE130" s="2912">
        <v>0</v>
      </c>
    </row>
    <row r="131" spans="1:31" ht="18" hidden="1" customHeight="1" x14ac:dyDescent="0.25">
      <c r="A131" s="2738" t="s">
        <v>840</v>
      </c>
      <c r="B131" s="2737" t="s">
        <v>153</v>
      </c>
      <c r="C131" s="2737"/>
      <c r="D131" s="2737" t="s">
        <v>153</v>
      </c>
      <c r="E131" s="2737"/>
      <c r="F131" s="2737" t="s">
        <v>153</v>
      </c>
      <c r="G131" s="2737"/>
      <c r="H131" s="2737" t="s">
        <v>153</v>
      </c>
      <c r="I131" s="2737"/>
      <c r="J131" s="2737" t="s">
        <v>153</v>
      </c>
      <c r="K131" s="2737"/>
      <c r="L131" s="2737" t="s">
        <v>153</v>
      </c>
      <c r="M131" s="2737"/>
      <c r="N131" s="2737" t="s">
        <v>153</v>
      </c>
      <c r="O131" s="2737"/>
      <c r="P131" s="2737" t="s">
        <v>153</v>
      </c>
      <c r="Q131" s="2737"/>
      <c r="R131" s="2737" t="s">
        <v>153</v>
      </c>
      <c r="S131" s="2737"/>
      <c r="U131" s="2825" t="s">
        <v>153</v>
      </c>
      <c r="V131" s="2825" t="s">
        <v>153</v>
      </c>
      <c r="W131" s="2825" t="s">
        <v>153</v>
      </c>
      <c r="X131" s="2825" t="s">
        <v>153</v>
      </c>
      <c r="Z131" s="2825"/>
      <c r="AA131" s="2825"/>
      <c r="AB131" s="2886"/>
      <c r="AC131" s="2912">
        <v>0</v>
      </c>
      <c r="AD131" s="2912">
        <v>0</v>
      </c>
      <c r="AE131" s="2912">
        <v>0</v>
      </c>
    </row>
    <row r="132" spans="1:31" ht="18" customHeight="1" x14ac:dyDescent="0.25">
      <c r="A132" s="2736" t="s">
        <v>841</v>
      </c>
      <c r="B132" s="2737">
        <v>994690</v>
      </c>
      <c r="C132" s="2737">
        <v>13.718915936831943</v>
      </c>
      <c r="D132" s="2737">
        <v>0</v>
      </c>
      <c r="E132" s="2737">
        <v>0</v>
      </c>
      <c r="F132" s="2737">
        <v>0</v>
      </c>
      <c r="G132" s="2737">
        <v>0</v>
      </c>
      <c r="H132" s="2737">
        <v>2270280</v>
      </c>
      <c r="I132" s="2737">
        <v>32.317153024911029</v>
      </c>
      <c r="J132" s="2737">
        <v>1039340</v>
      </c>
      <c r="K132" s="2737">
        <v>16.606589333077686</v>
      </c>
      <c r="L132" s="2737">
        <v>839260</v>
      </c>
      <c r="M132" s="2737">
        <v>10.519019865889579</v>
      </c>
      <c r="N132" s="2737">
        <v>1316290</v>
      </c>
      <c r="O132" s="2737">
        <v>40.292947226643811</v>
      </c>
      <c r="P132" s="2737">
        <v>0</v>
      </c>
      <c r="Q132" s="2737">
        <v>0</v>
      </c>
      <c r="R132" s="2737">
        <v>6459860</v>
      </c>
      <c r="S132" s="2737">
        <v>8.6943402117911806</v>
      </c>
      <c r="U132" s="2823">
        <v>0</v>
      </c>
      <c r="V132" s="2823">
        <v>0</v>
      </c>
      <c r="W132" s="2823">
        <v>275300</v>
      </c>
      <c r="X132" s="2823">
        <v>17.433981381799761</v>
      </c>
      <c r="Z132" s="2823">
        <f>R132-U132-W132</f>
        <v>6184560</v>
      </c>
      <c r="AA132" s="2823">
        <f t="shared" si="14"/>
        <v>8.5182904909280985</v>
      </c>
      <c r="AB132" s="2884">
        <f t="shared" si="15"/>
        <v>6184.56</v>
      </c>
      <c r="AC132" s="2911" t="s">
        <v>1460</v>
      </c>
      <c r="AD132" s="2912">
        <v>0</v>
      </c>
      <c r="AE132" s="2912">
        <v>0</v>
      </c>
    </row>
    <row r="133" spans="1:31" ht="18" customHeight="1" x14ac:dyDescent="0.25">
      <c r="A133" s="2736" t="s">
        <v>842</v>
      </c>
      <c r="B133" s="2737">
        <v>6520</v>
      </c>
      <c r="C133" s="2737">
        <v>8.9924832770153784E-2</v>
      </c>
      <c r="D133" s="2737">
        <v>0</v>
      </c>
      <c r="E133" s="2737">
        <v>0</v>
      </c>
      <c r="F133" s="2737">
        <v>0</v>
      </c>
      <c r="G133" s="2737">
        <v>0</v>
      </c>
      <c r="H133" s="2737">
        <v>0</v>
      </c>
      <c r="I133" s="2737">
        <v>0</v>
      </c>
      <c r="J133" s="2737">
        <v>637120</v>
      </c>
      <c r="K133" s="2737">
        <v>10.179912440481896</v>
      </c>
      <c r="L133" s="2737">
        <v>5440860</v>
      </c>
      <c r="M133" s="2737">
        <v>68.19402143260011</v>
      </c>
      <c r="N133" s="2737">
        <v>136581</v>
      </c>
      <c r="O133" s="2737">
        <v>4.180880372229705</v>
      </c>
      <c r="P133" s="2737">
        <v>0</v>
      </c>
      <c r="Q133" s="2737">
        <v>0</v>
      </c>
      <c r="R133" s="2737">
        <v>6221081</v>
      </c>
      <c r="S133" s="2737">
        <v>8.3729670146272657</v>
      </c>
      <c r="U133" s="2823">
        <v>0</v>
      </c>
      <c r="V133" s="2823">
        <v>0</v>
      </c>
      <c r="W133" s="2823">
        <v>0</v>
      </c>
      <c r="X133" s="2823">
        <v>0</v>
      </c>
      <c r="Z133" s="2823">
        <f t="shared" si="13"/>
        <v>6221081</v>
      </c>
      <c r="AA133" s="2823">
        <f t="shared" si="14"/>
        <v>8.5685926121815399</v>
      </c>
      <c r="AB133" s="2884">
        <f t="shared" si="15"/>
        <v>6221.0810000000001</v>
      </c>
      <c r="AC133" s="2911" t="s">
        <v>1460</v>
      </c>
      <c r="AD133" s="2912">
        <v>0</v>
      </c>
      <c r="AE133" s="2912">
        <v>0</v>
      </c>
    </row>
    <row r="134" spans="1:31" ht="18" hidden="1" customHeight="1" x14ac:dyDescent="0.25">
      <c r="A134" s="2740" t="s">
        <v>843</v>
      </c>
      <c r="B134" s="2741">
        <v>102.3042354904543</v>
      </c>
      <c r="C134" s="2741">
        <v>1.4109955932756955E-3</v>
      </c>
      <c r="D134" s="2741">
        <v>0</v>
      </c>
      <c r="E134" s="2741">
        <v>0</v>
      </c>
      <c r="F134" s="2741">
        <v>0</v>
      </c>
      <c r="G134" s="2741">
        <v>0</v>
      </c>
      <c r="H134" s="2741">
        <v>0</v>
      </c>
      <c r="I134" s="2741">
        <v>0</v>
      </c>
      <c r="J134" s="2741">
        <v>202.05322608578518</v>
      </c>
      <c r="K134" s="2741">
        <v>3.2284093261397947E-3</v>
      </c>
      <c r="L134" s="2741">
        <v>748.29254343111791</v>
      </c>
      <c r="M134" s="2741">
        <v>9.3788624858196137E-3</v>
      </c>
      <c r="N134" s="2741">
        <v>164.61957471377889</v>
      </c>
      <c r="O134" s="2741">
        <v>5.0391690557664657E-3</v>
      </c>
      <c r="P134" s="2741">
        <v>0</v>
      </c>
      <c r="Q134" s="2741">
        <v>0</v>
      </c>
      <c r="R134" s="2741">
        <v>1217.2695797211363</v>
      </c>
      <c r="S134" s="2741">
        <v>1.6383258856321385E-3</v>
      </c>
      <c r="U134" s="2824">
        <v>0</v>
      </c>
      <c r="V134" s="2824">
        <v>0</v>
      </c>
      <c r="W134" s="2824">
        <v>100</v>
      </c>
      <c r="X134" s="2824">
        <v>6.3327211702868726E-3</v>
      </c>
      <c r="Z134" s="2824">
        <f t="shared" si="13"/>
        <v>1117.2695797211363</v>
      </c>
      <c r="AA134" s="2824">
        <f t="shared" si="14"/>
        <v>1.5388688664580484E-3</v>
      </c>
      <c r="AB134" s="2885">
        <f t="shared" si="15"/>
        <v>1.1172695797211363</v>
      </c>
      <c r="AC134" s="2912">
        <v>0</v>
      </c>
      <c r="AD134" s="2912">
        <v>0</v>
      </c>
      <c r="AE134" s="2912">
        <v>0</v>
      </c>
    </row>
    <row r="135" spans="1:31" ht="57" customHeight="1" x14ac:dyDescent="0.3">
      <c r="A135" s="3952" t="s">
        <v>1487</v>
      </c>
      <c r="B135" s="3953"/>
      <c r="C135" s="3953"/>
      <c r="D135" s="3953"/>
      <c r="E135" s="3953"/>
      <c r="F135" s="3953"/>
      <c r="G135" s="3953"/>
      <c r="H135" s="3953"/>
      <c r="I135" s="3953"/>
      <c r="J135" s="3953"/>
      <c r="K135" s="3953"/>
      <c r="L135" s="3953"/>
      <c r="M135" s="3953"/>
      <c r="N135" s="3953"/>
      <c r="O135" s="3953"/>
      <c r="P135" s="3953"/>
      <c r="Q135" s="3953"/>
      <c r="R135" s="3953"/>
      <c r="S135" s="3953"/>
    </row>
  </sheetData>
  <autoFilter ref="Z2:AE134" xr:uid="{00000000-0009-0000-0000-000033000000}">
    <filterColumn colId="3">
      <filters>
        <filter val="RCD de obra menor"/>
        <filter val="Residuo asimilable"/>
        <filter val="Residuo comercial"/>
        <filter val="Residuo doméstico"/>
      </filters>
    </filterColumn>
  </autoFilter>
  <mergeCells count="16">
    <mergeCell ref="Z1:AA1"/>
    <mergeCell ref="U1:V1"/>
    <mergeCell ref="W1:X1"/>
    <mergeCell ref="U3:V3"/>
    <mergeCell ref="W3:X3"/>
    <mergeCell ref="Z3:AA3"/>
    <mergeCell ref="A135:S135"/>
    <mergeCell ref="N1:O1"/>
    <mergeCell ref="P1:Q1"/>
    <mergeCell ref="R1:S1"/>
    <mergeCell ref="B1:C1"/>
    <mergeCell ref="D1:E1"/>
    <mergeCell ref="F1:G1"/>
    <mergeCell ref="H1:I1"/>
    <mergeCell ref="J1:K1"/>
    <mergeCell ref="L1:M1"/>
  </mergeCells>
  <pageMargins left="0.25" right="0.25" top="0.75" bottom="0.75" header="0.3" footer="0.3"/>
  <pageSetup paperSize="9" scale="42"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filterMode="1">
    <tabColor rgb="FFFF99FF"/>
    <pageSetUpPr fitToPage="1"/>
  </sheetPr>
  <dimension ref="A1:AA311"/>
  <sheetViews>
    <sheetView workbookViewId="0"/>
  </sheetViews>
  <sheetFormatPr baseColWidth="10" defaultColWidth="8.88671875" defaultRowHeight="14.4" x14ac:dyDescent="0.3"/>
  <cols>
    <col min="1" max="1" width="18" style="1" customWidth="1"/>
    <col min="2" max="2" width="32.6640625" style="1" customWidth="1"/>
    <col min="3" max="3" width="14.5546875" style="1" customWidth="1"/>
    <col min="4" max="4" width="13.44140625" style="1" customWidth="1"/>
    <col min="5" max="5" width="28.6640625" style="1" customWidth="1"/>
    <col min="6" max="6" width="14.44140625" style="1" customWidth="1"/>
    <col min="7" max="7" width="32.44140625" style="1" customWidth="1"/>
    <col min="8" max="8" width="8.88671875" style="1"/>
    <col min="9" max="9" width="17.109375" style="1" customWidth="1"/>
    <col min="10" max="10" width="19.5546875" style="1" customWidth="1"/>
    <col min="11" max="11" width="11.88671875" style="1" customWidth="1"/>
    <col min="12" max="12" width="8.88671875" style="1"/>
    <col min="13" max="13" width="28.5546875" style="1" customWidth="1"/>
    <col min="14" max="15" width="8.88671875" style="1"/>
    <col min="16" max="16" width="21" style="1" customWidth="1"/>
    <col min="17" max="18" width="8.88671875" style="1"/>
    <col min="19" max="19" width="26.33203125" style="1" customWidth="1"/>
    <col min="20" max="24" width="8.88671875" style="1"/>
    <col min="25" max="25" width="8.88671875" style="2361"/>
    <col min="26" max="26" width="8.88671875" style="1"/>
    <col min="28" max="16384" width="8.88671875" style="1"/>
  </cols>
  <sheetData>
    <row r="1" spans="1:21" ht="15" thickBot="1" x14ac:dyDescent="0.35">
      <c r="A1" s="2929" t="s">
        <v>1586</v>
      </c>
      <c r="B1" s="2948"/>
    </row>
    <row r="2" spans="1:21" x14ac:dyDescent="0.3">
      <c r="B2" s="1969"/>
      <c r="C2" s="2949"/>
      <c r="D2" s="2949"/>
      <c r="E2" s="2949"/>
      <c r="F2" s="2949"/>
      <c r="G2" s="2949"/>
      <c r="H2" s="2949"/>
      <c r="I2" s="2949"/>
      <c r="J2" s="2949"/>
      <c r="K2" s="2949"/>
      <c r="L2" s="2949"/>
      <c r="M2" s="2949"/>
      <c r="N2" s="2949"/>
      <c r="O2" s="2949"/>
      <c r="P2" s="2948"/>
    </row>
    <row r="3" spans="1:21" x14ac:dyDescent="0.3">
      <c r="B3" s="2950" t="s">
        <v>1521</v>
      </c>
      <c r="C3" s="2951" t="s">
        <v>1522</v>
      </c>
      <c r="D3" s="2951" t="s">
        <v>1523</v>
      </c>
      <c r="E3" s="2952" t="s">
        <v>1524</v>
      </c>
      <c r="F3" s="2951" t="s">
        <v>1523</v>
      </c>
      <c r="G3" s="2951" t="s">
        <v>1525</v>
      </c>
      <c r="J3" s="2826" t="s">
        <v>1545</v>
      </c>
      <c r="K3" s="2826" t="s">
        <v>1546</v>
      </c>
      <c r="L3" s="2826" t="s">
        <v>1521</v>
      </c>
      <c r="M3" s="2953" t="s">
        <v>1567</v>
      </c>
      <c r="N3" s="2953" t="s">
        <v>1009</v>
      </c>
      <c r="P3" s="1987"/>
      <c r="U3" s="1" t="s">
        <v>330</v>
      </c>
    </row>
    <row r="4" spans="1:21" ht="15.6" x14ac:dyDescent="0.3">
      <c r="B4" s="2954" t="s">
        <v>136</v>
      </c>
      <c r="C4" s="2955">
        <v>86681881</v>
      </c>
      <c r="D4" s="2956">
        <v>0.65</v>
      </c>
      <c r="E4" s="2957">
        <v>85447674</v>
      </c>
      <c r="F4" s="2956">
        <v>0.64</v>
      </c>
      <c r="G4" s="2956">
        <v>-0.01</v>
      </c>
      <c r="J4" s="2826" t="s">
        <v>1547</v>
      </c>
      <c r="K4" s="2826" t="s">
        <v>1548</v>
      </c>
      <c r="L4" s="2826" t="s">
        <v>1521</v>
      </c>
      <c r="M4" s="1" t="s">
        <v>1568</v>
      </c>
      <c r="N4" s="512">
        <v>53787</v>
      </c>
      <c r="P4" s="1987"/>
      <c r="U4" s="1" t="s">
        <v>330</v>
      </c>
    </row>
    <row r="5" spans="1:21" ht="15.6" x14ac:dyDescent="0.3">
      <c r="B5" s="2958" t="s">
        <v>1526</v>
      </c>
      <c r="C5" s="2955">
        <v>195837</v>
      </c>
      <c r="D5" s="2959">
        <v>1E-3</v>
      </c>
      <c r="E5" s="2957">
        <v>272773</v>
      </c>
      <c r="F5" s="2959">
        <v>2E-3</v>
      </c>
      <c r="G5" s="2956">
        <v>0.28000000000000003</v>
      </c>
      <c r="J5" s="2826" t="s">
        <v>1549</v>
      </c>
      <c r="K5" s="2826" t="s">
        <v>1550</v>
      </c>
      <c r="L5" s="2826" t="s">
        <v>1521</v>
      </c>
      <c r="M5" s="1" t="s">
        <v>1569</v>
      </c>
      <c r="N5" s="512">
        <v>40877</v>
      </c>
      <c r="P5" s="1987"/>
      <c r="U5" s="1" t="s">
        <v>330</v>
      </c>
    </row>
    <row r="6" spans="1:21" ht="15.6" x14ac:dyDescent="0.3">
      <c r="B6" s="2960" t="s">
        <v>1527</v>
      </c>
      <c r="C6" s="2955">
        <v>7863765</v>
      </c>
      <c r="D6" s="2956">
        <v>0.06</v>
      </c>
      <c r="E6" s="2957">
        <v>8559141</v>
      </c>
      <c r="F6" s="2956">
        <v>0.06</v>
      </c>
      <c r="G6" s="2956">
        <v>0.08</v>
      </c>
      <c r="J6" s="2826" t="s">
        <v>1551</v>
      </c>
      <c r="K6" s="2826" t="s">
        <v>1552</v>
      </c>
      <c r="L6" s="2826" t="s">
        <v>1521</v>
      </c>
      <c r="M6" s="1" t="s">
        <v>1570</v>
      </c>
      <c r="N6" s="512">
        <v>34754</v>
      </c>
      <c r="P6" s="1987"/>
      <c r="U6" s="1" t="s">
        <v>330</v>
      </c>
    </row>
    <row r="7" spans="1:21" ht="15.6" x14ac:dyDescent="0.3">
      <c r="B7" s="2961" t="s">
        <v>1528</v>
      </c>
      <c r="C7" s="2955">
        <v>3995769</v>
      </c>
      <c r="D7" s="2956">
        <v>0.03</v>
      </c>
      <c r="E7" s="2957">
        <v>3024486</v>
      </c>
      <c r="F7" s="2956">
        <v>0.02</v>
      </c>
      <c r="G7" s="2956">
        <v>-0.32</v>
      </c>
      <c r="J7" s="2826" t="s">
        <v>1553</v>
      </c>
      <c r="K7" s="2826" t="s">
        <v>1554</v>
      </c>
      <c r="L7" s="2826" t="s">
        <v>1521</v>
      </c>
      <c r="M7" s="1" t="s">
        <v>1571</v>
      </c>
      <c r="N7" s="512">
        <v>34302</v>
      </c>
      <c r="P7" s="1987"/>
      <c r="U7" s="1" t="s">
        <v>330</v>
      </c>
    </row>
    <row r="8" spans="1:21" ht="15.6" x14ac:dyDescent="0.3">
      <c r="B8" s="2962" t="s">
        <v>1529</v>
      </c>
      <c r="C8" s="2955">
        <v>4107135</v>
      </c>
      <c r="D8" s="2956">
        <v>0.03</v>
      </c>
      <c r="E8" s="2957">
        <v>4962041</v>
      </c>
      <c r="F8" s="2956">
        <v>0.04</v>
      </c>
      <c r="G8" s="2956">
        <v>0.17</v>
      </c>
      <c r="J8" s="2826" t="s">
        <v>1555</v>
      </c>
      <c r="K8" s="2826" t="s">
        <v>1556</v>
      </c>
      <c r="L8" s="2826" t="s">
        <v>1521</v>
      </c>
      <c r="M8" s="1" t="s">
        <v>1572</v>
      </c>
      <c r="N8" s="512">
        <v>29374</v>
      </c>
      <c r="P8" s="1987"/>
      <c r="U8" s="1" t="s">
        <v>330</v>
      </c>
    </row>
    <row r="9" spans="1:21" ht="15.6" x14ac:dyDescent="0.3">
      <c r="B9" s="2963" t="s">
        <v>1530</v>
      </c>
      <c r="C9" s="2955">
        <v>1076659</v>
      </c>
      <c r="D9" s="2956">
        <v>0.01</v>
      </c>
      <c r="E9" s="2957">
        <v>1156244</v>
      </c>
      <c r="F9" s="2956">
        <v>0.01</v>
      </c>
      <c r="G9" s="2956">
        <v>7.0000000000000007E-2</v>
      </c>
      <c r="J9" s="2826" t="s">
        <v>1557</v>
      </c>
      <c r="K9" s="2826" t="s">
        <v>1558</v>
      </c>
      <c r="L9" s="2826" t="s">
        <v>1521</v>
      </c>
      <c r="M9" s="1" t="s">
        <v>357</v>
      </c>
      <c r="N9" s="512">
        <v>23484</v>
      </c>
      <c r="P9" s="1987"/>
      <c r="U9" s="1" t="s">
        <v>330</v>
      </c>
    </row>
    <row r="10" spans="1:21" ht="15.6" x14ac:dyDescent="0.3">
      <c r="B10" s="2964" t="s">
        <v>1531</v>
      </c>
      <c r="C10" s="2955">
        <v>2432040</v>
      </c>
      <c r="D10" s="2956">
        <v>0.02</v>
      </c>
      <c r="E10" s="2957">
        <v>2176565</v>
      </c>
      <c r="F10" s="2956">
        <v>0.02</v>
      </c>
      <c r="G10" s="2956">
        <v>-0.12</v>
      </c>
      <c r="J10" s="2826" t="s">
        <v>1559</v>
      </c>
      <c r="K10" s="2826" t="s">
        <v>1560</v>
      </c>
      <c r="L10" s="2826" t="s">
        <v>1521</v>
      </c>
      <c r="M10" s="1" t="s">
        <v>1573</v>
      </c>
      <c r="N10" s="512">
        <v>23101</v>
      </c>
      <c r="P10" s="1987"/>
      <c r="U10" s="1" t="s">
        <v>330</v>
      </c>
    </row>
    <row r="11" spans="1:21" ht="15.6" x14ac:dyDescent="0.3">
      <c r="B11" s="2965" t="s">
        <v>1532</v>
      </c>
      <c r="C11" s="2955">
        <v>8281617</v>
      </c>
      <c r="D11" s="2956">
        <v>0.06</v>
      </c>
      <c r="E11" s="2957">
        <v>8563041</v>
      </c>
      <c r="F11" s="2956">
        <v>0.06</v>
      </c>
      <c r="G11" s="2956">
        <v>0.03</v>
      </c>
      <c r="J11" s="2826" t="s">
        <v>1561</v>
      </c>
      <c r="K11" s="2826" t="s">
        <v>1562</v>
      </c>
      <c r="L11" s="2826" t="s">
        <v>1521</v>
      </c>
      <c r="M11" s="1" t="s">
        <v>1574</v>
      </c>
      <c r="N11" s="512">
        <v>12497</v>
      </c>
      <c r="P11" s="1987"/>
      <c r="U11" s="1" t="s">
        <v>330</v>
      </c>
    </row>
    <row r="12" spans="1:21" ht="15.6" x14ac:dyDescent="0.3">
      <c r="B12" s="2966" t="s">
        <v>1533</v>
      </c>
      <c r="C12" s="2955">
        <v>12183894</v>
      </c>
      <c r="D12" s="2956">
        <v>0.09</v>
      </c>
      <c r="E12" s="2957">
        <v>12409945</v>
      </c>
      <c r="F12" s="2956">
        <v>0.09</v>
      </c>
      <c r="G12" s="2956">
        <v>0.02</v>
      </c>
      <c r="J12" s="2826" t="s">
        <v>1563</v>
      </c>
      <c r="K12" s="2826" t="s">
        <v>1564</v>
      </c>
      <c r="L12" s="2826" t="s">
        <v>1521</v>
      </c>
      <c r="M12" s="1" t="s">
        <v>1575</v>
      </c>
      <c r="N12" s="512">
        <v>5660</v>
      </c>
      <c r="P12" s="1987"/>
      <c r="U12" s="1" t="s">
        <v>330</v>
      </c>
    </row>
    <row r="13" spans="1:21" x14ac:dyDescent="0.3">
      <c r="B13" s="2967" t="s">
        <v>1534</v>
      </c>
      <c r="C13" s="2955">
        <v>1070079</v>
      </c>
      <c r="D13" s="2956">
        <v>0.01</v>
      </c>
      <c r="E13" s="2957">
        <v>1058486</v>
      </c>
      <c r="F13" s="2956">
        <v>0.01</v>
      </c>
      <c r="G13" s="2956">
        <v>-0.01</v>
      </c>
      <c r="J13" s="2826" t="s">
        <v>1565</v>
      </c>
      <c r="K13" s="2826" t="s">
        <v>1566</v>
      </c>
      <c r="L13" s="2826" t="s">
        <v>1521</v>
      </c>
      <c r="M13" s="1" t="s">
        <v>1442</v>
      </c>
      <c r="N13" s="512">
        <v>3342</v>
      </c>
      <c r="P13" s="1987"/>
      <c r="U13" s="1" t="s">
        <v>330</v>
      </c>
    </row>
    <row r="14" spans="1:21" x14ac:dyDescent="0.3">
      <c r="B14" s="2968" t="s">
        <v>1535</v>
      </c>
      <c r="C14" s="2955">
        <v>1924709</v>
      </c>
      <c r="D14" s="2956">
        <v>0.01</v>
      </c>
      <c r="E14" s="2957">
        <v>1853521</v>
      </c>
      <c r="F14" s="2956">
        <v>0.01</v>
      </c>
      <c r="G14" s="2956">
        <v>-0.04</v>
      </c>
      <c r="J14" s="2826" t="s">
        <v>1521</v>
      </c>
      <c r="K14" s="2826" t="s">
        <v>1521</v>
      </c>
      <c r="L14" s="2826" t="s">
        <v>1521</v>
      </c>
      <c r="M14" s="1" t="s">
        <v>1444</v>
      </c>
      <c r="N14" s="512">
        <v>2818</v>
      </c>
      <c r="P14" s="1987"/>
      <c r="U14" s="1" t="s">
        <v>330</v>
      </c>
    </row>
    <row r="15" spans="1:21" x14ac:dyDescent="0.3">
      <c r="B15" s="2969" t="s">
        <v>1536</v>
      </c>
      <c r="C15" s="2955">
        <v>3113387</v>
      </c>
      <c r="D15" s="2956">
        <v>0.02</v>
      </c>
      <c r="E15" s="2957">
        <v>3538220</v>
      </c>
      <c r="F15" s="2956">
        <v>0.03</v>
      </c>
      <c r="G15" s="2956">
        <v>0.12</v>
      </c>
      <c r="M15" s="1" t="s">
        <v>1576</v>
      </c>
      <c r="N15" s="512">
        <v>2763</v>
      </c>
      <c r="P15" s="1987"/>
      <c r="U15" s="1" t="s">
        <v>330</v>
      </c>
    </row>
    <row r="16" spans="1:21" x14ac:dyDescent="0.3">
      <c r="B16" s="2970" t="s">
        <v>1537</v>
      </c>
      <c r="C16" s="2955">
        <v>697595</v>
      </c>
      <c r="D16" s="2959">
        <v>5.0000000000000001E-3</v>
      </c>
      <c r="E16" s="2957">
        <v>992596</v>
      </c>
      <c r="F16" s="2956">
        <v>0.01</v>
      </c>
      <c r="G16" s="2956">
        <v>0.3</v>
      </c>
      <c r="M16" s="1" t="s">
        <v>1577</v>
      </c>
      <c r="N16" s="512">
        <v>2595</v>
      </c>
      <c r="P16" s="1987"/>
      <c r="U16" s="1" t="s">
        <v>330</v>
      </c>
    </row>
    <row r="17" spans="1:21" x14ac:dyDescent="0.3">
      <c r="B17" s="2971" t="s">
        <v>1538</v>
      </c>
      <c r="C17" s="2955">
        <v>270443</v>
      </c>
      <c r="D17" s="2959">
        <v>2E-3</v>
      </c>
      <c r="E17" s="2957">
        <v>273167</v>
      </c>
      <c r="F17" s="2959">
        <v>2E-3</v>
      </c>
      <c r="G17" s="2956">
        <v>0.01</v>
      </c>
      <c r="M17" s="1" t="s">
        <v>1578</v>
      </c>
      <c r="N17" s="1">
        <v>890</v>
      </c>
      <c r="P17" s="1987"/>
      <c r="U17" s="1" t="s">
        <v>330</v>
      </c>
    </row>
    <row r="18" spans="1:21" x14ac:dyDescent="0.3">
      <c r="B18" s="2972" t="s">
        <v>1539</v>
      </c>
      <c r="C18" s="2955">
        <v>133894810</v>
      </c>
      <c r="D18" s="2951" t="s">
        <v>1521</v>
      </c>
      <c r="E18" s="2957">
        <v>134287900</v>
      </c>
      <c r="F18" s="2951" t="s">
        <v>1521</v>
      </c>
      <c r="G18" s="2959">
        <v>3.0000000000000001E-3</v>
      </c>
      <c r="M18" s="1" t="s">
        <v>1579</v>
      </c>
      <c r="N18" s="1">
        <v>642</v>
      </c>
      <c r="P18" s="1987"/>
      <c r="U18" s="1" t="s">
        <v>330</v>
      </c>
    </row>
    <row r="19" spans="1:21" x14ac:dyDescent="0.3">
      <c r="B19" s="2972" t="s">
        <v>1540</v>
      </c>
      <c r="C19" s="2955">
        <v>333940</v>
      </c>
      <c r="D19" s="2951" t="s">
        <v>1521</v>
      </c>
      <c r="E19" s="2957">
        <v>333626</v>
      </c>
      <c r="F19" s="2951" t="s">
        <v>1521</v>
      </c>
      <c r="G19" s="2959">
        <v>-1E-3</v>
      </c>
      <c r="M19" s="1" t="s">
        <v>1580</v>
      </c>
      <c r="N19" s="1">
        <v>51</v>
      </c>
      <c r="P19" s="1987"/>
      <c r="U19" s="1" t="s">
        <v>330</v>
      </c>
    </row>
    <row r="20" spans="1:21" x14ac:dyDescent="0.3">
      <c r="B20" s="2972" t="s">
        <v>1541</v>
      </c>
      <c r="C20" s="2951">
        <v>400.95</v>
      </c>
      <c r="D20" s="2951" t="s">
        <v>1521</v>
      </c>
      <c r="E20" s="2952">
        <v>402.51</v>
      </c>
      <c r="F20" s="2951" t="s">
        <v>1521</v>
      </c>
      <c r="G20" s="2959">
        <v>4.0000000000000001E-3</v>
      </c>
      <c r="M20" s="1" t="s">
        <v>351</v>
      </c>
      <c r="N20" s="512">
        <v>2230</v>
      </c>
      <c r="P20" s="1987"/>
      <c r="U20" s="1" t="s">
        <v>330</v>
      </c>
    </row>
    <row r="21" spans="1:21" x14ac:dyDescent="0.3">
      <c r="B21" s="2973"/>
      <c r="M21" s="1" t="s">
        <v>389</v>
      </c>
      <c r="N21" s="512">
        <v>273167</v>
      </c>
      <c r="P21" s="1987"/>
      <c r="U21" s="1" t="s">
        <v>330</v>
      </c>
    </row>
    <row r="22" spans="1:21" x14ac:dyDescent="0.3">
      <c r="B22" s="2973"/>
      <c r="P22" s="1987"/>
    </row>
    <row r="23" spans="1:21" ht="15" thickBot="1" x14ac:dyDescent="0.35">
      <c r="B23" s="2974"/>
      <c r="C23" s="1995"/>
      <c r="D23" s="1995"/>
      <c r="E23" s="1995"/>
      <c r="F23" s="1995"/>
      <c r="G23" s="1995"/>
      <c r="H23" s="1995"/>
      <c r="I23" s="1995"/>
      <c r="J23" s="1995"/>
      <c r="K23" s="1995"/>
      <c r="L23" s="1995"/>
      <c r="M23" s="1995"/>
      <c r="N23" s="1995"/>
      <c r="O23" s="1995"/>
      <c r="P23" s="600"/>
    </row>
    <row r="24" spans="1:21" x14ac:dyDescent="0.3">
      <c r="C24" s="1">
        <f>SUBTOTAL(9,C42:C292)</f>
        <v>892940.00000000012</v>
      </c>
    </row>
    <row r="25" spans="1:21" x14ac:dyDescent="0.3">
      <c r="A25" s="2433" t="s">
        <v>1433</v>
      </c>
      <c r="B25" s="2433" t="s">
        <v>1432</v>
      </c>
      <c r="C25" s="2928" t="s">
        <v>1431</v>
      </c>
      <c r="D25" s="2928" t="s">
        <v>1130</v>
      </c>
      <c r="E25" s="2432" t="s">
        <v>437</v>
      </c>
      <c r="F25" s="2424" t="s">
        <v>1454</v>
      </c>
      <c r="G25" s="2424" t="s">
        <v>1455</v>
      </c>
    </row>
    <row r="26" spans="1:21" hidden="1" x14ac:dyDescent="0.3">
      <c r="A26" s="2913" t="s">
        <v>1348</v>
      </c>
      <c r="B26" s="2924" t="s">
        <v>1372</v>
      </c>
      <c r="C26" s="2630">
        <v>2885460</v>
      </c>
      <c r="D26" s="2937">
        <f t="shared" ref="D26:D89" si="0">C26/1000</f>
        <v>2885.46</v>
      </c>
      <c r="E26" t="s">
        <v>6</v>
      </c>
      <c r="F26" t="s">
        <v>155</v>
      </c>
      <c r="G26" t="s">
        <v>7</v>
      </c>
    </row>
    <row r="27" spans="1:21" hidden="1" x14ac:dyDescent="0.3">
      <c r="A27" s="2913" t="s">
        <v>1348</v>
      </c>
      <c r="B27" s="2924" t="s">
        <v>1585</v>
      </c>
      <c r="C27" s="2630">
        <v>73520</v>
      </c>
      <c r="D27" s="2937">
        <f t="shared" si="0"/>
        <v>73.52</v>
      </c>
      <c r="E27" t="s">
        <v>89</v>
      </c>
      <c r="F27" t="s">
        <v>117</v>
      </c>
      <c r="G27" t="s">
        <v>86</v>
      </c>
    </row>
    <row r="28" spans="1:21" hidden="1" x14ac:dyDescent="0.3">
      <c r="A28" s="2913" t="s">
        <v>1348</v>
      </c>
      <c r="B28" s="2924" t="s">
        <v>1369</v>
      </c>
      <c r="C28" s="2630">
        <v>1697</v>
      </c>
      <c r="D28" s="2937">
        <f t="shared" si="0"/>
        <v>1.6970000000000001</v>
      </c>
      <c r="E28" t="s">
        <v>6</v>
      </c>
      <c r="F28" t="s">
        <v>155</v>
      </c>
      <c r="G28" t="s">
        <v>7</v>
      </c>
    </row>
    <row r="29" spans="1:21" hidden="1" x14ac:dyDescent="0.3">
      <c r="A29" s="2913" t="s">
        <v>1348</v>
      </c>
      <c r="B29" s="2914" t="s">
        <v>1430</v>
      </c>
      <c r="C29" s="2630">
        <v>1700</v>
      </c>
      <c r="D29" s="2937">
        <f t="shared" si="0"/>
        <v>1.7</v>
      </c>
      <c r="E29" t="s">
        <v>33</v>
      </c>
      <c r="F29" t="s">
        <v>155</v>
      </c>
      <c r="G29" t="s">
        <v>7</v>
      </c>
    </row>
    <row r="30" spans="1:21" hidden="1" x14ac:dyDescent="0.3">
      <c r="A30" s="2913" t="s">
        <v>1348</v>
      </c>
      <c r="B30" s="2914" t="s">
        <v>1424</v>
      </c>
      <c r="C30" s="2630">
        <v>747</v>
      </c>
      <c r="D30" s="2937">
        <f t="shared" si="0"/>
        <v>0.747</v>
      </c>
      <c r="E30" t="s">
        <v>33</v>
      </c>
      <c r="F30" t="s">
        <v>155</v>
      </c>
      <c r="G30" t="s">
        <v>7</v>
      </c>
    </row>
    <row r="31" spans="1:21" hidden="1" x14ac:dyDescent="0.3">
      <c r="A31" s="2913" t="s">
        <v>1348</v>
      </c>
      <c r="B31" s="2915" t="s">
        <v>403</v>
      </c>
      <c r="C31" s="2630">
        <v>244641</v>
      </c>
      <c r="D31" s="2937">
        <f t="shared" si="0"/>
        <v>244.64099999999999</v>
      </c>
      <c r="E31" t="s">
        <v>14</v>
      </c>
      <c r="F31" t="s">
        <v>155</v>
      </c>
      <c r="G31" t="s">
        <v>7</v>
      </c>
    </row>
    <row r="32" spans="1:21" hidden="1" x14ac:dyDescent="0.3">
      <c r="A32" s="2913" t="s">
        <v>1348</v>
      </c>
      <c r="B32" s="2915" t="s">
        <v>1423</v>
      </c>
      <c r="C32" s="2630">
        <v>27291</v>
      </c>
      <c r="D32" s="2937">
        <f t="shared" si="0"/>
        <v>27.291</v>
      </c>
      <c r="E32" t="s">
        <v>14</v>
      </c>
      <c r="F32" t="s">
        <v>117</v>
      </c>
      <c r="G32" t="s">
        <v>86</v>
      </c>
    </row>
    <row r="33" spans="1:7" hidden="1" x14ac:dyDescent="0.3">
      <c r="A33" s="2913" t="s">
        <v>1348</v>
      </c>
      <c r="B33" s="2915" t="s">
        <v>1422</v>
      </c>
      <c r="C33" s="2630">
        <v>903</v>
      </c>
      <c r="D33" s="2937">
        <f t="shared" si="0"/>
        <v>0.90300000000000002</v>
      </c>
      <c r="E33" t="s">
        <v>14</v>
      </c>
      <c r="F33" t="s">
        <v>155</v>
      </c>
      <c r="G33" t="s">
        <v>7</v>
      </c>
    </row>
    <row r="34" spans="1:7" hidden="1" x14ac:dyDescent="0.3">
      <c r="A34" s="2913" t="s">
        <v>1348</v>
      </c>
      <c r="B34" s="2927" t="s">
        <v>1342</v>
      </c>
      <c r="C34" s="2630">
        <v>419680</v>
      </c>
      <c r="D34" s="2937">
        <f t="shared" si="0"/>
        <v>419.68</v>
      </c>
      <c r="E34" t="s">
        <v>81</v>
      </c>
      <c r="F34" t="s">
        <v>155</v>
      </c>
      <c r="G34" t="s">
        <v>7</v>
      </c>
    </row>
    <row r="35" spans="1:7" hidden="1" x14ac:dyDescent="0.3">
      <c r="A35" s="2913" t="s">
        <v>1348</v>
      </c>
      <c r="B35" s="2927" t="s">
        <v>1354</v>
      </c>
      <c r="C35" s="2630">
        <v>60460</v>
      </c>
      <c r="D35" s="2937">
        <f t="shared" si="0"/>
        <v>60.46</v>
      </c>
      <c r="E35" t="s">
        <v>81</v>
      </c>
      <c r="F35" t="s">
        <v>155</v>
      </c>
      <c r="G35" t="s">
        <v>7</v>
      </c>
    </row>
    <row r="36" spans="1:7" hidden="1" x14ac:dyDescent="0.3">
      <c r="A36" s="2913" t="s">
        <v>1348</v>
      </c>
      <c r="B36" s="2917" t="s">
        <v>1416</v>
      </c>
      <c r="C36" s="2630">
        <v>104780</v>
      </c>
      <c r="D36" s="2937">
        <f t="shared" si="0"/>
        <v>104.78</v>
      </c>
      <c r="E36" t="s">
        <v>23</v>
      </c>
      <c r="F36" s="1" t="s">
        <v>155</v>
      </c>
      <c r="G36" s="1" t="s">
        <v>7</v>
      </c>
    </row>
    <row r="37" spans="1:7" hidden="1" x14ac:dyDescent="0.3">
      <c r="A37" s="2913" t="s">
        <v>1348</v>
      </c>
      <c r="B37" s="2917" t="s">
        <v>1584</v>
      </c>
      <c r="C37" s="2630">
        <v>371620</v>
      </c>
      <c r="D37" s="2937">
        <f t="shared" si="0"/>
        <v>371.62</v>
      </c>
      <c r="E37" t="s">
        <v>23</v>
      </c>
      <c r="F37" s="2946" t="s">
        <v>114</v>
      </c>
      <c r="G37" s="2946" t="s">
        <v>98</v>
      </c>
    </row>
    <row r="38" spans="1:7" hidden="1" x14ac:dyDescent="0.3">
      <c r="A38" s="2913" t="s">
        <v>1348</v>
      </c>
      <c r="B38" s="2916" t="s">
        <v>1581</v>
      </c>
      <c r="C38" s="2630">
        <v>13000</v>
      </c>
      <c r="D38" s="2937">
        <f t="shared" si="0"/>
        <v>13</v>
      </c>
      <c r="E38" t="s">
        <v>112</v>
      </c>
      <c r="F38" s="2946" t="s">
        <v>155</v>
      </c>
      <c r="G38" s="2946" t="s">
        <v>7</v>
      </c>
    </row>
    <row r="39" spans="1:7" hidden="1" x14ac:dyDescent="0.3">
      <c r="A39" s="2913" t="s">
        <v>1348</v>
      </c>
      <c r="B39" s="2916" t="s">
        <v>1582</v>
      </c>
      <c r="C39" s="2630">
        <v>51120</v>
      </c>
      <c r="D39" s="2937">
        <f t="shared" si="0"/>
        <v>51.12</v>
      </c>
      <c r="E39" t="s">
        <v>1597</v>
      </c>
      <c r="F39" s="2946" t="s">
        <v>155</v>
      </c>
      <c r="G39" s="2946" t="s">
        <v>7</v>
      </c>
    </row>
    <row r="40" spans="1:7" hidden="1" x14ac:dyDescent="0.3">
      <c r="A40" s="2913" t="s">
        <v>1348</v>
      </c>
      <c r="B40" s="2922" t="s">
        <v>1383</v>
      </c>
      <c r="C40" s="2630">
        <v>239085</v>
      </c>
      <c r="D40" s="2937">
        <f t="shared" si="0"/>
        <v>239.08500000000001</v>
      </c>
      <c r="E40" t="s">
        <v>19</v>
      </c>
      <c r="F40" t="s">
        <v>155</v>
      </c>
      <c r="G40" t="s">
        <v>7</v>
      </c>
    </row>
    <row r="41" spans="1:7" hidden="1" x14ac:dyDescent="0.3">
      <c r="A41" s="2913" t="s">
        <v>1348</v>
      </c>
      <c r="B41" s="2922" t="s">
        <v>1388</v>
      </c>
      <c r="C41" s="2630">
        <v>9860</v>
      </c>
      <c r="D41" s="2937">
        <f t="shared" si="0"/>
        <v>9.86</v>
      </c>
      <c r="E41" t="s">
        <v>19</v>
      </c>
      <c r="F41" t="s">
        <v>155</v>
      </c>
      <c r="G41" t="s">
        <v>7</v>
      </c>
    </row>
    <row r="42" spans="1:7" x14ac:dyDescent="0.3">
      <c r="A42" s="2913" t="s">
        <v>1348</v>
      </c>
      <c r="B42" s="2922" t="s">
        <v>1387</v>
      </c>
      <c r="C42" s="2630">
        <v>390740</v>
      </c>
      <c r="D42" s="2937">
        <f t="shared" si="0"/>
        <v>390.74</v>
      </c>
      <c r="E42" t="s">
        <v>90</v>
      </c>
      <c r="F42" t="s">
        <v>117</v>
      </c>
      <c r="G42" t="s">
        <v>86</v>
      </c>
    </row>
    <row r="43" spans="1:7" hidden="1" x14ac:dyDescent="0.3">
      <c r="A43" s="2913" t="s">
        <v>1348</v>
      </c>
      <c r="B43" s="2926" t="s">
        <v>407</v>
      </c>
      <c r="C43" s="2630">
        <v>330794</v>
      </c>
      <c r="D43" s="2937">
        <f t="shared" si="0"/>
        <v>330.79399999999998</v>
      </c>
      <c r="E43" t="s">
        <v>31</v>
      </c>
      <c r="F43" t="s">
        <v>155</v>
      </c>
      <c r="G43" t="s">
        <v>7</v>
      </c>
    </row>
    <row r="44" spans="1:7" hidden="1" x14ac:dyDescent="0.3">
      <c r="A44" s="2913" t="s">
        <v>1348</v>
      </c>
      <c r="B44" s="2920" t="s">
        <v>408</v>
      </c>
      <c r="C44" s="2630">
        <v>242132</v>
      </c>
      <c r="D44" s="2937">
        <f t="shared" si="0"/>
        <v>242.13200000000001</v>
      </c>
      <c r="E44" t="s">
        <v>27</v>
      </c>
      <c r="F44" t="s">
        <v>155</v>
      </c>
      <c r="G44" t="s">
        <v>7</v>
      </c>
    </row>
    <row r="45" spans="1:7" hidden="1" x14ac:dyDescent="0.3">
      <c r="A45" s="2913" t="s">
        <v>1348</v>
      </c>
      <c r="B45" s="2920" t="s">
        <v>1402</v>
      </c>
      <c r="C45" s="2630">
        <v>11190</v>
      </c>
      <c r="D45" s="2937">
        <f t="shared" si="0"/>
        <v>11.19</v>
      </c>
      <c r="E45" t="s">
        <v>27</v>
      </c>
      <c r="F45" t="s">
        <v>155</v>
      </c>
      <c r="G45" t="s">
        <v>7</v>
      </c>
    </row>
    <row r="46" spans="1:7" hidden="1" x14ac:dyDescent="0.3">
      <c r="A46" s="2913" t="s">
        <v>1348</v>
      </c>
      <c r="B46" s="2920" t="s">
        <v>1406</v>
      </c>
      <c r="C46" s="2630">
        <v>2269</v>
      </c>
      <c r="D46" s="2937">
        <f t="shared" si="0"/>
        <v>2.2690000000000001</v>
      </c>
      <c r="E46" t="s">
        <v>27</v>
      </c>
      <c r="F46" t="s">
        <v>117</v>
      </c>
      <c r="G46" t="s">
        <v>86</v>
      </c>
    </row>
    <row r="47" spans="1:7" hidden="1" x14ac:dyDescent="0.3">
      <c r="A47" s="2913" t="s">
        <v>1348</v>
      </c>
      <c r="B47" s="2925" t="s">
        <v>409</v>
      </c>
      <c r="C47" s="2630">
        <v>34491</v>
      </c>
      <c r="D47" s="2937">
        <f t="shared" si="0"/>
        <v>34.491</v>
      </c>
      <c r="E47" t="s">
        <v>25</v>
      </c>
      <c r="F47" t="s">
        <v>155</v>
      </c>
      <c r="G47" t="s">
        <v>7</v>
      </c>
    </row>
    <row r="48" spans="1:7" hidden="1" x14ac:dyDescent="0.3">
      <c r="A48" s="2913" t="s">
        <v>1348</v>
      </c>
      <c r="B48" s="2923" t="s">
        <v>1377</v>
      </c>
      <c r="C48" s="2630">
        <v>1221</v>
      </c>
      <c r="D48" s="2937">
        <f t="shared" si="0"/>
        <v>1.2210000000000001</v>
      </c>
      <c r="E48" t="s">
        <v>79</v>
      </c>
      <c r="F48" t="s">
        <v>155</v>
      </c>
      <c r="G48" t="s">
        <v>7</v>
      </c>
    </row>
    <row r="49" spans="1:7" hidden="1" x14ac:dyDescent="0.3">
      <c r="A49" s="2913" t="s">
        <v>1348</v>
      </c>
      <c r="B49" s="2923" t="s">
        <v>1380</v>
      </c>
      <c r="C49" s="2630">
        <v>34961</v>
      </c>
      <c r="D49" s="2937">
        <f t="shared" si="0"/>
        <v>34.960999999999999</v>
      </c>
      <c r="E49" t="s">
        <v>79</v>
      </c>
      <c r="F49" t="s">
        <v>155</v>
      </c>
      <c r="G49" t="s">
        <v>7</v>
      </c>
    </row>
    <row r="50" spans="1:7" hidden="1" x14ac:dyDescent="0.3">
      <c r="A50" s="2913" t="s">
        <v>1348</v>
      </c>
      <c r="B50" s="2923" t="s">
        <v>1583</v>
      </c>
      <c r="C50" s="2630">
        <v>22658</v>
      </c>
      <c r="D50" s="2937">
        <f t="shared" si="0"/>
        <v>22.658000000000001</v>
      </c>
      <c r="E50" t="s">
        <v>79</v>
      </c>
      <c r="F50" t="s">
        <v>114</v>
      </c>
      <c r="G50" t="s">
        <v>98</v>
      </c>
    </row>
    <row r="51" spans="1:7" hidden="1" x14ac:dyDescent="0.3">
      <c r="A51" s="2913" t="s">
        <v>1348</v>
      </c>
      <c r="B51" s="2918" t="s">
        <v>1413</v>
      </c>
      <c r="C51" s="2630">
        <v>128740</v>
      </c>
      <c r="D51" s="2937">
        <f t="shared" si="0"/>
        <v>128.74</v>
      </c>
      <c r="E51" t="s">
        <v>29</v>
      </c>
      <c r="F51" t="s">
        <v>155</v>
      </c>
      <c r="G51" t="s">
        <v>7</v>
      </c>
    </row>
    <row r="52" spans="1:7" hidden="1" x14ac:dyDescent="0.3">
      <c r="A52" s="2913" t="s">
        <v>1348</v>
      </c>
      <c r="B52" s="2918" t="s">
        <v>1414</v>
      </c>
      <c r="C52" s="2630">
        <v>4092</v>
      </c>
      <c r="D52" s="2937">
        <f t="shared" si="0"/>
        <v>4.0919999999999996</v>
      </c>
      <c r="E52" t="s">
        <v>29</v>
      </c>
      <c r="F52" t="s">
        <v>117</v>
      </c>
      <c r="G52" t="s">
        <v>86</v>
      </c>
    </row>
    <row r="53" spans="1:7" hidden="1" x14ac:dyDescent="0.3">
      <c r="A53" s="2913" t="s">
        <v>1348</v>
      </c>
      <c r="B53" s="2919" t="s">
        <v>1407</v>
      </c>
      <c r="C53" s="2630">
        <v>238</v>
      </c>
      <c r="D53" s="2937">
        <f t="shared" si="0"/>
        <v>0.23799999999999999</v>
      </c>
      <c r="E53" s="2424"/>
      <c r="F53" s="2424"/>
    </row>
    <row r="54" spans="1:7" hidden="1" x14ac:dyDescent="0.3">
      <c r="A54" s="2913" t="s">
        <v>1348</v>
      </c>
      <c r="B54" s="2919" t="s">
        <v>1410</v>
      </c>
      <c r="C54" s="2630">
        <v>53333</v>
      </c>
      <c r="D54" s="2937">
        <f t="shared" si="0"/>
        <v>53.332999999999998</v>
      </c>
      <c r="E54" s="2424"/>
      <c r="F54" s="2424"/>
    </row>
    <row r="55" spans="1:7" hidden="1" x14ac:dyDescent="0.3">
      <c r="A55" s="2913" t="s">
        <v>1348</v>
      </c>
      <c r="B55" s="2921" t="s">
        <v>1390</v>
      </c>
      <c r="C55" s="2630">
        <v>2948</v>
      </c>
      <c r="D55" s="2937">
        <f t="shared" si="0"/>
        <v>2.948</v>
      </c>
      <c r="E55" s="2424"/>
      <c r="F55" s="2424"/>
    </row>
    <row r="56" spans="1:7" hidden="1" x14ac:dyDescent="0.3">
      <c r="A56" s="2913" t="s">
        <v>1348</v>
      </c>
      <c r="B56" s="2921" t="s">
        <v>1389</v>
      </c>
      <c r="C56" s="2630">
        <v>973</v>
      </c>
      <c r="D56" s="2937">
        <f t="shared" si="0"/>
        <v>0.97299999999999998</v>
      </c>
      <c r="E56" s="2424"/>
      <c r="F56" s="2424"/>
    </row>
    <row r="57" spans="1:7" hidden="1" x14ac:dyDescent="0.3">
      <c r="A57" s="2913" t="s">
        <v>1348</v>
      </c>
      <c r="B57" s="2921" t="s">
        <v>1394</v>
      </c>
      <c r="C57" s="2630">
        <v>21183</v>
      </c>
      <c r="D57" s="2937">
        <f t="shared" si="0"/>
        <v>21.183</v>
      </c>
      <c r="E57" s="2424"/>
      <c r="F57" s="2424"/>
    </row>
    <row r="58" spans="1:7" hidden="1" x14ac:dyDescent="0.3">
      <c r="A58" s="2913" t="s">
        <v>1347</v>
      </c>
      <c r="B58" s="2924" t="s">
        <v>136</v>
      </c>
      <c r="C58" s="2630">
        <v>7709386</v>
      </c>
      <c r="D58" s="2937">
        <f t="shared" si="0"/>
        <v>7709.3860000000004</v>
      </c>
      <c r="E58" t="s">
        <v>6</v>
      </c>
      <c r="F58" t="s">
        <v>155</v>
      </c>
      <c r="G58" t="s">
        <v>7</v>
      </c>
    </row>
    <row r="59" spans="1:7" hidden="1" x14ac:dyDescent="0.3">
      <c r="A59" s="2913" t="s">
        <v>1347</v>
      </c>
      <c r="B59" s="2924" t="s">
        <v>1363</v>
      </c>
      <c r="C59" s="2630">
        <v>814993</v>
      </c>
      <c r="D59" s="2937">
        <f t="shared" si="0"/>
        <v>814.99300000000005</v>
      </c>
      <c r="E59" t="s">
        <v>6</v>
      </c>
      <c r="F59" t="s">
        <v>155</v>
      </c>
      <c r="G59" t="s">
        <v>7</v>
      </c>
    </row>
    <row r="60" spans="1:7" hidden="1" x14ac:dyDescent="0.3">
      <c r="A60" s="2913" t="s">
        <v>1347</v>
      </c>
      <c r="B60" s="2924" t="s">
        <v>1585</v>
      </c>
      <c r="C60" s="2630">
        <v>3000</v>
      </c>
      <c r="D60" s="2937">
        <f t="shared" si="0"/>
        <v>3</v>
      </c>
      <c r="E60" t="s">
        <v>89</v>
      </c>
      <c r="F60" t="s">
        <v>117</v>
      </c>
      <c r="G60" t="s">
        <v>86</v>
      </c>
    </row>
    <row r="61" spans="1:7" hidden="1" x14ac:dyDescent="0.3">
      <c r="A61" s="2913" t="s">
        <v>1347</v>
      </c>
      <c r="B61" s="2924" t="s">
        <v>1369</v>
      </c>
      <c r="C61" s="2630">
        <v>6217</v>
      </c>
      <c r="D61" s="2937">
        <f t="shared" si="0"/>
        <v>6.2169999999999996</v>
      </c>
      <c r="E61" t="s">
        <v>6</v>
      </c>
      <c r="F61" t="s">
        <v>155</v>
      </c>
      <c r="G61" t="s">
        <v>7</v>
      </c>
    </row>
    <row r="62" spans="1:7" hidden="1" x14ac:dyDescent="0.3">
      <c r="A62" s="2913" t="s">
        <v>1347</v>
      </c>
      <c r="B62" s="2914" t="s">
        <v>402</v>
      </c>
      <c r="C62" s="2630">
        <v>29605</v>
      </c>
      <c r="D62" s="2937">
        <f t="shared" si="0"/>
        <v>29.605</v>
      </c>
      <c r="E62" t="s">
        <v>33</v>
      </c>
      <c r="F62" t="s">
        <v>155</v>
      </c>
      <c r="G62" t="s">
        <v>7</v>
      </c>
    </row>
    <row r="63" spans="1:7" hidden="1" x14ac:dyDescent="0.3">
      <c r="A63" s="2913" t="s">
        <v>1347</v>
      </c>
      <c r="B63" s="2914" t="s">
        <v>1428</v>
      </c>
      <c r="C63" s="2630">
        <v>14250</v>
      </c>
      <c r="D63" s="2937">
        <f t="shared" si="0"/>
        <v>14.25</v>
      </c>
      <c r="E63" t="s">
        <v>33</v>
      </c>
      <c r="F63" t="s">
        <v>114</v>
      </c>
      <c r="G63" t="s">
        <v>98</v>
      </c>
    </row>
    <row r="64" spans="1:7" hidden="1" x14ac:dyDescent="0.3">
      <c r="A64" s="2913" t="s">
        <v>1347</v>
      </c>
      <c r="B64" s="2914" t="s">
        <v>1424</v>
      </c>
      <c r="C64" s="2630">
        <v>325</v>
      </c>
      <c r="D64" s="2937">
        <f t="shared" si="0"/>
        <v>0.32500000000000001</v>
      </c>
      <c r="E64" t="s">
        <v>33</v>
      </c>
      <c r="F64" t="s">
        <v>155</v>
      </c>
      <c r="G64" t="s">
        <v>7</v>
      </c>
    </row>
    <row r="65" spans="1:7" hidden="1" x14ac:dyDescent="0.3">
      <c r="A65" s="2913" t="s">
        <v>1347</v>
      </c>
      <c r="B65" s="2914" t="s">
        <v>1430</v>
      </c>
      <c r="C65" s="2630">
        <v>880</v>
      </c>
      <c r="D65" s="2937">
        <f t="shared" si="0"/>
        <v>0.88</v>
      </c>
      <c r="E65" t="s">
        <v>33</v>
      </c>
      <c r="F65" t="s">
        <v>155</v>
      </c>
      <c r="G65" t="s">
        <v>7</v>
      </c>
    </row>
    <row r="66" spans="1:7" hidden="1" x14ac:dyDescent="0.3">
      <c r="A66" s="2913" t="s">
        <v>1347</v>
      </c>
      <c r="B66" s="2915" t="s">
        <v>403</v>
      </c>
      <c r="C66" s="2630">
        <v>624721</v>
      </c>
      <c r="D66" s="2937">
        <f t="shared" si="0"/>
        <v>624.721</v>
      </c>
      <c r="E66" t="s">
        <v>14</v>
      </c>
      <c r="F66" t="s">
        <v>155</v>
      </c>
      <c r="G66" t="s">
        <v>7</v>
      </c>
    </row>
    <row r="67" spans="1:7" hidden="1" x14ac:dyDescent="0.3">
      <c r="A67" s="2913" t="s">
        <v>1347</v>
      </c>
      <c r="B67" s="2915" t="s">
        <v>1421</v>
      </c>
      <c r="C67" s="2630">
        <v>144284</v>
      </c>
      <c r="D67" s="2937">
        <f t="shared" si="0"/>
        <v>144.28399999999999</v>
      </c>
      <c r="E67" t="s">
        <v>14</v>
      </c>
      <c r="F67" t="s">
        <v>155</v>
      </c>
      <c r="G67" t="s">
        <v>7</v>
      </c>
    </row>
    <row r="68" spans="1:7" hidden="1" x14ac:dyDescent="0.3">
      <c r="A68" s="2913" t="s">
        <v>1347</v>
      </c>
      <c r="B68" s="2915" t="s">
        <v>1423</v>
      </c>
      <c r="C68" s="2630">
        <v>99950</v>
      </c>
      <c r="D68" s="2937">
        <f t="shared" si="0"/>
        <v>99.95</v>
      </c>
      <c r="E68" t="s">
        <v>14</v>
      </c>
      <c r="F68" t="s">
        <v>117</v>
      </c>
      <c r="G68" t="s">
        <v>86</v>
      </c>
    </row>
    <row r="69" spans="1:7" hidden="1" x14ac:dyDescent="0.3">
      <c r="A69" s="2913" t="s">
        <v>1347</v>
      </c>
      <c r="B69" s="2915" t="s">
        <v>1422</v>
      </c>
      <c r="C69" s="2630">
        <v>3305</v>
      </c>
      <c r="D69" s="2937">
        <f t="shared" si="0"/>
        <v>3.3050000000000002</v>
      </c>
      <c r="E69" t="s">
        <v>14</v>
      </c>
      <c r="F69" t="s">
        <v>155</v>
      </c>
      <c r="G69" t="s">
        <v>7</v>
      </c>
    </row>
    <row r="70" spans="1:7" hidden="1" x14ac:dyDescent="0.3">
      <c r="A70" s="2913" t="s">
        <v>1347</v>
      </c>
      <c r="B70" s="2927" t="s">
        <v>404</v>
      </c>
      <c r="C70" s="2630">
        <v>264879</v>
      </c>
      <c r="D70" s="2937">
        <f t="shared" si="0"/>
        <v>264.87900000000002</v>
      </c>
      <c r="E70" t="s">
        <v>81</v>
      </c>
      <c r="F70" t="s">
        <v>155</v>
      </c>
      <c r="G70" t="s">
        <v>7</v>
      </c>
    </row>
    <row r="71" spans="1:7" hidden="1" x14ac:dyDescent="0.3">
      <c r="A71" s="2913" t="s">
        <v>1347</v>
      </c>
      <c r="B71" s="2927" t="s">
        <v>1342</v>
      </c>
      <c r="C71" s="2630">
        <v>36180</v>
      </c>
      <c r="D71" s="2937">
        <f t="shared" si="0"/>
        <v>36.18</v>
      </c>
      <c r="E71" t="s">
        <v>81</v>
      </c>
      <c r="F71" t="s">
        <v>155</v>
      </c>
      <c r="G71" t="s">
        <v>7</v>
      </c>
    </row>
    <row r="72" spans="1:7" hidden="1" x14ac:dyDescent="0.3">
      <c r="A72" s="2913" t="s">
        <v>1347</v>
      </c>
      <c r="B72" s="2927" t="s">
        <v>1354</v>
      </c>
      <c r="C72" s="2630">
        <v>59940</v>
      </c>
      <c r="D72" s="2937">
        <f t="shared" si="0"/>
        <v>59.94</v>
      </c>
      <c r="E72" t="s">
        <v>81</v>
      </c>
      <c r="F72" t="s">
        <v>155</v>
      </c>
      <c r="G72" t="s">
        <v>7</v>
      </c>
    </row>
    <row r="73" spans="1:7" hidden="1" x14ac:dyDescent="0.3">
      <c r="A73" s="2913" t="s">
        <v>1347</v>
      </c>
      <c r="B73" s="2917" t="s">
        <v>1416</v>
      </c>
      <c r="C73" s="2630">
        <v>324920</v>
      </c>
      <c r="D73" s="2937">
        <f t="shared" si="0"/>
        <v>324.92</v>
      </c>
      <c r="E73" t="s">
        <v>23</v>
      </c>
      <c r="F73" t="s">
        <v>155</v>
      </c>
      <c r="G73" t="s">
        <v>7</v>
      </c>
    </row>
    <row r="74" spans="1:7" hidden="1" x14ac:dyDescent="0.3">
      <c r="A74" s="2913" t="s">
        <v>1347</v>
      </c>
      <c r="B74" s="2917" t="s">
        <v>1415</v>
      </c>
      <c r="C74" s="2630">
        <v>60351</v>
      </c>
      <c r="D74" s="2937">
        <f t="shared" si="0"/>
        <v>60.350999999999999</v>
      </c>
      <c r="E74" t="s">
        <v>100</v>
      </c>
      <c r="F74" t="s">
        <v>114</v>
      </c>
      <c r="G74" t="s">
        <v>98</v>
      </c>
    </row>
    <row r="75" spans="1:7" hidden="1" x14ac:dyDescent="0.3">
      <c r="A75" s="2913" t="s">
        <v>1347</v>
      </c>
      <c r="B75" s="2916" t="s">
        <v>1581</v>
      </c>
      <c r="C75" s="2630">
        <v>4000</v>
      </c>
      <c r="D75" s="2937">
        <f t="shared" si="0"/>
        <v>4</v>
      </c>
      <c r="E75" t="s">
        <v>112</v>
      </c>
      <c r="F75" s="2946" t="s">
        <v>155</v>
      </c>
      <c r="G75" s="2946" t="s">
        <v>7</v>
      </c>
    </row>
    <row r="76" spans="1:7" hidden="1" x14ac:dyDescent="0.3">
      <c r="A76" s="2913" t="s">
        <v>1347</v>
      </c>
      <c r="B76" s="2916" t="s">
        <v>1582</v>
      </c>
      <c r="C76" s="2630">
        <v>136799</v>
      </c>
      <c r="D76" s="2937">
        <f t="shared" si="0"/>
        <v>136.79900000000001</v>
      </c>
      <c r="E76" t="s">
        <v>1597</v>
      </c>
      <c r="F76" s="2946" t="s">
        <v>155</v>
      </c>
      <c r="G76" s="2946" t="s">
        <v>7</v>
      </c>
    </row>
    <row r="77" spans="1:7" x14ac:dyDescent="0.3">
      <c r="A77" s="2913" t="s">
        <v>1347</v>
      </c>
      <c r="B77" s="2922" t="s">
        <v>1386</v>
      </c>
      <c r="C77" s="2630">
        <v>236240</v>
      </c>
      <c r="D77" s="2937">
        <f t="shared" si="0"/>
        <v>236.24</v>
      </c>
      <c r="E77" t="s">
        <v>90</v>
      </c>
      <c r="F77" t="s">
        <v>117</v>
      </c>
      <c r="G77" t="s">
        <v>86</v>
      </c>
    </row>
    <row r="78" spans="1:7" hidden="1" x14ac:dyDescent="0.3">
      <c r="A78" s="2913" t="s">
        <v>1347</v>
      </c>
      <c r="B78" s="2922" t="s">
        <v>1383</v>
      </c>
      <c r="C78" s="2630">
        <v>16520</v>
      </c>
      <c r="D78" s="2937">
        <f t="shared" si="0"/>
        <v>16.52</v>
      </c>
      <c r="E78" t="s">
        <v>19</v>
      </c>
      <c r="F78" t="s">
        <v>155</v>
      </c>
      <c r="G78" t="s">
        <v>7</v>
      </c>
    </row>
    <row r="79" spans="1:7" hidden="1" x14ac:dyDescent="0.3">
      <c r="A79" s="2913" t="s">
        <v>1347</v>
      </c>
      <c r="B79" s="2922" t="s">
        <v>1388</v>
      </c>
      <c r="C79" s="2630">
        <v>64060</v>
      </c>
      <c r="D79" s="2937">
        <f t="shared" si="0"/>
        <v>64.06</v>
      </c>
      <c r="E79" t="s">
        <v>19</v>
      </c>
      <c r="F79" t="s">
        <v>155</v>
      </c>
      <c r="G79" t="s">
        <v>7</v>
      </c>
    </row>
    <row r="80" spans="1:7" hidden="1" x14ac:dyDescent="0.3">
      <c r="A80" s="2913" t="s">
        <v>1347</v>
      </c>
      <c r="B80" s="2926" t="s">
        <v>407</v>
      </c>
      <c r="C80" s="2630">
        <v>859421</v>
      </c>
      <c r="D80" s="2937">
        <f t="shared" si="0"/>
        <v>859.42100000000005</v>
      </c>
      <c r="E80" s="1" t="s">
        <v>31</v>
      </c>
      <c r="F80" s="1" t="s">
        <v>155</v>
      </c>
      <c r="G80" s="1" t="s">
        <v>7</v>
      </c>
    </row>
    <row r="81" spans="1:7" hidden="1" x14ac:dyDescent="0.3">
      <c r="A81" s="2913" t="s">
        <v>1347</v>
      </c>
      <c r="B81" s="2920" t="s">
        <v>408</v>
      </c>
      <c r="C81" s="2630">
        <v>686035</v>
      </c>
      <c r="D81" s="2937">
        <f t="shared" si="0"/>
        <v>686.03499999999997</v>
      </c>
      <c r="E81" t="s">
        <v>27</v>
      </c>
      <c r="F81" t="s">
        <v>155</v>
      </c>
      <c r="G81" t="s">
        <v>7</v>
      </c>
    </row>
    <row r="82" spans="1:7" hidden="1" x14ac:dyDescent="0.3">
      <c r="A82" s="2913" t="s">
        <v>1347</v>
      </c>
      <c r="B82" s="2935" t="s">
        <v>1587</v>
      </c>
      <c r="C82" s="2630">
        <v>118773</v>
      </c>
      <c r="D82" s="2937">
        <f t="shared" si="0"/>
        <v>118.773</v>
      </c>
      <c r="E82" t="s">
        <v>27</v>
      </c>
      <c r="F82" t="s">
        <v>155</v>
      </c>
      <c r="G82" t="s">
        <v>7</v>
      </c>
    </row>
    <row r="83" spans="1:7" hidden="1" x14ac:dyDescent="0.3">
      <c r="A83" s="2913" t="s">
        <v>1347</v>
      </c>
      <c r="B83" s="2935" t="s">
        <v>1403</v>
      </c>
      <c r="C83" s="2630">
        <v>121880</v>
      </c>
      <c r="D83" s="2937">
        <f t="shared" si="0"/>
        <v>121.88</v>
      </c>
      <c r="E83" t="s">
        <v>27</v>
      </c>
      <c r="F83" t="s">
        <v>155</v>
      </c>
      <c r="G83" t="s">
        <v>7</v>
      </c>
    </row>
    <row r="84" spans="1:7" hidden="1" x14ac:dyDescent="0.3">
      <c r="A84" s="2913" t="s">
        <v>1347</v>
      </c>
      <c r="B84" s="2920" t="s">
        <v>1588</v>
      </c>
      <c r="C84" s="2630">
        <v>81370</v>
      </c>
      <c r="D84" s="2937">
        <f t="shared" si="0"/>
        <v>81.37</v>
      </c>
      <c r="E84" t="s">
        <v>101</v>
      </c>
      <c r="F84" s="2946" t="s">
        <v>114</v>
      </c>
      <c r="G84" t="s">
        <v>98</v>
      </c>
    </row>
    <row r="85" spans="1:7" hidden="1" x14ac:dyDescent="0.3">
      <c r="A85" s="2913" t="s">
        <v>1347</v>
      </c>
      <c r="B85" s="2935" t="s">
        <v>1589</v>
      </c>
      <c r="C85" s="2630">
        <v>95223</v>
      </c>
      <c r="D85" s="2937">
        <f t="shared" si="0"/>
        <v>95.222999999999999</v>
      </c>
      <c r="E85" t="s">
        <v>101</v>
      </c>
      <c r="F85" s="2946" t="s">
        <v>114</v>
      </c>
      <c r="G85" t="s">
        <v>98</v>
      </c>
    </row>
    <row r="86" spans="1:7" hidden="1" x14ac:dyDescent="0.3">
      <c r="A86" s="2913" t="s">
        <v>1347</v>
      </c>
      <c r="B86" s="2920" t="s">
        <v>1406</v>
      </c>
      <c r="C86" s="2630">
        <v>8309</v>
      </c>
      <c r="D86" s="2937">
        <f t="shared" si="0"/>
        <v>8.3089999999999993</v>
      </c>
      <c r="E86" t="s">
        <v>27</v>
      </c>
      <c r="F86" t="s">
        <v>117</v>
      </c>
      <c r="G86" t="s">
        <v>86</v>
      </c>
    </row>
    <row r="87" spans="1:7" hidden="1" x14ac:dyDescent="0.3">
      <c r="A87" s="2913" t="s">
        <v>1347</v>
      </c>
      <c r="B87" s="2925" t="s">
        <v>409</v>
      </c>
      <c r="C87" s="2630">
        <v>128755</v>
      </c>
      <c r="D87" s="2937">
        <f t="shared" si="0"/>
        <v>128.755</v>
      </c>
      <c r="E87" t="s">
        <v>25</v>
      </c>
      <c r="F87" t="s">
        <v>155</v>
      </c>
      <c r="G87" t="s">
        <v>7</v>
      </c>
    </row>
    <row r="88" spans="1:7" hidden="1" x14ac:dyDescent="0.3">
      <c r="A88" s="2913" t="s">
        <v>1347</v>
      </c>
      <c r="B88" s="2923" t="s">
        <v>1377</v>
      </c>
      <c r="C88" s="2630">
        <v>531</v>
      </c>
      <c r="D88" s="2937">
        <f t="shared" si="0"/>
        <v>0.53100000000000003</v>
      </c>
      <c r="E88" t="s">
        <v>79</v>
      </c>
      <c r="F88" t="s">
        <v>155</v>
      </c>
      <c r="G88" t="s">
        <v>7</v>
      </c>
    </row>
    <row r="89" spans="1:7" hidden="1" x14ac:dyDescent="0.3">
      <c r="A89" s="2913" t="s">
        <v>1347</v>
      </c>
      <c r="B89" s="2923" t="s">
        <v>1380</v>
      </c>
      <c r="C89" s="2630">
        <v>88279</v>
      </c>
      <c r="D89" s="2937">
        <f t="shared" si="0"/>
        <v>88.278999999999996</v>
      </c>
      <c r="E89" t="s">
        <v>79</v>
      </c>
      <c r="F89" t="s">
        <v>155</v>
      </c>
      <c r="G89" t="s">
        <v>7</v>
      </c>
    </row>
    <row r="90" spans="1:7" hidden="1" x14ac:dyDescent="0.3">
      <c r="A90" s="2913" t="s">
        <v>1347</v>
      </c>
      <c r="B90" s="2923" t="s">
        <v>1583</v>
      </c>
      <c r="C90" s="2630">
        <v>78992</v>
      </c>
      <c r="D90" s="2937">
        <f t="shared" ref="D90:D153" si="1">C90/1000</f>
        <v>78.992000000000004</v>
      </c>
      <c r="E90" t="s">
        <v>79</v>
      </c>
      <c r="F90" t="s">
        <v>114</v>
      </c>
      <c r="G90" t="s">
        <v>98</v>
      </c>
    </row>
    <row r="91" spans="1:7" hidden="1" x14ac:dyDescent="0.3">
      <c r="A91" s="2913" t="s">
        <v>1347</v>
      </c>
      <c r="B91" s="2918" t="s">
        <v>1413</v>
      </c>
      <c r="C91" s="2630">
        <v>728772</v>
      </c>
      <c r="D91" s="2937">
        <f t="shared" si="1"/>
        <v>728.77200000000005</v>
      </c>
      <c r="E91" t="s">
        <v>29</v>
      </c>
      <c r="F91" t="s">
        <v>155</v>
      </c>
      <c r="G91" t="s">
        <v>7</v>
      </c>
    </row>
    <row r="92" spans="1:7" hidden="1" x14ac:dyDescent="0.3">
      <c r="A92" s="2913" t="s">
        <v>1347</v>
      </c>
      <c r="B92" s="2918" t="s">
        <v>1414</v>
      </c>
      <c r="C92" s="2630">
        <v>14989</v>
      </c>
      <c r="D92" s="2937">
        <f t="shared" si="1"/>
        <v>14.989000000000001</v>
      </c>
      <c r="E92" t="s">
        <v>29</v>
      </c>
      <c r="F92" t="s">
        <v>117</v>
      </c>
      <c r="G92" t="s">
        <v>86</v>
      </c>
    </row>
    <row r="93" spans="1:7" hidden="1" x14ac:dyDescent="0.3">
      <c r="A93" s="2913" t="s">
        <v>1347</v>
      </c>
      <c r="B93" s="2919" t="s">
        <v>1407</v>
      </c>
      <c r="C93" s="2630">
        <v>102</v>
      </c>
      <c r="D93" s="2937">
        <f t="shared" si="1"/>
        <v>0.10199999999999999</v>
      </c>
      <c r="E93" s="2424"/>
      <c r="F93" s="2424"/>
    </row>
    <row r="94" spans="1:7" hidden="1" x14ac:dyDescent="0.3">
      <c r="A94" s="2913" t="s">
        <v>1347</v>
      </c>
      <c r="B94" s="2919" t="s">
        <v>1410</v>
      </c>
      <c r="C94" s="2630">
        <v>167741</v>
      </c>
      <c r="D94" s="2937">
        <f t="shared" si="1"/>
        <v>167.74100000000001</v>
      </c>
      <c r="E94" s="2424"/>
      <c r="F94" s="2424"/>
    </row>
    <row r="95" spans="1:7" hidden="1" x14ac:dyDescent="0.3">
      <c r="A95" s="2913" t="s">
        <v>1347</v>
      </c>
      <c r="B95" s="2921" t="s">
        <v>1390</v>
      </c>
      <c r="C95" s="2630">
        <v>1281</v>
      </c>
      <c r="D95" s="2937">
        <f t="shared" si="1"/>
        <v>1.2809999999999999</v>
      </c>
      <c r="E95" s="2424"/>
      <c r="F95" s="2424"/>
    </row>
    <row r="96" spans="1:7" hidden="1" x14ac:dyDescent="0.3">
      <c r="A96" s="2913" t="s">
        <v>1347</v>
      </c>
      <c r="B96" s="2921" t="s">
        <v>1389</v>
      </c>
      <c r="C96" s="2630">
        <v>3570</v>
      </c>
      <c r="D96" s="2937">
        <f t="shared" si="1"/>
        <v>3.57</v>
      </c>
      <c r="E96" s="2424"/>
      <c r="F96" s="2424"/>
    </row>
    <row r="97" spans="1:7" hidden="1" x14ac:dyDescent="0.3">
      <c r="A97" s="2913" t="s">
        <v>1347</v>
      </c>
      <c r="B97" s="2921" t="s">
        <v>1394</v>
      </c>
      <c r="C97" s="2630">
        <v>19320</v>
      </c>
      <c r="D97" s="2937">
        <f t="shared" si="1"/>
        <v>19.32</v>
      </c>
      <c r="E97" s="2424"/>
      <c r="F97" s="2424"/>
    </row>
    <row r="98" spans="1:7" hidden="1" x14ac:dyDescent="0.3">
      <c r="A98" s="2913" t="s">
        <v>1346</v>
      </c>
      <c r="B98" s="2924" t="s">
        <v>136</v>
      </c>
      <c r="C98" s="2630">
        <v>2861383</v>
      </c>
      <c r="D98" s="2937">
        <f t="shared" si="1"/>
        <v>2861.3829999999998</v>
      </c>
      <c r="E98" t="s">
        <v>6</v>
      </c>
      <c r="F98" t="s">
        <v>155</v>
      </c>
      <c r="G98" t="s">
        <v>7</v>
      </c>
    </row>
    <row r="99" spans="1:7" hidden="1" x14ac:dyDescent="0.3">
      <c r="A99" s="2913" t="s">
        <v>1346</v>
      </c>
      <c r="B99" s="2924" t="s">
        <v>1585</v>
      </c>
      <c r="C99" s="2630">
        <v>111560</v>
      </c>
      <c r="D99" s="2937">
        <f t="shared" si="1"/>
        <v>111.56</v>
      </c>
      <c r="E99" t="s">
        <v>89</v>
      </c>
      <c r="F99" t="s">
        <v>117</v>
      </c>
      <c r="G99" t="s">
        <v>86</v>
      </c>
    </row>
    <row r="100" spans="1:7" hidden="1" x14ac:dyDescent="0.3">
      <c r="A100" s="2913" t="s">
        <v>1346</v>
      </c>
      <c r="B100" s="2924" t="s">
        <v>1369</v>
      </c>
      <c r="C100" s="2630">
        <v>1814</v>
      </c>
      <c r="D100" s="2937">
        <f t="shared" si="1"/>
        <v>1.8140000000000001</v>
      </c>
      <c r="E100" t="s">
        <v>6</v>
      </c>
      <c r="F100" t="s">
        <v>155</v>
      </c>
      <c r="G100" t="s">
        <v>7</v>
      </c>
    </row>
    <row r="101" spans="1:7" hidden="1" x14ac:dyDescent="0.3">
      <c r="A101" s="2913" t="s">
        <v>1346</v>
      </c>
      <c r="B101" s="2914" t="s">
        <v>1424</v>
      </c>
      <c r="C101" s="2630">
        <v>1013</v>
      </c>
      <c r="D101" s="2937">
        <f t="shared" si="1"/>
        <v>1.0129999999999999</v>
      </c>
      <c r="E101" t="s">
        <v>33</v>
      </c>
      <c r="F101" t="s">
        <v>155</v>
      </c>
      <c r="G101" t="s">
        <v>7</v>
      </c>
    </row>
    <row r="102" spans="1:7" hidden="1" x14ac:dyDescent="0.3">
      <c r="A102" s="2913" t="s">
        <v>1346</v>
      </c>
      <c r="B102" s="2914" t="s">
        <v>1425</v>
      </c>
      <c r="C102" s="2630">
        <v>5025</v>
      </c>
      <c r="D102" s="2937">
        <f t="shared" si="1"/>
        <v>5.0250000000000004</v>
      </c>
      <c r="E102" t="s">
        <v>33</v>
      </c>
      <c r="F102" t="s">
        <v>155</v>
      </c>
      <c r="G102" t="s">
        <v>7</v>
      </c>
    </row>
    <row r="103" spans="1:7" hidden="1" x14ac:dyDescent="0.3">
      <c r="A103" s="2913" t="s">
        <v>1346</v>
      </c>
      <c r="B103" s="2915" t="s">
        <v>403</v>
      </c>
      <c r="C103" s="2630">
        <v>303541</v>
      </c>
      <c r="D103" s="2937">
        <f t="shared" si="1"/>
        <v>303.541</v>
      </c>
      <c r="E103" t="s">
        <v>14</v>
      </c>
      <c r="F103" t="s">
        <v>155</v>
      </c>
      <c r="G103" t="s">
        <v>7</v>
      </c>
    </row>
    <row r="104" spans="1:7" hidden="1" x14ac:dyDescent="0.3">
      <c r="A104" s="2913" t="s">
        <v>1346</v>
      </c>
      <c r="B104" s="2915" t="s">
        <v>1423</v>
      </c>
      <c r="C104" s="2630">
        <v>29163</v>
      </c>
      <c r="D104" s="2937">
        <f t="shared" si="1"/>
        <v>29.163</v>
      </c>
      <c r="E104" t="s">
        <v>14</v>
      </c>
      <c r="F104" t="s">
        <v>117</v>
      </c>
      <c r="G104" t="s">
        <v>86</v>
      </c>
    </row>
    <row r="105" spans="1:7" hidden="1" x14ac:dyDescent="0.3">
      <c r="A105" s="2913" t="s">
        <v>1346</v>
      </c>
      <c r="B105" s="2915" t="s">
        <v>1422</v>
      </c>
      <c r="C105" s="2630">
        <v>964</v>
      </c>
      <c r="D105" s="2937">
        <f t="shared" si="1"/>
        <v>0.96399999999999997</v>
      </c>
      <c r="E105" t="s">
        <v>14</v>
      </c>
      <c r="F105" t="s">
        <v>155</v>
      </c>
      <c r="G105" t="s">
        <v>7</v>
      </c>
    </row>
    <row r="106" spans="1:7" hidden="1" x14ac:dyDescent="0.3">
      <c r="A106" s="2913" t="s">
        <v>1346</v>
      </c>
      <c r="B106" s="2927" t="s">
        <v>404</v>
      </c>
      <c r="C106" s="2630">
        <v>125758</v>
      </c>
      <c r="D106" s="2937">
        <f t="shared" si="1"/>
        <v>125.758</v>
      </c>
      <c r="E106" t="s">
        <v>81</v>
      </c>
      <c r="F106" t="s">
        <v>155</v>
      </c>
      <c r="G106" t="s">
        <v>7</v>
      </c>
    </row>
    <row r="107" spans="1:7" hidden="1" x14ac:dyDescent="0.3">
      <c r="A107" s="2913" t="s">
        <v>1346</v>
      </c>
      <c r="B107" s="2927" t="s">
        <v>1342</v>
      </c>
      <c r="C107" s="2630">
        <v>138760</v>
      </c>
      <c r="D107" s="2937">
        <f t="shared" si="1"/>
        <v>138.76</v>
      </c>
      <c r="E107" t="s">
        <v>81</v>
      </c>
      <c r="F107" t="s">
        <v>155</v>
      </c>
      <c r="G107" t="s">
        <v>7</v>
      </c>
    </row>
    <row r="108" spans="1:7" hidden="1" x14ac:dyDescent="0.3">
      <c r="A108" s="2913" t="s">
        <v>1346</v>
      </c>
      <c r="B108" s="2917" t="s">
        <v>1416</v>
      </c>
      <c r="C108" s="2630">
        <v>67760</v>
      </c>
      <c r="D108" s="2937">
        <f t="shared" si="1"/>
        <v>67.760000000000005</v>
      </c>
      <c r="E108" t="s">
        <v>23</v>
      </c>
      <c r="F108" t="s">
        <v>155</v>
      </c>
      <c r="G108" t="s">
        <v>7</v>
      </c>
    </row>
    <row r="109" spans="1:7" hidden="1" x14ac:dyDescent="0.3">
      <c r="A109" s="2913" t="s">
        <v>1346</v>
      </c>
      <c r="B109" s="2916" t="s">
        <v>1581</v>
      </c>
      <c r="C109" s="2630">
        <v>222200</v>
      </c>
      <c r="D109" s="2937">
        <f t="shared" si="1"/>
        <v>222.2</v>
      </c>
      <c r="E109" t="s">
        <v>112</v>
      </c>
      <c r="F109" s="2946" t="s">
        <v>155</v>
      </c>
      <c r="G109" t="s">
        <v>7</v>
      </c>
    </row>
    <row r="110" spans="1:7" hidden="1" x14ac:dyDescent="0.3">
      <c r="A110" s="2913" t="s">
        <v>1346</v>
      </c>
      <c r="B110" s="2916" t="s">
        <v>1582</v>
      </c>
      <c r="C110" s="2630">
        <v>147600</v>
      </c>
      <c r="D110" s="2937">
        <f t="shared" si="1"/>
        <v>147.6</v>
      </c>
      <c r="E110" t="s">
        <v>1597</v>
      </c>
      <c r="F110" s="2946" t="s">
        <v>155</v>
      </c>
      <c r="G110" t="s">
        <v>7</v>
      </c>
    </row>
    <row r="111" spans="1:7" hidden="1" x14ac:dyDescent="0.3">
      <c r="A111" s="2913" t="s">
        <v>1346</v>
      </c>
      <c r="B111" s="2922" t="s">
        <v>1383</v>
      </c>
      <c r="C111" s="2630">
        <v>597800</v>
      </c>
      <c r="D111" s="2937">
        <f t="shared" si="1"/>
        <v>597.79999999999995</v>
      </c>
      <c r="E111" t="s">
        <v>19</v>
      </c>
      <c r="F111" t="s">
        <v>155</v>
      </c>
      <c r="G111" t="s">
        <v>7</v>
      </c>
    </row>
    <row r="112" spans="1:7" hidden="1" x14ac:dyDescent="0.3">
      <c r="A112" s="2913" t="s">
        <v>1346</v>
      </c>
      <c r="B112" s="2926" t="s">
        <v>407</v>
      </c>
      <c r="C112" s="2630">
        <v>414751</v>
      </c>
      <c r="D112" s="2937">
        <f t="shared" si="1"/>
        <v>414.75099999999998</v>
      </c>
      <c r="E112" s="1" t="s">
        <v>31</v>
      </c>
      <c r="F112" s="1" t="s">
        <v>155</v>
      </c>
      <c r="G112" s="1" t="s">
        <v>7</v>
      </c>
    </row>
    <row r="113" spans="1:7" hidden="1" x14ac:dyDescent="0.3">
      <c r="A113" s="2913" t="s">
        <v>1346</v>
      </c>
      <c r="B113" s="2920" t="s">
        <v>408</v>
      </c>
      <c r="C113" s="2630">
        <v>262308</v>
      </c>
      <c r="D113" s="2937">
        <f t="shared" si="1"/>
        <v>262.30799999999999</v>
      </c>
      <c r="E113" t="s">
        <v>27</v>
      </c>
      <c r="F113" t="s">
        <v>155</v>
      </c>
      <c r="G113" t="s">
        <v>7</v>
      </c>
    </row>
    <row r="114" spans="1:7" hidden="1" x14ac:dyDescent="0.3">
      <c r="A114" s="2913" t="s">
        <v>1346</v>
      </c>
      <c r="B114" s="2920" t="s">
        <v>1406</v>
      </c>
      <c r="C114" s="2630">
        <v>2425</v>
      </c>
      <c r="D114" s="2937">
        <f t="shared" si="1"/>
        <v>2.4249999999999998</v>
      </c>
      <c r="E114" t="s">
        <v>27</v>
      </c>
      <c r="F114" t="s">
        <v>117</v>
      </c>
      <c r="G114" t="s">
        <v>86</v>
      </c>
    </row>
    <row r="115" spans="1:7" hidden="1" x14ac:dyDescent="0.3">
      <c r="A115" s="2913" t="s">
        <v>1346</v>
      </c>
      <c r="B115" s="2925" t="s">
        <v>409</v>
      </c>
      <c r="C115" s="2630">
        <v>32150</v>
      </c>
      <c r="D115" s="2937">
        <f t="shared" si="1"/>
        <v>32.15</v>
      </c>
      <c r="E115" t="s">
        <v>25</v>
      </c>
      <c r="F115" t="s">
        <v>155</v>
      </c>
      <c r="G115" t="s">
        <v>7</v>
      </c>
    </row>
    <row r="116" spans="1:7" hidden="1" x14ac:dyDescent="0.3">
      <c r="A116" s="2913" t="s">
        <v>1346</v>
      </c>
      <c r="B116" s="2923" t="s">
        <v>1377</v>
      </c>
      <c r="C116" s="2630">
        <v>1655</v>
      </c>
      <c r="D116" s="2937">
        <f t="shared" si="1"/>
        <v>1.655</v>
      </c>
      <c r="E116" t="s">
        <v>79</v>
      </c>
      <c r="F116" t="s">
        <v>155</v>
      </c>
      <c r="G116" t="s">
        <v>7</v>
      </c>
    </row>
    <row r="117" spans="1:7" hidden="1" x14ac:dyDescent="0.3">
      <c r="A117" s="2913" t="s">
        <v>1346</v>
      </c>
      <c r="B117" s="2923" t="s">
        <v>1583</v>
      </c>
      <c r="C117" s="2630">
        <v>28111</v>
      </c>
      <c r="D117" s="2937">
        <f t="shared" si="1"/>
        <v>28.111000000000001</v>
      </c>
      <c r="E117" t="s">
        <v>79</v>
      </c>
      <c r="F117" t="s">
        <v>114</v>
      </c>
      <c r="G117" t="s">
        <v>98</v>
      </c>
    </row>
    <row r="118" spans="1:7" hidden="1" x14ac:dyDescent="0.3">
      <c r="A118" s="2913" t="s">
        <v>1346</v>
      </c>
      <c r="B118" s="2918" t="s">
        <v>1414</v>
      </c>
      <c r="C118" s="2630">
        <v>4374</v>
      </c>
      <c r="D118" s="2937">
        <f t="shared" si="1"/>
        <v>4.3739999999999997</v>
      </c>
      <c r="E118" t="s">
        <v>29</v>
      </c>
      <c r="F118" t="s">
        <v>117</v>
      </c>
      <c r="G118" t="s">
        <v>86</v>
      </c>
    </row>
    <row r="119" spans="1:7" hidden="1" x14ac:dyDescent="0.3">
      <c r="A119" s="2913" t="s">
        <v>1346</v>
      </c>
      <c r="B119" s="2919" t="s">
        <v>1407</v>
      </c>
      <c r="C119" s="2630">
        <v>323</v>
      </c>
      <c r="D119" s="2937">
        <f t="shared" si="1"/>
        <v>0.32300000000000001</v>
      </c>
      <c r="E119" s="2424"/>
      <c r="F119" s="2424"/>
    </row>
    <row r="120" spans="1:7" hidden="1" x14ac:dyDescent="0.3">
      <c r="A120" s="2913" t="s">
        <v>1346</v>
      </c>
      <c r="B120" s="2921" t="s">
        <v>1390</v>
      </c>
      <c r="C120" s="2630">
        <v>3997</v>
      </c>
      <c r="D120" s="2937">
        <f t="shared" si="1"/>
        <v>3.9969999999999999</v>
      </c>
      <c r="E120" s="2424"/>
      <c r="F120" s="2424"/>
    </row>
    <row r="121" spans="1:7" hidden="1" x14ac:dyDescent="0.3">
      <c r="A121" s="2913" t="s">
        <v>1346</v>
      </c>
      <c r="B121" s="2921" t="s">
        <v>1389</v>
      </c>
      <c r="C121" s="2630">
        <v>1042</v>
      </c>
      <c r="D121" s="2937">
        <f t="shared" si="1"/>
        <v>1.042</v>
      </c>
      <c r="E121" s="2422"/>
      <c r="F121" s="2422"/>
    </row>
    <row r="122" spans="1:7" hidden="1" x14ac:dyDescent="0.3">
      <c r="A122" s="2913" t="s">
        <v>1594</v>
      </c>
      <c r="B122" s="2924" t="s">
        <v>136</v>
      </c>
      <c r="C122" s="2630">
        <v>4415199</v>
      </c>
      <c r="D122" s="2937">
        <f t="shared" si="1"/>
        <v>4415.1989999999996</v>
      </c>
      <c r="E122" t="s">
        <v>6</v>
      </c>
      <c r="F122" t="s">
        <v>155</v>
      </c>
      <c r="G122" t="s">
        <v>7</v>
      </c>
    </row>
    <row r="123" spans="1:7" hidden="1" x14ac:dyDescent="0.3">
      <c r="A123" s="2913" t="s">
        <v>1594</v>
      </c>
      <c r="B123" s="2924" t="s">
        <v>1369</v>
      </c>
      <c r="C123" s="2630">
        <v>2040</v>
      </c>
      <c r="D123" s="2937">
        <f t="shared" si="1"/>
        <v>2.04</v>
      </c>
      <c r="E123" t="s">
        <v>6</v>
      </c>
      <c r="F123" t="s">
        <v>155</v>
      </c>
      <c r="G123" t="s">
        <v>7</v>
      </c>
    </row>
    <row r="124" spans="1:7" hidden="1" x14ac:dyDescent="0.3">
      <c r="A124" s="2913" t="s">
        <v>1594</v>
      </c>
      <c r="B124" s="2914" t="s">
        <v>1425</v>
      </c>
      <c r="C124" s="2630">
        <v>1380</v>
      </c>
      <c r="D124" s="2937">
        <f t="shared" si="1"/>
        <v>1.38</v>
      </c>
      <c r="E124" t="s">
        <v>33</v>
      </c>
      <c r="F124" t="s">
        <v>155</v>
      </c>
      <c r="G124" t="s">
        <v>7</v>
      </c>
    </row>
    <row r="125" spans="1:7" hidden="1" x14ac:dyDescent="0.3">
      <c r="A125" s="2913" t="s">
        <v>1594</v>
      </c>
      <c r="B125" s="2914" t="s">
        <v>1424</v>
      </c>
      <c r="C125" s="2630">
        <v>1120</v>
      </c>
      <c r="D125" s="2937">
        <f t="shared" si="1"/>
        <v>1.1200000000000001</v>
      </c>
      <c r="E125" t="s">
        <v>33</v>
      </c>
      <c r="F125" t="s">
        <v>155</v>
      </c>
      <c r="G125" t="s">
        <v>7</v>
      </c>
    </row>
    <row r="126" spans="1:7" hidden="1" x14ac:dyDescent="0.3">
      <c r="A126" s="2913" t="s">
        <v>1594</v>
      </c>
      <c r="B126" s="2914" t="s">
        <v>1430</v>
      </c>
      <c r="C126" s="2630">
        <v>700</v>
      </c>
      <c r="D126" s="2937">
        <f t="shared" si="1"/>
        <v>0.7</v>
      </c>
      <c r="E126" t="s">
        <v>33</v>
      </c>
      <c r="F126" t="s">
        <v>155</v>
      </c>
      <c r="G126" t="s">
        <v>7</v>
      </c>
    </row>
    <row r="127" spans="1:7" hidden="1" x14ac:dyDescent="0.3">
      <c r="A127" s="2913" t="s">
        <v>1594</v>
      </c>
      <c r="B127" s="2915" t="s">
        <v>403</v>
      </c>
      <c r="C127" s="2630">
        <v>311895</v>
      </c>
      <c r="D127" s="2937">
        <f t="shared" si="1"/>
        <v>311.89499999999998</v>
      </c>
      <c r="E127" t="s">
        <v>14</v>
      </c>
      <c r="F127" t="s">
        <v>155</v>
      </c>
      <c r="G127" t="s">
        <v>7</v>
      </c>
    </row>
    <row r="128" spans="1:7" hidden="1" x14ac:dyDescent="0.3">
      <c r="A128" s="2913" t="s">
        <v>1594</v>
      </c>
      <c r="B128" s="2915" t="s">
        <v>1423</v>
      </c>
      <c r="C128" s="2630">
        <v>32767</v>
      </c>
      <c r="D128" s="2937">
        <f t="shared" si="1"/>
        <v>32.767000000000003</v>
      </c>
      <c r="E128" t="s">
        <v>14</v>
      </c>
      <c r="F128" t="s">
        <v>117</v>
      </c>
      <c r="G128" t="s">
        <v>86</v>
      </c>
    </row>
    <row r="129" spans="1:7" hidden="1" x14ac:dyDescent="0.3">
      <c r="A129" s="2913" t="s">
        <v>1594</v>
      </c>
      <c r="B129" s="2915" t="s">
        <v>1422</v>
      </c>
      <c r="C129" s="2630">
        <v>1086</v>
      </c>
      <c r="D129" s="2937">
        <f t="shared" si="1"/>
        <v>1.0860000000000001</v>
      </c>
      <c r="E129" t="s">
        <v>14</v>
      </c>
      <c r="F129" t="s">
        <v>155</v>
      </c>
      <c r="G129" t="s">
        <v>7</v>
      </c>
    </row>
    <row r="130" spans="1:7" hidden="1" x14ac:dyDescent="0.3">
      <c r="A130" s="2913" t="s">
        <v>1594</v>
      </c>
      <c r="B130" s="2927" t="s">
        <v>404</v>
      </c>
      <c r="C130" s="2630">
        <v>52009</v>
      </c>
      <c r="D130" s="2937">
        <f t="shared" si="1"/>
        <v>52.009</v>
      </c>
      <c r="E130" t="s">
        <v>81</v>
      </c>
      <c r="F130" t="s">
        <v>155</v>
      </c>
      <c r="G130" t="s">
        <v>7</v>
      </c>
    </row>
    <row r="131" spans="1:7" hidden="1" x14ac:dyDescent="0.3">
      <c r="A131" s="2913" t="s">
        <v>1594</v>
      </c>
      <c r="B131" s="2927" t="s">
        <v>1342</v>
      </c>
      <c r="C131" s="2630">
        <v>116220</v>
      </c>
      <c r="D131" s="2937">
        <f t="shared" si="1"/>
        <v>116.22</v>
      </c>
      <c r="E131" t="s">
        <v>81</v>
      </c>
      <c r="F131" t="s">
        <v>155</v>
      </c>
      <c r="G131" t="s">
        <v>7</v>
      </c>
    </row>
    <row r="132" spans="1:7" hidden="1" x14ac:dyDescent="0.3">
      <c r="A132" s="2913" t="s">
        <v>1594</v>
      </c>
      <c r="B132" s="2927" t="s">
        <v>1354</v>
      </c>
      <c r="C132" s="2630">
        <v>41760</v>
      </c>
      <c r="D132" s="2937">
        <f t="shared" si="1"/>
        <v>41.76</v>
      </c>
      <c r="E132" t="s">
        <v>81</v>
      </c>
      <c r="F132" t="s">
        <v>155</v>
      </c>
      <c r="G132" t="s">
        <v>7</v>
      </c>
    </row>
    <row r="133" spans="1:7" hidden="1" x14ac:dyDescent="0.3">
      <c r="A133" s="2913" t="s">
        <v>1594</v>
      </c>
      <c r="B133" s="2934" t="s">
        <v>1590</v>
      </c>
      <c r="C133" s="2937">
        <v>40690</v>
      </c>
      <c r="D133" s="2937">
        <f t="shared" si="1"/>
        <v>40.69</v>
      </c>
      <c r="E133" t="s">
        <v>81</v>
      </c>
      <c r="F133" s="2947" t="s">
        <v>155</v>
      </c>
      <c r="G133" t="s">
        <v>7</v>
      </c>
    </row>
    <row r="134" spans="1:7" hidden="1" x14ac:dyDescent="0.3">
      <c r="A134" s="2913" t="s">
        <v>1594</v>
      </c>
      <c r="B134" s="2917" t="s">
        <v>1416</v>
      </c>
      <c r="C134" s="2630">
        <v>0</v>
      </c>
      <c r="D134" s="2937">
        <f t="shared" si="1"/>
        <v>0</v>
      </c>
      <c r="E134" t="s">
        <v>23</v>
      </c>
      <c r="F134" t="s">
        <v>155</v>
      </c>
      <c r="G134" t="s">
        <v>7</v>
      </c>
    </row>
    <row r="135" spans="1:7" hidden="1" x14ac:dyDescent="0.3">
      <c r="A135" s="2913" t="s">
        <v>1594</v>
      </c>
      <c r="B135" s="2916" t="s">
        <v>1581</v>
      </c>
      <c r="C135" s="2630">
        <v>118661</v>
      </c>
      <c r="D135" s="2937">
        <f t="shared" si="1"/>
        <v>118.661</v>
      </c>
      <c r="E135" t="s">
        <v>112</v>
      </c>
      <c r="F135" s="2946" t="s">
        <v>155</v>
      </c>
      <c r="G135" t="s">
        <v>7</v>
      </c>
    </row>
    <row r="136" spans="1:7" hidden="1" x14ac:dyDescent="0.3">
      <c r="A136" s="2913" t="s">
        <v>1594</v>
      </c>
      <c r="B136" s="2916" t="s">
        <v>1582</v>
      </c>
      <c r="C136" s="2630">
        <v>800</v>
      </c>
      <c r="D136" s="2937">
        <f t="shared" si="1"/>
        <v>0.8</v>
      </c>
      <c r="E136" t="s">
        <v>1597</v>
      </c>
      <c r="F136" s="2946" t="s">
        <v>155</v>
      </c>
      <c r="G136" t="s">
        <v>7</v>
      </c>
    </row>
    <row r="137" spans="1:7" hidden="1" x14ac:dyDescent="0.3">
      <c r="A137" s="2913" t="s">
        <v>1594</v>
      </c>
      <c r="B137" s="2922" t="s">
        <v>1383</v>
      </c>
      <c r="C137" s="2630">
        <v>29760</v>
      </c>
      <c r="D137" s="2937">
        <f t="shared" si="1"/>
        <v>29.76</v>
      </c>
      <c r="E137" t="s">
        <v>19</v>
      </c>
      <c r="F137" t="s">
        <v>155</v>
      </c>
      <c r="G137" t="s">
        <v>7</v>
      </c>
    </row>
    <row r="138" spans="1:7" hidden="1" x14ac:dyDescent="0.3">
      <c r="A138" s="2913" t="s">
        <v>1594</v>
      </c>
      <c r="B138" s="2922" t="s">
        <v>1388</v>
      </c>
      <c r="C138" s="2630">
        <v>22030</v>
      </c>
      <c r="D138" s="2937">
        <f t="shared" si="1"/>
        <v>22.03</v>
      </c>
      <c r="E138" t="s">
        <v>19</v>
      </c>
      <c r="F138" t="s">
        <v>155</v>
      </c>
      <c r="G138" t="s">
        <v>7</v>
      </c>
    </row>
    <row r="139" spans="1:7" x14ac:dyDescent="0.3">
      <c r="A139" s="2913" t="s">
        <v>1594</v>
      </c>
      <c r="B139" s="2922" t="s">
        <v>1386</v>
      </c>
      <c r="C139" s="2630">
        <v>80900</v>
      </c>
      <c r="D139" s="2937">
        <f t="shared" si="1"/>
        <v>80.900000000000006</v>
      </c>
      <c r="E139" t="s">
        <v>90</v>
      </c>
      <c r="F139" t="s">
        <v>117</v>
      </c>
      <c r="G139" t="s">
        <v>86</v>
      </c>
    </row>
    <row r="140" spans="1:7" hidden="1" x14ac:dyDescent="0.3">
      <c r="A140" s="2913" t="s">
        <v>1594</v>
      </c>
      <c r="B140" s="2926" t="s">
        <v>407</v>
      </c>
      <c r="C140" s="2630">
        <v>596965</v>
      </c>
      <c r="D140" s="2937">
        <f t="shared" si="1"/>
        <v>596.96500000000003</v>
      </c>
      <c r="E140" s="1" t="s">
        <v>31</v>
      </c>
      <c r="F140" s="1" t="s">
        <v>155</v>
      </c>
      <c r="G140" s="1" t="s">
        <v>7</v>
      </c>
    </row>
    <row r="141" spans="1:7" hidden="1" x14ac:dyDescent="0.3">
      <c r="A141" s="2913" t="s">
        <v>1594</v>
      </c>
      <c r="B141" s="2920" t="s">
        <v>408</v>
      </c>
      <c r="C141" s="2630">
        <v>383372</v>
      </c>
      <c r="D141" s="2937">
        <f t="shared" si="1"/>
        <v>383.37200000000001</v>
      </c>
      <c r="E141" t="s">
        <v>27</v>
      </c>
      <c r="F141" t="s">
        <v>155</v>
      </c>
      <c r="G141" t="s">
        <v>7</v>
      </c>
    </row>
    <row r="142" spans="1:7" hidden="1" x14ac:dyDescent="0.3">
      <c r="A142" s="2913" t="s">
        <v>1594</v>
      </c>
      <c r="B142" s="2935" t="s">
        <v>1403</v>
      </c>
      <c r="C142" s="2630">
        <v>25130</v>
      </c>
      <c r="D142" s="2937">
        <f t="shared" si="1"/>
        <v>25.13</v>
      </c>
      <c r="E142" t="s">
        <v>27</v>
      </c>
      <c r="F142" t="s">
        <v>155</v>
      </c>
      <c r="G142" t="s">
        <v>7</v>
      </c>
    </row>
    <row r="143" spans="1:7" hidden="1" x14ac:dyDescent="0.3">
      <c r="A143" s="2913" t="s">
        <v>1594</v>
      </c>
      <c r="B143" s="2920" t="s">
        <v>1406</v>
      </c>
      <c r="C143" s="2630">
        <v>2724</v>
      </c>
      <c r="D143" s="2937">
        <f t="shared" si="1"/>
        <v>2.7240000000000002</v>
      </c>
      <c r="E143" t="s">
        <v>27</v>
      </c>
      <c r="F143" t="s">
        <v>117</v>
      </c>
      <c r="G143" t="s">
        <v>86</v>
      </c>
    </row>
    <row r="144" spans="1:7" hidden="1" x14ac:dyDescent="0.3">
      <c r="A144" s="2913" t="s">
        <v>1594</v>
      </c>
      <c r="B144" s="2925" t="s">
        <v>409</v>
      </c>
      <c r="C144" s="2630">
        <v>45095</v>
      </c>
      <c r="D144" s="2937">
        <f t="shared" si="1"/>
        <v>45.094999999999999</v>
      </c>
      <c r="E144" t="s">
        <v>25</v>
      </c>
      <c r="F144" t="s">
        <v>155</v>
      </c>
      <c r="G144" t="s">
        <v>7</v>
      </c>
    </row>
    <row r="145" spans="1:7" hidden="1" x14ac:dyDescent="0.3">
      <c r="A145" s="2913" t="s">
        <v>1594</v>
      </c>
      <c r="B145" s="2923" t="s">
        <v>1377</v>
      </c>
      <c r="C145" s="2630">
        <v>1833</v>
      </c>
      <c r="D145" s="2937">
        <f t="shared" si="1"/>
        <v>1.833</v>
      </c>
      <c r="E145" t="s">
        <v>79</v>
      </c>
      <c r="F145" t="s">
        <v>155</v>
      </c>
      <c r="G145" t="s">
        <v>7</v>
      </c>
    </row>
    <row r="146" spans="1:7" hidden="1" x14ac:dyDescent="0.3">
      <c r="A146" s="2913" t="s">
        <v>1594</v>
      </c>
      <c r="B146" s="2923" t="s">
        <v>1380</v>
      </c>
      <c r="C146" s="2630">
        <v>22365</v>
      </c>
      <c r="D146" s="2937">
        <f t="shared" si="1"/>
        <v>22.364999999999998</v>
      </c>
      <c r="E146" t="s">
        <v>79</v>
      </c>
      <c r="F146" t="s">
        <v>155</v>
      </c>
      <c r="G146" t="s">
        <v>7</v>
      </c>
    </row>
    <row r="147" spans="1:7" hidden="1" x14ac:dyDescent="0.3">
      <c r="A147" s="2913" t="s">
        <v>1594</v>
      </c>
      <c r="B147" s="2923" t="s">
        <v>1583</v>
      </c>
      <c r="C147" s="2630">
        <v>46943</v>
      </c>
      <c r="D147" s="2937">
        <f t="shared" si="1"/>
        <v>46.942999999999998</v>
      </c>
      <c r="E147" t="s">
        <v>79</v>
      </c>
      <c r="F147" t="s">
        <v>114</v>
      </c>
      <c r="G147" t="s">
        <v>98</v>
      </c>
    </row>
    <row r="148" spans="1:7" hidden="1" x14ac:dyDescent="0.3">
      <c r="A148" s="2913" t="s">
        <v>1594</v>
      </c>
      <c r="B148" s="2918" t="s">
        <v>1413</v>
      </c>
      <c r="C148" s="2630">
        <v>65700</v>
      </c>
      <c r="D148" s="2937">
        <f t="shared" si="1"/>
        <v>65.7</v>
      </c>
      <c r="E148" t="s">
        <v>29</v>
      </c>
      <c r="F148" t="s">
        <v>155</v>
      </c>
      <c r="G148" t="s">
        <v>7</v>
      </c>
    </row>
    <row r="149" spans="1:7" hidden="1" x14ac:dyDescent="0.3">
      <c r="A149" s="2913" t="s">
        <v>1594</v>
      </c>
      <c r="B149" s="2918" t="s">
        <v>1414</v>
      </c>
      <c r="C149" s="2630">
        <v>4915</v>
      </c>
      <c r="D149" s="2937">
        <f t="shared" si="1"/>
        <v>4.915</v>
      </c>
      <c r="E149" t="s">
        <v>29</v>
      </c>
      <c r="F149" t="s">
        <v>117</v>
      </c>
      <c r="G149" t="s">
        <v>86</v>
      </c>
    </row>
    <row r="150" spans="1:7" hidden="1" x14ac:dyDescent="0.3">
      <c r="A150" s="2913" t="s">
        <v>1594</v>
      </c>
      <c r="B150" s="2919" t="s">
        <v>1407</v>
      </c>
      <c r="C150" s="2630">
        <v>357</v>
      </c>
      <c r="D150" s="2937">
        <f t="shared" si="1"/>
        <v>0.35699999999999998</v>
      </c>
      <c r="E150" s="2424"/>
      <c r="F150" s="2424"/>
    </row>
    <row r="151" spans="1:7" hidden="1" x14ac:dyDescent="0.3">
      <c r="A151" s="2913" t="s">
        <v>1594</v>
      </c>
      <c r="B151" s="2919" t="s">
        <v>1410</v>
      </c>
      <c r="C151" s="2630">
        <v>31708</v>
      </c>
      <c r="D151" s="2937">
        <f t="shared" si="1"/>
        <v>31.707999999999998</v>
      </c>
      <c r="E151" s="2424"/>
      <c r="F151" s="2424"/>
    </row>
    <row r="152" spans="1:7" hidden="1" x14ac:dyDescent="0.3">
      <c r="A152" s="2913" t="s">
        <v>1594</v>
      </c>
      <c r="B152" s="2921" t="s">
        <v>1390</v>
      </c>
      <c r="C152" s="2630">
        <v>4429</v>
      </c>
      <c r="D152" s="2937">
        <f t="shared" si="1"/>
        <v>4.4290000000000003</v>
      </c>
      <c r="E152" s="2424"/>
      <c r="F152" s="2424"/>
    </row>
    <row r="153" spans="1:7" hidden="1" x14ac:dyDescent="0.3">
      <c r="A153" s="2913" t="s">
        <v>1594</v>
      </c>
      <c r="B153" s="2921" t="s">
        <v>1389</v>
      </c>
      <c r="C153" s="2630">
        <v>1172</v>
      </c>
      <c r="D153" s="2937">
        <f t="shared" si="1"/>
        <v>1.1719999999999999</v>
      </c>
      <c r="E153" s="2422"/>
      <c r="F153" s="2422"/>
    </row>
    <row r="154" spans="1:7" hidden="1" x14ac:dyDescent="0.3">
      <c r="A154" s="2913" t="s">
        <v>1594</v>
      </c>
      <c r="B154" s="2921" t="s">
        <v>1394</v>
      </c>
      <c r="C154" s="2630">
        <v>12319</v>
      </c>
      <c r="D154" s="2937">
        <f t="shared" ref="D154:D217" si="2">C154/1000</f>
        <v>12.319000000000001</v>
      </c>
      <c r="E154" s="2424"/>
      <c r="F154" s="2424"/>
    </row>
    <row r="155" spans="1:7" hidden="1" x14ac:dyDescent="0.3">
      <c r="A155" s="2913" t="s">
        <v>1344</v>
      </c>
      <c r="B155" s="2924" t="s">
        <v>136</v>
      </c>
      <c r="C155" s="2630">
        <v>2653567</v>
      </c>
      <c r="D155" s="2937">
        <f t="shared" si="2"/>
        <v>2653.567</v>
      </c>
      <c r="E155" t="s">
        <v>6</v>
      </c>
      <c r="F155" t="s">
        <v>155</v>
      </c>
      <c r="G155" t="s">
        <v>7</v>
      </c>
    </row>
    <row r="156" spans="1:7" hidden="1" x14ac:dyDescent="0.3">
      <c r="A156" s="2913" t="s">
        <v>1344</v>
      </c>
      <c r="B156" s="2924" t="s">
        <v>1363</v>
      </c>
      <c r="C156" s="2630">
        <v>594730</v>
      </c>
      <c r="D156" s="2937">
        <f t="shared" si="2"/>
        <v>594.73</v>
      </c>
      <c r="E156" t="s">
        <v>6</v>
      </c>
      <c r="F156" t="s">
        <v>155</v>
      </c>
      <c r="G156" t="s">
        <v>7</v>
      </c>
    </row>
    <row r="157" spans="1:7" hidden="1" x14ac:dyDescent="0.3">
      <c r="A157" s="2913" t="s">
        <v>1344</v>
      </c>
      <c r="B157" s="2924" t="s">
        <v>1585</v>
      </c>
      <c r="C157" s="2630">
        <v>12900</v>
      </c>
      <c r="D157" s="2937">
        <f t="shared" si="2"/>
        <v>12.9</v>
      </c>
      <c r="E157" t="s">
        <v>89</v>
      </c>
      <c r="F157" t="s">
        <v>117</v>
      </c>
      <c r="G157" t="s">
        <v>86</v>
      </c>
    </row>
    <row r="158" spans="1:7" hidden="1" x14ac:dyDescent="0.3">
      <c r="A158" s="2913" t="s">
        <v>1344</v>
      </c>
      <c r="B158" s="2924" t="s">
        <v>1369</v>
      </c>
      <c r="C158" s="2630">
        <v>2277</v>
      </c>
      <c r="D158" s="2937">
        <f t="shared" si="2"/>
        <v>2.2770000000000001</v>
      </c>
      <c r="E158" t="s">
        <v>6</v>
      </c>
      <c r="F158" t="s">
        <v>155</v>
      </c>
      <c r="G158" t="s">
        <v>7</v>
      </c>
    </row>
    <row r="159" spans="1:7" hidden="1" x14ac:dyDescent="0.3">
      <c r="A159" s="2913" t="s">
        <v>1344</v>
      </c>
      <c r="B159" s="2914" t="s">
        <v>402</v>
      </c>
      <c r="C159" s="2630">
        <v>6102</v>
      </c>
      <c r="D159" s="2937">
        <f t="shared" si="2"/>
        <v>6.1020000000000003</v>
      </c>
      <c r="E159" t="s">
        <v>33</v>
      </c>
      <c r="F159" t="s">
        <v>155</v>
      </c>
      <c r="G159" t="s">
        <v>7</v>
      </c>
    </row>
    <row r="160" spans="1:7" hidden="1" x14ac:dyDescent="0.3">
      <c r="A160" s="2913" t="s">
        <v>1344</v>
      </c>
      <c r="B160" s="2914" t="s">
        <v>1430</v>
      </c>
      <c r="C160" s="2630">
        <v>1350</v>
      </c>
      <c r="D160" s="2937">
        <f t="shared" si="2"/>
        <v>1.35</v>
      </c>
      <c r="E160" t="s">
        <v>33</v>
      </c>
      <c r="F160" t="s">
        <v>155</v>
      </c>
      <c r="G160" t="s">
        <v>7</v>
      </c>
    </row>
    <row r="161" spans="1:7" hidden="1" x14ac:dyDescent="0.3">
      <c r="A161" s="2913" t="s">
        <v>1344</v>
      </c>
      <c r="B161" s="2914" t="s">
        <v>1424</v>
      </c>
      <c r="C161" s="2630">
        <v>841</v>
      </c>
      <c r="D161" s="2937">
        <f t="shared" si="2"/>
        <v>0.84099999999999997</v>
      </c>
      <c r="E161" t="s">
        <v>33</v>
      </c>
      <c r="F161" t="s">
        <v>155</v>
      </c>
      <c r="G161" t="s">
        <v>7</v>
      </c>
    </row>
    <row r="162" spans="1:7" hidden="1" x14ac:dyDescent="0.3">
      <c r="A162" s="2913" t="s">
        <v>1344</v>
      </c>
      <c r="B162" s="2915" t="s">
        <v>403</v>
      </c>
      <c r="C162" s="2630">
        <v>255330</v>
      </c>
      <c r="D162" s="2937">
        <f t="shared" si="2"/>
        <v>255.33</v>
      </c>
      <c r="E162" t="s">
        <v>14</v>
      </c>
      <c r="F162" t="s">
        <v>155</v>
      </c>
      <c r="G162" t="s">
        <v>7</v>
      </c>
    </row>
    <row r="163" spans="1:7" hidden="1" x14ac:dyDescent="0.3">
      <c r="A163" s="2913" t="s">
        <v>1344</v>
      </c>
      <c r="B163" s="2915" t="s">
        <v>1421</v>
      </c>
      <c r="C163" s="2630">
        <v>95860</v>
      </c>
      <c r="D163" s="2937">
        <f t="shared" si="2"/>
        <v>95.86</v>
      </c>
      <c r="E163" t="s">
        <v>14</v>
      </c>
      <c r="F163" t="s">
        <v>155</v>
      </c>
      <c r="G163" t="s">
        <v>7</v>
      </c>
    </row>
    <row r="164" spans="1:7" hidden="1" x14ac:dyDescent="0.3">
      <c r="A164" s="2913" t="s">
        <v>1344</v>
      </c>
      <c r="B164" s="2915" t="s">
        <v>1423</v>
      </c>
      <c r="C164" s="2630">
        <v>36609</v>
      </c>
      <c r="D164" s="2937">
        <f t="shared" si="2"/>
        <v>36.609000000000002</v>
      </c>
      <c r="E164" t="s">
        <v>14</v>
      </c>
      <c r="F164" t="s">
        <v>117</v>
      </c>
      <c r="G164" t="s">
        <v>86</v>
      </c>
    </row>
    <row r="165" spans="1:7" hidden="1" x14ac:dyDescent="0.3">
      <c r="A165" s="2913" t="s">
        <v>1344</v>
      </c>
      <c r="B165" s="2915" t="s">
        <v>1422</v>
      </c>
      <c r="C165" s="2630">
        <v>1211</v>
      </c>
      <c r="D165" s="2937">
        <f t="shared" si="2"/>
        <v>1.2110000000000001</v>
      </c>
      <c r="E165" t="s">
        <v>14</v>
      </c>
      <c r="F165" t="s">
        <v>155</v>
      </c>
      <c r="G165" t="s">
        <v>7</v>
      </c>
    </row>
    <row r="166" spans="1:7" hidden="1" x14ac:dyDescent="0.3">
      <c r="A166" s="2913" t="s">
        <v>1344</v>
      </c>
      <c r="B166" s="2927" t="s">
        <v>1591</v>
      </c>
      <c r="C166" s="2630">
        <v>94530</v>
      </c>
      <c r="D166" s="2937">
        <f t="shared" si="2"/>
        <v>94.53</v>
      </c>
      <c r="E166" t="s">
        <v>81</v>
      </c>
      <c r="F166" t="s">
        <v>155</v>
      </c>
      <c r="G166" t="s">
        <v>7</v>
      </c>
    </row>
    <row r="167" spans="1:7" hidden="1" x14ac:dyDescent="0.3">
      <c r="A167" s="2913" t="s">
        <v>1344</v>
      </c>
      <c r="B167" s="2927" t="s">
        <v>1342</v>
      </c>
      <c r="C167" s="2630">
        <v>174220</v>
      </c>
      <c r="D167" s="2937">
        <f t="shared" si="2"/>
        <v>174.22</v>
      </c>
      <c r="E167" t="s">
        <v>81</v>
      </c>
      <c r="F167" t="s">
        <v>155</v>
      </c>
      <c r="G167" t="s">
        <v>7</v>
      </c>
    </row>
    <row r="168" spans="1:7" hidden="1" x14ac:dyDescent="0.3">
      <c r="A168" s="2913" t="s">
        <v>1344</v>
      </c>
      <c r="B168" s="2927" t="s">
        <v>1354</v>
      </c>
      <c r="C168" s="2630">
        <v>78700</v>
      </c>
      <c r="D168" s="2937">
        <f t="shared" si="2"/>
        <v>78.7</v>
      </c>
      <c r="E168" t="s">
        <v>81</v>
      </c>
      <c r="F168" t="s">
        <v>155</v>
      </c>
      <c r="G168" t="s">
        <v>7</v>
      </c>
    </row>
    <row r="169" spans="1:7" hidden="1" x14ac:dyDescent="0.3">
      <c r="A169" s="2913" t="s">
        <v>1344</v>
      </c>
      <c r="B169" s="2917" t="s">
        <v>1416</v>
      </c>
      <c r="C169" s="2630">
        <v>2100</v>
      </c>
      <c r="D169" s="2937">
        <f t="shared" si="2"/>
        <v>2.1</v>
      </c>
      <c r="E169" t="s">
        <v>23</v>
      </c>
      <c r="F169" t="s">
        <v>155</v>
      </c>
      <c r="G169" t="s">
        <v>7</v>
      </c>
    </row>
    <row r="170" spans="1:7" hidden="1" x14ac:dyDescent="0.3">
      <c r="A170" s="2913" t="s">
        <v>1344</v>
      </c>
      <c r="B170" s="2916" t="s">
        <v>1581</v>
      </c>
      <c r="C170" s="2630">
        <v>170024</v>
      </c>
      <c r="D170" s="2937">
        <f t="shared" si="2"/>
        <v>170.024</v>
      </c>
      <c r="E170" t="s">
        <v>112</v>
      </c>
      <c r="F170" s="2946" t="s">
        <v>155</v>
      </c>
      <c r="G170" t="s">
        <v>7</v>
      </c>
    </row>
    <row r="171" spans="1:7" hidden="1" x14ac:dyDescent="0.3">
      <c r="A171" s="2913" t="s">
        <v>1344</v>
      </c>
      <c r="B171" s="2916" t="s">
        <v>1582</v>
      </c>
      <c r="C171" s="2630">
        <v>207360</v>
      </c>
      <c r="D171" s="2937">
        <f t="shared" si="2"/>
        <v>207.36</v>
      </c>
      <c r="E171" t="s">
        <v>1597</v>
      </c>
      <c r="F171" s="2946" t="s">
        <v>155</v>
      </c>
      <c r="G171" t="s">
        <v>7</v>
      </c>
    </row>
    <row r="172" spans="1:7" hidden="1" x14ac:dyDescent="0.3">
      <c r="A172" s="2913" t="s">
        <v>1344</v>
      </c>
      <c r="B172" s="2922" t="s">
        <v>1592</v>
      </c>
      <c r="C172" s="2630">
        <v>0</v>
      </c>
      <c r="D172" s="2937">
        <f t="shared" si="2"/>
        <v>0</v>
      </c>
      <c r="E172" t="s">
        <v>19</v>
      </c>
      <c r="F172" t="s">
        <v>155</v>
      </c>
      <c r="G172" t="s">
        <v>7</v>
      </c>
    </row>
    <row r="173" spans="1:7" hidden="1" x14ac:dyDescent="0.3">
      <c r="A173" s="2913" t="s">
        <v>1344</v>
      </c>
      <c r="B173" s="2922" t="s">
        <v>1383</v>
      </c>
      <c r="C173" s="2630">
        <v>154050</v>
      </c>
      <c r="D173" s="2937">
        <f t="shared" si="2"/>
        <v>154.05000000000001</v>
      </c>
      <c r="E173" t="s">
        <v>19</v>
      </c>
      <c r="F173" t="s">
        <v>155</v>
      </c>
      <c r="G173" t="s">
        <v>7</v>
      </c>
    </row>
    <row r="174" spans="1:7" hidden="1" x14ac:dyDescent="0.3">
      <c r="A174" s="2913" t="s">
        <v>1344</v>
      </c>
      <c r="B174" s="2922" t="s">
        <v>1388</v>
      </c>
      <c r="C174" s="2630">
        <v>55290</v>
      </c>
      <c r="D174" s="2937">
        <f t="shared" si="2"/>
        <v>55.29</v>
      </c>
      <c r="E174" t="s">
        <v>19</v>
      </c>
      <c r="F174" t="s">
        <v>155</v>
      </c>
      <c r="G174" t="s">
        <v>7</v>
      </c>
    </row>
    <row r="175" spans="1:7" hidden="1" x14ac:dyDescent="0.3">
      <c r="A175" s="2913" t="s">
        <v>1344</v>
      </c>
      <c r="B175" s="2926" t="s">
        <v>407</v>
      </c>
      <c r="C175" s="2630">
        <v>392321</v>
      </c>
      <c r="D175" s="2937">
        <f t="shared" si="2"/>
        <v>392.32100000000003</v>
      </c>
      <c r="E175" s="1" t="s">
        <v>31</v>
      </c>
      <c r="F175" s="1" t="s">
        <v>155</v>
      </c>
      <c r="G175" s="1" t="s">
        <v>7</v>
      </c>
    </row>
    <row r="176" spans="1:7" hidden="1" x14ac:dyDescent="0.3">
      <c r="A176" s="2913" t="s">
        <v>1344</v>
      </c>
      <c r="B176" s="2920" t="s">
        <v>408</v>
      </c>
      <c r="C176" s="2630">
        <v>322839</v>
      </c>
      <c r="D176" s="2937">
        <f t="shared" si="2"/>
        <v>322.839</v>
      </c>
      <c r="E176" t="s">
        <v>27</v>
      </c>
      <c r="F176" t="s">
        <v>155</v>
      </c>
      <c r="G176" t="s">
        <v>7</v>
      </c>
    </row>
    <row r="177" spans="1:7" hidden="1" x14ac:dyDescent="0.3">
      <c r="A177" s="2913" t="s">
        <v>1344</v>
      </c>
      <c r="B177" s="2935" t="s">
        <v>1403</v>
      </c>
      <c r="C177" s="2630">
        <v>34940</v>
      </c>
      <c r="D177" s="2937">
        <f t="shared" si="2"/>
        <v>34.94</v>
      </c>
      <c r="E177" t="s">
        <v>27</v>
      </c>
      <c r="F177" t="s">
        <v>155</v>
      </c>
      <c r="G177" t="s">
        <v>7</v>
      </c>
    </row>
    <row r="178" spans="1:7" hidden="1" x14ac:dyDescent="0.3">
      <c r="A178" s="2913" t="s">
        <v>1344</v>
      </c>
      <c r="B178" s="2920" t="s">
        <v>1406</v>
      </c>
      <c r="C178" s="2630">
        <v>3044</v>
      </c>
      <c r="D178" s="2937">
        <f t="shared" si="2"/>
        <v>3.044</v>
      </c>
      <c r="E178" t="s">
        <v>27</v>
      </c>
      <c r="F178" t="s">
        <v>117</v>
      </c>
      <c r="G178" t="s">
        <v>86</v>
      </c>
    </row>
    <row r="179" spans="1:7" hidden="1" x14ac:dyDescent="0.3">
      <c r="A179" s="2913" t="s">
        <v>1344</v>
      </c>
      <c r="B179" s="2925" t="s">
        <v>409</v>
      </c>
      <c r="C179" s="2630">
        <v>45817</v>
      </c>
      <c r="D179" s="2937">
        <f t="shared" si="2"/>
        <v>45.817</v>
      </c>
      <c r="E179" t="s">
        <v>25</v>
      </c>
      <c r="F179" t="s">
        <v>155</v>
      </c>
      <c r="G179" t="s">
        <v>7</v>
      </c>
    </row>
    <row r="180" spans="1:7" hidden="1" x14ac:dyDescent="0.3">
      <c r="A180" s="2913" t="s">
        <v>1344</v>
      </c>
      <c r="B180" s="2923" t="s">
        <v>1377</v>
      </c>
      <c r="C180" s="2630">
        <v>1374</v>
      </c>
      <c r="D180" s="2937">
        <f t="shared" si="2"/>
        <v>1.3740000000000001</v>
      </c>
      <c r="E180" t="s">
        <v>79</v>
      </c>
      <c r="F180" t="s">
        <v>155</v>
      </c>
      <c r="G180" t="s">
        <v>7</v>
      </c>
    </row>
    <row r="181" spans="1:7" hidden="1" x14ac:dyDescent="0.3">
      <c r="A181" s="2913" t="s">
        <v>1344</v>
      </c>
      <c r="B181" s="2923" t="s">
        <v>1380</v>
      </c>
      <c r="C181" s="2630">
        <v>34203</v>
      </c>
      <c r="D181" s="2937">
        <f t="shared" si="2"/>
        <v>34.203000000000003</v>
      </c>
      <c r="E181" t="s">
        <v>79</v>
      </c>
      <c r="F181" t="s">
        <v>155</v>
      </c>
      <c r="G181" t="s">
        <v>7</v>
      </c>
    </row>
    <row r="182" spans="1:7" hidden="1" x14ac:dyDescent="0.3">
      <c r="A182" s="2913" t="s">
        <v>1344</v>
      </c>
      <c r="B182" s="2923" t="s">
        <v>1583</v>
      </c>
      <c r="C182" s="2630">
        <v>44695</v>
      </c>
      <c r="D182" s="2937">
        <f t="shared" si="2"/>
        <v>44.695</v>
      </c>
      <c r="E182" t="s">
        <v>79</v>
      </c>
      <c r="F182" t="s">
        <v>114</v>
      </c>
      <c r="G182" t="s">
        <v>98</v>
      </c>
    </row>
    <row r="183" spans="1:7" hidden="1" x14ac:dyDescent="0.3">
      <c r="A183" s="2913" t="s">
        <v>1344</v>
      </c>
      <c r="B183" s="2918" t="s">
        <v>1413</v>
      </c>
      <c r="C183" s="2630">
        <v>166000</v>
      </c>
      <c r="D183" s="2937">
        <f t="shared" si="2"/>
        <v>166</v>
      </c>
      <c r="E183" t="s">
        <v>29</v>
      </c>
      <c r="F183" t="s">
        <v>155</v>
      </c>
      <c r="G183" t="s">
        <v>7</v>
      </c>
    </row>
    <row r="184" spans="1:7" hidden="1" x14ac:dyDescent="0.3">
      <c r="A184" s="2913" t="s">
        <v>1344</v>
      </c>
      <c r="B184" s="2918" t="s">
        <v>1414</v>
      </c>
      <c r="C184" s="2630">
        <v>5488</v>
      </c>
      <c r="D184" s="2937">
        <f t="shared" si="2"/>
        <v>5.4880000000000004</v>
      </c>
      <c r="E184" t="s">
        <v>29</v>
      </c>
      <c r="F184" t="s">
        <v>117</v>
      </c>
      <c r="G184" t="s">
        <v>86</v>
      </c>
    </row>
    <row r="185" spans="1:7" hidden="1" x14ac:dyDescent="0.3">
      <c r="A185" s="2913" t="s">
        <v>1344</v>
      </c>
      <c r="B185" s="2919" t="s">
        <v>1407</v>
      </c>
      <c r="C185" s="2630">
        <v>268</v>
      </c>
      <c r="D185" s="2937">
        <f t="shared" si="2"/>
        <v>0.26800000000000002</v>
      </c>
      <c r="E185" s="2424"/>
      <c r="F185" s="2424"/>
    </row>
    <row r="186" spans="1:7" hidden="1" x14ac:dyDescent="0.3">
      <c r="A186" s="2913" t="s">
        <v>1344</v>
      </c>
      <c r="B186" s="2919" t="s">
        <v>1410</v>
      </c>
      <c r="C186" s="2630">
        <v>104625</v>
      </c>
      <c r="D186" s="2937">
        <f t="shared" si="2"/>
        <v>104.625</v>
      </c>
      <c r="E186" s="2424"/>
      <c r="F186" s="2424"/>
    </row>
    <row r="187" spans="1:7" hidden="1" x14ac:dyDescent="0.3">
      <c r="A187" s="2913" t="s">
        <v>1344</v>
      </c>
      <c r="B187" s="2921" t="s">
        <v>1390</v>
      </c>
      <c r="C187" s="2630">
        <v>3318</v>
      </c>
      <c r="D187" s="2937">
        <f t="shared" si="2"/>
        <v>3.3180000000000001</v>
      </c>
      <c r="E187" s="2424"/>
      <c r="F187" s="2424"/>
    </row>
    <row r="188" spans="1:7" hidden="1" x14ac:dyDescent="0.3">
      <c r="A188" s="2913" t="s">
        <v>1344</v>
      </c>
      <c r="B188" s="2921" t="s">
        <v>1389</v>
      </c>
      <c r="C188" s="2630">
        <v>1308</v>
      </c>
      <c r="D188" s="2937">
        <f t="shared" si="2"/>
        <v>1.3080000000000001</v>
      </c>
      <c r="E188" s="2422"/>
      <c r="F188" s="2422"/>
    </row>
    <row r="189" spans="1:7" hidden="1" x14ac:dyDescent="0.3">
      <c r="A189" s="2913" t="s">
        <v>1344</v>
      </c>
      <c r="B189" s="2921" t="s">
        <v>1394</v>
      </c>
      <c r="C189" s="2630">
        <v>18372</v>
      </c>
      <c r="D189" s="2937">
        <f t="shared" si="2"/>
        <v>18.372</v>
      </c>
      <c r="E189" s="2424"/>
      <c r="F189" s="2424"/>
    </row>
    <row r="190" spans="1:7" hidden="1" x14ac:dyDescent="0.3">
      <c r="A190" s="2913" t="s">
        <v>1343</v>
      </c>
      <c r="B190" s="2924" t="s">
        <v>136</v>
      </c>
      <c r="C190" s="2630">
        <v>1165930</v>
      </c>
      <c r="D190" s="2937">
        <f t="shared" si="2"/>
        <v>1165.93</v>
      </c>
      <c r="E190" t="s">
        <v>6</v>
      </c>
      <c r="F190" t="s">
        <v>155</v>
      </c>
      <c r="G190" t="s">
        <v>7</v>
      </c>
    </row>
    <row r="191" spans="1:7" hidden="1" x14ac:dyDescent="0.3">
      <c r="A191" s="2913" t="s">
        <v>1343</v>
      </c>
      <c r="B191" s="2924" t="s">
        <v>1369</v>
      </c>
      <c r="C191" s="2630">
        <v>565</v>
      </c>
      <c r="D191" s="2937">
        <f t="shared" si="2"/>
        <v>0.56499999999999995</v>
      </c>
      <c r="E191" t="s">
        <v>6</v>
      </c>
      <c r="F191" t="s">
        <v>155</v>
      </c>
      <c r="G191" t="s">
        <v>7</v>
      </c>
    </row>
    <row r="192" spans="1:7" hidden="1" x14ac:dyDescent="0.3">
      <c r="A192" s="2913" t="s">
        <v>1343</v>
      </c>
      <c r="B192" s="2914" t="s">
        <v>402</v>
      </c>
      <c r="C192" s="2630">
        <v>481</v>
      </c>
      <c r="D192" s="2937">
        <f t="shared" si="2"/>
        <v>0.48099999999999998</v>
      </c>
      <c r="E192" t="s">
        <v>33</v>
      </c>
      <c r="F192" t="s">
        <v>155</v>
      </c>
      <c r="G192" t="s">
        <v>7</v>
      </c>
    </row>
    <row r="193" spans="1:7" hidden="1" x14ac:dyDescent="0.3">
      <c r="A193" s="2913" t="s">
        <v>1343</v>
      </c>
      <c r="B193" s="2914" t="s">
        <v>1424</v>
      </c>
      <c r="C193" s="2630">
        <v>550</v>
      </c>
      <c r="D193" s="2937">
        <f t="shared" si="2"/>
        <v>0.55000000000000004</v>
      </c>
      <c r="E193" t="s">
        <v>33</v>
      </c>
      <c r="F193" t="s">
        <v>155</v>
      </c>
      <c r="G193" t="s">
        <v>7</v>
      </c>
    </row>
    <row r="194" spans="1:7" hidden="1" x14ac:dyDescent="0.3">
      <c r="A194" s="2913" t="s">
        <v>1343</v>
      </c>
      <c r="B194" s="2914" t="s">
        <v>1430</v>
      </c>
      <c r="C194" s="2630">
        <v>0</v>
      </c>
      <c r="D194" s="2937">
        <f t="shared" si="2"/>
        <v>0</v>
      </c>
      <c r="E194" t="s">
        <v>33</v>
      </c>
      <c r="F194" t="s">
        <v>155</v>
      </c>
      <c r="G194" t="s">
        <v>7</v>
      </c>
    </row>
    <row r="195" spans="1:7" hidden="1" x14ac:dyDescent="0.3">
      <c r="A195" s="2913" t="s">
        <v>1343</v>
      </c>
      <c r="B195" s="2915" t="s">
        <v>403</v>
      </c>
      <c r="C195" s="2630">
        <v>98700</v>
      </c>
      <c r="D195" s="2937">
        <f t="shared" si="2"/>
        <v>98.7</v>
      </c>
      <c r="E195" t="s">
        <v>14</v>
      </c>
      <c r="F195" t="s">
        <v>155</v>
      </c>
      <c r="G195" t="s">
        <v>7</v>
      </c>
    </row>
    <row r="196" spans="1:7" hidden="1" x14ac:dyDescent="0.3">
      <c r="A196" s="2913" t="s">
        <v>1343</v>
      </c>
      <c r="B196" s="2915" t="s">
        <v>1423</v>
      </c>
      <c r="C196" s="2630">
        <v>9085</v>
      </c>
      <c r="D196" s="2937">
        <f t="shared" si="2"/>
        <v>9.0850000000000009</v>
      </c>
      <c r="E196" t="s">
        <v>14</v>
      </c>
      <c r="F196" t="s">
        <v>117</v>
      </c>
      <c r="G196" t="s">
        <v>86</v>
      </c>
    </row>
    <row r="197" spans="1:7" hidden="1" x14ac:dyDescent="0.3">
      <c r="A197" s="2913" t="s">
        <v>1343</v>
      </c>
      <c r="B197" s="2915" t="s">
        <v>1422</v>
      </c>
      <c r="C197" s="2630">
        <v>300</v>
      </c>
      <c r="D197" s="2937">
        <f t="shared" si="2"/>
        <v>0.3</v>
      </c>
      <c r="E197" t="s">
        <v>14</v>
      </c>
      <c r="F197" t="s">
        <v>155</v>
      </c>
      <c r="G197" t="s">
        <v>7</v>
      </c>
    </row>
    <row r="198" spans="1:7" hidden="1" x14ac:dyDescent="0.3">
      <c r="A198" s="2913" t="s">
        <v>1343</v>
      </c>
      <c r="B198" s="2927" t="s">
        <v>1342</v>
      </c>
      <c r="C198" s="2630">
        <v>193700</v>
      </c>
      <c r="D198" s="2937">
        <f t="shared" si="2"/>
        <v>193.7</v>
      </c>
      <c r="E198" t="s">
        <v>81</v>
      </c>
      <c r="F198" t="s">
        <v>155</v>
      </c>
      <c r="G198" t="s">
        <v>7</v>
      </c>
    </row>
    <row r="199" spans="1:7" hidden="1" x14ac:dyDescent="0.3">
      <c r="A199" s="2913" t="s">
        <v>1343</v>
      </c>
      <c r="B199" s="2927" t="s">
        <v>1354</v>
      </c>
      <c r="C199" s="2630">
        <v>22780</v>
      </c>
      <c r="D199" s="2937">
        <f t="shared" si="2"/>
        <v>22.78</v>
      </c>
      <c r="E199" t="s">
        <v>81</v>
      </c>
      <c r="F199" t="s">
        <v>155</v>
      </c>
      <c r="G199" t="s">
        <v>7</v>
      </c>
    </row>
    <row r="200" spans="1:7" hidden="1" x14ac:dyDescent="0.3">
      <c r="A200" s="2913" t="s">
        <v>1343</v>
      </c>
      <c r="B200" s="2917" t="s">
        <v>1416</v>
      </c>
      <c r="C200" s="2630">
        <v>0</v>
      </c>
      <c r="D200" s="2937">
        <f t="shared" si="2"/>
        <v>0</v>
      </c>
      <c r="E200" t="s">
        <v>23</v>
      </c>
      <c r="F200" t="s">
        <v>155</v>
      </c>
      <c r="G200" t="s">
        <v>7</v>
      </c>
    </row>
    <row r="201" spans="1:7" hidden="1" x14ac:dyDescent="0.3">
      <c r="A201" s="2913" t="s">
        <v>1343</v>
      </c>
      <c r="B201" s="2916" t="s">
        <v>1581</v>
      </c>
      <c r="C201" s="2630">
        <v>34880</v>
      </c>
      <c r="D201" s="2937">
        <f t="shared" si="2"/>
        <v>34.880000000000003</v>
      </c>
      <c r="E201" t="s">
        <v>112</v>
      </c>
      <c r="F201" s="2946" t="s">
        <v>155</v>
      </c>
      <c r="G201" t="s">
        <v>7</v>
      </c>
    </row>
    <row r="202" spans="1:7" hidden="1" x14ac:dyDescent="0.3">
      <c r="A202" s="2913" t="s">
        <v>1343</v>
      </c>
      <c r="B202" s="2916" t="s">
        <v>1582</v>
      </c>
      <c r="C202" s="2630">
        <v>11280</v>
      </c>
      <c r="D202" s="2937">
        <f t="shared" si="2"/>
        <v>11.28</v>
      </c>
      <c r="E202" t="s">
        <v>1597</v>
      </c>
      <c r="F202" s="2946" t="s">
        <v>155</v>
      </c>
      <c r="G202" t="s">
        <v>7</v>
      </c>
    </row>
    <row r="203" spans="1:7" hidden="1" x14ac:dyDescent="0.3">
      <c r="A203" s="2913" t="s">
        <v>1343</v>
      </c>
      <c r="B203" s="2922" t="s">
        <v>1383</v>
      </c>
      <c r="C203" s="2630">
        <v>80750</v>
      </c>
      <c r="D203" s="2937">
        <f t="shared" si="2"/>
        <v>80.75</v>
      </c>
      <c r="E203" t="s">
        <v>19</v>
      </c>
      <c r="F203" t="s">
        <v>155</v>
      </c>
      <c r="G203" t="s">
        <v>7</v>
      </c>
    </row>
    <row r="204" spans="1:7" hidden="1" x14ac:dyDescent="0.3">
      <c r="A204" s="2913" t="s">
        <v>1343</v>
      </c>
      <c r="B204" s="2922" t="s">
        <v>1388</v>
      </c>
      <c r="C204" s="2630">
        <v>14420</v>
      </c>
      <c r="D204" s="2937">
        <f t="shared" si="2"/>
        <v>14.42</v>
      </c>
      <c r="E204" t="s">
        <v>19</v>
      </c>
      <c r="F204" t="s">
        <v>155</v>
      </c>
      <c r="G204" t="s">
        <v>7</v>
      </c>
    </row>
    <row r="205" spans="1:7" hidden="1" x14ac:dyDescent="0.3">
      <c r="A205" s="2913" t="s">
        <v>1343</v>
      </c>
      <c r="B205" s="2926" t="s">
        <v>407</v>
      </c>
      <c r="C205" s="2630">
        <v>186849</v>
      </c>
      <c r="D205" s="2937">
        <f t="shared" si="2"/>
        <v>186.84899999999999</v>
      </c>
      <c r="E205" s="1" t="s">
        <v>31</v>
      </c>
      <c r="F205" s="1" t="s">
        <v>155</v>
      </c>
      <c r="G205" s="1" t="s">
        <v>7</v>
      </c>
    </row>
    <row r="206" spans="1:7" hidden="1" x14ac:dyDescent="0.3">
      <c r="A206" s="2913" t="s">
        <v>1343</v>
      </c>
      <c r="B206" s="2920" t="s">
        <v>408</v>
      </c>
      <c r="C206" s="2630">
        <v>80711</v>
      </c>
      <c r="D206" s="2937">
        <f t="shared" si="2"/>
        <v>80.710999999999999</v>
      </c>
      <c r="E206" t="s">
        <v>27</v>
      </c>
      <c r="F206" t="s">
        <v>155</v>
      </c>
      <c r="G206" t="s">
        <v>7</v>
      </c>
    </row>
    <row r="207" spans="1:7" hidden="1" x14ac:dyDescent="0.3">
      <c r="A207" s="2913" t="s">
        <v>1343</v>
      </c>
      <c r="B207" s="2935" t="s">
        <v>1403</v>
      </c>
      <c r="C207" s="2630">
        <v>2780</v>
      </c>
      <c r="D207" s="2937">
        <f t="shared" si="2"/>
        <v>2.78</v>
      </c>
      <c r="E207" t="s">
        <v>27</v>
      </c>
      <c r="F207" t="s">
        <v>155</v>
      </c>
      <c r="G207" t="s">
        <v>7</v>
      </c>
    </row>
    <row r="208" spans="1:7" hidden="1" x14ac:dyDescent="0.3">
      <c r="A208" s="2913" t="s">
        <v>1343</v>
      </c>
      <c r="B208" s="2920" t="s">
        <v>1406</v>
      </c>
      <c r="C208" s="2630">
        <v>754</v>
      </c>
      <c r="D208" s="2937">
        <f t="shared" si="2"/>
        <v>0.754</v>
      </c>
      <c r="E208" t="s">
        <v>27</v>
      </c>
      <c r="F208" t="s">
        <v>117</v>
      </c>
      <c r="G208" t="s">
        <v>86</v>
      </c>
    </row>
    <row r="209" spans="1:13" hidden="1" x14ac:dyDescent="0.3">
      <c r="A209" s="2913" t="s">
        <v>1343</v>
      </c>
      <c r="B209" s="2925" t="s">
        <v>409</v>
      </c>
      <c r="C209" s="2630">
        <v>12485</v>
      </c>
      <c r="D209" s="2937">
        <f t="shared" si="2"/>
        <v>12.484999999999999</v>
      </c>
      <c r="E209" t="s">
        <v>25</v>
      </c>
      <c r="F209" t="s">
        <v>155</v>
      </c>
      <c r="G209" t="s">
        <v>7</v>
      </c>
    </row>
    <row r="210" spans="1:13" hidden="1" x14ac:dyDescent="0.3">
      <c r="A210" s="2913" t="s">
        <v>1343</v>
      </c>
      <c r="B210" s="2923" t="s">
        <v>1377</v>
      </c>
      <c r="C210" s="2630">
        <v>899</v>
      </c>
      <c r="D210" s="2937">
        <f t="shared" si="2"/>
        <v>0.89900000000000002</v>
      </c>
      <c r="E210" t="s">
        <v>79</v>
      </c>
      <c r="F210" t="s">
        <v>155</v>
      </c>
      <c r="G210" t="s">
        <v>7</v>
      </c>
    </row>
    <row r="211" spans="1:13" hidden="1" x14ac:dyDescent="0.3">
      <c r="A211" s="2913" t="s">
        <v>1343</v>
      </c>
      <c r="B211" s="2923" t="s">
        <v>1380</v>
      </c>
      <c r="C211" s="2630">
        <v>15763</v>
      </c>
      <c r="D211" s="2937">
        <f t="shared" si="2"/>
        <v>15.763</v>
      </c>
      <c r="E211" t="s">
        <v>79</v>
      </c>
      <c r="F211" t="s">
        <v>155</v>
      </c>
      <c r="G211" t="s">
        <v>7</v>
      </c>
    </row>
    <row r="212" spans="1:13" hidden="1" x14ac:dyDescent="0.3">
      <c r="A212" s="2930" t="s">
        <v>1343</v>
      </c>
      <c r="B212" s="2938" t="s">
        <v>1593</v>
      </c>
      <c r="C212" s="2937">
        <v>2440</v>
      </c>
      <c r="D212" s="2937">
        <f t="shared" si="2"/>
        <v>2.44</v>
      </c>
      <c r="E212" t="s">
        <v>79</v>
      </c>
      <c r="F212" s="2947" t="s">
        <v>155</v>
      </c>
      <c r="G212" t="s">
        <v>7</v>
      </c>
    </row>
    <row r="213" spans="1:13" hidden="1" x14ac:dyDescent="0.3">
      <c r="A213" s="2913" t="s">
        <v>1343</v>
      </c>
      <c r="B213" s="2923" t="s">
        <v>1583</v>
      </c>
      <c r="C213" s="2630">
        <v>8185</v>
      </c>
      <c r="D213" s="2937">
        <f t="shared" si="2"/>
        <v>8.1850000000000005</v>
      </c>
      <c r="E213" t="s">
        <v>79</v>
      </c>
      <c r="F213" t="s">
        <v>114</v>
      </c>
      <c r="G213" t="s">
        <v>98</v>
      </c>
    </row>
    <row r="214" spans="1:13" hidden="1" x14ac:dyDescent="0.3">
      <c r="A214" s="2913" t="s">
        <v>1343</v>
      </c>
      <c r="B214" s="2918" t="s">
        <v>1413</v>
      </c>
      <c r="C214" s="2630">
        <v>41100</v>
      </c>
      <c r="D214" s="2937">
        <f t="shared" si="2"/>
        <v>41.1</v>
      </c>
      <c r="E214" t="s">
        <v>29</v>
      </c>
      <c r="F214" t="s">
        <v>155</v>
      </c>
      <c r="G214" t="s">
        <v>7</v>
      </c>
    </row>
    <row r="215" spans="1:13" hidden="1" x14ac:dyDescent="0.3">
      <c r="A215" s="2913" t="s">
        <v>1343</v>
      </c>
      <c r="B215" s="2918" t="s">
        <v>1414</v>
      </c>
      <c r="C215" s="2630">
        <v>1363</v>
      </c>
      <c r="D215" s="2937">
        <f t="shared" si="2"/>
        <v>1.363</v>
      </c>
      <c r="E215" t="s">
        <v>29</v>
      </c>
      <c r="F215" t="s">
        <v>117</v>
      </c>
      <c r="G215" t="s">
        <v>86</v>
      </c>
    </row>
    <row r="216" spans="1:13" hidden="1" x14ac:dyDescent="0.3">
      <c r="A216" s="2913" t="s">
        <v>1343</v>
      </c>
      <c r="B216" s="2919" t="s">
        <v>1407</v>
      </c>
      <c r="C216" s="2630">
        <v>175</v>
      </c>
      <c r="D216" s="2937">
        <f t="shared" si="2"/>
        <v>0.17499999999999999</v>
      </c>
      <c r="E216" s="2424"/>
      <c r="F216" s="2424"/>
    </row>
    <row r="217" spans="1:13" hidden="1" x14ac:dyDescent="0.3">
      <c r="A217" s="2913" t="s">
        <v>1343</v>
      </c>
      <c r="B217" s="2919" t="s">
        <v>1410</v>
      </c>
      <c r="C217" s="2630">
        <v>29241</v>
      </c>
      <c r="D217" s="2937">
        <f t="shared" si="2"/>
        <v>29.241</v>
      </c>
      <c r="E217" s="2424"/>
      <c r="F217" s="2424"/>
    </row>
    <row r="218" spans="1:13" hidden="1" x14ac:dyDescent="0.3">
      <c r="A218" s="2913" t="s">
        <v>1343</v>
      </c>
      <c r="B218" s="2921" t="s">
        <v>1390</v>
      </c>
      <c r="C218" s="2630">
        <v>2169</v>
      </c>
      <c r="D218" s="2937">
        <f t="shared" ref="D218:D281" si="3">C218/1000</f>
        <v>2.169</v>
      </c>
      <c r="E218" s="2424"/>
      <c r="F218" s="2424"/>
    </row>
    <row r="219" spans="1:13" hidden="1" x14ac:dyDescent="0.3">
      <c r="A219" s="2913" t="s">
        <v>1343</v>
      </c>
      <c r="B219" s="2921" t="s">
        <v>1389</v>
      </c>
      <c r="C219" s="2630">
        <v>325</v>
      </c>
      <c r="D219" s="2937">
        <f t="shared" si="3"/>
        <v>0.32500000000000001</v>
      </c>
      <c r="E219" s="2422"/>
      <c r="F219" s="2422"/>
    </row>
    <row r="220" spans="1:13" hidden="1" x14ac:dyDescent="0.3">
      <c r="A220" s="2913" t="s">
        <v>1343</v>
      </c>
      <c r="B220" s="2921" t="s">
        <v>1394</v>
      </c>
      <c r="C220" s="2630">
        <v>5160</v>
      </c>
      <c r="D220" s="2937">
        <f t="shared" si="3"/>
        <v>5.16</v>
      </c>
      <c r="E220" s="2424"/>
      <c r="F220" s="2424"/>
    </row>
    <row r="221" spans="1:13" hidden="1" x14ac:dyDescent="0.3">
      <c r="A221" s="2930" t="s">
        <v>1341</v>
      </c>
      <c r="B221" s="2932" t="s">
        <v>402</v>
      </c>
      <c r="C221" s="2993">
        <f>$K$223*'DATOS DFA 20'!C5/'DATOS DFA 21'!$J$223</f>
        <v>169111.92409289745</v>
      </c>
      <c r="D221" s="2994">
        <f t="shared" si="3"/>
        <v>169.11192409289745</v>
      </c>
      <c r="E221" s="1" t="s">
        <v>33</v>
      </c>
      <c r="F221" s="1" t="s">
        <v>155</v>
      </c>
      <c r="G221" s="1" t="s">
        <v>7</v>
      </c>
      <c r="I221" s="1" t="s">
        <v>1598</v>
      </c>
      <c r="J221" s="1" t="s">
        <v>1599</v>
      </c>
      <c r="K221" s="1" t="s">
        <v>1600</v>
      </c>
      <c r="L221" s="1" t="s">
        <v>1601</v>
      </c>
      <c r="M221" s="1" t="s">
        <v>330</v>
      </c>
    </row>
    <row r="222" spans="1:13" hidden="1" x14ac:dyDescent="0.3">
      <c r="A222" s="2930" t="s">
        <v>1341</v>
      </c>
      <c r="B222" s="2932" t="s">
        <v>1429</v>
      </c>
      <c r="C222" s="2993">
        <f>$K$223*'DATOS DFA 20'!C11/'DATOS DFA 21'!$J$223</f>
        <v>5562.0780062410631</v>
      </c>
      <c r="D222" s="2994">
        <f t="shared" si="3"/>
        <v>5.5620780062410633</v>
      </c>
      <c r="E222" s="1" t="s">
        <v>33</v>
      </c>
      <c r="F222" s="1" t="s">
        <v>155</v>
      </c>
      <c r="G222" s="1" t="s">
        <v>7</v>
      </c>
      <c r="I222" s="2931" t="s">
        <v>401</v>
      </c>
      <c r="J222" s="512">
        <v>62663083</v>
      </c>
      <c r="K222" s="2992">
        <v>62131436</v>
      </c>
      <c r="L222" s="521">
        <v>-8.0000000000000002E-3</v>
      </c>
      <c r="M222" s="1" t="s">
        <v>330</v>
      </c>
    </row>
    <row r="223" spans="1:13" hidden="1" x14ac:dyDescent="0.3">
      <c r="A223" s="2930" t="s">
        <v>1341</v>
      </c>
      <c r="B223" s="2932" t="s">
        <v>1428</v>
      </c>
      <c r="C223" s="2993">
        <f>$K$223*'DATOS DFA 20'!C13/'DATOS DFA 21'!$J$223</f>
        <v>0</v>
      </c>
      <c r="D223" s="2994">
        <f t="shared" si="3"/>
        <v>0</v>
      </c>
      <c r="E223" s="1" t="s">
        <v>33</v>
      </c>
      <c r="F223" s="1" t="s">
        <v>114</v>
      </c>
      <c r="G223" s="1" t="s">
        <v>98</v>
      </c>
      <c r="I223" s="2932" t="s">
        <v>1602</v>
      </c>
      <c r="J223" s="512">
        <v>141963</v>
      </c>
      <c r="K223" s="2992">
        <v>206704</v>
      </c>
      <c r="L223" s="521">
        <v>0.45600000000000002</v>
      </c>
      <c r="M223" s="1" t="s">
        <v>330</v>
      </c>
    </row>
    <row r="224" spans="1:13" hidden="1" x14ac:dyDescent="0.3">
      <c r="A224" s="2930" t="s">
        <v>1341</v>
      </c>
      <c r="B224" s="2932" t="s">
        <v>1427</v>
      </c>
      <c r="C224" s="2993">
        <f>$K$223*'DATOS DFA 20'!C14/'DATOS DFA 21'!$J$223</f>
        <v>14687.089227474764</v>
      </c>
      <c r="D224" s="2994">
        <f t="shared" si="3"/>
        <v>14.687089227474765</v>
      </c>
      <c r="E224" s="1" t="s">
        <v>33</v>
      </c>
      <c r="F224" s="1" t="s">
        <v>155</v>
      </c>
      <c r="G224" s="1" t="s">
        <v>7</v>
      </c>
      <c r="I224" s="2933" t="s">
        <v>983</v>
      </c>
      <c r="J224" s="512">
        <v>5765466</v>
      </c>
      <c r="K224" s="2992">
        <v>6237535</v>
      </c>
      <c r="L224" s="521">
        <v>8.2000000000000003E-2</v>
      </c>
      <c r="M224" s="1" t="s">
        <v>330</v>
      </c>
    </row>
    <row r="225" spans="1:13" hidden="1" x14ac:dyDescent="0.3">
      <c r="A225" s="2930" t="s">
        <v>1341</v>
      </c>
      <c r="B225" s="2932" t="s">
        <v>1425</v>
      </c>
      <c r="C225" s="2993">
        <f>$K$223*'DATOS DFA 20'!C17/'DATOS DFA 21'!$J$223</f>
        <v>4306.9703514295979</v>
      </c>
      <c r="D225" s="2994">
        <f t="shared" si="3"/>
        <v>4.3069703514295981</v>
      </c>
      <c r="E225" s="1" t="s">
        <v>33</v>
      </c>
      <c r="F225" s="1" t="s">
        <v>155</v>
      </c>
      <c r="G225" s="1" t="s">
        <v>7</v>
      </c>
      <c r="I225" s="2934" t="s">
        <v>985</v>
      </c>
      <c r="J225" s="512">
        <v>2160267</v>
      </c>
      <c r="K225" s="2992">
        <v>1104220</v>
      </c>
      <c r="L225" s="521">
        <v>-0.48899999999999999</v>
      </c>
      <c r="M225" s="1" t="s">
        <v>330</v>
      </c>
    </row>
    <row r="226" spans="1:13" hidden="1" x14ac:dyDescent="0.3">
      <c r="A226" s="2930" t="s">
        <v>1341</v>
      </c>
      <c r="B226" s="2932" t="s">
        <v>1424</v>
      </c>
      <c r="C226" s="2993">
        <f>$K$223*'DATOS DFA 20'!C24/'DATOS DFA 21'!$J$223</f>
        <v>13035.93832195713</v>
      </c>
      <c r="D226" s="2994">
        <f t="shared" si="3"/>
        <v>13.035938321957129</v>
      </c>
      <c r="E226" s="1" t="s">
        <v>33</v>
      </c>
      <c r="F226" s="1" t="s">
        <v>155</v>
      </c>
      <c r="G226" s="1" t="s">
        <v>7</v>
      </c>
      <c r="I226" s="2940" t="s">
        <v>1603</v>
      </c>
      <c r="J226" s="512">
        <v>3770060</v>
      </c>
      <c r="K226" s="2992">
        <v>4030510</v>
      </c>
      <c r="L226" s="521">
        <v>6.9000000000000006E-2</v>
      </c>
      <c r="M226" s="1" t="s">
        <v>330</v>
      </c>
    </row>
    <row r="227" spans="1:13" hidden="1" x14ac:dyDescent="0.3">
      <c r="A227" s="2930" t="s">
        <v>1341</v>
      </c>
      <c r="B227" s="2933" t="s">
        <v>1423</v>
      </c>
      <c r="C227" s="2993">
        <f>$K$224*'DATOS DFA 20'!C37/'DATOS DFA 21'!$J$224</f>
        <v>161655.4008357694</v>
      </c>
      <c r="D227" s="2994">
        <f t="shared" si="3"/>
        <v>161.6554008357694</v>
      </c>
      <c r="E227" s="1" t="s">
        <v>14</v>
      </c>
      <c r="F227" s="1" t="s">
        <v>117</v>
      </c>
      <c r="G227" s="1" t="s">
        <v>86</v>
      </c>
      <c r="I227" s="2939" t="s">
        <v>1604</v>
      </c>
      <c r="J227" s="512">
        <v>5100</v>
      </c>
      <c r="K227" s="2992">
        <v>38520</v>
      </c>
      <c r="L227" s="521">
        <v>6.5529999999999999</v>
      </c>
      <c r="M227" s="1" t="s">
        <v>330</v>
      </c>
    </row>
    <row r="228" spans="1:13" hidden="1" x14ac:dyDescent="0.3">
      <c r="A228" s="2930" t="s">
        <v>1341</v>
      </c>
      <c r="B228" s="2933" t="s">
        <v>1422</v>
      </c>
      <c r="C228" s="2993">
        <f>$K$224*'DATOS DFA 20'!C44/'DATOS DFA 21'!$J$224</f>
        <v>23633.6407282603</v>
      </c>
      <c r="D228" s="2994">
        <f t="shared" si="3"/>
        <v>23.6336407282603</v>
      </c>
      <c r="E228" s="1" t="s">
        <v>14</v>
      </c>
      <c r="F228" s="1" t="s">
        <v>155</v>
      </c>
      <c r="G228" s="1" t="s">
        <v>7</v>
      </c>
      <c r="I228" s="2944" t="s">
        <v>990</v>
      </c>
      <c r="J228" s="512">
        <v>382900</v>
      </c>
      <c r="K228" s="2992">
        <v>185060</v>
      </c>
      <c r="L228" s="521">
        <v>-0.51700000000000002</v>
      </c>
      <c r="M228" s="1" t="s">
        <v>330</v>
      </c>
    </row>
    <row r="229" spans="1:13" hidden="1" x14ac:dyDescent="0.3">
      <c r="A229" s="2930" t="s">
        <v>1341</v>
      </c>
      <c r="B229" s="2933" t="s">
        <v>1421</v>
      </c>
      <c r="C229" s="2993">
        <f>$K$224*'DATOS DFA 20'!C47/'DATOS DFA 21'!$J$224</f>
        <v>56257.693653904127</v>
      </c>
      <c r="D229" s="2994">
        <f t="shared" si="3"/>
        <v>56.257693653904127</v>
      </c>
      <c r="E229" s="1" t="s">
        <v>14</v>
      </c>
      <c r="F229" s="1" t="s">
        <v>155</v>
      </c>
      <c r="G229" s="1" t="s">
        <v>7</v>
      </c>
      <c r="I229" s="2936" t="s">
        <v>383</v>
      </c>
      <c r="J229" s="512">
        <v>5665037</v>
      </c>
      <c r="K229" s="2992">
        <v>5781940</v>
      </c>
      <c r="L229" s="521">
        <v>2.1000000000000001E-2</v>
      </c>
      <c r="M229" s="1" t="s">
        <v>330</v>
      </c>
    </row>
    <row r="230" spans="1:13" hidden="1" x14ac:dyDescent="0.3">
      <c r="A230" s="2930" t="s">
        <v>1341</v>
      </c>
      <c r="B230" s="2933" t="s">
        <v>1420</v>
      </c>
      <c r="C230" s="2993">
        <f>$K$224*'DATOS DFA 20'!C48/'DATOS DFA 21'!$J$224</f>
        <v>26895.505081462627</v>
      </c>
      <c r="D230" s="2994">
        <f t="shared" si="3"/>
        <v>26.895505081462627</v>
      </c>
      <c r="E230" s="1" t="s">
        <v>14</v>
      </c>
      <c r="F230" s="1" t="s">
        <v>114</v>
      </c>
      <c r="G230" s="1" t="s">
        <v>98</v>
      </c>
      <c r="I230" s="2935" t="s">
        <v>995</v>
      </c>
      <c r="J230" s="512">
        <v>9718792</v>
      </c>
      <c r="K230" s="2992">
        <v>9921737</v>
      </c>
      <c r="L230" s="521">
        <v>2.1000000000000001E-2</v>
      </c>
      <c r="M230" s="1" t="s">
        <v>330</v>
      </c>
    </row>
    <row r="231" spans="1:13" hidden="1" x14ac:dyDescent="0.3">
      <c r="A231" s="2930" t="s">
        <v>1341</v>
      </c>
      <c r="B231" s="2933" t="s">
        <v>1419</v>
      </c>
      <c r="C231" s="2993">
        <f>$K$224*'DATOS DFA 20'!C49/'DATOS DFA 21'!$J$224</f>
        <v>5768296.0685051307</v>
      </c>
      <c r="D231" s="2994">
        <f t="shared" si="3"/>
        <v>5768.2960685051303</v>
      </c>
      <c r="E231" s="1" t="s">
        <v>14</v>
      </c>
      <c r="F231" s="1" t="s">
        <v>155</v>
      </c>
      <c r="G231" s="1" t="s">
        <v>7</v>
      </c>
      <c r="I231" s="2945" t="s">
        <v>1000</v>
      </c>
      <c r="J231" s="512">
        <v>742439</v>
      </c>
      <c r="K231" s="2992">
        <v>759693</v>
      </c>
      <c r="L231" s="521">
        <v>2.3E-2</v>
      </c>
      <c r="M231" s="1" t="s">
        <v>330</v>
      </c>
    </row>
    <row r="232" spans="1:13" hidden="1" x14ac:dyDescent="0.3">
      <c r="A232" s="2930" t="s">
        <v>1341</v>
      </c>
      <c r="B232" s="2933" t="s">
        <v>1418</v>
      </c>
      <c r="C232" s="2993">
        <f>$K$224*'DATOS DFA 20'!C50/'DATOS DFA 21'!$J$224</f>
        <v>200796.69119547319</v>
      </c>
      <c r="D232" s="2994">
        <f t="shared" si="3"/>
        <v>200.79669119547319</v>
      </c>
      <c r="E232" s="1" t="s">
        <v>14</v>
      </c>
      <c r="F232" s="1" t="s">
        <v>155</v>
      </c>
      <c r="G232" s="1" t="s">
        <v>7</v>
      </c>
      <c r="I232" s="2938" t="s">
        <v>392</v>
      </c>
      <c r="J232" s="512">
        <v>1475126</v>
      </c>
      <c r="K232" s="2992">
        <v>1418413</v>
      </c>
      <c r="L232" s="521">
        <v>-3.7999999999999999E-2</v>
      </c>
      <c r="M232" s="1" t="s">
        <v>330</v>
      </c>
    </row>
    <row r="233" spans="1:13" hidden="1" x14ac:dyDescent="0.3">
      <c r="A233" s="2930" t="s">
        <v>1341</v>
      </c>
      <c r="B233" s="2939" t="s">
        <v>1417</v>
      </c>
      <c r="C233" s="2993">
        <f>$K$227*'DATOS DFA 20'!C57/'DATOS DFA 21'!$J$227</f>
        <v>38520</v>
      </c>
      <c r="D233" s="2994">
        <f t="shared" si="3"/>
        <v>38.520000000000003</v>
      </c>
      <c r="E233" s="1" t="s">
        <v>1339</v>
      </c>
      <c r="F233" s="1" t="s">
        <v>155</v>
      </c>
      <c r="G233" s="1" t="s">
        <v>7</v>
      </c>
      <c r="I233" s="2941" t="s">
        <v>1605</v>
      </c>
      <c r="J233" s="512">
        <v>2057043</v>
      </c>
      <c r="K233" s="2992">
        <v>2372687</v>
      </c>
      <c r="L233" s="521">
        <v>0.153</v>
      </c>
      <c r="M233" s="1" t="s">
        <v>330</v>
      </c>
    </row>
    <row r="234" spans="1:13" hidden="1" x14ac:dyDescent="0.3">
      <c r="A234" s="2930" t="s">
        <v>1341</v>
      </c>
      <c r="B234" s="2940" t="s">
        <v>1416</v>
      </c>
      <c r="C234" s="2993">
        <f>$K$226*'DATOS DFA 20'!C64/'DATOS DFA 21'!$J$226</f>
        <v>4030510</v>
      </c>
      <c r="D234" s="2994">
        <f t="shared" si="3"/>
        <v>4030.51</v>
      </c>
      <c r="E234" s="1" t="s">
        <v>23</v>
      </c>
      <c r="F234" s="1" t="s">
        <v>155</v>
      </c>
      <c r="G234" s="1" t="s">
        <v>7</v>
      </c>
      <c r="I234" s="2942" t="s">
        <v>1005</v>
      </c>
      <c r="J234" s="512">
        <v>403296</v>
      </c>
      <c r="K234" s="2992">
        <v>604485</v>
      </c>
      <c r="L234" s="521">
        <v>0.499</v>
      </c>
      <c r="M234" s="1" t="s">
        <v>330</v>
      </c>
    </row>
    <row r="235" spans="1:13" hidden="1" x14ac:dyDescent="0.3">
      <c r="A235" s="2930" t="s">
        <v>1341</v>
      </c>
      <c r="B235" s="2941" t="s">
        <v>1414</v>
      </c>
      <c r="C235" s="2993">
        <f>$K$233*'DATOS DFA 20'!C72/'DATOS DFA 21'!$J$233</f>
        <v>40627.810989366779</v>
      </c>
      <c r="D235" s="2994">
        <f t="shared" si="3"/>
        <v>40.627810989366779</v>
      </c>
      <c r="E235" s="1" t="s">
        <v>29</v>
      </c>
      <c r="F235" s="1" t="s">
        <v>117</v>
      </c>
      <c r="G235" s="1" t="s">
        <v>86</v>
      </c>
      <c r="I235" s="2943" t="s">
        <v>411</v>
      </c>
      <c r="J235" s="512">
        <v>154272</v>
      </c>
      <c r="K235" s="2992">
        <v>170281</v>
      </c>
      <c r="L235" s="521">
        <v>0.104</v>
      </c>
      <c r="M235" s="1" t="s">
        <v>330</v>
      </c>
    </row>
    <row r="236" spans="1:13" hidden="1" x14ac:dyDescent="0.3">
      <c r="A236" s="2930" t="s">
        <v>1341</v>
      </c>
      <c r="B236" s="2941" t="s">
        <v>1412</v>
      </c>
      <c r="C236" s="2993">
        <f>$K$233*'DATOS DFA 20'!C78/'DATOS DFA 21'!$J$233</f>
        <v>1171000.9446277982</v>
      </c>
      <c r="D236" s="2994">
        <f t="shared" si="3"/>
        <v>1171.0009446277982</v>
      </c>
      <c r="E236" s="1" t="s">
        <v>29</v>
      </c>
      <c r="F236" s="1" t="s">
        <v>155</v>
      </c>
      <c r="G236" s="1" t="s">
        <v>7</v>
      </c>
      <c r="I236" s="1" t="s">
        <v>389</v>
      </c>
      <c r="J236" s="512">
        <f>SUM(J222:J235)</f>
        <v>95104844</v>
      </c>
      <c r="K236" s="512">
        <f>SUM(K222:K235)</f>
        <v>94963221</v>
      </c>
      <c r="L236" s="521">
        <v>-1E-3</v>
      </c>
      <c r="M236" s="1" t="s">
        <v>330</v>
      </c>
    </row>
    <row r="237" spans="1:13" hidden="1" x14ac:dyDescent="0.3">
      <c r="A237" s="2930" t="s">
        <v>1341</v>
      </c>
      <c r="B237" s="2941" t="s">
        <v>1411</v>
      </c>
      <c r="C237" s="2993">
        <f>$K$233*'DATOS DFA 20'!C79/'DATOS DFA 21'!$J$233</f>
        <v>1161058.244382835</v>
      </c>
      <c r="D237" s="2994">
        <f t="shared" si="3"/>
        <v>1161.058244382835</v>
      </c>
      <c r="E237" s="1" t="s">
        <v>29</v>
      </c>
      <c r="F237" s="1" t="s">
        <v>155</v>
      </c>
      <c r="G237" s="1" t="s">
        <v>7</v>
      </c>
      <c r="I237" s="1" t="s">
        <v>1606</v>
      </c>
      <c r="J237" s="512">
        <v>253996</v>
      </c>
      <c r="K237" s="512">
        <v>253093</v>
      </c>
      <c r="L237" s="521">
        <v>-4.0000000000000001E-3</v>
      </c>
      <c r="M237" s="1" t="s">
        <v>330</v>
      </c>
    </row>
    <row r="238" spans="1:13" hidden="1" x14ac:dyDescent="0.3">
      <c r="A238" s="2930" t="s">
        <v>1341</v>
      </c>
      <c r="B238" s="2942" t="s">
        <v>1409</v>
      </c>
      <c r="C238" s="2993">
        <f>$K$234*'DATOS DFA 20'!C85/'DATOS DFA 21'!$J$234</f>
        <v>180912.62868959771</v>
      </c>
      <c r="D238" s="2994">
        <f t="shared" si="3"/>
        <v>180.91262868959771</v>
      </c>
      <c r="E238" s="2995"/>
      <c r="F238" s="2995"/>
      <c r="G238" s="2995"/>
      <c r="I238" s="1" t="s">
        <v>1019</v>
      </c>
      <c r="J238" s="1">
        <v>373.21</v>
      </c>
      <c r="K238" s="1">
        <v>375.25</v>
      </c>
      <c r="L238" s="521">
        <v>5.0000000000000001E-3</v>
      </c>
      <c r="M238" s="1" t="s">
        <v>330</v>
      </c>
    </row>
    <row r="239" spans="1:13" hidden="1" x14ac:dyDescent="0.3">
      <c r="A239" s="2930" t="s">
        <v>1341</v>
      </c>
      <c r="B239" s="2942" t="s">
        <v>1408</v>
      </c>
      <c r="C239" s="2993">
        <f>$K$234*'DATOS DFA 20'!C86/'DATOS DFA 21'!$J$234</f>
        <v>423572.37131040229</v>
      </c>
      <c r="D239" s="2994">
        <f t="shared" si="3"/>
        <v>423.57237131040227</v>
      </c>
      <c r="E239" s="2995"/>
      <c r="F239" s="2995"/>
      <c r="G239" s="2995"/>
    </row>
    <row r="240" spans="1:13" hidden="1" x14ac:dyDescent="0.3">
      <c r="A240" s="2930" t="s">
        <v>1341</v>
      </c>
      <c r="B240" s="2935" t="s">
        <v>1406</v>
      </c>
      <c r="C240" s="2993">
        <f>$K$230*'DATOS DFA 20'!C105/'DATOS DFA 21'!$J$230</f>
        <v>62718.888760249218</v>
      </c>
      <c r="D240" s="2994">
        <f t="shared" si="3"/>
        <v>62.718888760249214</v>
      </c>
      <c r="E240" s="1" t="s">
        <v>27</v>
      </c>
      <c r="F240" s="1" t="s">
        <v>117</v>
      </c>
      <c r="G240" s="1" t="s">
        <v>86</v>
      </c>
    </row>
    <row r="241" spans="1:7" hidden="1" x14ac:dyDescent="0.3">
      <c r="A241" s="2930" t="s">
        <v>1341</v>
      </c>
      <c r="B241" s="2935" t="s">
        <v>1405</v>
      </c>
      <c r="C241" s="2993">
        <f>$K$230*'DATOS DFA 20'!C106/'DATOS DFA 21'!$J$230</f>
        <v>1449652.0287706538</v>
      </c>
      <c r="D241" s="2994">
        <f t="shared" si="3"/>
        <v>1449.6520287706537</v>
      </c>
      <c r="E241" s="1" t="s">
        <v>27</v>
      </c>
      <c r="F241" s="1" t="s">
        <v>117</v>
      </c>
      <c r="G241" s="1" t="s">
        <v>86</v>
      </c>
    </row>
    <row r="242" spans="1:7" hidden="1" x14ac:dyDescent="0.3">
      <c r="A242" s="2930" t="s">
        <v>1341</v>
      </c>
      <c r="B242" s="2935" t="s">
        <v>1404</v>
      </c>
      <c r="C242" s="2993">
        <f>$K$230*'DATOS DFA 20'!C107/'DATOS DFA 21'!$J$230</f>
        <v>52418.192302294359</v>
      </c>
      <c r="D242" s="2994">
        <f t="shared" si="3"/>
        <v>52.418192302294358</v>
      </c>
      <c r="E242" s="1" t="s">
        <v>27</v>
      </c>
      <c r="F242" s="1" t="s">
        <v>155</v>
      </c>
      <c r="G242" s="1" t="s">
        <v>7</v>
      </c>
    </row>
    <row r="243" spans="1:7" hidden="1" x14ac:dyDescent="0.3">
      <c r="A243" s="2930" t="s">
        <v>1341</v>
      </c>
      <c r="B243" s="2935" t="s">
        <v>1401</v>
      </c>
      <c r="C243" s="2993">
        <f>$K$230*'DATOS DFA 20'!C113/'DATOS DFA 21'!$J$230</f>
        <v>10249.652372434764</v>
      </c>
      <c r="D243" s="2994">
        <f t="shared" si="3"/>
        <v>10.249652372434765</v>
      </c>
      <c r="E243" s="1" t="s">
        <v>27</v>
      </c>
      <c r="F243" s="1" t="s">
        <v>155</v>
      </c>
      <c r="G243" s="1" t="s">
        <v>7</v>
      </c>
    </row>
    <row r="244" spans="1:7" hidden="1" x14ac:dyDescent="0.3">
      <c r="A244" s="2930" t="s">
        <v>1341</v>
      </c>
      <c r="B244" s="2935" t="s">
        <v>1400</v>
      </c>
      <c r="C244" s="2993">
        <f>$K$230*'DATOS DFA 20'!C114/'DATOS DFA 21'!$J$230</f>
        <v>123097.91664025735</v>
      </c>
      <c r="D244" s="2994">
        <f t="shared" si="3"/>
        <v>123.09791664025735</v>
      </c>
      <c r="E244" s="1" t="s">
        <v>27</v>
      </c>
      <c r="F244" s="1" t="s">
        <v>155</v>
      </c>
      <c r="G244" s="1" t="s">
        <v>7</v>
      </c>
    </row>
    <row r="245" spans="1:7" hidden="1" x14ac:dyDescent="0.3">
      <c r="A245" s="2930" t="s">
        <v>1341</v>
      </c>
      <c r="B245" s="2935" t="s">
        <v>1399</v>
      </c>
      <c r="C245" s="2993">
        <f>$K$230*'DATOS DFA 20'!C115/'DATOS DFA 21'!$J$230</f>
        <v>201155.55309929466</v>
      </c>
      <c r="D245" s="2994">
        <f t="shared" si="3"/>
        <v>201.15555309929465</v>
      </c>
      <c r="E245" s="1" t="s">
        <v>27</v>
      </c>
      <c r="F245" s="1" t="s">
        <v>155</v>
      </c>
      <c r="G245" s="1" t="s">
        <v>7</v>
      </c>
    </row>
    <row r="246" spans="1:7" hidden="1" x14ac:dyDescent="0.3">
      <c r="A246" s="2930" t="s">
        <v>1341</v>
      </c>
      <c r="B246" s="2935" t="s">
        <v>1397</v>
      </c>
      <c r="C246" s="2993">
        <f>$K$230*'DATOS DFA 20'!C118/'DATOS DFA 21'!$J$230</f>
        <v>292158.99052793806</v>
      </c>
      <c r="D246" s="2994">
        <f t="shared" si="3"/>
        <v>292.15899052793804</v>
      </c>
      <c r="E246" s="1" t="s">
        <v>101</v>
      </c>
      <c r="F246" s="1" t="s">
        <v>114</v>
      </c>
      <c r="G246" s="1" t="s">
        <v>98</v>
      </c>
    </row>
    <row r="247" spans="1:7" hidden="1" x14ac:dyDescent="0.3">
      <c r="A247" s="2930" t="s">
        <v>1341</v>
      </c>
      <c r="B247" s="2935" t="s">
        <v>1396</v>
      </c>
      <c r="C247" s="2993">
        <f>$K$230*'DATOS DFA 20'!C119/'DATOS DFA 21'!$J$230</f>
        <v>7568405.5855901642</v>
      </c>
      <c r="D247" s="2994">
        <f t="shared" si="3"/>
        <v>7568.4055855901643</v>
      </c>
      <c r="E247" s="1" t="s">
        <v>27</v>
      </c>
      <c r="F247" s="1" t="s">
        <v>155</v>
      </c>
      <c r="G247" s="1" t="s">
        <v>7</v>
      </c>
    </row>
    <row r="248" spans="1:7" hidden="1" x14ac:dyDescent="0.3">
      <c r="A248" s="2930" t="s">
        <v>1341</v>
      </c>
      <c r="B248" s="2935" t="s">
        <v>1395</v>
      </c>
      <c r="C248" s="2993">
        <f>$K$230*'DATOS DFA 20'!C120/'DATOS DFA 21'!$J$230</f>
        <v>161880.19193671393</v>
      </c>
      <c r="D248" s="2994">
        <f t="shared" si="3"/>
        <v>161.88019193671394</v>
      </c>
      <c r="E248" s="1" t="s">
        <v>27</v>
      </c>
      <c r="F248" s="1" t="s">
        <v>155</v>
      </c>
      <c r="G248" s="1" t="s">
        <v>7</v>
      </c>
    </row>
    <row r="249" spans="1:7" hidden="1" x14ac:dyDescent="0.3">
      <c r="A249" s="2930" t="s">
        <v>1341</v>
      </c>
      <c r="B249" s="2943" t="s">
        <v>1393</v>
      </c>
      <c r="C249" s="2993">
        <f>$K$235*'DATOS DFA 20'!C126/'DATOS DFA 21'!$J$235</f>
        <v>10250.723702292056</v>
      </c>
      <c r="D249" s="2994">
        <f t="shared" si="3"/>
        <v>10.250723702292056</v>
      </c>
      <c r="E249" s="2995"/>
      <c r="F249" s="2995"/>
      <c r="G249" s="2995"/>
    </row>
    <row r="250" spans="1:7" hidden="1" x14ac:dyDescent="0.3">
      <c r="A250" s="2930" t="s">
        <v>1341</v>
      </c>
      <c r="B250" s="2943" t="s">
        <v>1392</v>
      </c>
      <c r="C250" s="2993">
        <f>$K$235*'DATOS DFA 20'!C127/'DATOS DFA 21'!$J$235</f>
        <v>90221.159115069488</v>
      </c>
      <c r="D250" s="2994">
        <f t="shared" si="3"/>
        <v>90.221159115069483</v>
      </c>
      <c r="E250" s="2995"/>
      <c r="F250" s="2995"/>
      <c r="G250" s="2995"/>
    </row>
    <row r="251" spans="1:7" hidden="1" x14ac:dyDescent="0.3">
      <c r="A251" s="2930" t="s">
        <v>1341</v>
      </c>
      <c r="B251" s="2943" t="s">
        <v>1391</v>
      </c>
      <c r="C251" s="2993">
        <f>$K$235*'DATOS DFA 20'!C128/'DATOS DFA 21'!$J$235</f>
        <v>8975.8678956648</v>
      </c>
      <c r="D251" s="2994">
        <f t="shared" si="3"/>
        <v>8.9758678956648001</v>
      </c>
      <c r="E251" s="2995"/>
      <c r="F251" s="2995"/>
      <c r="G251" s="2995"/>
    </row>
    <row r="252" spans="1:7" hidden="1" x14ac:dyDescent="0.3">
      <c r="A252" s="2930" t="s">
        <v>1341</v>
      </c>
      <c r="B252" s="2943" t="s">
        <v>1390</v>
      </c>
      <c r="C252" s="2993">
        <f>$K$235*'DATOS DFA 20'!C135/'DATOS DFA 21'!$J$235</f>
        <v>35372.557606046466</v>
      </c>
      <c r="D252" s="2994">
        <f t="shared" si="3"/>
        <v>35.372557606046463</v>
      </c>
      <c r="E252" s="2995"/>
      <c r="F252" s="2995"/>
      <c r="G252" s="2995"/>
    </row>
    <row r="253" spans="1:7" hidden="1" x14ac:dyDescent="0.3">
      <c r="A253" s="2930" t="s">
        <v>1341</v>
      </c>
      <c r="B253" s="2943" t="s">
        <v>1389</v>
      </c>
      <c r="C253" s="2993">
        <f>$K$235*'DATOS DFA 20'!C142/'DATOS DFA 21'!$J$235</f>
        <v>25460.691680927193</v>
      </c>
      <c r="D253" s="2994">
        <f t="shared" si="3"/>
        <v>25.460691680927194</v>
      </c>
      <c r="E253" s="2995"/>
      <c r="F253" s="2995"/>
      <c r="G253" s="2995"/>
    </row>
    <row r="254" spans="1:7" x14ac:dyDescent="0.3">
      <c r="A254" s="2930" t="s">
        <v>1341</v>
      </c>
      <c r="B254" s="2944" t="s">
        <v>1385</v>
      </c>
      <c r="C254" s="2993">
        <f>$K$228*'DATOS DFA 20'!C152/'DATOS DFA 21'!$J$228</f>
        <v>153026.1091668843</v>
      </c>
      <c r="D254" s="2994">
        <f t="shared" si="3"/>
        <v>153.02610916688431</v>
      </c>
      <c r="E254" s="1" t="s">
        <v>90</v>
      </c>
      <c r="F254" s="1" t="s">
        <v>117</v>
      </c>
      <c r="G254" s="1" t="s">
        <v>86</v>
      </c>
    </row>
    <row r="255" spans="1:7" x14ac:dyDescent="0.3">
      <c r="A255" s="2930" t="s">
        <v>1341</v>
      </c>
      <c r="B255" s="2944" t="s">
        <v>1384</v>
      </c>
      <c r="C255" s="2993">
        <f>$K$228*'DATOS DFA 20'!C153/'DATOS DFA 21'!$J$228</f>
        <v>27790.415252024028</v>
      </c>
      <c r="D255" s="2994">
        <f t="shared" si="3"/>
        <v>27.790415252024026</v>
      </c>
      <c r="E255" s="1" t="s">
        <v>90</v>
      </c>
      <c r="F255" s="1" t="s">
        <v>117</v>
      </c>
      <c r="G255" s="1" t="s">
        <v>86</v>
      </c>
    </row>
    <row r="256" spans="1:7" x14ac:dyDescent="0.3">
      <c r="A256" s="2930" t="s">
        <v>1341</v>
      </c>
      <c r="B256" s="2944" t="s">
        <v>1382</v>
      </c>
      <c r="C256" s="2993">
        <f>$K$228*'DATOS DFA 20'!C160/'DATOS DFA 21'!$J$228</f>
        <v>4243.4755810916686</v>
      </c>
      <c r="D256" s="2994">
        <f t="shared" si="3"/>
        <v>4.2434755810916682</v>
      </c>
      <c r="E256" s="1" t="s">
        <v>90</v>
      </c>
      <c r="F256" s="1" t="s">
        <v>117</v>
      </c>
      <c r="G256" s="1" t="s">
        <v>86</v>
      </c>
    </row>
    <row r="257" spans="1:7" hidden="1" x14ac:dyDescent="0.3">
      <c r="A257" s="2930" t="s">
        <v>1341</v>
      </c>
      <c r="B257" s="2944" t="s">
        <v>1381</v>
      </c>
      <c r="C257" s="2993">
        <f>$K$228*'DATOS DFA 20'!C161/'DATOS DFA 21'!$J$228</f>
        <v>0</v>
      </c>
      <c r="D257" s="2994">
        <f t="shared" si="3"/>
        <v>0</v>
      </c>
      <c r="E257" s="1" t="s">
        <v>19</v>
      </c>
      <c r="F257" s="1" t="s">
        <v>155</v>
      </c>
      <c r="G257" s="1" t="s">
        <v>7</v>
      </c>
    </row>
    <row r="258" spans="1:7" hidden="1" x14ac:dyDescent="0.3">
      <c r="A258" s="2930" t="s">
        <v>1341</v>
      </c>
      <c r="B258" s="2938" t="s">
        <v>1379</v>
      </c>
      <c r="C258" s="2993">
        <f>$K$232*'DATOS DFA 20'!C167/'DATOS DFA 21'!$J$232</f>
        <v>632654.31790233508</v>
      </c>
      <c r="D258" s="2994">
        <f t="shared" si="3"/>
        <v>632.65431790233504</v>
      </c>
      <c r="E258" s="1" t="s">
        <v>79</v>
      </c>
      <c r="F258" s="1" t="s">
        <v>155</v>
      </c>
      <c r="G258" s="1" t="s">
        <v>7</v>
      </c>
    </row>
    <row r="259" spans="1:7" hidden="1" x14ac:dyDescent="0.3">
      <c r="A259" s="2930" t="s">
        <v>1341</v>
      </c>
      <c r="B259" s="2938" t="s">
        <v>1378</v>
      </c>
      <c r="C259" s="2993">
        <f>$K$232*'DATOS DFA 20'!C174/'DATOS DFA 21'!$J$232</f>
        <v>785758.68209766492</v>
      </c>
      <c r="D259" s="2994">
        <f t="shared" si="3"/>
        <v>785.75868209766497</v>
      </c>
      <c r="E259" s="1" t="s">
        <v>79</v>
      </c>
      <c r="F259" s="1" t="s">
        <v>114</v>
      </c>
      <c r="G259" s="1" t="s">
        <v>98</v>
      </c>
    </row>
    <row r="260" spans="1:7" hidden="1" x14ac:dyDescent="0.3">
      <c r="A260" s="2930" t="s">
        <v>1341</v>
      </c>
      <c r="B260" s="2931" t="s">
        <v>1376</v>
      </c>
      <c r="C260" s="2993">
        <f>$K$222*'DATOS DFA 20'!C181/'DATOS DFA 21'!$J$222</f>
        <v>3140130.4945688676</v>
      </c>
      <c r="D260" s="2994">
        <f t="shared" si="3"/>
        <v>3140.1304945688676</v>
      </c>
      <c r="E260" s="1" t="s">
        <v>89</v>
      </c>
      <c r="F260" s="1" t="s">
        <v>117</v>
      </c>
      <c r="G260" s="1" t="s">
        <v>86</v>
      </c>
    </row>
    <row r="261" spans="1:7" hidden="1" x14ac:dyDescent="0.3">
      <c r="A261" s="2930" t="s">
        <v>1341</v>
      </c>
      <c r="B261" s="2931" t="s">
        <v>1375</v>
      </c>
      <c r="C261" s="2993">
        <f>$K$222*'DATOS DFA 20'!C182/'DATOS DFA 21'!$J$222</f>
        <v>861528.06653959234</v>
      </c>
      <c r="D261" s="2994">
        <f t="shared" si="3"/>
        <v>861.52806653959237</v>
      </c>
      <c r="E261" s="1" t="s">
        <v>6</v>
      </c>
      <c r="F261" s="1" t="s">
        <v>155</v>
      </c>
      <c r="G261" s="1" t="s">
        <v>7</v>
      </c>
    </row>
    <row r="262" spans="1:7" hidden="1" x14ac:dyDescent="0.3">
      <c r="A262" s="2930" t="s">
        <v>1341</v>
      </c>
      <c r="B262" s="2931" t="s">
        <v>1373</v>
      </c>
      <c r="C262" s="2993">
        <f>$K$222*'DATOS DFA 20'!C183/'DATOS DFA 21'!$J$222</f>
        <v>120845.94400948961</v>
      </c>
      <c r="D262" s="2994">
        <f t="shared" si="3"/>
        <v>120.84594400948961</v>
      </c>
      <c r="E262" s="1" t="s">
        <v>6</v>
      </c>
      <c r="F262" s="1" t="s">
        <v>155</v>
      </c>
      <c r="G262" s="1" t="s">
        <v>7</v>
      </c>
    </row>
    <row r="263" spans="1:7" hidden="1" x14ac:dyDescent="0.3">
      <c r="A263" s="2930" t="s">
        <v>1341</v>
      </c>
      <c r="B263" s="2931" t="s">
        <v>1371</v>
      </c>
      <c r="C263" s="2993">
        <f>$K$222*'DATOS DFA 20'!C190/'DATOS DFA 21'!$J$222</f>
        <v>40304126.180568486</v>
      </c>
      <c r="D263" s="2994">
        <f t="shared" si="3"/>
        <v>40304.126180568484</v>
      </c>
      <c r="E263" s="1" t="s">
        <v>6</v>
      </c>
      <c r="F263" s="1" t="s">
        <v>155</v>
      </c>
      <c r="G263" s="1" t="s">
        <v>7</v>
      </c>
    </row>
    <row r="264" spans="1:7" hidden="1" x14ac:dyDescent="0.3">
      <c r="A264" s="2930" t="s">
        <v>1341</v>
      </c>
      <c r="B264" s="2931" t="s">
        <v>1370</v>
      </c>
      <c r="C264" s="2993">
        <f>$K$222*'DATOS DFA 20'!C191/'DATOS DFA 21'!$J$222</f>
        <v>1576668.7424198391</v>
      </c>
      <c r="D264" s="2994">
        <f t="shared" si="3"/>
        <v>1576.6687424198392</v>
      </c>
      <c r="E264" s="1" t="s">
        <v>6</v>
      </c>
      <c r="F264" s="1" t="s">
        <v>155</v>
      </c>
      <c r="G264" s="1" t="s">
        <v>7</v>
      </c>
    </row>
    <row r="265" spans="1:7" hidden="1" x14ac:dyDescent="0.3">
      <c r="A265" s="2930" t="s">
        <v>1341</v>
      </c>
      <c r="B265" s="2931" t="s">
        <v>1369</v>
      </c>
      <c r="C265" s="2993">
        <f>$K$222*'DATOS DFA 20'!C198/'DATOS DFA 21'!$J$222</f>
        <v>42488.434465824161</v>
      </c>
      <c r="D265" s="2994">
        <f t="shared" si="3"/>
        <v>42.488434465824163</v>
      </c>
      <c r="E265" s="1" t="s">
        <v>6</v>
      </c>
      <c r="F265" s="1" t="s">
        <v>155</v>
      </c>
      <c r="G265" s="1" t="s">
        <v>7</v>
      </c>
    </row>
    <row r="266" spans="1:7" hidden="1" x14ac:dyDescent="0.3">
      <c r="A266" s="2930" t="s">
        <v>1341</v>
      </c>
      <c r="B266" s="2931" t="s">
        <v>1368</v>
      </c>
      <c r="C266" s="2993">
        <f>$K$222*'DATOS DFA 20'!C199/'DATOS DFA 21'!$J$222</f>
        <v>698027.11341221433</v>
      </c>
      <c r="D266" s="2994">
        <f t="shared" si="3"/>
        <v>698.02711341221436</v>
      </c>
      <c r="E266" s="1" t="s">
        <v>89</v>
      </c>
      <c r="F266" s="1" t="s">
        <v>117</v>
      </c>
      <c r="G266" s="1" t="s">
        <v>86</v>
      </c>
    </row>
    <row r="267" spans="1:7" hidden="1" x14ac:dyDescent="0.3">
      <c r="A267" s="2930" t="s">
        <v>1341</v>
      </c>
      <c r="B267" s="2931" t="s">
        <v>1367</v>
      </c>
      <c r="C267" s="2993">
        <f>$K$222*'DATOS DFA 20'!C200/'DATOS DFA 21'!$J$222</f>
        <v>698027.11341221433</v>
      </c>
      <c r="D267" s="2994">
        <f t="shared" si="3"/>
        <v>698.02711341221436</v>
      </c>
      <c r="E267" s="1" t="s">
        <v>89</v>
      </c>
      <c r="F267" s="1" t="s">
        <v>114</v>
      </c>
      <c r="G267" s="1" t="s">
        <v>98</v>
      </c>
    </row>
    <row r="268" spans="1:7" hidden="1" x14ac:dyDescent="0.3">
      <c r="A268" s="2930" t="s">
        <v>1341</v>
      </c>
      <c r="B268" s="2931" t="s">
        <v>1366</v>
      </c>
      <c r="C268" s="2993">
        <f>$K$222*'DATOS DFA 20'!C201/'DATOS DFA 21'!$J$222</f>
        <v>5453.3368235329244</v>
      </c>
      <c r="D268" s="2994">
        <f t="shared" si="3"/>
        <v>5.4533368235329247</v>
      </c>
      <c r="E268" s="1" t="s">
        <v>89</v>
      </c>
      <c r="F268" s="1" t="s">
        <v>117</v>
      </c>
      <c r="G268" s="1" t="s">
        <v>86</v>
      </c>
    </row>
    <row r="269" spans="1:7" hidden="1" x14ac:dyDescent="0.3">
      <c r="A269" s="2930" t="s">
        <v>1341</v>
      </c>
      <c r="B269" s="2931" t="s">
        <v>1365</v>
      </c>
      <c r="C269" s="2993">
        <f>$K$222*'DATOS DFA 20'!C202/'DATOS DFA 21'!$J$222</f>
        <v>2618682.4275026494</v>
      </c>
      <c r="D269" s="2994">
        <f t="shared" si="3"/>
        <v>2618.6824275026493</v>
      </c>
      <c r="E269" s="1" t="s">
        <v>88</v>
      </c>
      <c r="F269" s="1" t="s">
        <v>117</v>
      </c>
      <c r="G269" s="1" t="s">
        <v>86</v>
      </c>
    </row>
    <row r="270" spans="1:7" hidden="1" x14ac:dyDescent="0.3">
      <c r="A270" s="2930" t="s">
        <v>1341</v>
      </c>
      <c r="B270" s="2931" t="s">
        <v>1364</v>
      </c>
      <c r="C270" s="2993">
        <f>$K$222*'DATOS DFA 20'!C203/'DATOS DFA 21'!$J$222</f>
        <v>7505873.6523321075</v>
      </c>
      <c r="D270" s="2994">
        <f t="shared" si="3"/>
        <v>7505.8736523321077</v>
      </c>
      <c r="E270" s="1" t="s">
        <v>6</v>
      </c>
      <c r="F270" s="1" t="s">
        <v>155</v>
      </c>
      <c r="G270" s="1" t="s">
        <v>7</v>
      </c>
    </row>
    <row r="271" spans="1:7" hidden="1" x14ac:dyDescent="0.3">
      <c r="A271" s="2930" t="s">
        <v>1341</v>
      </c>
      <c r="B271" s="2931" t="s">
        <v>1362</v>
      </c>
      <c r="C271" s="2993">
        <f>$K$222*'DATOS DFA 20'!C206/'DATOS DFA 21'!$J$222</f>
        <v>4545703.2729398264</v>
      </c>
      <c r="D271" s="2994">
        <f t="shared" si="3"/>
        <v>4545.7032729398261</v>
      </c>
      <c r="E271" s="1" t="s">
        <v>89</v>
      </c>
      <c r="F271" s="1" t="s">
        <v>114</v>
      </c>
      <c r="G271" s="1" t="s">
        <v>98</v>
      </c>
    </row>
    <row r="272" spans="1:7" hidden="1" x14ac:dyDescent="0.3">
      <c r="A272" s="2930" t="s">
        <v>1341</v>
      </c>
      <c r="B272" s="2931" t="s">
        <v>1359</v>
      </c>
      <c r="C272" s="2993">
        <f>$K$222*'DATOS DFA 20'!C211/'DATOS DFA 21'!$J$222</f>
        <v>13881.221005356536</v>
      </c>
      <c r="D272" s="2994">
        <f t="shared" si="3"/>
        <v>13.881221005356537</v>
      </c>
      <c r="E272" s="1" t="s">
        <v>89</v>
      </c>
      <c r="F272" s="1" t="s">
        <v>117</v>
      </c>
      <c r="G272" s="1" t="s">
        <v>86</v>
      </c>
    </row>
    <row r="273" spans="1:7" hidden="1" x14ac:dyDescent="0.3">
      <c r="A273" s="2930" t="s">
        <v>1341</v>
      </c>
      <c r="B273" s="2945" t="s">
        <v>409</v>
      </c>
      <c r="C273" s="2993">
        <f>$K$231*'DATOS DFA 20'!C218/'DATOS DFA 21'!$J$231</f>
        <v>700920.16272447968</v>
      </c>
      <c r="D273" s="2994">
        <f t="shared" si="3"/>
        <v>700.92016272447972</v>
      </c>
      <c r="E273" s="1" t="s">
        <v>25</v>
      </c>
      <c r="F273" s="1" t="s">
        <v>155</v>
      </c>
      <c r="G273" s="1" t="s">
        <v>7</v>
      </c>
    </row>
    <row r="274" spans="1:7" hidden="1" x14ac:dyDescent="0.3">
      <c r="A274" s="2930" t="s">
        <v>1341</v>
      </c>
      <c r="B274" s="2945" t="s">
        <v>1358</v>
      </c>
      <c r="C274" s="2993">
        <f>$K$231*'DATOS DFA 20'!C219/'DATOS DFA 21'!$J$231</f>
        <v>49192.244716400943</v>
      </c>
      <c r="D274" s="2994">
        <f t="shared" si="3"/>
        <v>49.192244716400943</v>
      </c>
      <c r="E274" s="1" t="s">
        <v>25</v>
      </c>
      <c r="F274" s="1" t="s">
        <v>155</v>
      </c>
      <c r="G274" s="1" t="s">
        <v>7</v>
      </c>
    </row>
    <row r="275" spans="1:7" hidden="1" x14ac:dyDescent="0.3">
      <c r="A275" s="2930" t="s">
        <v>1341</v>
      </c>
      <c r="B275" s="2945" t="s">
        <v>1357</v>
      </c>
      <c r="C275" s="2993">
        <f>$K$231*'DATOS DFA 20'!C220/'DATOS DFA 21'!$J$231</f>
        <v>7520.8112046915639</v>
      </c>
      <c r="D275" s="2994">
        <f t="shared" si="3"/>
        <v>7.5208112046915643</v>
      </c>
      <c r="E275" s="1" t="s">
        <v>25</v>
      </c>
      <c r="F275" s="1" t="s">
        <v>114</v>
      </c>
      <c r="G275" s="1" t="s">
        <v>98</v>
      </c>
    </row>
    <row r="276" spans="1:7" hidden="1" x14ac:dyDescent="0.3">
      <c r="A276" s="2930" t="s">
        <v>1341</v>
      </c>
      <c r="B276" s="2945" t="s">
        <v>1356</v>
      </c>
      <c r="C276" s="2993">
        <f>$K$231*'DATOS DFA 20'!C221/'DATOS DFA 21'!$J$231</f>
        <v>2059.781354427771</v>
      </c>
      <c r="D276" s="2994">
        <f t="shared" si="3"/>
        <v>2.0597813544277712</v>
      </c>
      <c r="E276" s="1" t="s">
        <v>25</v>
      </c>
      <c r="F276" s="1" t="s">
        <v>155</v>
      </c>
      <c r="G276" s="1" t="s">
        <v>7</v>
      </c>
    </row>
    <row r="277" spans="1:7" hidden="1" x14ac:dyDescent="0.3">
      <c r="A277" s="2930" t="s">
        <v>1341</v>
      </c>
      <c r="B277" s="2936" t="s">
        <v>407</v>
      </c>
      <c r="C277" s="2993">
        <f>$K$229*'DATOS DFA 20'!C228/'DATOS DFA 21'!$J$229</f>
        <v>5461174.5569499368</v>
      </c>
      <c r="D277" s="2994">
        <f t="shared" si="3"/>
        <v>5461.1745569499371</v>
      </c>
      <c r="E277" s="1" t="s">
        <v>31</v>
      </c>
      <c r="F277" s="1" t="s">
        <v>155</v>
      </c>
      <c r="G277" s="1" t="s">
        <v>7</v>
      </c>
    </row>
    <row r="278" spans="1:7" hidden="1" x14ac:dyDescent="0.3">
      <c r="A278" s="2930" t="s">
        <v>1341</v>
      </c>
      <c r="B278" s="2936" t="s">
        <v>1355</v>
      </c>
      <c r="C278" s="2993">
        <f>$K$229*'DATOS DFA 20'!C229/'DATOS DFA 21'!$J$229</f>
        <v>320765.44305006304</v>
      </c>
      <c r="D278" s="2994">
        <f t="shared" si="3"/>
        <v>320.76544305006303</v>
      </c>
      <c r="E278" s="1" t="s">
        <v>12</v>
      </c>
      <c r="F278" s="1" t="s">
        <v>114</v>
      </c>
      <c r="G278" s="1" t="s">
        <v>98</v>
      </c>
    </row>
    <row r="279" spans="1:7" hidden="1" x14ac:dyDescent="0.3">
      <c r="A279" s="2930" t="s">
        <v>1341</v>
      </c>
      <c r="B279" s="2934" t="s">
        <v>1353</v>
      </c>
      <c r="C279" s="2993">
        <f>$K$225*'DATOS DFA 20'!C238/'DATOS DFA 21'!$J$225</f>
        <v>26365.10560963066</v>
      </c>
      <c r="D279" s="2994">
        <f t="shared" si="3"/>
        <v>26.36510560963066</v>
      </c>
      <c r="E279" s="1" t="s">
        <v>81</v>
      </c>
      <c r="F279" s="1" t="s">
        <v>155</v>
      </c>
      <c r="G279" s="1" t="s">
        <v>7</v>
      </c>
    </row>
    <row r="280" spans="1:7" hidden="1" x14ac:dyDescent="0.3">
      <c r="A280" s="2930" t="s">
        <v>1341</v>
      </c>
      <c r="B280" s="2934" t="s">
        <v>1352</v>
      </c>
      <c r="C280" s="2993">
        <f>$K$225*'DATOS DFA 20'!C239/'DATOS DFA 21'!$J$225</f>
        <v>226091.7703228351</v>
      </c>
      <c r="D280" s="2994">
        <f t="shared" si="3"/>
        <v>226.09177032283509</v>
      </c>
      <c r="E280" s="1" t="s">
        <v>81</v>
      </c>
      <c r="F280" s="1" t="s">
        <v>155</v>
      </c>
      <c r="G280" s="1" t="s">
        <v>7</v>
      </c>
    </row>
    <row r="281" spans="1:7" hidden="1" x14ac:dyDescent="0.3">
      <c r="A281" s="2930" t="s">
        <v>1341</v>
      </c>
      <c r="B281" s="2934" t="s">
        <v>1350</v>
      </c>
      <c r="C281" s="2993">
        <f>$K$225*'DATOS DFA 20'!C241/'DATOS DFA 21'!$J$225</f>
        <v>3015.7836971078113</v>
      </c>
      <c r="D281" s="2994">
        <f t="shared" si="3"/>
        <v>3.0157836971078114</v>
      </c>
      <c r="E281" s="1" t="s">
        <v>81</v>
      </c>
      <c r="F281" s="1" t="s">
        <v>155</v>
      </c>
      <c r="G281" s="1" t="s">
        <v>7</v>
      </c>
    </row>
    <row r="282" spans="1:7" hidden="1" x14ac:dyDescent="0.3">
      <c r="A282" s="2930" t="s">
        <v>1341</v>
      </c>
      <c r="B282" s="2934" t="s">
        <v>1349</v>
      </c>
      <c r="C282" s="2993">
        <f>$K$225*'DATOS DFA 20'!C242/'DATOS DFA 21'!$J$225</f>
        <v>805136.04121157248</v>
      </c>
      <c r="D282" s="2994">
        <f t="shared" ref="D282:D284" si="4">C282/1000</f>
        <v>805.13604121157243</v>
      </c>
      <c r="E282" s="1" t="s">
        <v>81</v>
      </c>
      <c r="F282" s="1" t="s">
        <v>155</v>
      </c>
      <c r="G282" s="1" t="s">
        <v>7</v>
      </c>
    </row>
    <row r="283" spans="1:7" hidden="1" x14ac:dyDescent="0.3">
      <c r="A283" s="2930" t="s">
        <v>1341</v>
      </c>
      <c r="B283" s="2934" t="s">
        <v>1340</v>
      </c>
      <c r="C283" s="2993">
        <f>$K$225*'DATOS DFA 20'!C249/'DATOS DFA 21'!$J$225</f>
        <v>43611.299158853973</v>
      </c>
      <c r="D283" s="2994">
        <f t="shared" si="4"/>
        <v>43.611299158853974</v>
      </c>
      <c r="E283" s="1" t="s">
        <v>81</v>
      </c>
      <c r="F283" s="1" t="s">
        <v>155</v>
      </c>
      <c r="G283" s="1" t="s">
        <v>7</v>
      </c>
    </row>
    <row r="284" spans="1:7" hidden="1" x14ac:dyDescent="0.3">
      <c r="A284" s="3959" t="s">
        <v>1596</v>
      </c>
      <c r="B284" s="2975" t="str">
        <f>J4</f>
        <v xml:space="preserve"> Metal  </v>
      </c>
      <c r="C284" s="2976" t="str">
        <f>K4</f>
        <v xml:space="preserve"> 543.860  </v>
      </c>
      <c r="D284" s="2977">
        <f t="shared" si="4"/>
        <v>543.86</v>
      </c>
      <c r="E284" s="2978" t="s">
        <v>17</v>
      </c>
      <c r="F284" s="2979" t="s">
        <v>155</v>
      </c>
    </row>
    <row r="285" spans="1:7" hidden="1" x14ac:dyDescent="0.3">
      <c r="A285" s="3959"/>
      <c r="B285" s="2975" t="str">
        <f t="shared" ref="B285:C285" si="5">J5</f>
        <v xml:space="preserve"> Plásticos  </v>
      </c>
      <c r="C285" s="2976" t="str">
        <f t="shared" si="5"/>
        <v xml:space="preserve"> 245.911  </v>
      </c>
      <c r="D285" s="2977">
        <f t="shared" ref="D285:D309" si="6">C285/1000</f>
        <v>245.911</v>
      </c>
      <c r="E285" s="2978" t="s">
        <v>16</v>
      </c>
      <c r="F285" s="2979" t="s">
        <v>155</v>
      </c>
    </row>
    <row r="286" spans="1:7" hidden="1" x14ac:dyDescent="0.3">
      <c r="A286" s="3959"/>
      <c r="B286" s="2975" t="str">
        <f t="shared" ref="B286:C286" si="7">J6</f>
        <v xml:space="preserve"> Vidrio plano  </v>
      </c>
      <c r="C286" s="2976" t="str">
        <f t="shared" si="7"/>
        <v xml:space="preserve"> 111.235  </v>
      </c>
      <c r="D286" s="2977">
        <f t="shared" si="6"/>
        <v>111.235</v>
      </c>
      <c r="E286" s="2980" t="s">
        <v>178</v>
      </c>
      <c r="F286" s="2979" t="s">
        <v>155</v>
      </c>
    </row>
    <row r="287" spans="1:7" hidden="1" x14ac:dyDescent="0.3">
      <c r="A287" s="3959"/>
      <c r="B287" s="2975" t="str">
        <f t="shared" ref="B287:C287" si="8">J7</f>
        <v xml:space="preserve"> NFU  </v>
      </c>
      <c r="C287" s="2976" t="str">
        <f t="shared" si="8"/>
        <v xml:space="preserve"> 70.640  </v>
      </c>
      <c r="D287" s="2977">
        <f t="shared" si="6"/>
        <v>70.64</v>
      </c>
      <c r="E287" s="2980" t="s">
        <v>66</v>
      </c>
      <c r="F287" s="2979" t="s">
        <v>155</v>
      </c>
    </row>
    <row r="288" spans="1:7" hidden="1" x14ac:dyDescent="0.3">
      <c r="A288" s="3959"/>
      <c r="B288" s="2975" t="str">
        <f t="shared" ref="B288:C288" si="9">J8</f>
        <v xml:space="preserve"> Tóner y cartuchos  </v>
      </c>
      <c r="C288" s="2976" t="str">
        <f t="shared" si="9"/>
        <v xml:space="preserve"> 6.835  </v>
      </c>
      <c r="D288" s="2977">
        <f t="shared" si="6"/>
        <v>6.835</v>
      </c>
      <c r="E288" s="2980" t="s">
        <v>70</v>
      </c>
      <c r="F288" s="2979" t="s">
        <v>155</v>
      </c>
    </row>
    <row r="289" spans="1:6" hidden="1" x14ac:dyDescent="0.3">
      <c r="A289" s="3959"/>
      <c r="B289" s="2975" t="str">
        <f t="shared" ref="B289:C289" si="10">J9</f>
        <v xml:space="preserve"> CD-DVD-VHS </v>
      </c>
      <c r="C289" s="2976" t="str">
        <f t="shared" si="10"/>
        <v xml:space="preserve"> 2.300  </v>
      </c>
      <c r="D289" s="2977">
        <f t="shared" si="6"/>
        <v>2.2999999999999998</v>
      </c>
      <c r="E289" s="2980" t="s">
        <v>71</v>
      </c>
      <c r="F289" s="2979" t="s">
        <v>155</v>
      </c>
    </row>
    <row r="290" spans="1:6" hidden="1" x14ac:dyDescent="0.3">
      <c r="A290" s="3959"/>
      <c r="B290" s="2975" t="str">
        <f t="shared" ref="B290:C290" si="11">J10</f>
        <v xml:space="preserve"> Extintores  </v>
      </c>
      <c r="C290" s="2976" t="str">
        <f t="shared" si="11"/>
        <v xml:space="preserve"> 1.597  </v>
      </c>
      <c r="D290" s="2977">
        <f t="shared" si="6"/>
        <v>1.597</v>
      </c>
      <c r="E290" s="2980" t="s">
        <v>75</v>
      </c>
      <c r="F290" s="2979" t="s">
        <v>155</v>
      </c>
    </row>
    <row r="291" spans="1:6" hidden="1" x14ac:dyDescent="0.3">
      <c r="A291" s="3959"/>
      <c r="B291" s="2975" t="str">
        <f t="shared" ref="B291:C291" si="12">J11</f>
        <v xml:space="preserve"> Bombonas  </v>
      </c>
      <c r="C291" s="2976" t="str">
        <f t="shared" si="12"/>
        <v xml:space="preserve"> 1.273  </v>
      </c>
      <c r="D291" s="2977">
        <f t="shared" si="6"/>
        <v>1.2729999999999999</v>
      </c>
      <c r="E291" s="2980" t="s">
        <v>75</v>
      </c>
      <c r="F291" s="2979" t="s">
        <v>155</v>
      </c>
    </row>
    <row r="292" spans="1:6" hidden="1" x14ac:dyDescent="0.3">
      <c r="A292" s="3959"/>
      <c r="B292" s="2975" t="str">
        <f t="shared" ref="B292" si="13">J12</f>
        <v xml:space="preserve"> Otros  </v>
      </c>
      <c r="C292" s="2976" t="str">
        <f>K12</f>
        <v xml:space="preserve"> 8.945  </v>
      </c>
      <c r="D292" s="2977">
        <f t="shared" si="6"/>
        <v>8.9450000000000003</v>
      </c>
      <c r="E292" s="2980" t="s">
        <v>75</v>
      </c>
      <c r="F292" s="2979" t="s">
        <v>155</v>
      </c>
    </row>
    <row r="293" spans="1:6" hidden="1" x14ac:dyDescent="0.3">
      <c r="A293" s="3958" t="s">
        <v>1595</v>
      </c>
      <c r="B293" s="2981" t="str">
        <f>M4</f>
        <v xml:space="preserve">Pinturas y barnices </v>
      </c>
      <c r="C293" s="2982">
        <f>N4</f>
        <v>53787</v>
      </c>
      <c r="D293" s="2983">
        <f t="shared" si="6"/>
        <v>53.786999999999999</v>
      </c>
      <c r="E293" s="2984" t="s">
        <v>46</v>
      </c>
      <c r="F293" s="2985" t="s">
        <v>155</v>
      </c>
    </row>
    <row r="294" spans="1:6" hidden="1" x14ac:dyDescent="0.3">
      <c r="A294" s="3958"/>
      <c r="B294" s="2981" t="str">
        <f t="shared" ref="B294:C294" si="14">M5</f>
        <v xml:space="preserve">Aceite mineral </v>
      </c>
      <c r="C294" s="2982">
        <f t="shared" si="14"/>
        <v>40877</v>
      </c>
      <c r="D294" s="2983">
        <f t="shared" si="6"/>
        <v>40.877000000000002</v>
      </c>
      <c r="E294" s="2984" t="s">
        <v>50</v>
      </c>
      <c r="F294" s="2985" t="s">
        <v>155</v>
      </c>
    </row>
    <row r="295" spans="1:6" hidden="1" x14ac:dyDescent="0.3">
      <c r="A295" s="3958"/>
      <c r="B295" s="2981" t="str">
        <f t="shared" ref="B295:C295" si="15">M6</f>
        <v xml:space="preserve">SIGRE </v>
      </c>
      <c r="C295" s="2982">
        <f t="shared" si="15"/>
        <v>34754</v>
      </c>
      <c r="D295" s="2983">
        <f t="shared" si="6"/>
        <v>34.753999999999998</v>
      </c>
      <c r="E295" s="2984" t="s">
        <v>73</v>
      </c>
      <c r="F295" s="2985" t="s">
        <v>155</v>
      </c>
    </row>
    <row r="296" spans="1:6" hidden="1" x14ac:dyDescent="0.3">
      <c r="A296" s="3958"/>
      <c r="B296" s="2981" t="str">
        <f t="shared" ref="B296:C296" si="16">M7</f>
        <v xml:space="preserve">Baterías </v>
      </c>
      <c r="C296" s="2982">
        <f t="shared" si="16"/>
        <v>34302</v>
      </c>
      <c r="D296" s="2983">
        <f t="shared" si="6"/>
        <v>34.302</v>
      </c>
      <c r="E296" s="2984" t="s">
        <v>51</v>
      </c>
      <c r="F296" s="2985" t="s">
        <v>155</v>
      </c>
    </row>
    <row r="297" spans="1:6" hidden="1" x14ac:dyDescent="0.3">
      <c r="A297" s="3958"/>
      <c r="B297" s="2986" t="str">
        <f t="shared" ref="B297:C297" si="17">M8</f>
        <v xml:space="preserve">Complementarias </v>
      </c>
      <c r="C297" s="2987">
        <f t="shared" si="17"/>
        <v>29374</v>
      </c>
      <c r="D297" s="2988">
        <f t="shared" si="6"/>
        <v>29.373999999999999</v>
      </c>
      <c r="E297" s="2989" t="s">
        <v>54</v>
      </c>
      <c r="F297" s="2986" t="s">
        <v>155</v>
      </c>
    </row>
    <row r="298" spans="1:6" hidden="1" x14ac:dyDescent="0.3">
      <c r="A298" s="3958"/>
      <c r="B298" s="2981" t="str">
        <f t="shared" ref="B298:C298" si="18">M9</f>
        <v xml:space="preserve">Pilas </v>
      </c>
      <c r="C298" s="2982">
        <f t="shared" si="18"/>
        <v>23484</v>
      </c>
      <c r="D298" s="2983">
        <f t="shared" si="6"/>
        <v>23.484000000000002</v>
      </c>
      <c r="E298" s="2984" t="s">
        <v>41</v>
      </c>
      <c r="F298" s="2985" t="s">
        <v>155</v>
      </c>
    </row>
    <row r="299" spans="1:6" hidden="1" x14ac:dyDescent="0.3">
      <c r="A299" s="3958"/>
      <c r="B299" s="2981" t="str">
        <f t="shared" ref="B299:C299" si="19">M10</f>
        <v xml:space="preserve">Productos químicos </v>
      </c>
      <c r="C299" s="2982">
        <f t="shared" si="19"/>
        <v>23101</v>
      </c>
      <c r="D299" s="2983">
        <f t="shared" si="6"/>
        <v>23.100999999999999</v>
      </c>
      <c r="E299" s="2984" t="s">
        <v>54</v>
      </c>
      <c r="F299" s="2985" t="s">
        <v>155</v>
      </c>
    </row>
    <row r="300" spans="1:6" hidden="1" x14ac:dyDescent="0.3">
      <c r="A300" s="3958"/>
      <c r="B300" s="2981" t="str">
        <f t="shared" ref="B300:C300" si="20">M11</f>
        <v xml:space="preserve">Envases contaminados </v>
      </c>
      <c r="C300" s="2982">
        <f t="shared" si="20"/>
        <v>12497</v>
      </c>
      <c r="D300" s="2983">
        <f t="shared" si="6"/>
        <v>12.497</v>
      </c>
      <c r="E300" s="2984" t="s">
        <v>54</v>
      </c>
      <c r="F300" s="2985" t="s">
        <v>155</v>
      </c>
    </row>
    <row r="301" spans="1:6" hidden="1" x14ac:dyDescent="0.3">
      <c r="A301" s="3958"/>
      <c r="B301" s="2981" t="str">
        <f t="shared" ref="B301:C301" si="21">M12</f>
        <v xml:space="preserve">Fibrocemento </v>
      </c>
      <c r="C301" s="2982">
        <f t="shared" si="21"/>
        <v>5660</v>
      </c>
      <c r="D301" s="2983">
        <f t="shared" si="6"/>
        <v>5.66</v>
      </c>
      <c r="E301" s="2984" t="s">
        <v>1446</v>
      </c>
      <c r="F301" s="2985" t="s">
        <v>155</v>
      </c>
    </row>
    <row r="302" spans="1:6" hidden="1" x14ac:dyDescent="0.3">
      <c r="A302" s="3958"/>
      <c r="B302" s="2981" t="str">
        <f t="shared" ref="B302:C302" si="22">M13</f>
        <v>Filtros de combustible y aceite</v>
      </c>
      <c r="C302" s="2982">
        <f t="shared" si="22"/>
        <v>3342</v>
      </c>
      <c r="D302" s="2983">
        <f t="shared" si="6"/>
        <v>3.3420000000000001</v>
      </c>
      <c r="E302" s="2984" t="s">
        <v>50</v>
      </c>
      <c r="F302" s="2985" t="s">
        <v>155</v>
      </c>
    </row>
    <row r="303" spans="1:6" hidden="1" x14ac:dyDescent="0.3">
      <c r="A303" s="3958"/>
      <c r="B303" s="2981" t="str">
        <f t="shared" ref="B303:C303" si="23">M14</f>
        <v>Bombillas-Fluorescentes</v>
      </c>
      <c r="C303" s="2982">
        <f t="shared" si="23"/>
        <v>2818</v>
      </c>
      <c r="D303" s="2983">
        <f t="shared" si="6"/>
        <v>2.8180000000000001</v>
      </c>
      <c r="E303" s="2984" t="s">
        <v>44</v>
      </c>
      <c r="F303" s="2985" t="s">
        <v>155</v>
      </c>
    </row>
    <row r="304" spans="1:6" hidden="1" x14ac:dyDescent="0.3">
      <c r="A304" s="3958"/>
      <c r="B304" s="2981" t="str">
        <f t="shared" ref="B304:C304" si="24">M15</f>
        <v xml:space="preserve">Material absorbente </v>
      </c>
      <c r="C304" s="2982">
        <f t="shared" si="24"/>
        <v>2763</v>
      </c>
      <c r="D304" s="2983">
        <f t="shared" si="6"/>
        <v>2.7629999999999999</v>
      </c>
      <c r="E304" s="2984" t="s">
        <v>54</v>
      </c>
      <c r="F304" s="2985" t="s">
        <v>155</v>
      </c>
    </row>
    <row r="305" spans="1:9" hidden="1" x14ac:dyDescent="0.3">
      <c r="A305" s="3958"/>
      <c r="B305" s="2981" t="str">
        <f t="shared" ref="B305:C305" si="25">M16</f>
        <v xml:space="preserve">Aerosoles </v>
      </c>
      <c r="C305" s="2982">
        <f t="shared" si="25"/>
        <v>2595</v>
      </c>
      <c r="D305" s="2983">
        <f t="shared" si="6"/>
        <v>2.5950000000000002</v>
      </c>
      <c r="E305" s="2984" t="s">
        <v>46</v>
      </c>
      <c r="F305" s="2985" t="s">
        <v>155</v>
      </c>
    </row>
    <row r="306" spans="1:9" hidden="1" x14ac:dyDescent="0.3">
      <c r="A306" s="3958"/>
      <c r="B306" s="2981" t="str">
        <f t="shared" ref="B306:C306" si="26">M17</f>
        <v xml:space="preserve">Radiografías </v>
      </c>
      <c r="C306" s="2982">
        <f t="shared" si="26"/>
        <v>890</v>
      </c>
      <c r="D306" s="2983">
        <f t="shared" si="6"/>
        <v>0.89</v>
      </c>
      <c r="E306" s="2984" t="s">
        <v>74</v>
      </c>
      <c r="F306" s="2985" t="s">
        <v>155</v>
      </c>
      <c r="I306"/>
    </row>
    <row r="307" spans="1:9" hidden="1" x14ac:dyDescent="0.3">
      <c r="A307" s="3958"/>
      <c r="B307" s="2981" t="str">
        <f t="shared" ref="B307:C307" si="27">M18</f>
        <v xml:space="preserve">Grasas y breas </v>
      </c>
      <c r="C307" s="2982">
        <f t="shared" si="27"/>
        <v>642</v>
      </c>
      <c r="D307" s="2983">
        <f t="shared" si="6"/>
        <v>0.64200000000000002</v>
      </c>
      <c r="E307" s="2984" t="s">
        <v>50</v>
      </c>
      <c r="F307" s="2985" t="s">
        <v>155</v>
      </c>
      <c r="I307"/>
    </row>
    <row r="308" spans="1:9" hidden="1" x14ac:dyDescent="0.3">
      <c r="A308" s="3958"/>
      <c r="B308" s="2981" t="str">
        <f t="shared" ref="B308:C308" si="28">M19</f>
        <v xml:space="preserve">Tinta de impresión </v>
      </c>
      <c r="C308" s="2982">
        <f t="shared" si="28"/>
        <v>51</v>
      </c>
      <c r="D308" s="2983">
        <f t="shared" si="6"/>
        <v>5.0999999999999997E-2</v>
      </c>
      <c r="E308" s="2984" t="s">
        <v>54</v>
      </c>
      <c r="F308" s="2985" t="s">
        <v>155</v>
      </c>
      <c r="I308"/>
    </row>
    <row r="309" spans="1:9" hidden="1" x14ac:dyDescent="0.3">
      <c r="A309" s="3958"/>
      <c r="B309" s="2981" t="str">
        <f t="shared" ref="B309:C309" si="29">M20</f>
        <v xml:space="preserve">Otros </v>
      </c>
      <c r="C309" s="2982">
        <f t="shared" si="29"/>
        <v>2230</v>
      </c>
      <c r="D309" s="2983">
        <f t="shared" si="6"/>
        <v>2.23</v>
      </c>
      <c r="E309" s="2984" t="s">
        <v>54</v>
      </c>
      <c r="F309" s="2985" t="s">
        <v>155</v>
      </c>
      <c r="I309"/>
    </row>
    <row r="310" spans="1:9" hidden="1" x14ac:dyDescent="0.3">
      <c r="B310" s="1" t="s">
        <v>1464</v>
      </c>
      <c r="D310" s="1">
        <v>1985</v>
      </c>
      <c r="E310" s="1" t="s">
        <v>83</v>
      </c>
      <c r="F310" s="1" t="s">
        <v>155</v>
      </c>
      <c r="I310"/>
    </row>
    <row r="311" spans="1:9" hidden="1" x14ac:dyDescent="0.3">
      <c r="B311" s="1" t="s">
        <v>1465</v>
      </c>
      <c r="D311" s="1">
        <v>2867</v>
      </c>
      <c r="E311" s="1" t="s">
        <v>84</v>
      </c>
      <c r="F311" s="1" t="s">
        <v>155</v>
      </c>
      <c r="I311"/>
    </row>
  </sheetData>
  <autoFilter ref="A25:G311" xr:uid="{00000000-0009-0000-0000-000034000000}">
    <filterColumn colId="4">
      <filters>
        <filter val="Parques y jardínes"/>
      </filters>
    </filterColumn>
    <filterColumn colId="5">
      <filters>
        <filter val="RSSI"/>
      </filters>
    </filterColumn>
  </autoFilter>
  <mergeCells count="2">
    <mergeCell ref="A293:A309"/>
    <mergeCell ref="A284:A292"/>
  </mergeCells>
  <pageMargins left="0.25" right="0.25" top="0.75" bottom="0.75" header="0.3" footer="0.3"/>
  <pageSetup paperSize="9" scale="42" orientation="portrait"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51"/>
  <dimension ref="A3:D98"/>
  <sheetViews>
    <sheetView workbookViewId="0"/>
  </sheetViews>
  <sheetFormatPr baseColWidth="10" defaultColWidth="11.44140625" defaultRowHeight="13.8" x14ac:dyDescent="0.3"/>
  <cols>
    <col min="1" max="1" width="53.33203125" style="2365" customWidth="1"/>
    <col min="2" max="2" width="9.6640625" style="2365" bestFit="1" customWidth="1"/>
    <col min="3" max="16384" width="11.44140625" style="2365"/>
  </cols>
  <sheetData>
    <row r="3" spans="1:4" ht="14.4" thickBot="1" x14ac:dyDescent="0.35"/>
    <row r="4" spans="1:4" ht="14.4" thickBot="1" x14ac:dyDescent="0.35">
      <c r="A4" s="2366" t="s">
        <v>693</v>
      </c>
      <c r="B4" s="2366" t="s">
        <v>1315</v>
      </c>
    </row>
    <row r="5" spans="1:4" ht="15" thickBot="1" x14ac:dyDescent="0.35">
      <c r="A5" s="3946"/>
      <c r="B5" s="3946"/>
    </row>
    <row r="6" spans="1:4" ht="14.4" thickBot="1" x14ac:dyDescent="0.35">
      <c r="A6" s="3947" t="s">
        <v>4</v>
      </c>
      <c r="B6" s="3947"/>
    </row>
    <row r="7" spans="1:4" ht="14.4" thickBot="1" x14ac:dyDescent="0.35">
      <c r="A7" s="3948" t="s">
        <v>7</v>
      </c>
      <c r="B7" s="3948"/>
    </row>
    <row r="8" spans="1:4" ht="14.4" thickBot="1" x14ac:dyDescent="0.35">
      <c r="A8" s="2367" t="s">
        <v>10</v>
      </c>
      <c r="B8" s="2368">
        <v>276160.62588585215</v>
      </c>
    </row>
    <row r="9" spans="1:4" ht="14.4" thickBot="1" x14ac:dyDescent="0.35">
      <c r="A9" s="2367" t="s">
        <v>15</v>
      </c>
      <c r="B9" s="2368">
        <v>158327.88183713201</v>
      </c>
    </row>
    <row r="10" spans="1:4" ht="14.4" thickBot="1" x14ac:dyDescent="0.35">
      <c r="A10" s="2369" t="s">
        <v>5</v>
      </c>
      <c r="B10" s="2375">
        <v>12415.521000000001</v>
      </c>
      <c r="D10" s="2827"/>
    </row>
    <row r="11" spans="1:4" ht="14.4" thickBot="1" x14ac:dyDescent="0.35">
      <c r="A11" s="2370" t="s">
        <v>118</v>
      </c>
      <c r="B11" s="2376">
        <v>3789.377</v>
      </c>
      <c r="C11" s="2827"/>
      <c r="D11" s="2827"/>
    </row>
    <row r="12" spans="1:4" ht="14.4" thickBot="1" x14ac:dyDescent="0.35">
      <c r="A12" s="2370" t="s">
        <v>147</v>
      </c>
      <c r="B12" s="2376">
        <v>8626.1440000000002</v>
      </c>
      <c r="C12" s="2827"/>
      <c r="D12" s="2827"/>
    </row>
    <row r="13" spans="1:4" ht="14.4" thickBot="1" x14ac:dyDescent="0.35">
      <c r="A13" s="2369" t="s">
        <v>28</v>
      </c>
      <c r="B13" s="2375">
        <v>20891.501999999993</v>
      </c>
      <c r="D13" s="2827"/>
    </row>
    <row r="14" spans="1:4" ht="14.4" thickBot="1" x14ac:dyDescent="0.35">
      <c r="A14" s="2369" t="s">
        <v>12</v>
      </c>
      <c r="B14" s="2375">
        <v>13372.329360000002</v>
      </c>
      <c r="D14" s="2827"/>
    </row>
    <row r="15" spans="1:4" ht="14.4" thickBot="1" x14ac:dyDescent="0.35">
      <c r="A15" s="2369" t="s">
        <v>14</v>
      </c>
      <c r="B15" s="2375">
        <v>19298.567689883053</v>
      </c>
      <c r="D15" s="2827"/>
    </row>
    <row r="16" spans="1:4" ht="14.4" thickBot="1" x14ac:dyDescent="0.35">
      <c r="A16" s="2369" t="s">
        <v>16</v>
      </c>
      <c r="B16" s="2375">
        <v>1006.5682499999999</v>
      </c>
      <c r="D16" s="2827"/>
    </row>
    <row r="17" spans="1:4" ht="14.4" thickBot="1" x14ac:dyDescent="0.35">
      <c r="A17" s="2369" t="s">
        <v>17</v>
      </c>
      <c r="B17" s="2375">
        <v>611.37270000000001</v>
      </c>
      <c r="D17" s="2827"/>
    </row>
    <row r="18" spans="1:4" ht="14.4" thickBot="1" x14ac:dyDescent="0.35">
      <c r="A18" s="2369" t="s">
        <v>21</v>
      </c>
      <c r="B18" s="2375">
        <v>541.45680000000004</v>
      </c>
      <c r="D18" s="2827"/>
    </row>
    <row r="19" spans="1:4" ht="14.4" thickBot="1" x14ac:dyDescent="0.35">
      <c r="A19" s="2370" t="s">
        <v>41</v>
      </c>
      <c r="B19" s="2376">
        <v>29.9008</v>
      </c>
      <c r="C19" s="2827"/>
      <c r="D19" s="2827"/>
    </row>
    <row r="20" spans="1:4" ht="14.4" thickBot="1" x14ac:dyDescent="0.35">
      <c r="A20" s="2370" t="s">
        <v>44</v>
      </c>
      <c r="B20" s="2376">
        <v>92.6</v>
      </c>
      <c r="C20" s="2827"/>
      <c r="D20" s="2827"/>
    </row>
    <row r="21" spans="1:4" ht="14.4" thickBot="1" x14ac:dyDescent="0.35">
      <c r="A21" s="2370" t="s">
        <v>695</v>
      </c>
      <c r="B21" s="2376">
        <v>100.77199999999999</v>
      </c>
      <c r="C21" s="2827"/>
      <c r="D21" s="2827"/>
    </row>
    <row r="22" spans="1:4" ht="14.4" thickBot="1" x14ac:dyDescent="0.35">
      <c r="A22" s="2370" t="s">
        <v>50</v>
      </c>
      <c r="B22" s="2376">
        <v>25.709</v>
      </c>
      <c r="C22" s="2827"/>
      <c r="D22" s="2827"/>
    </row>
    <row r="23" spans="1:4" ht="14.4" thickBot="1" x14ac:dyDescent="0.35">
      <c r="A23" s="2370" t="s">
        <v>102</v>
      </c>
      <c r="B23" s="2376">
        <v>243.529</v>
      </c>
      <c r="C23" s="2827"/>
      <c r="D23" s="2827"/>
    </row>
    <row r="24" spans="1:4" ht="14.4" thickBot="1" x14ac:dyDescent="0.35">
      <c r="A24" s="2370" t="s">
        <v>53</v>
      </c>
      <c r="B24" s="2376">
        <v>0</v>
      </c>
      <c r="C24" s="2827"/>
      <c r="D24" s="2827"/>
    </row>
    <row r="25" spans="1:4" ht="14.4" thickBot="1" x14ac:dyDescent="0.35">
      <c r="A25" s="2370" t="s">
        <v>54</v>
      </c>
      <c r="B25" s="2377">
        <v>48.945999999999998</v>
      </c>
      <c r="C25" s="2827"/>
      <c r="D25" s="2827"/>
    </row>
    <row r="26" spans="1:4" ht="14.4" thickBot="1" x14ac:dyDescent="0.35">
      <c r="A26" s="2369" t="s">
        <v>55</v>
      </c>
      <c r="B26" s="2375">
        <v>14312.247353839999</v>
      </c>
      <c r="D26" s="2827"/>
    </row>
    <row r="27" spans="1:4" ht="14.4" thickBot="1" x14ac:dyDescent="0.35">
      <c r="A27" s="2370" t="s">
        <v>25</v>
      </c>
      <c r="B27" s="2376">
        <v>4333.4340000000002</v>
      </c>
      <c r="C27" s="2827"/>
      <c r="D27" s="2827"/>
    </row>
    <row r="28" spans="1:4" ht="14.4" thickBot="1" x14ac:dyDescent="0.35">
      <c r="A28" s="2370" t="s">
        <v>29</v>
      </c>
      <c r="B28" s="2376">
        <v>9230.3405999999995</v>
      </c>
      <c r="C28" s="2827"/>
      <c r="D28" s="2827"/>
    </row>
    <row r="29" spans="1:4" ht="14.4" thickBot="1" x14ac:dyDescent="0.35">
      <c r="A29" s="2370" t="s">
        <v>60</v>
      </c>
      <c r="B29" s="2376">
        <v>119.6032</v>
      </c>
      <c r="C29" s="2827"/>
      <c r="D29" s="2827"/>
    </row>
    <row r="30" spans="1:4" ht="14.4" thickBot="1" x14ac:dyDescent="0.35">
      <c r="A30" s="2370" t="s">
        <v>33</v>
      </c>
      <c r="B30" s="2376">
        <v>492.71050100000002</v>
      </c>
      <c r="C30" s="2827"/>
      <c r="D30" s="2827"/>
    </row>
    <row r="31" spans="1:4" ht="14.4" thickBot="1" x14ac:dyDescent="0.35">
      <c r="A31" s="2370" t="s">
        <v>696</v>
      </c>
      <c r="B31" s="2377">
        <v>0.215</v>
      </c>
      <c r="C31" s="2827"/>
      <c r="D31" s="2827"/>
    </row>
    <row r="32" spans="1:4" ht="14.4" thickBot="1" x14ac:dyDescent="0.35">
      <c r="A32" s="2370" t="s">
        <v>65</v>
      </c>
      <c r="B32" s="2376">
        <v>0</v>
      </c>
      <c r="C32" s="2827"/>
      <c r="D32" s="2827"/>
    </row>
    <row r="33" spans="1:4" ht="14.4" thickBot="1" x14ac:dyDescent="0.35">
      <c r="A33" s="2370" t="s">
        <v>66</v>
      </c>
      <c r="B33" s="2376">
        <v>0</v>
      </c>
      <c r="C33" s="2827"/>
      <c r="D33" s="2827"/>
    </row>
    <row r="34" spans="1:4" ht="14.4" thickBot="1" x14ac:dyDescent="0.35">
      <c r="A34" s="2370" t="s">
        <v>68</v>
      </c>
      <c r="B34" s="2376">
        <v>0</v>
      </c>
      <c r="C34" s="2827"/>
      <c r="D34" s="2827"/>
    </row>
    <row r="35" spans="1:4" ht="14.4" thickBot="1" x14ac:dyDescent="0.35">
      <c r="A35" s="2370" t="s">
        <v>70</v>
      </c>
      <c r="B35" s="2378">
        <v>6.8369999999999997</v>
      </c>
      <c r="C35" s="2827"/>
      <c r="D35" s="2827"/>
    </row>
    <row r="36" spans="1:4" ht="14.4" thickBot="1" x14ac:dyDescent="0.35">
      <c r="A36" s="2370" t="s">
        <v>71</v>
      </c>
      <c r="B36" s="2378">
        <v>3.9590000000000001</v>
      </c>
      <c r="C36" s="2827"/>
      <c r="D36" s="2827"/>
    </row>
    <row r="37" spans="1:4" ht="14.4" thickBot="1" x14ac:dyDescent="0.35">
      <c r="A37" s="2370" t="s">
        <v>73</v>
      </c>
      <c r="B37" s="2376">
        <v>118.12405283999999</v>
      </c>
      <c r="C37" s="2827"/>
      <c r="D37" s="2827"/>
    </row>
    <row r="38" spans="1:4" ht="14.4" thickBot="1" x14ac:dyDescent="0.35">
      <c r="A38" s="2370" t="s">
        <v>74</v>
      </c>
      <c r="B38" s="2376">
        <v>1.079</v>
      </c>
      <c r="C38" s="2827"/>
      <c r="D38" s="2827"/>
    </row>
    <row r="39" spans="1:4" ht="14.4" thickBot="1" x14ac:dyDescent="0.35">
      <c r="A39" s="2370" t="s">
        <v>103</v>
      </c>
      <c r="B39" s="2376">
        <v>5.9450000000000003</v>
      </c>
      <c r="C39" s="2827"/>
      <c r="D39" s="2827"/>
    </row>
    <row r="40" spans="1:4" ht="14.4" thickBot="1" x14ac:dyDescent="0.35">
      <c r="A40" s="2369" t="s">
        <v>76</v>
      </c>
      <c r="B40" s="2375">
        <v>17605.798933408652</v>
      </c>
      <c r="D40" s="2827"/>
    </row>
    <row r="41" spans="1:4" ht="14.4" thickBot="1" x14ac:dyDescent="0.35">
      <c r="A41" s="2370" t="s">
        <v>81</v>
      </c>
      <c r="B41" s="2376">
        <v>12228.523163408652</v>
      </c>
      <c r="C41" s="2827"/>
      <c r="D41" s="2827"/>
    </row>
    <row r="42" spans="1:4" ht="14.4" thickBot="1" x14ac:dyDescent="0.35">
      <c r="A42" s="2370" t="s">
        <v>104</v>
      </c>
      <c r="B42" s="2376">
        <v>3366.729558</v>
      </c>
      <c r="C42" s="2827"/>
      <c r="D42" s="2827"/>
    </row>
    <row r="43" spans="1:4" ht="14.4" thickBot="1" x14ac:dyDescent="0.35">
      <c r="A43" s="2370" t="s">
        <v>315</v>
      </c>
      <c r="B43" s="2376">
        <v>2010.546212</v>
      </c>
      <c r="C43" s="2827"/>
      <c r="D43" s="2827"/>
    </row>
    <row r="44" spans="1:4" ht="14.4" thickBot="1" x14ac:dyDescent="0.35">
      <c r="A44" s="2371" t="s">
        <v>697</v>
      </c>
      <c r="B44" s="2375">
        <v>58272.517749999992</v>
      </c>
      <c r="D44" s="2827"/>
    </row>
    <row r="45" spans="1:4" ht="14.4" thickBot="1" x14ac:dyDescent="0.35">
      <c r="A45" s="2370" t="s">
        <v>83</v>
      </c>
      <c r="B45" s="2376">
        <v>18019.516499999998</v>
      </c>
      <c r="C45" s="2827"/>
      <c r="D45" s="2827"/>
    </row>
    <row r="46" spans="1:4" ht="14.4" thickBot="1" x14ac:dyDescent="0.35">
      <c r="A46" s="2370" t="s">
        <v>84</v>
      </c>
      <c r="B46" s="2376">
        <v>40253.001249999994</v>
      </c>
      <c r="C46" s="2827"/>
      <c r="D46" s="2827"/>
    </row>
    <row r="47" spans="1:4" ht="14.4" thickBot="1" x14ac:dyDescent="0.35">
      <c r="A47" s="2372" t="s">
        <v>85</v>
      </c>
      <c r="B47" s="2379">
        <v>434488.50772298401</v>
      </c>
    </row>
    <row r="48" spans="1:4" ht="14.4" thickBot="1" x14ac:dyDescent="0.35">
      <c r="A48" s="3948" t="s">
        <v>86</v>
      </c>
      <c r="B48" s="3948"/>
    </row>
    <row r="49" spans="1:2" ht="14.4" thickBot="1" x14ac:dyDescent="0.35">
      <c r="A49" s="2367" t="s">
        <v>10</v>
      </c>
      <c r="B49" s="2368">
        <v>9814.5431374633808</v>
      </c>
    </row>
    <row r="50" spans="1:2" ht="14.4" thickBot="1" x14ac:dyDescent="0.35">
      <c r="A50" s="2369" t="s">
        <v>88</v>
      </c>
      <c r="B50" s="2375">
        <v>3677.6403399999999</v>
      </c>
    </row>
    <row r="51" spans="1:2" ht="14.4" thickBot="1" x14ac:dyDescent="0.35">
      <c r="A51" s="2369" t="s">
        <v>95</v>
      </c>
      <c r="B51" s="2375">
        <v>0</v>
      </c>
    </row>
    <row r="52" spans="1:2" ht="14.4" thickBot="1" x14ac:dyDescent="0.35">
      <c r="A52" s="2369" t="s">
        <v>89</v>
      </c>
      <c r="B52" s="2375">
        <v>6136.9027974633818</v>
      </c>
    </row>
    <row r="53" spans="1:2" ht="14.4" thickBot="1" x14ac:dyDescent="0.35">
      <c r="A53" s="2367" t="s">
        <v>15</v>
      </c>
      <c r="B53" s="2368">
        <v>23619.255619437947</v>
      </c>
    </row>
    <row r="54" spans="1:2" ht="14.4" thickBot="1" x14ac:dyDescent="0.35">
      <c r="A54" s="2369" t="s">
        <v>5</v>
      </c>
      <c r="B54" s="2375">
        <v>524.05899999999997</v>
      </c>
    </row>
    <row r="55" spans="1:2" ht="14.4" thickBot="1" x14ac:dyDescent="0.35">
      <c r="A55" s="2370" t="s">
        <v>118</v>
      </c>
      <c r="B55" s="2376">
        <v>524.05899999999997</v>
      </c>
    </row>
    <row r="56" spans="1:2" ht="14.4" thickBot="1" x14ac:dyDescent="0.35">
      <c r="A56" s="2369" t="s">
        <v>14</v>
      </c>
      <c r="B56" s="2375">
        <v>1072.1426494379473</v>
      </c>
    </row>
    <row r="57" spans="1:2" ht="14.4" thickBot="1" x14ac:dyDescent="0.35">
      <c r="A57" s="2369" t="s">
        <v>28</v>
      </c>
      <c r="B57" s="2375">
        <v>1740.9584999999997</v>
      </c>
    </row>
    <row r="58" spans="1:2" ht="14.4" thickBot="1" x14ac:dyDescent="0.35">
      <c r="A58" s="2369" t="s">
        <v>12</v>
      </c>
      <c r="B58" s="2375">
        <v>1028.6407200000001</v>
      </c>
    </row>
    <row r="59" spans="1:2" ht="14.4" thickBot="1" x14ac:dyDescent="0.35">
      <c r="A59" s="2371" t="s">
        <v>698</v>
      </c>
      <c r="B59" s="2375">
        <v>19253.454749999997</v>
      </c>
    </row>
    <row r="60" spans="1:2" ht="14.4" thickBot="1" x14ac:dyDescent="0.35">
      <c r="A60" s="2370" t="s">
        <v>83</v>
      </c>
      <c r="B60" s="2376">
        <v>2002.1684999999998</v>
      </c>
    </row>
    <row r="61" spans="1:2" ht="14.4" thickBot="1" x14ac:dyDescent="0.35">
      <c r="A61" s="2370" t="s">
        <v>84</v>
      </c>
      <c r="B61" s="2376">
        <v>17251.286249999997</v>
      </c>
    </row>
    <row r="62" spans="1:2" ht="14.4" thickBot="1" x14ac:dyDescent="0.35">
      <c r="A62" s="2372" t="s">
        <v>96</v>
      </c>
      <c r="B62" s="2998">
        <v>33433.798756901298</v>
      </c>
    </row>
    <row r="63" spans="1:2" ht="14.4" thickBot="1" x14ac:dyDescent="0.35">
      <c r="A63" s="2373" t="s">
        <v>97</v>
      </c>
      <c r="B63" s="2374">
        <v>467922.30647988518</v>
      </c>
    </row>
    <row r="64" spans="1:2" ht="15" thickBot="1" x14ac:dyDescent="0.35">
      <c r="A64" s="3946"/>
      <c r="B64" s="3946"/>
    </row>
    <row r="65" spans="1:3" ht="14.4" thickBot="1" x14ac:dyDescent="0.35">
      <c r="A65" s="3947" t="s">
        <v>98</v>
      </c>
      <c r="B65" s="3947"/>
    </row>
    <row r="66" spans="1:3" ht="14.4" thickBot="1" x14ac:dyDescent="0.35">
      <c r="A66" s="2367" t="s">
        <v>10</v>
      </c>
      <c r="B66" s="2368">
        <v>52730.050189853529</v>
      </c>
    </row>
    <row r="67" spans="1:3" ht="14.4" thickBot="1" x14ac:dyDescent="0.35">
      <c r="A67" s="2369" t="s">
        <v>89</v>
      </c>
      <c r="B67" s="2375">
        <v>52730.050189853529</v>
      </c>
    </row>
    <row r="68" spans="1:3" ht="14.4" thickBot="1" x14ac:dyDescent="0.35">
      <c r="A68" s="2367" t="s">
        <v>15</v>
      </c>
      <c r="B68" s="2368">
        <v>100610.74126943793</v>
      </c>
      <c r="C68" s="2639"/>
    </row>
    <row r="69" spans="1:3" ht="14.4" thickBot="1" x14ac:dyDescent="0.35">
      <c r="A69" s="2369" t="s">
        <v>5</v>
      </c>
      <c r="B69" s="2375">
        <v>797.57800000000009</v>
      </c>
      <c r="C69" s="2639"/>
    </row>
    <row r="70" spans="1:3" ht="14.4" thickBot="1" x14ac:dyDescent="0.35">
      <c r="A70" s="2370" t="s">
        <v>147</v>
      </c>
      <c r="B70" s="2376">
        <v>0</v>
      </c>
    </row>
    <row r="71" spans="1:3" ht="14.4" thickBot="1" x14ac:dyDescent="0.35">
      <c r="A71" s="2370" t="s">
        <v>699</v>
      </c>
      <c r="B71" s="2376">
        <v>0</v>
      </c>
    </row>
    <row r="72" spans="1:3" ht="14.4" thickBot="1" x14ac:dyDescent="0.35">
      <c r="A72" s="2370" t="s">
        <v>100</v>
      </c>
      <c r="B72" s="2376">
        <v>797.57800000000009</v>
      </c>
    </row>
    <row r="73" spans="1:3" ht="14.4" thickBot="1" x14ac:dyDescent="0.35">
      <c r="A73" s="2369" t="s">
        <v>28</v>
      </c>
      <c r="B73" s="2375">
        <v>61779.556999999993</v>
      </c>
      <c r="C73" s="2639"/>
    </row>
    <row r="74" spans="1:3" ht="14.4" thickBot="1" x14ac:dyDescent="0.35">
      <c r="A74" s="2369" t="s">
        <v>12</v>
      </c>
      <c r="B74" s="2375">
        <v>11315.047920000001</v>
      </c>
      <c r="C74" s="2639"/>
    </row>
    <row r="75" spans="1:3" ht="14.4" thickBot="1" x14ac:dyDescent="0.35">
      <c r="A75" s="2369" t="s">
        <v>14</v>
      </c>
      <c r="B75" s="2375">
        <v>1072.1426494379473</v>
      </c>
      <c r="C75" s="2639"/>
    </row>
    <row r="76" spans="1:3" ht="14.4" thickBot="1" x14ac:dyDescent="0.35">
      <c r="A76" s="2369" t="s">
        <v>16</v>
      </c>
      <c r="B76" s="2375">
        <v>767.51775000000055</v>
      </c>
      <c r="C76" s="2639"/>
    </row>
    <row r="77" spans="1:3" ht="14.4" thickBot="1" x14ac:dyDescent="0.35">
      <c r="A77" s="2369" t="s">
        <v>17</v>
      </c>
      <c r="B77" s="2375">
        <v>76.75030000000001</v>
      </c>
    </row>
    <row r="78" spans="1:3" ht="14.4" thickBot="1" x14ac:dyDescent="0.35">
      <c r="A78" s="2369" t="s">
        <v>58</v>
      </c>
      <c r="B78" s="2375">
        <v>13.087</v>
      </c>
    </row>
    <row r="79" spans="1:3" ht="14.4" thickBot="1" x14ac:dyDescent="0.35">
      <c r="A79" s="2370" t="s">
        <v>102</v>
      </c>
      <c r="B79" s="2376">
        <v>0</v>
      </c>
    </row>
    <row r="80" spans="1:3" ht="14.4" thickBot="1" x14ac:dyDescent="0.35">
      <c r="A80" s="2370" t="s">
        <v>44</v>
      </c>
      <c r="B80" s="2376">
        <v>0</v>
      </c>
    </row>
    <row r="81" spans="1:3" ht="14.4" thickBot="1" x14ac:dyDescent="0.35">
      <c r="A81" s="2370" t="s">
        <v>41</v>
      </c>
      <c r="B81" s="2376">
        <v>13.087</v>
      </c>
    </row>
    <row r="82" spans="1:3" ht="14.4" thickBot="1" x14ac:dyDescent="0.35">
      <c r="A82" s="2370" t="s">
        <v>54</v>
      </c>
      <c r="B82" s="2376">
        <v>0</v>
      </c>
    </row>
    <row r="83" spans="1:3" ht="14.4" thickBot="1" x14ac:dyDescent="0.35">
      <c r="A83" s="2369" t="s">
        <v>55</v>
      </c>
      <c r="B83" s="2375">
        <v>24184.377400000001</v>
      </c>
      <c r="C83" s="2639"/>
    </row>
    <row r="84" spans="1:3" ht="14.4" thickBot="1" x14ac:dyDescent="0.35">
      <c r="A84" s="2370" t="s">
        <v>25</v>
      </c>
      <c r="B84" s="2376">
        <v>130.26999999999998</v>
      </c>
    </row>
    <row r="85" spans="1:3" ht="14.4" thickBot="1" x14ac:dyDescent="0.35">
      <c r="A85" s="2370" t="s">
        <v>29</v>
      </c>
      <c r="B85" s="2376">
        <v>24054.107400000001</v>
      </c>
    </row>
    <row r="86" spans="1:3" ht="14.4" thickBot="1" x14ac:dyDescent="0.35">
      <c r="A86" s="2370" t="s">
        <v>66</v>
      </c>
      <c r="B86" s="2376">
        <v>0</v>
      </c>
    </row>
    <row r="87" spans="1:3" ht="14.4" thickBot="1" x14ac:dyDescent="0.35">
      <c r="A87" s="2370" t="s">
        <v>33</v>
      </c>
      <c r="B87" s="2376">
        <v>0</v>
      </c>
    </row>
    <row r="88" spans="1:3" ht="14.4" thickBot="1" x14ac:dyDescent="0.35">
      <c r="A88" s="2370" t="s">
        <v>103</v>
      </c>
      <c r="B88" s="2376">
        <v>0</v>
      </c>
    </row>
    <row r="89" spans="1:3" ht="14.4" thickBot="1" x14ac:dyDescent="0.35">
      <c r="A89" s="2369" t="s">
        <v>76</v>
      </c>
      <c r="B89" s="2375">
        <v>604.68324999999993</v>
      </c>
    </row>
    <row r="90" spans="1:3" ht="14.4" thickBot="1" x14ac:dyDescent="0.35">
      <c r="A90" s="2370" t="s">
        <v>81</v>
      </c>
      <c r="B90" s="2376">
        <v>551.51900000000001</v>
      </c>
    </row>
    <row r="91" spans="1:3" ht="14.4" thickBot="1" x14ac:dyDescent="0.35">
      <c r="A91" s="2370" t="s">
        <v>104</v>
      </c>
      <c r="B91" s="2376">
        <v>10.632850000000001</v>
      </c>
    </row>
    <row r="92" spans="1:3" ht="14.4" thickBot="1" x14ac:dyDescent="0.35">
      <c r="A92" s="2370" t="s">
        <v>315</v>
      </c>
      <c r="B92" s="2376">
        <v>42.531400000000005</v>
      </c>
    </row>
    <row r="93" spans="1:3" ht="14.4" thickBot="1" x14ac:dyDescent="0.35">
      <c r="A93" s="2373" t="s">
        <v>108</v>
      </c>
      <c r="B93" s="2374">
        <v>153340.79145929147</v>
      </c>
      <c r="C93" s="2639"/>
    </row>
    <row r="94" spans="1:3" ht="15" thickBot="1" x14ac:dyDescent="0.35">
      <c r="A94" s="3946"/>
      <c r="B94" s="3946"/>
    </row>
    <row r="95" spans="1:3" ht="14.4" thickBot="1" x14ac:dyDescent="0.35">
      <c r="A95" s="3947" t="s">
        <v>109</v>
      </c>
      <c r="B95" s="3947"/>
    </row>
    <row r="96" spans="1:3" ht="14.4" thickBot="1" x14ac:dyDescent="0.35">
      <c r="A96" s="2367" t="s">
        <v>69</v>
      </c>
      <c r="B96" s="2368">
        <f>B9+B53+B68</f>
        <v>282557.87872600788</v>
      </c>
    </row>
    <row r="97" spans="1:2" ht="14.4" thickBot="1" x14ac:dyDescent="0.35">
      <c r="A97" s="2367" t="s">
        <v>110</v>
      </c>
      <c r="B97" s="2368">
        <f>B8+B49+B66</f>
        <v>338705.21921316907</v>
      </c>
    </row>
    <row r="98" spans="1:2" ht="14.4" thickBot="1" x14ac:dyDescent="0.35">
      <c r="A98" s="2373" t="s">
        <v>111</v>
      </c>
      <c r="B98" s="2374">
        <f>B93+B63</f>
        <v>621263.09793917672</v>
      </c>
    </row>
  </sheetData>
  <mergeCells count="8">
    <mergeCell ref="A65:B65"/>
    <mergeCell ref="A94:B94"/>
    <mergeCell ref="A95:B95"/>
    <mergeCell ref="A5:B5"/>
    <mergeCell ref="A6:B6"/>
    <mergeCell ref="A7:B7"/>
    <mergeCell ref="A48:B48"/>
    <mergeCell ref="A64:B64"/>
  </mergeCell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52">
    <pageSetUpPr fitToPage="1"/>
  </sheetPr>
  <dimension ref="A1:AE128"/>
  <sheetViews>
    <sheetView workbookViewId="0"/>
  </sheetViews>
  <sheetFormatPr baseColWidth="10" defaultColWidth="8.88671875" defaultRowHeight="14.4" x14ac:dyDescent="0.3"/>
  <cols>
    <col min="1" max="1" width="75.88671875" style="1" customWidth="1"/>
    <col min="2" max="2" width="14" style="1" hidden="1" customWidth="1"/>
    <col min="3" max="3" width="7.6640625" style="1" hidden="1" customWidth="1"/>
    <col min="4" max="4" width="14" style="1" hidden="1" customWidth="1"/>
    <col min="5" max="5" width="8.5546875" style="1" hidden="1" customWidth="1"/>
    <col min="6" max="6" width="14.6640625" style="1" hidden="1" customWidth="1"/>
    <col min="7" max="7" width="8.5546875" style="1" hidden="1" customWidth="1"/>
    <col min="8" max="8" width="14" style="1" hidden="1" customWidth="1"/>
    <col min="9" max="9" width="7.6640625" style="1" hidden="1" customWidth="1"/>
    <col min="10" max="10" width="15" style="1" hidden="1" customWidth="1"/>
    <col min="11" max="11" width="8.5546875" style="1" hidden="1" customWidth="1"/>
    <col min="12" max="12" width="14" style="1" hidden="1" customWidth="1"/>
    <col min="13" max="13" width="7.6640625" style="1" hidden="1" customWidth="1"/>
    <col min="14" max="14" width="14" style="1" hidden="1" customWidth="1"/>
    <col min="15" max="15" width="7.6640625" style="1" hidden="1" customWidth="1"/>
    <col min="16" max="16" width="15.5546875" style="1" hidden="1" customWidth="1"/>
    <col min="17" max="17" width="0.5546875" style="1" hidden="1" customWidth="1"/>
    <col min="18" max="18" width="16.6640625" style="1" hidden="1" customWidth="1"/>
    <col min="19" max="19" width="8.5546875" style="1" hidden="1" customWidth="1"/>
    <col min="20" max="20" width="12.5546875" style="1" hidden="1" customWidth="1"/>
    <col min="21" max="21" width="12" style="1" hidden="1" customWidth="1"/>
    <col min="22" max="22" width="13.44140625" style="1" hidden="1" customWidth="1"/>
    <col min="23" max="23" width="11.109375" style="1" hidden="1" customWidth="1"/>
    <col min="24" max="24" width="15.33203125" style="1" customWidth="1"/>
    <col min="25" max="25" width="18.88671875" style="2361" customWidth="1"/>
    <col min="26" max="26" width="29" style="1" bestFit="1" customWidth="1"/>
    <col min="27" max="27" width="18.5546875" customWidth="1"/>
    <col min="28" max="28" width="26.88671875" style="1" bestFit="1" customWidth="1"/>
    <col min="29" max="16384" width="8.88671875" style="1"/>
  </cols>
  <sheetData>
    <row r="1" spans="1:31" ht="15" thickBot="1" x14ac:dyDescent="0.35">
      <c r="B1" s="3965" t="s">
        <v>1304</v>
      </c>
      <c r="C1" s="3965"/>
      <c r="D1" s="3965" t="s">
        <v>1305</v>
      </c>
      <c r="E1" s="3965"/>
      <c r="F1" s="3965" t="s">
        <v>1306</v>
      </c>
      <c r="G1" s="3965"/>
      <c r="H1" s="3965" t="s">
        <v>1307</v>
      </c>
      <c r="I1" s="3965"/>
      <c r="J1" s="3965" t="s">
        <v>1308</v>
      </c>
      <c r="K1" s="3965"/>
      <c r="L1" s="3965" t="s">
        <v>1309</v>
      </c>
      <c r="M1" s="3965"/>
      <c r="N1" s="3965" t="s">
        <v>1310</v>
      </c>
      <c r="O1" s="3965"/>
      <c r="P1" s="3965" t="s">
        <v>1311</v>
      </c>
      <c r="Q1" s="3965"/>
      <c r="R1" s="3965" t="s">
        <v>184</v>
      </c>
      <c r="S1" s="3965"/>
      <c r="T1" s="3965" t="s">
        <v>720</v>
      </c>
      <c r="U1" s="3965"/>
      <c r="V1" s="3965" t="s">
        <v>719</v>
      </c>
      <c r="W1" s="3966"/>
      <c r="X1" s="3967" t="s">
        <v>1312</v>
      </c>
      <c r="Y1" s="3968"/>
      <c r="Z1" s="1" t="s">
        <v>1316</v>
      </c>
    </row>
    <row r="2" spans="1:31" ht="57.6" x14ac:dyDescent="0.3">
      <c r="A2" s="2115" t="s">
        <v>1313</v>
      </c>
      <c r="B2" s="2115" t="s">
        <v>154</v>
      </c>
      <c r="C2" s="2116" t="s">
        <v>1043</v>
      </c>
      <c r="D2" s="2115" t="s">
        <v>154</v>
      </c>
      <c r="E2" s="2116" t="s">
        <v>1043</v>
      </c>
      <c r="F2" s="2115" t="s">
        <v>154</v>
      </c>
      <c r="G2" s="2116" t="s">
        <v>1043</v>
      </c>
      <c r="H2" s="2115" t="s">
        <v>154</v>
      </c>
      <c r="I2" s="2116" t="s">
        <v>1043</v>
      </c>
      <c r="J2" s="2115" t="s">
        <v>154</v>
      </c>
      <c r="K2" s="2116" t="s">
        <v>1043</v>
      </c>
      <c r="L2" s="2115" t="s">
        <v>154</v>
      </c>
      <c r="M2" s="2116" t="s">
        <v>1043</v>
      </c>
      <c r="N2" s="2115" t="s">
        <v>154</v>
      </c>
      <c r="O2" s="2116" t="s">
        <v>1043</v>
      </c>
      <c r="P2" s="2115" t="s">
        <v>154</v>
      </c>
      <c r="Q2" s="2116" t="s">
        <v>1043</v>
      </c>
      <c r="R2" s="2115" t="s">
        <v>154</v>
      </c>
      <c r="S2" s="2116" t="s">
        <v>1043</v>
      </c>
      <c r="T2" s="2117" t="s">
        <v>154</v>
      </c>
      <c r="U2" s="2117" t="s">
        <v>1043</v>
      </c>
      <c r="V2" s="2118" t="s">
        <v>154</v>
      </c>
      <c r="W2" s="2119" t="s">
        <v>1043</v>
      </c>
      <c r="X2" s="2120" t="s">
        <v>154</v>
      </c>
      <c r="Y2" s="2121" t="s">
        <v>1043</v>
      </c>
      <c r="Z2" s="2115" t="s">
        <v>126</v>
      </c>
      <c r="AA2" s="2466" t="s">
        <v>1461</v>
      </c>
      <c r="AB2" s="2433" t="s">
        <v>437</v>
      </c>
      <c r="AC2" s="2433" t="s">
        <v>1454</v>
      </c>
      <c r="AE2" t="s">
        <v>98</v>
      </c>
    </row>
    <row r="3" spans="1:31" x14ac:dyDescent="0.3">
      <c r="A3" s="2122" t="s">
        <v>1314</v>
      </c>
      <c r="B3" s="2123">
        <v>32533</v>
      </c>
      <c r="C3" s="2124"/>
      <c r="D3" s="2123">
        <v>44397</v>
      </c>
      <c r="E3" s="2124"/>
      <c r="F3" s="2123">
        <v>79791</v>
      </c>
      <c r="G3" s="2124"/>
      <c r="H3" s="2123">
        <v>62634</v>
      </c>
      <c r="I3" s="2124"/>
      <c r="J3" s="2123">
        <v>318646</v>
      </c>
      <c r="K3" s="2124"/>
      <c r="L3" s="2123">
        <v>70225</v>
      </c>
      <c r="M3" s="2124"/>
      <c r="N3" s="2123">
        <v>62888</v>
      </c>
      <c r="O3" s="2124"/>
      <c r="P3" s="2123">
        <v>73027</v>
      </c>
      <c r="Q3" s="2124"/>
      <c r="R3" s="2123">
        <f>+SUM(B3:Q3)</f>
        <v>744141</v>
      </c>
      <c r="S3" s="2124"/>
      <c r="T3" s="3960">
        <v>1173</v>
      </c>
      <c r="U3" s="3960"/>
      <c r="V3" s="3961">
        <v>15847</v>
      </c>
      <c r="W3" s="3962"/>
      <c r="X3" s="3963">
        <f>R3-T3-V3</f>
        <v>727121</v>
      </c>
      <c r="Y3" s="3964"/>
      <c r="Z3" s="2122"/>
      <c r="AA3" s="2467" t="s">
        <v>1456</v>
      </c>
      <c r="AE3" t="s">
        <v>7</v>
      </c>
    </row>
    <row r="4" spans="1:31" x14ac:dyDescent="0.3">
      <c r="A4" s="2125" t="s">
        <v>723</v>
      </c>
      <c r="B4" s="2125"/>
      <c r="C4" s="2125"/>
      <c r="D4" s="2125"/>
      <c r="E4" s="2125"/>
      <c r="F4" s="2125"/>
      <c r="G4" s="2125"/>
      <c r="H4" s="2125"/>
      <c r="I4" s="2125"/>
      <c r="J4" s="2125"/>
      <c r="K4" s="2125"/>
      <c r="L4" s="2125"/>
      <c r="M4" s="2125"/>
      <c r="N4" s="2125"/>
      <c r="O4" s="2125"/>
      <c r="P4" s="2125"/>
      <c r="Q4" s="2125"/>
      <c r="R4" s="2125"/>
      <c r="S4" s="2125"/>
      <c r="T4" s="2126"/>
      <c r="U4" s="2126"/>
      <c r="V4" s="2126"/>
      <c r="W4" s="2127"/>
      <c r="X4" s="2128"/>
      <c r="Y4" s="2129"/>
      <c r="Z4" s="2125"/>
      <c r="AE4" t="s">
        <v>86</v>
      </c>
    </row>
    <row r="5" spans="1:31" ht="15" thickBot="1" x14ac:dyDescent="0.35">
      <c r="A5" s="2130" t="s">
        <v>724</v>
      </c>
      <c r="B5" s="2131" t="s">
        <v>153</v>
      </c>
      <c r="C5" s="2131" t="s">
        <v>153</v>
      </c>
      <c r="D5" s="2131" t="s">
        <v>153</v>
      </c>
      <c r="E5" s="2131" t="s">
        <v>153</v>
      </c>
      <c r="F5" s="2131" t="s">
        <v>153</v>
      </c>
      <c r="G5" s="2131" t="s">
        <v>153</v>
      </c>
      <c r="H5" s="2131" t="s">
        <v>153</v>
      </c>
      <c r="I5" s="2131" t="s">
        <v>153</v>
      </c>
      <c r="J5" s="2131" t="s">
        <v>153</v>
      </c>
      <c r="K5" s="2131" t="s">
        <v>153</v>
      </c>
      <c r="L5" s="2131" t="s">
        <v>153</v>
      </c>
      <c r="M5" s="2131" t="s">
        <v>153</v>
      </c>
      <c r="N5" s="2131" t="s">
        <v>153</v>
      </c>
      <c r="O5" s="2131" t="s">
        <v>153</v>
      </c>
      <c r="P5" s="2131" t="s">
        <v>153</v>
      </c>
      <c r="Q5" s="2131" t="s">
        <v>153</v>
      </c>
      <c r="R5" s="2131" t="s">
        <v>153</v>
      </c>
      <c r="S5" s="2131" t="s">
        <v>153</v>
      </c>
      <c r="T5" s="2130" t="s">
        <v>153</v>
      </c>
      <c r="U5" s="2131" t="s">
        <v>153</v>
      </c>
      <c r="V5" s="2131" t="s">
        <v>153</v>
      </c>
      <c r="W5" s="2132" t="s">
        <v>153</v>
      </c>
      <c r="X5" s="2133"/>
      <c r="Y5" s="2134"/>
      <c r="Z5" s="2130"/>
    </row>
    <row r="6" spans="1:31" thickBot="1" x14ac:dyDescent="0.3">
      <c r="A6" s="2135" t="s">
        <v>725</v>
      </c>
      <c r="B6" s="2136">
        <v>415072.32000000024</v>
      </c>
      <c r="C6" s="2136">
        <f>+B6/B$3</f>
        <v>12.758501214151792</v>
      </c>
      <c r="D6" s="2136">
        <v>0</v>
      </c>
      <c r="E6" s="2136">
        <f>+D6/D$3</f>
        <v>0</v>
      </c>
      <c r="F6" s="2136">
        <v>152096.16</v>
      </c>
      <c r="G6" s="2136">
        <f>+F6/F$3</f>
        <v>1.9061819002143099</v>
      </c>
      <c r="H6" s="2136">
        <v>653409.0000000007</v>
      </c>
      <c r="I6" s="2136">
        <f>+H6/H$3</f>
        <v>10.432177411629478</v>
      </c>
      <c r="J6" s="2136">
        <v>737856.48000000033</v>
      </c>
      <c r="K6" s="2136">
        <f>+J6/J$3</f>
        <v>2.3155993798761019</v>
      </c>
      <c r="L6" s="2136">
        <v>428288.51999999984</v>
      </c>
      <c r="M6" s="2136">
        <f>+L6/L$3</f>
        <v>6.0988041295834794</v>
      </c>
      <c r="N6" s="2136">
        <v>613984.20000000007</v>
      </c>
      <c r="O6" s="2136">
        <f>+N6/N$3</f>
        <v>9.7631376415214355</v>
      </c>
      <c r="P6" s="2136">
        <v>215002.89000000007</v>
      </c>
      <c r="Q6" s="2136">
        <f>+P6/P$3</f>
        <v>2.9441561340326192</v>
      </c>
      <c r="R6" s="2136">
        <f>+B6+D6+F6+H6+J6+L6+N6+P6</f>
        <v>3215709.5700000017</v>
      </c>
      <c r="S6" s="2136">
        <f>+R6/R$3</f>
        <v>4.3213713126947741</v>
      </c>
      <c r="T6" s="2135">
        <v>34066.710000000006</v>
      </c>
      <c r="U6" s="2136">
        <v>29.042378516624048</v>
      </c>
      <c r="V6" s="2136">
        <v>4704</v>
      </c>
      <c r="W6" s="2137">
        <v>0.2968385183315454</v>
      </c>
      <c r="X6" s="2138">
        <f>R6-T6-V6</f>
        <v>3176938.8600000017</v>
      </c>
      <c r="Y6" s="2139">
        <f>X6/X$3</f>
        <v>4.36920245736267</v>
      </c>
      <c r="Z6" s="2828">
        <f>X6/1000</f>
        <v>3176.9388600000016</v>
      </c>
      <c r="AA6" s="2445" t="s">
        <v>1457</v>
      </c>
      <c r="AB6" s="2410" t="s">
        <v>1339</v>
      </c>
      <c r="AC6" s="655" t="s">
        <v>155</v>
      </c>
    </row>
    <row r="7" spans="1:31" x14ac:dyDescent="0.3">
      <c r="A7" s="2135" t="s">
        <v>726</v>
      </c>
      <c r="B7" s="2136">
        <v>22236</v>
      </c>
      <c r="C7" s="2136">
        <f>+B7/B$3</f>
        <v>0.68349060953493379</v>
      </c>
      <c r="D7" s="2136">
        <v>8844</v>
      </c>
      <c r="E7" s="2136">
        <f>+D7/D$3</f>
        <v>0.19920264882762348</v>
      </c>
      <c r="F7" s="2136">
        <v>8148</v>
      </c>
      <c r="G7" s="2136">
        <f>+F7/F$3</f>
        <v>0.10211678008797985</v>
      </c>
      <c r="H7" s="2136">
        <v>35004</v>
      </c>
      <c r="I7" s="2136">
        <f>+H7/H$3</f>
        <v>0.55886579174250406</v>
      </c>
      <c r="J7" s="2136">
        <v>39528</v>
      </c>
      <c r="K7" s="2136">
        <f>+J7/J$3</f>
        <v>0.12404988608047803</v>
      </c>
      <c r="L7" s="2136">
        <v>22944</v>
      </c>
      <c r="M7" s="2136">
        <f>+L7/L$3</f>
        <v>0.32672125311498756</v>
      </c>
      <c r="N7" s="2136">
        <v>32892</v>
      </c>
      <c r="O7" s="2136">
        <f>+N7/N$3</f>
        <v>0.52302506042488228</v>
      </c>
      <c r="P7" s="2136">
        <v>11518</v>
      </c>
      <c r="Q7" s="2136">
        <f>+P7/P$3</f>
        <v>0.15772248620373286</v>
      </c>
      <c r="R7" s="2136">
        <f>+B7+D7+F7+H7+J7+L7+N7+P7</f>
        <v>181114</v>
      </c>
      <c r="S7" s="2136">
        <f>+R7/R$3</f>
        <v>0.24338666999936839</v>
      </c>
      <c r="T7" s="2135">
        <v>1825</v>
      </c>
      <c r="U7" s="2136"/>
      <c r="V7" s="2136">
        <v>252</v>
      </c>
      <c r="W7" s="2137"/>
      <c r="X7" s="2138">
        <f t="shared" ref="X7:X70" si="0">R7-T7-V7</f>
        <v>179037</v>
      </c>
      <c r="Y7" s="2139">
        <f t="shared" ref="Y7:Y70" si="1">X7/X$3</f>
        <v>0.24622724415881264</v>
      </c>
      <c r="Z7" s="2828">
        <f>X7/1000</f>
        <v>179.03700000000001</v>
      </c>
    </row>
    <row r="8" spans="1:31" x14ac:dyDescent="0.3">
      <c r="A8" s="2135" t="s">
        <v>727</v>
      </c>
      <c r="B8" s="2136">
        <v>80</v>
      </c>
      <c r="C8" s="2136">
        <v>80</v>
      </c>
      <c r="D8" s="2136">
        <v>80</v>
      </c>
      <c r="E8" s="2136">
        <v>80</v>
      </c>
      <c r="F8" s="2136">
        <v>80</v>
      </c>
      <c r="G8" s="2136">
        <v>80</v>
      </c>
      <c r="H8" s="2136">
        <v>80</v>
      </c>
      <c r="I8" s="2136">
        <v>80</v>
      </c>
      <c r="J8" s="2136">
        <v>80</v>
      </c>
      <c r="K8" s="2136">
        <v>80</v>
      </c>
      <c r="L8" s="2136">
        <v>80</v>
      </c>
      <c r="M8" s="2136">
        <v>80</v>
      </c>
      <c r="N8" s="2136">
        <v>80</v>
      </c>
      <c r="O8" s="2136">
        <v>80</v>
      </c>
      <c r="P8" s="2136">
        <v>80</v>
      </c>
      <c r="Q8" s="2136">
        <v>80</v>
      </c>
      <c r="R8" s="2136">
        <v>80</v>
      </c>
      <c r="S8" s="2136">
        <v>80</v>
      </c>
      <c r="T8" s="2135">
        <v>80</v>
      </c>
      <c r="U8" s="2136"/>
      <c r="V8" s="2136">
        <v>80</v>
      </c>
      <c r="W8" s="2137"/>
      <c r="X8" s="2138">
        <f>R8-T8-V8</f>
        <v>-80</v>
      </c>
      <c r="Y8" s="2139">
        <f>X8/X$3</f>
        <v>-1.1002295353868201E-4</v>
      </c>
      <c r="Z8" s="2135">
        <f t="shared" ref="Z8:Z70" si="2">X8/1000</f>
        <v>-0.08</v>
      </c>
    </row>
    <row r="9" spans="1:31" x14ac:dyDescent="0.3">
      <c r="A9" s="2135" t="s">
        <v>728</v>
      </c>
      <c r="B9" s="2136">
        <v>2.8</v>
      </c>
      <c r="C9" s="2136"/>
      <c r="D9" s="2136">
        <v>2.8</v>
      </c>
      <c r="E9" s="2136"/>
      <c r="F9" s="2136">
        <v>2.8</v>
      </c>
      <c r="G9" s="2136"/>
      <c r="H9" s="2136">
        <v>2.8</v>
      </c>
      <c r="I9" s="2136"/>
      <c r="J9" s="2136">
        <v>2.8</v>
      </c>
      <c r="K9" s="2136"/>
      <c r="L9" s="2136">
        <v>2.8</v>
      </c>
      <c r="M9" s="2136"/>
      <c r="N9" s="2136">
        <v>2.8</v>
      </c>
      <c r="O9" s="2136"/>
      <c r="P9" s="2136">
        <v>2.8</v>
      </c>
      <c r="Q9" s="2136"/>
      <c r="R9" s="2136">
        <v>2.8</v>
      </c>
      <c r="S9" s="2136"/>
      <c r="T9" s="2135">
        <v>2.8</v>
      </c>
      <c r="U9" s="2136"/>
      <c r="V9" s="2136">
        <v>2.8</v>
      </c>
      <c r="W9" s="2137"/>
      <c r="X9" s="2138">
        <f>R9-T9-V9</f>
        <v>-2.8</v>
      </c>
      <c r="Y9" s="2139">
        <f t="shared" si="1"/>
        <v>-3.8508033738538701E-6</v>
      </c>
      <c r="Z9" s="2828">
        <f>X9/1000</f>
        <v>-2.8E-3</v>
      </c>
    </row>
    <row r="10" spans="1:31" x14ac:dyDescent="0.3">
      <c r="A10" s="2130" t="s">
        <v>729</v>
      </c>
      <c r="B10" s="2131" t="s">
        <v>153</v>
      </c>
      <c r="C10" s="2131" t="s">
        <v>153</v>
      </c>
      <c r="D10" s="2131" t="s">
        <v>153</v>
      </c>
      <c r="E10" s="2131" t="s">
        <v>153</v>
      </c>
      <c r="F10" s="2131" t="s">
        <v>153</v>
      </c>
      <c r="G10" s="2131" t="s">
        <v>153</v>
      </c>
      <c r="H10" s="2131" t="s">
        <v>153</v>
      </c>
      <c r="I10" s="2131" t="s">
        <v>153</v>
      </c>
      <c r="J10" s="2131" t="s">
        <v>153</v>
      </c>
      <c r="K10" s="2131" t="s">
        <v>153</v>
      </c>
      <c r="L10" s="2131" t="s">
        <v>153</v>
      </c>
      <c r="M10" s="2131" t="s">
        <v>153</v>
      </c>
      <c r="N10" s="2131" t="s">
        <v>153</v>
      </c>
      <c r="O10" s="2131" t="s">
        <v>153</v>
      </c>
      <c r="P10" s="2131" t="s">
        <v>153</v>
      </c>
      <c r="Q10" s="2131" t="s">
        <v>153</v>
      </c>
      <c r="R10" s="2131" t="s">
        <v>153</v>
      </c>
      <c r="S10" s="2131" t="s">
        <v>153</v>
      </c>
      <c r="T10" s="2130" t="s">
        <v>153</v>
      </c>
      <c r="U10" s="2131"/>
      <c r="V10" s="2131" t="s">
        <v>153</v>
      </c>
      <c r="W10" s="2132"/>
      <c r="X10" s="2133"/>
      <c r="Y10" s="2134"/>
      <c r="Z10" s="2130">
        <f t="shared" si="2"/>
        <v>0</v>
      </c>
    </row>
    <row r="11" spans="1:31" ht="15" thickBot="1" x14ac:dyDescent="0.35">
      <c r="A11" s="2140" t="s">
        <v>730</v>
      </c>
      <c r="B11" s="2141" t="s">
        <v>153</v>
      </c>
      <c r="C11" s="2141" t="s">
        <v>153</v>
      </c>
      <c r="D11" s="2141" t="s">
        <v>153</v>
      </c>
      <c r="E11" s="2141" t="s">
        <v>153</v>
      </c>
      <c r="F11" s="2141" t="s">
        <v>153</v>
      </c>
      <c r="G11" s="2141" t="s">
        <v>153</v>
      </c>
      <c r="H11" s="2141" t="s">
        <v>153</v>
      </c>
      <c r="I11" s="2141" t="s">
        <v>153</v>
      </c>
      <c r="J11" s="2141" t="s">
        <v>153</v>
      </c>
      <c r="K11" s="2141" t="s">
        <v>153</v>
      </c>
      <c r="L11" s="2141" t="s">
        <v>153</v>
      </c>
      <c r="M11" s="2141" t="s">
        <v>153</v>
      </c>
      <c r="N11" s="2141" t="s">
        <v>153</v>
      </c>
      <c r="O11" s="2141" t="s">
        <v>153</v>
      </c>
      <c r="P11" s="2141" t="s">
        <v>153</v>
      </c>
      <c r="Q11" s="2141" t="s">
        <v>153</v>
      </c>
      <c r="R11" s="2141" t="s">
        <v>153</v>
      </c>
      <c r="S11" s="2141" t="s">
        <v>153</v>
      </c>
      <c r="T11" s="2140" t="s">
        <v>153</v>
      </c>
      <c r="U11" s="2141"/>
      <c r="V11" s="2141" t="s">
        <v>153</v>
      </c>
      <c r="W11" s="2142"/>
      <c r="X11" s="2143"/>
      <c r="Y11" s="2144"/>
      <c r="Z11" s="2140">
        <f t="shared" si="2"/>
        <v>0</v>
      </c>
    </row>
    <row r="12" spans="1:31" thickBot="1" x14ac:dyDescent="0.3">
      <c r="A12" s="2145" t="s">
        <v>731</v>
      </c>
      <c r="B12" s="2141">
        <v>280240.32999999996</v>
      </c>
      <c r="C12" s="2141">
        <f t="shared" ref="C12:C18" si="3">+B12/B$3</f>
        <v>8.6140328282052057</v>
      </c>
      <c r="D12" s="2141">
        <v>0</v>
      </c>
      <c r="E12" s="2141">
        <f t="shared" ref="E12:E18" si="4">+D12/D$3</f>
        <v>0</v>
      </c>
      <c r="F12" s="2141">
        <v>0</v>
      </c>
      <c r="G12" s="2141">
        <f t="shared" ref="G12:G18" si="5">+F12/F$3</f>
        <v>0</v>
      </c>
      <c r="H12" s="2141">
        <v>195843</v>
      </c>
      <c r="I12" s="2141">
        <f t="shared" ref="I12:I18" si="6">+H12/H$3</f>
        <v>3.1267841747293801</v>
      </c>
      <c r="J12" s="2141">
        <v>3452760</v>
      </c>
      <c r="K12" s="2141">
        <f t="shared" ref="K12:K18" si="7">+J12/J$3</f>
        <v>10.835723655718258</v>
      </c>
      <c r="L12" s="2141">
        <v>293580</v>
      </c>
      <c r="M12" s="2141">
        <f t="shared" ref="M12:M18" si="8">+L12/L$3</f>
        <v>4.1805624777500894</v>
      </c>
      <c r="N12" s="2141">
        <v>1110310</v>
      </c>
      <c r="O12" s="2141">
        <f t="shared" ref="O12:O18" si="9">+N12/N$3</f>
        <v>17.655355552728661</v>
      </c>
      <c r="P12" s="2141">
        <v>0</v>
      </c>
      <c r="Q12" s="2141">
        <f t="shared" ref="Q12:Q18" si="10">+P12/P$3</f>
        <v>0</v>
      </c>
      <c r="R12" s="2141">
        <f t="shared" ref="R12:R18" si="11">+B12+D12+F12+H12+J12+L12+N12+P12</f>
        <v>5332733.33</v>
      </c>
      <c r="S12" s="2141">
        <f t="shared" ref="S12:S18" si="12">+R12/R$3</f>
        <v>7.1662941969331087</v>
      </c>
      <c r="T12" s="2145">
        <v>0</v>
      </c>
      <c r="U12" s="2141">
        <v>0</v>
      </c>
      <c r="V12" s="2141">
        <v>0</v>
      </c>
      <c r="W12" s="2142">
        <v>0</v>
      </c>
      <c r="X12" s="2143">
        <f>R12-T12-V12</f>
        <v>5332733.33</v>
      </c>
      <c r="Y12" s="2144">
        <f t="shared" si="1"/>
        <v>7.3340383925096377</v>
      </c>
      <c r="Z12" s="2829">
        <f>X12/1000</f>
        <v>5332.73333</v>
      </c>
      <c r="AA12" s="2446" t="s">
        <v>1457</v>
      </c>
      <c r="AB12" s="11" t="s">
        <v>147</v>
      </c>
      <c r="AC12" s="655" t="s">
        <v>155</v>
      </c>
    </row>
    <row r="13" spans="1:31" thickBot="1" x14ac:dyDescent="0.3">
      <c r="A13" s="2145" t="s">
        <v>732</v>
      </c>
      <c r="B13" s="2141">
        <v>2052280</v>
      </c>
      <c r="C13" s="2141">
        <f t="shared" si="3"/>
        <v>63.083023391633112</v>
      </c>
      <c r="D13" s="2141">
        <v>3364599.1300000004</v>
      </c>
      <c r="E13" s="2141">
        <f t="shared" si="4"/>
        <v>75.784380250917863</v>
      </c>
      <c r="F13" s="2141">
        <v>2751109</v>
      </c>
      <c r="G13" s="2141">
        <f t="shared" si="5"/>
        <v>34.478938727425401</v>
      </c>
      <c r="H13" s="2141">
        <v>3883239</v>
      </c>
      <c r="I13" s="2141">
        <f t="shared" si="6"/>
        <v>61.998898361912062</v>
      </c>
      <c r="J13" s="2141">
        <v>10255050</v>
      </c>
      <c r="K13" s="2141">
        <f t="shared" si="7"/>
        <v>32.183206442258808</v>
      </c>
      <c r="L13" s="2141">
        <v>6120840</v>
      </c>
      <c r="M13" s="2141">
        <f t="shared" si="8"/>
        <v>87.160412958348161</v>
      </c>
      <c r="N13" s="2141">
        <v>3684060</v>
      </c>
      <c r="O13" s="2141">
        <f t="shared" si="9"/>
        <v>58.581287368019339</v>
      </c>
      <c r="P13" s="2141">
        <v>4575983</v>
      </c>
      <c r="Q13" s="2141">
        <f t="shared" si="10"/>
        <v>62.661522450600465</v>
      </c>
      <c r="R13" s="2141">
        <f t="shared" si="11"/>
        <v>36687160.130000003</v>
      </c>
      <c r="S13" s="2141">
        <f t="shared" si="12"/>
        <v>49.301355697374561</v>
      </c>
      <c r="T13" s="2145">
        <v>58031</v>
      </c>
      <c r="U13" s="2141">
        <v>49.472293265132137</v>
      </c>
      <c r="V13" s="2141">
        <v>779449</v>
      </c>
      <c r="W13" s="2142">
        <v>49.185902694516315</v>
      </c>
      <c r="X13" s="2143">
        <f t="shared" si="0"/>
        <v>35849680.130000003</v>
      </c>
      <c r="Y13" s="2144">
        <f t="shared" si="1"/>
        <v>49.303596141495021</v>
      </c>
      <c r="Z13" s="2145">
        <f t="shared" si="2"/>
        <v>35849.680130000001</v>
      </c>
      <c r="AA13" s="2446" t="s">
        <v>1457</v>
      </c>
      <c r="AB13" s="11" t="s">
        <v>147</v>
      </c>
      <c r="AC13" s="655" t="s">
        <v>155</v>
      </c>
    </row>
    <row r="14" spans="1:31" thickBot="1" x14ac:dyDescent="0.3">
      <c r="A14" s="2145" t="s">
        <v>733</v>
      </c>
      <c r="B14" s="2141">
        <v>0</v>
      </c>
      <c r="C14" s="2141">
        <f t="shared" si="3"/>
        <v>0</v>
      </c>
      <c r="D14" s="2141">
        <v>0</v>
      </c>
      <c r="E14" s="2141">
        <f t="shared" si="4"/>
        <v>0</v>
      </c>
      <c r="F14" s="2141">
        <v>0</v>
      </c>
      <c r="G14" s="2141">
        <f t="shared" si="5"/>
        <v>0</v>
      </c>
      <c r="H14" s="2141">
        <v>351570</v>
      </c>
      <c r="I14" s="2141">
        <f t="shared" si="6"/>
        <v>5.6130855445923942</v>
      </c>
      <c r="J14" s="2141">
        <v>0</v>
      </c>
      <c r="K14" s="2141">
        <f t="shared" si="7"/>
        <v>0</v>
      </c>
      <c r="L14" s="2141">
        <v>0</v>
      </c>
      <c r="M14" s="2141">
        <f t="shared" si="8"/>
        <v>0</v>
      </c>
      <c r="N14" s="2141">
        <v>16650.120000000003</v>
      </c>
      <c r="O14" s="2141">
        <f t="shared" si="9"/>
        <v>0.26475830047067805</v>
      </c>
      <c r="P14" s="2141">
        <v>0</v>
      </c>
      <c r="Q14" s="2141">
        <f t="shared" si="10"/>
        <v>0</v>
      </c>
      <c r="R14" s="2141">
        <f t="shared" si="11"/>
        <v>368220.12</v>
      </c>
      <c r="S14" s="2141">
        <f t="shared" si="12"/>
        <v>0.4948257386704939</v>
      </c>
      <c r="T14" s="2145">
        <v>0</v>
      </c>
      <c r="U14" s="2141">
        <v>0</v>
      </c>
      <c r="V14" s="2141">
        <v>0</v>
      </c>
      <c r="W14" s="2142">
        <v>0</v>
      </c>
      <c r="X14" s="2143">
        <f t="shared" si="0"/>
        <v>368220.12</v>
      </c>
      <c r="Y14" s="2144">
        <f t="shared" si="1"/>
        <v>0.50640831443459888</v>
      </c>
      <c r="Z14" s="2145">
        <f t="shared" si="2"/>
        <v>368.22012000000001</v>
      </c>
      <c r="AA14" s="2446" t="s">
        <v>1457</v>
      </c>
      <c r="AB14" s="11" t="s">
        <v>147</v>
      </c>
      <c r="AC14" s="655" t="s">
        <v>155</v>
      </c>
    </row>
    <row r="15" spans="1:31" thickBot="1" x14ac:dyDescent="0.3">
      <c r="A15" s="2145" t="s">
        <v>734</v>
      </c>
      <c r="B15" s="2141">
        <v>308279.67000000004</v>
      </c>
      <c r="C15" s="2141">
        <f t="shared" si="3"/>
        <v>9.4759066178956761</v>
      </c>
      <c r="D15" s="2141">
        <v>900800</v>
      </c>
      <c r="E15" s="2141">
        <f t="shared" si="4"/>
        <v>20.289659211207965</v>
      </c>
      <c r="F15" s="2141">
        <v>614731</v>
      </c>
      <c r="G15" s="2141">
        <f t="shared" si="5"/>
        <v>7.7042648920304293</v>
      </c>
      <c r="H15" s="2141">
        <v>476608</v>
      </c>
      <c r="I15" s="2141">
        <f t="shared" si="6"/>
        <v>7.609413417632596</v>
      </c>
      <c r="J15" s="2141">
        <v>109100</v>
      </c>
      <c r="K15" s="2141">
        <f t="shared" si="7"/>
        <v>0.34238622170057054</v>
      </c>
      <c r="L15" s="2141">
        <v>0</v>
      </c>
      <c r="M15" s="2141">
        <f t="shared" si="8"/>
        <v>0</v>
      </c>
      <c r="N15" s="2141">
        <v>877480</v>
      </c>
      <c r="O15" s="2141">
        <f t="shared" si="9"/>
        <v>13.953059407200103</v>
      </c>
      <c r="P15" s="2141">
        <v>0</v>
      </c>
      <c r="Q15" s="2141">
        <f t="shared" si="10"/>
        <v>0</v>
      </c>
      <c r="R15" s="2141">
        <f t="shared" si="11"/>
        <v>3286998.67</v>
      </c>
      <c r="S15" s="2141">
        <f t="shared" si="12"/>
        <v>4.4171718397454249</v>
      </c>
      <c r="T15" s="2145">
        <v>0</v>
      </c>
      <c r="U15" s="2141">
        <v>0</v>
      </c>
      <c r="V15" s="2141">
        <v>0</v>
      </c>
      <c r="W15" s="2142">
        <v>0</v>
      </c>
      <c r="X15" s="2143">
        <f t="shared" si="0"/>
        <v>3286998.67</v>
      </c>
      <c r="Y15" s="2144">
        <f t="shared" si="1"/>
        <v>4.5205662743889947</v>
      </c>
      <c r="Z15" s="2829">
        <f>X15/1000</f>
        <v>3286.9986699999999</v>
      </c>
      <c r="AA15" s="2446" t="s">
        <v>1458</v>
      </c>
      <c r="AB15" s="11" t="s">
        <v>100</v>
      </c>
      <c r="AC15" s="655" t="s">
        <v>114</v>
      </c>
    </row>
    <row r="16" spans="1:31" ht="28.2" thickBot="1" x14ac:dyDescent="0.3">
      <c r="A16" s="2145" t="s">
        <v>735</v>
      </c>
      <c r="B16" s="2141">
        <v>0</v>
      </c>
      <c r="C16" s="2141">
        <f t="shared" si="3"/>
        <v>0</v>
      </c>
      <c r="D16" s="2141">
        <v>0</v>
      </c>
      <c r="E16" s="2141">
        <f t="shared" si="4"/>
        <v>0</v>
      </c>
      <c r="F16" s="2141">
        <v>0</v>
      </c>
      <c r="G16" s="2141">
        <f t="shared" si="5"/>
        <v>0</v>
      </c>
      <c r="H16" s="2141">
        <v>0</v>
      </c>
      <c r="I16" s="2141">
        <f t="shared" si="6"/>
        <v>0</v>
      </c>
      <c r="J16" s="2141">
        <v>679420</v>
      </c>
      <c r="K16" s="2141">
        <f t="shared" si="7"/>
        <v>2.1322094110705923</v>
      </c>
      <c r="L16" s="2141">
        <v>0</v>
      </c>
      <c r="M16" s="2141">
        <f t="shared" si="8"/>
        <v>0</v>
      </c>
      <c r="N16" s="2141">
        <v>396460.12</v>
      </c>
      <c r="O16" s="2141">
        <f t="shared" si="9"/>
        <v>6.3042252894033837</v>
      </c>
      <c r="P16" s="2141">
        <v>193267</v>
      </c>
      <c r="Q16" s="2141">
        <f t="shared" si="10"/>
        <v>2.6465143029290537</v>
      </c>
      <c r="R16" s="2141">
        <f t="shared" si="11"/>
        <v>1269147.1200000001</v>
      </c>
      <c r="S16" s="2141">
        <f t="shared" si="12"/>
        <v>1.7055196797381142</v>
      </c>
      <c r="T16" s="2145">
        <v>44990</v>
      </c>
      <c r="U16" s="2141">
        <v>38.354646206308608</v>
      </c>
      <c r="V16" s="2141">
        <v>0</v>
      </c>
      <c r="W16" s="2142">
        <v>0</v>
      </c>
      <c r="X16" s="2143">
        <f t="shared" si="0"/>
        <v>1224157.1200000001</v>
      </c>
      <c r="Y16" s="2144">
        <f t="shared" si="1"/>
        <v>1.6835672742225849</v>
      </c>
      <c r="Z16" s="2145">
        <f t="shared" si="2"/>
        <v>1224.1571200000001</v>
      </c>
      <c r="AA16" s="2446" t="s">
        <v>1459</v>
      </c>
      <c r="AB16" s="12" t="s">
        <v>91</v>
      </c>
      <c r="AC16" s="655" t="s">
        <v>117</v>
      </c>
    </row>
    <row r="17" spans="1:29" thickBot="1" x14ac:dyDescent="0.3">
      <c r="A17" s="2145" t="s">
        <v>736</v>
      </c>
      <c r="B17" s="2141">
        <v>0</v>
      </c>
      <c r="C17" s="2141">
        <f t="shared" si="3"/>
        <v>0</v>
      </c>
      <c r="D17" s="2141">
        <v>0</v>
      </c>
      <c r="E17" s="2141">
        <f t="shared" si="4"/>
        <v>0</v>
      </c>
      <c r="F17" s="2141">
        <v>0</v>
      </c>
      <c r="G17" s="2141">
        <f t="shared" si="5"/>
        <v>0</v>
      </c>
      <c r="H17" s="2141">
        <v>0</v>
      </c>
      <c r="I17" s="2141">
        <f t="shared" si="6"/>
        <v>0</v>
      </c>
      <c r="J17" s="2141">
        <v>0</v>
      </c>
      <c r="K17" s="2141">
        <f t="shared" si="7"/>
        <v>0</v>
      </c>
      <c r="L17" s="2141">
        <v>0</v>
      </c>
      <c r="M17" s="2141">
        <f t="shared" si="8"/>
        <v>0</v>
      </c>
      <c r="N17" s="2141">
        <v>0</v>
      </c>
      <c r="O17" s="2141">
        <f t="shared" si="9"/>
        <v>0</v>
      </c>
      <c r="P17" s="2141">
        <v>0</v>
      </c>
      <c r="Q17" s="2141">
        <f t="shared" si="10"/>
        <v>0</v>
      </c>
      <c r="R17" s="2141">
        <f t="shared" si="11"/>
        <v>0</v>
      </c>
      <c r="S17" s="2141">
        <f t="shared" si="12"/>
        <v>0</v>
      </c>
      <c r="T17" s="2145">
        <v>0</v>
      </c>
      <c r="U17" s="2141">
        <v>0</v>
      </c>
      <c r="V17" s="2141">
        <v>0</v>
      </c>
      <c r="W17" s="2142">
        <v>0</v>
      </c>
      <c r="X17" s="2143">
        <f>R17-T17-V17</f>
        <v>0</v>
      </c>
      <c r="Y17" s="2144">
        <f t="shared" si="1"/>
        <v>0</v>
      </c>
      <c r="Z17" s="2145">
        <f t="shared" si="2"/>
        <v>0</v>
      </c>
      <c r="AA17" s="2446" t="s">
        <v>1457</v>
      </c>
      <c r="AB17" s="11" t="s">
        <v>147</v>
      </c>
      <c r="AC17" s="655" t="s">
        <v>155</v>
      </c>
    </row>
    <row r="18" spans="1:29" thickBot="1" x14ac:dyDescent="0.3">
      <c r="A18" s="2145" t="s">
        <v>737</v>
      </c>
      <c r="B18" s="2141">
        <v>59840</v>
      </c>
      <c r="C18" s="2141">
        <f t="shared" si="3"/>
        <v>1.839363108228568</v>
      </c>
      <c r="D18" s="2141">
        <v>121350</v>
      </c>
      <c r="E18" s="2141">
        <f t="shared" si="4"/>
        <v>2.7332927900533819</v>
      </c>
      <c r="F18" s="2141">
        <v>864263.0199999999</v>
      </c>
      <c r="G18" s="2141">
        <f t="shared" si="5"/>
        <v>10.831585266508753</v>
      </c>
      <c r="H18" s="2141">
        <v>0</v>
      </c>
      <c r="I18" s="2141">
        <f t="shared" si="6"/>
        <v>0</v>
      </c>
      <c r="J18" s="2141">
        <v>0</v>
      </c>
      <c r="K18" s="2141">
        <f t="shared" si="7"/>
        <v>0</v>
      </c>
      <c r="L18" s="2141">
        <v>132672</v>
      </c>
      <c r="M18" s="2141">
        <f t="shared" si="8"/>
        <v>1.8892417230331078</v>
      </c>
      <c r="N18" s="2141">
        <v>0</v>
      </c>
      <c r="O18" s="2141">
        <f t="shared" si="9"/>
        <v>0</v>
      </c>
      <c r="P18" s="2141">
        <v>0</v>
      </c>
      <c r="Q18" s="2141">
        <f t="shared" si="10"/>
        <v>0</v>
      </c>
      <c r="R18" s="2141">
        <f t="shared" si="11"/>
        <v>1178125.02</v>
      </c>
      <c r="S18" s="2141">
        <f t="shared" si="12"/>
        <v>1.5832013287804327</v>
      </c>
      <c r="T18" s="2145">
        <v>0</v>
      </c>
      <c r="U18" s="2141">
        <v>0</v>
      </c>
      <c r="V18" s="2141">
        <v>0</v>
      </c>
      <c r="W18" s="2142">
        <v>0</v>
      </c>
      <c r="X18" s="2143">
        <f t="shared" si="0"/>
        <v>1178125.02</v>
      </c>
      <c r="Y18" s="2144">
        <f t="shared" si="1"/>
        <v>1.6202599292277351</v>
      </c>
      <c r="Z18" s="2145">
        <f t="shared" si="2"/>
        <v>1178.1250199999999</v>
      </c>
      <c r="AA18" s="2446" t="s">
        <v>1458</v>
      </c>
      <c r="AB18" s="11" t="s">
        <v>100</v>
      </c>
      <c r="AC18" s="655" t="s">
        <v>114</v>
      </c>
    </row>
    <row r="19" spans="1:29" x14ac:dyDescent="0.3">
      <c r="A19" s="2146" t="s">
        <v>738</v>
      </c>
      <c r="B19" s="2147">
        <f>+SUM(B12:B18)</f>
        <v>2700640</v>
      </c>
      <c r="C19" s="2147">
        <f t="shared" ref="C19:S19" si="13">+SUM(C12:C18)</f>
        <v>83.012325945962559</v>
      </c>
      <c r="D19" s="2147">
        <f t="shared" si="13"/>
        <v>4386749.1300000008</v>
      </c>
      <c r="E19" s="2147">
        <f t="shared" si="13"/>
        <v>98.807332252179208</v>
      </c>
      <c r="F19" s="2147">
        <f t="shared" si="13"/>
        <v>4230103.0199999996</v>
      </c>
      <c r="G19" s="2147">
        <f t="shared" si="13"/>
        <v>53.014788885964585</v>
      </c>
      <c r="H19" s="2147">
        <f t="shared" si="13"/>
        <v>4907260</v>
      </c>
      <c r="I19" s="2147">
        <f t="shared" si="13"/>
        <v>78.348181498866438</v>
      </c>
      <c r="J19" s="2147">
        <f t="shared" si="13"/>
        <v>14496330</v>
      </c>
      <c r="K19" s="2147">
        <f t="shared" si="13"/>
        <v>45.493525730748225</v>
      </c>
      <c r="L19" s="2147">
        <f t="shared" si="13"/>
        <v>6547092</v>
      </c>
      <c r="M19" s="2147">
        <f t="shared" si="13"/>
        <v>93.230217159131357</v>
      </c>
      <c r="N19" s="2147">
        <f t="shared" si="13"/>
        <v>6084960.2400000002</v>
      </c>
      <c r="O19" s="2147">
        <f t="shared" si="13"/>
        <v>96.758685917822163</v>
      </c>
      <c r="P19" s="2147">
        <f t="shared" si="13"/>
        <v>4769250</v>
      </c>
      <c r="Q19" s="2147">
        <f t="shared" si="13"/>
        <v>65.308036753529521</v>
      </c>
      <c r="R19" s="2147">
        <f t="shared" si="13"/>
        <v>48122384.390000001</v>
      </c>
      <c r="S19" s="2147">
        <f t="shared" si="13"/>
        <v>64.66836848124214</v>
      </c>
      <c r="T19" s="2146">
        <v>103021</v>
      </c>
      <c r="U19" s="2147">
        <v>87.826939471440738</v>
      </c>
      <c r="V19" s="2147">
        <v>779449</v>
      </c>
      <c r="W19" s="2148">
        <v>49.185902694516315</v>
      </c>
      <c r="X19" s="2149">
        <f>R19-T19-V19</f>
        <v>47239914.390000001</v>
      </c>
      <c r="Y19" s="2150">
        <f t="shared" si="1"/>
        <v>64.968436326278564</v>
      </c>
      <c r="Z19" s="2146">
        <f t="shared" si="2"/>
        <v>47239.914389999998</v>
      </c>
    </row>
    <row r="20" spans="1:29" ht="15" thickBot="1" x14ac:dyDescent="0.35">
      <c r="A20" s="2151" t="s">
        <v>739</v>
      </c>
      <c r="B20" s="2152" t="s">
        <v>153</v>
      </c>
      <c r="C20" s="2152" t="s">
        <v>153</v>
      </c>
      <c r="D20" s="2152" t="s">
        <v>153</v>
      </c>
      <c r="E20" s="2152" t="s">
        <v>153</v>
      </c>
      <c r="F20" s="2152" t="s">
        <v>153</v>
      </c>
      <c r="G20" s="2152" t="s">
        <v>153</v>
      </c>
      <c r="H20" s="2152" t="s">
        <v>153</v>
      </c>
      <c r="I20" s="2152" t="s">
        <v>153</v>
      </c>
      <c r="J20" s="2152" t="s">
        <v>153</v>
      </c>
      <c r="K20" s="2152" t="s">
        <v>153</v>
      </c>
      <c r="L20" s="2152" t="s">
        <v>153</v>
      </c>
      <c r="M20" s="2152" t="s">
        <v>153</v>
      </c>
      <c r="N20" s="2152" t="s">
        <v>153</v>
      </c>
      <c r="O20" s="2152" t="s">
        <v>153</v>
      </c>
      <c r="P20" s="2152" t="s">
        <v>153</v>
      </c>
      <c r="Q20" s="2152" t="s">
        <v>153</v>
      </c>
      <c r="R20" s="2152" t="s">
        <v>153</v>
      </c>
      <c r="S20" s="2152" t="s">
        <v>153</v>
      </c>
      <c r="T20" s="2151" t="s">
        <v>153</v>
      </c>
      <c r="U20" s="2152"/>
      <c r="V20" s="2152" t="s">
        <v>153</v>
      </c>
      <c r="W20" s="2153"/>
      <c r="X20" s="2154"/>
      <c r="Y20" s="2155"/>
      <c r="Z20" s="2151">
        <f t="shared" si="2"/>
        <v>0</v>
      </c>
    </row>
    <row r="21" spans="1:29" thickBot="1" x14ac:dyDescent="0.3">
      <c r="A21" s="2156" t="s">
        <v>740</v>
      </c>
      <c r="B21" s="2157">
        <v>0</v>
      </c>
      <c r="C21" s="2141">
        <f t="shared" ref="C21:E84" si="14">+B21/B$3</f>
        <v>0</v>
      </c>
      <c r="D21" s="2157">
        <v>0</v>
      </c>
      <c r="E21" s="2141">
        <f t="shared" si="14"/>
        <v>0</v>
      </c>
      <c r="F21" s="2157">
        <v>0</v>
      </c>
      <c r="G21" s="2141">
        <f>+F21/F$3</f>
        <v>0</v>
      </c>
      <c r="H21" s="2157">
        <v>0</v>
      </c>
      <c r="I21" s="2141">
        <f>+H21/H$3</f>
        <v>0</v>
      </c>
      <c r="J21" s="2157">
        <v>1433735</v>
      </c>
      <c r="K21" s="2141">
        <f>+J21/J$3</f>
        <v>4.4994602160391155</v>
      </c>
      <c r="L21" s="2157">
        <v>514582</v>
      </c>
      <c r="M21" s="2141">
        <f>+L21/L$3</f>
        <v>7.3276183695265216</v>
      </c>
      <c r="N21" s="2157">
        <f>1246377.89+49952.6</f>
        <v>1296330.49</v>
      </c>
      <c r="O21" s="2141">
        <f>+N21/N$3</f>
        <v>20.613320347284059</v>
      </c>
      <c r="P21" s="2157">
        <v>288218</v>
      </c>
      <c r="Q21" s="2141">
        <f>+P21/P$3</f>
        <v>3.9467320306188123</v>
      </c>
      <c r="R21" s="2157">
        <f>+B21+D21+F21+H21+J21+L21+N21+P21</f>
        <v>3532865.49</v>
      </c>
      <c r="S21" s="2141">
        <f>+R21/R$3</f>
        <v>4.7475753788596515</v>
      </c>
      <c r="T21" s="2156">
        <v>4775</v>
      </c>
      <c r="U21" s="2157">
        <v>4.0707587382779202</v>
      </c>
      <c r="V21" s="2141">
        <v>64167</v>
      </c>
      <c r="W21" s="2158">
        <v>4.0491575692560104</v>
      </c>
      <c r="X21" s="2159">
        <f>R21-T21-V21</f>
        <v>3463923.49</v>
      </c>
      <c r="Y21" s="2159">
        <f t="shared" si="1"/>
        <v>4.7638886650227406</v>
      </c>
      <c r="Z21" s="2156">
        <f t="shared" si="2"/>
        <v>3463.9234900000001</v>
      </c>
      <c r="AA21" s="2447" t="s">
        <v>1459</v>
      </c>
      <c r="AB21" s="12" t="s">
        <v>90</v>
      </c>
      <c r="AC21" s="655" t="s">
        <v>117</v>
      </c>
    </row>
    <row r="22" spans="1:29" thickBot="1" x14ac:dyDescent="0.3">
      <c r="A22" s="2156" t="s">
        <v>741</v>
      </c>
      <c r="B22" s="2157">
        <v>449055</v>
      </c>
      <c r="C22" s="2141">
        <f t="shared" si="14"/>
        <v>13.803061506777734</v>
      </c>
      <c r="D22" s="2157">
        <v>628740</v>
      </c>
      <c r="E22" s="2141">
        <f t="shared" si="14"/>
        <v>14.161767687005879</v>
      </c>
      <c r="F22" s="2157">
        <v>2698810</v>
      </c>
      <c r="G22" s="2141">
        <f>+F22/F$3</f>
        <v>33.82348886465892</v>
      </c>
      <c r="H22" s="2157">
        <v>699800</v>
      </c>
      <c r="I22" s="2141">
        <f>+H22/H$3</f>
        <v>11.172845419420762</v>
      </c>
      <c r="J22" s="2157">
        <v>292204</v>
      </c>
      <c r="K22" s="2141">
        <f>+J22/J$3</f>
        <v>0.91701763085053634</v>
      </c>
      <c r="L22" s="2157">
        <v>33620</v>
      </c>
      <c r="M22" s="2141">
        <f>+L22/L$3</f>
        <v>0.47874688501245993</v>
      </c>
      <c r="N22" s="2157">
        <v>0</v>
      </c>
      <c r="O22" s="2141">
        <f>+N22/N$3</f>
        <v>0</v>
      </c>
      <c r="P22" s="2157">
        <v>6780</v>
      </c>
      <c r="Q22" s="2141">
        <f>+P22/P$3</f>
        <v>9.2842373368754019E-2</v>
      </c>
      <c r="R22" s="2157">
        <f>+B22+D22+F22+H22+J22+L22+N22+P22</f>
        <v>4809009</v>
      </c>
      <c r="S22" s="2141">
        <f>+R22/R$3</f>
        <v>6.4624970267731516</v>
      </c>
      <c r="T22" s="2156">
        <v>0</v>
      </c>
      <c r="U22" s="2157">
        <v>0</v>
      </c>
      <c r="V22" s="2141">
        <v>0</v>
      </c>
      <c r="W22" s="2158">
        <v>0</v>
      </c>
      <c r="X22" s="2159">
        <f t="shared" si="0"/>
        <v>4809009</v>
      </c>
      <c r="Y22" s="2159">
        <f t="shared" si="1"/>
        <v>6.6137671721762956</v>
      </c>
      <c r="Z22" s="2156">
        <f t="shared" si="2"/>
        <v>4809.009</v>
      </c>
      <c r="AA22" s="2447" t="s">
        <v>1459</v>
      </c>
      <c r="AB22" s="12" t="s">
        <v>90</v>
      </c>
      <c r="AC22" s="655" t="s">
        <v>117</v>
      </c>
    </row>
    <row r="23" spans="1:29" x14ac:dyDescent="0.3">
      <c r="A23" s="2160" t="s">
        <v>742</v>
      </c>
      <c r="B23" s="2161">
        <f>+B21+B22</f>
        <v>449055</v>
      </c>
      <c r="C23" s="2161">
        <f t="shared" si="14"/>
        <v>13.803061506777734</v>
      </c>
      <c r="D23" s="2161">
        <f>+D21+D22</f>
        <v>628740</v>
      </c>
      <c r="E23" s="2161">
        <f t="shared" si="14"/>
        <v>14.161767687005879</v>
      </c>
      <c r="F23" s="2161">
        <f>+F21+F22</f>
        <v>2698810</v>
      </c>
      <c r="G23" s="2161">
        <f>+F23/F$3</f>
        <v>33.82348886465892</v>
      </c>
      <c r="H23" s="2161">
        <f>+H21+H22</f>
        <v>699800</v>
      </c>
      <c r="I23" s="2161">
        <f>+H23/H$3</f>
        <v>11.172845419420762</v>
      </c>
      <c r="J23" s="2161">
        <f>+J21+J22</f>
        <v>1725939</v>
      </c>
      <c r="K23" s="2161">
        <f>+J23/J$3</f>
        <v>5.4164778468896522</v>
      </c>
      <c r="L23" s="2161">
        <f>+L21+L22</f>
        <v>548202</v>
      </c>
      <c r="M23" s="2161">
        <f>+L23/L$3</f>
        <v>7.8063652545389814</v>
      </c>
      <c r="N23" s="2161">
        <f>+N21+N22</f>
        <v>1296330.49</v>
      </c>
      <c r="O23" s="2161">
        <f>+N23/N$3</f>
        <v>20.613320347284059</v>
      </c>
      <c r="P23" s="2161">
        <f>+P21+P22</f>
        <v>294998</v>
      </c>
      <c r="Q23" s="2161">
        <f>+P23/P$3</f>
        <v>4.0395744039875661</v>
      </c>
      <c r="R23" s="2161">
        <f>+B23+D23+F23+H23+J23+L23+N23+P23</f>
        <v>8341874.4900000002</v>
      </c>
      <c r="S23" s="2161">
        <f>+R23/R$3</f>
        <v>11.210072405632804</v>
      </c>
      <c r="T23" s="2160">
        <v>4775</v>
      </c>
      <c r="U23" s="2161">
        <v>4.0707587382779202</v>
      </c>
      <c r="V23" s="2161">
        <v>64167</v>
      </c>
      <c r="W23" s="2162">
        <v>4.0491575692560104</v>
      </c>
      <c r="X23" s="2163">
        <f t="shared" si="0"/>
        <v>8272932.4900000002</v>
      </c>
      <c r="Y23" s="2164">
        <f t="shared" si="1"/>
        <v>11.377655837199036</v>
      </c>
      <c r="Z23" s="2160">
        <f t="shared" si="2"/>
        <v>8272.9324900000011</v>
      </c>
    </row>
    <row r="24" spans="1:29" x14ac:dyDescent="0.3">
      <c r="A24" s="2165" t="s">
        <v>743</v>
      </c>
      <c r="B24" s="2166">
        <f>+B19+B23</f>
        <v>3149695</v>
      </c>
      <c r="C24" s="2166">
        <f t="shared" si="14"/>
        <v>96.815387452740296</v>
      </c>
      <c r="D24" s="2166">
        <f>+D19+D23</f>
        <v>5015489.1300000008</v>
      </c>
      <c r="E24" s="2166">
        <f t="shared" si="14"/>
        <v>112.9690999391851</v>
      </c>
      <c r="F24" s="2166">
        <f>+F19+F23</f>
        <v>6928913.0199999996</v>
      </c>
      <c r="G24" s="2166">
        <f>+F24/F$3</f>
        <v>86.838277750623504</v>
      </c>
      <c r="H24" s="2166">
        <f>+H19+H23</f>
        <v>5607060</v>
      </c>
      <c r="I24" s="2166">
        <f>+H24/H$3</f>
        <v>89.521026918287191</v>
      </c>
      <c r="J24" s="2166">
        <f>+J19+J23</f>
        <v>16222269</v>
      </c>
      <c r="K24" s="2166">
        <f>+J24/J$3</f>
        <v>50.91000357763788</v>
      </c>
      <c r="L24" s="2166">
        <f>+L19+L23</f>
        <v>7095294</v>
      </c>
      <c r="M24" s="2166">
        <f>+L24/L$3</f>
        <v>101.03658241367035</v>
      </c>
      <c r="N24" s="2166">
        <f>+N19+N23</f>
        <v>7381290.7300000004</v>
      </c>
      <c r="O24" s="2166">
        <f>+N24/N$3</f>
        <v>117.37200626510622</v>
      </c>
      <c r="P24" s="2166">
        <f>+P19+P23</f>
        <v>5064248</v>
      </c>
      <c r="Q24" s="2166">
        <f>+P24/P$3</f>
        <v>69.347611157517079</v>
      </c>
      <c r="R24" s="2166">
        <f>+B24+D24+F24+H24+J24+L24+N24+P24</f>
        <v>56464258.879999995</v>
      </c>
      <c r="S24" s="2166">
        <f>+R24/R$3</f>
        <v>75.878440886874927</v>
      </c>
      <c r="T24" s="2165">
        <v>107796</v>
      </c>
      <c r="U24" s="2166">
        <v>91.897698209718669</v>
      </c>
      <c r="V24" s="2166">
        <v>843616</v>
      </c>
      <c r="W24" s="2167">
        <v>53.235060263772326</v>
      </c>
      <c r="X24" s="2168">
        <f t="shared" si="0"/>
        <v>55512846.879999995</v>
      </c>
      <c r="Y24" s="2169">
        <f t="shared" si="1"/>
        <v>76.346092163477593</v>
      </c>
      <c r="Z24" s="2165">
        <f t="shared" si="2"/>
        <v>55512.846879999997</v>
      </c>
    </row>
    <row r="25" spans="1:29" x14ac:dyDescent="0.3">
      <c r="A25" s="2165" t="s">
        <v>744</v>
      </c>
      <c r="B25" s="2166">
        <f>+B24+B6</f>
        <v>3564767.3200000003</v>
      </c>
      <c r="C25" s="2166">
        <f t="shared" si="14"/>
        <v>109.57388866689209</v>
      </c>
      <c r="D25" s="2166">
        <f>+D24+D6</f>
        <v>5015489.1300000008</v>
      </c>
      <c r="E25" s="2166">
        <f t="shared" si="14"/>
        <v>112.9690999391851</v>
      </c>
      <c r="F25" s="2166">
        <f>+F24+F6</f>
        <v>7081009.1799999997</v>
      </c>
      <c r="G25" s="2166">
        <f>+F25/F$3</f>
        <v>88.744459650837811</v>
      </c>
      <c r="H25" s="2166">
        <f>+H24+H6</f>
        <v>6260469.0000000009</v>
      </c>
      <c r="I25" s="2166">
        <f>+H25/H$3</f>
        <v>99.953204329916673</v>
      </c>
      <c r="J25" s="2166">
        <f>+J24+J6</f>
        <v>16960125.48</v>
      </c>
      <c r="K25" s="2166">
        <f>+J25/J$3</f>
        <v>53.225602957513985</v>
      </c>
      <c r="L25" s="2166">
        <f>+L24+L6</f>
        <v>7523582.5199999996</v>
      </c>
      <c r="M25" s="2166">
        <f>+L25/L$3</f>
        <v>107.13538654325382</v>
      </c>
      <c r="N25" s="2166">
        <f>+N24+N6</f>
        <v>7995274.9300000006</v>
      </c>
      <c r="O25" s="2166">
        <f>+N25/N$3</f>
        <v>127.13514390662766</v>
      </c>
      <c r="P25" s="2166">
        <f>+P24+P6</f>
        <v>5279250.8899999997</v>
      </c>
      <c r="Q25" s="2166">
        <f>+P25/P$3</f>
        <v>72.291767291549689</v>
      </c>
      <c r="R25" s="2166">
        <f>+B25+D25+F25+H25+J25+L25+N25+P25</f>
        <v>59679968.449999996</v>
      </c>
      <c r="S25" s="2166">
        <f>+R25/R$3</f>
        <v>80.199812199569706</v>
      </c>
      <c r="T25" s="2165">
        <v>141862.71000000002</v>
      </c>
      <c r="U25" s="2166">
        <v>120.94007672634272</v>
      </c>
      <c r="V25" s="2166">
        <v>848320</v>
      </c>
      <c r="W25" s="2167">
        <v>53.531898782103866</v>
      </c>
      <c r="X25" s="2168">
        <f t="shared" si="0"/>
        <v>58689785.739999995</v>
      </c>
      <c r="Y25" s="2169">
        <f t="shared" si="1"/>
        <v>80.715294620840268</v>
      </c>
      <c r="Z25" s="2165">
        <f t="shared" si="2"/>
        <v>58689.785739999992</v>
      </c>
    </row>
    <row r="26" spans="1:29" ht="15" thickBot="1" x14ac:dyDescent="0.35">
      <c r="A26" s="2130" t="s">
        <v>745</v>
      </c>
      <c r="B26" s="2131" t="s">
        <v>153</v>
      </c>
      <c r="C26" s="2131"/>
      <c r="D26" s="2131" t="s">
        <v>153</v>
      </c>
      <c r="E26" s="2131"/>
      <c r="F26" s="2131" t="s">
        <v>153</v>
      </c>
      <c r="G26" s="2131"/>
      <c r="H26" s="2131" t="s">
        <v>153</v>
      </c>
      <c r="I26" s="2131"/>
      <c r="J26" s="2131" t="s">
        <v>153</v>
      </c>
      <c r="K26" s="2131"/>
      <c r="L26" s="2131" t="s">
        <v>153</v>
      </c>
      <c r="M26" s="2131"/>
      <c r="N26" s="2131" t="s">
        <v>153</v>
      </c>
      <c r="O26" s="2131"/>
      <c r="P26" s="2131" t="s">
        <v>153</v>
      </c>
      <c r="Q26" s="2131"/>
      <c r="R26" s="2131" t="s">
        <v>153</v>
      </c>
      <c r="S26" s="2131"/>
      <c r="T26" s="2130" t="s">
        <v>153</v>
      </c>
      <c r="U26" s="2131"/>
      <c r="V26" s="2131" t="s">
        <v>153</v>
      </c>
      <c r="W26" s="2132"/>
      <c r="X26" s="2133"/>
      <c r="Y26" s="2134"/>
      <c r="Z26" s="2130">
        <f t="shared" si="2"/>
        <v>0</v>
      </c>
    </row>
    <row r="27" spans="1:29" thickBot="1" x14ac:dyDescent="0.3">
      <c r="A27" s="2170" t="s">
        <v>746</v>
      </c>
      <c r="B27" s="2171">
        <v>0</v>
      </c>
      <c r="C27" s="2171">
        <f t="shared" si="14"/>
        <v>0</v>
      </c>
      <c r="D27" s="2171">
        <v>29420</v>
      </c>
      <c r="E27" s="2171">
        <f t="shared" si="14"/>
        <v>0.66265738676036667</v>
      </c>
      <c r="F27" s="2171">
        <v>0</v>
      </c>
      <c r="G27" s="2171">
        <f t="shared" ref="G27:G36" si="15">+F27/F$3</f>
        <v>0</v>
      </c>
      <c r="H27" s="2171">
        <v>74600</v>
      </c>
      <c r="I27" s="2171">
        <f t="shared" ref="I27:I36" si="16">+H27/H$3</f>
        <v>1.1910463965258486</v>
      </c>
      <c r="J27" s="2171">
        <v>1420990</v>
      </c>
      <c r="K27" s="2171">
        <f t="shared" ref="K27:K36" si="17">+J27/J$3</f>
        <v>4.4594628521933428</v>
      </c>
      <c r="L27" s="2171">
        <v>119520</v>
      </c>
      <c r="M27" s="2171">
        <f t="shared" ref="M27:M36" si="18">+L27/L$3</f>
        <v>1.7019579921680312</v>
      </c>
      <c r="N27" s="2171">
        <v>366160</v>
      </c>
      <c r="O27" s="2171">
        <f t="shared" ref="O27:O36" si="19">+N27/N$3</f>
        <v>5.8224144510876483</v>
      </c>
      <c r="P27" s="2171">
        <v>0</v>
      </c>
      <c r="Q27" s="2171">
        <f t="shared" ref="Q27:Q36" si="20">+P27/P$3</f>
        <v>0</v>
      </c>
      <c r="R27" s="2171">
        <f t="shared" ref="R27:R36" si="21">+B27+D27+F27+H27+J27+L27+N27+P27</f>
        <v>2010690</v>
      </c>
      <c r="S27" s="2171">
        <f t="shared" ref="S27:S36" si="22">+R27/R$3</f>
        <v>2.7020282446471837</v>
      </c>
      <c r="T27" s="2170">
        <v>0</v>
      </c>
      <c r="U27" s="2171">
        <v>0</v>
      </c>
      <c r="V27" s="2171">
        <v>0</v>
      </c>
      <c r="W27" s="2172">
        <v>0</v>
      </c>
      <c r="X27" s="2173">
        <f t="shared" si="0"/>
        <v>2010690</v>
      </c>
      <c r="Y27" s="2174">
        <f t="shared" si="1"/>
        <v>2.7652756556336566</v>
      </c>
      <c r="Z27" s="2170">
        <f t="shared" si="2"/>
        <v>2010.69</v>
      </c>
      <c r="AA27" s="2448" t="s">
        <v>1457</v>
      </c>
      <c r="AB27" s="13" t="s">
        <v>101</v>
      </c>
      <c r="AC27" s="655" t="s">
        <v>155</v>
      </c>
    </row>
    <row r="28" spans="1:29" thickBot="1" x14ac:dyDescent="0.3">
      <c r="A28" s="2170" t="s">
        <v>747</v>
      </c>
      <c r="B28" s="2171">
        <v>1122064.08</v>
      </c>
      <c r="C28" s="2171">
        <f t="shared" si="14"/>
        <v>34.490027971598074</v>
      </c>
      <c r="D28" s="2171">
        <v>1839581.1400000001</v>
      </c>
      <c r="E28" s="2171">
        <f t="shared" si="14"/>
        <v>41.43480730680001</v>
      </c>
      <c r="F28" s="2171">
        <v>2710380</v>
      </c>
      <c r="G28" s="2171">
        <f t="shared" si="15"/>
        <v>33.968492687145165</v>
      </c>
      <c r="H28" s="2171">
        <v>2071030.1600000001</v>
      </c>
      <c r="I28" s="2171">
        <f t="shared" si="16"/>
        <v>33.065589935178977</v>
      </c>
      <c r="J28" s="2171">
        <v>8994880</v>
      </c>
      <c r="K28" s="2171">
        <f t="shared" si="17"/>
        <v>28.228441593492466</v>
      </c>
      <c r="L28" s="2171">
        <v>2399660</v>
      </c>
      <c r="M28" s="2171">
        <f t="shared" si="18"/>
        <v>34.171021715913135</v>
      </c>
      <c r="N28" s="2171">
        <v>1644800.9500000002</v>
      </c>
      <c r="O28" s="2171">
        <f t="shared" si="19"/>
        <v>26.154448384429465</v>
      </c>
      <c r="P28" s="2171">
        <v>1780273</v>
      </c>
      <c r="Q28" s="2171">
        <f t="shared" si="20"/>
        <v>24.378284743998794</v>
      </c>
      <c r="R28" s="2171">
        <f t="shared" si="21"/>
        <v>22562669.330000002</v>
      </c>
      <c r="S28" s="2171">
        <f t="shared" si="22"/>
        <v>30.320422245246537</v>
      </c>
      <c r="T28" s="2170">
        <v>20375</v>
      </c>
      <c r="U28" s="2171">
        <v>17.36999147485081</v>
      </c>
      <c r="V28" s="2171">
        <v>326414</v>
      </c>
      <c r="W28" s="2172">
        <v>20.597841862813151</v>
      </c>
      <c r="X28" s="2173">
        <f t="shared" si="0"/>
        <v>22215880.330000002</v>
      </c>
      <c r="Y28" s="2174">
        <f t="shared" si="1"/>
        <v>30.553209617106372</v>
      </c>
      <c r="Z28" s="2170">
        <f t="shared" si="2"/>
        <v>22215.880330000004</v>
      </c>
      <c r="AA28" s="2448" t="s">
        <v>1457</v>
      </c>
      <c r="AB28" s="13" t="s">
        <v>101</v>
      </c>
      <c r="AC28" s="655" t="s">
        <v>155</v>
      </c>
    </row>
    <row r="29" spans="1:29" thickBot="1" x14ac:dyDescent="0.3">
      <c r="A29" s="2170" t="s">
        <v>748</v>
      </c>
      <c r="B29" s="2171">
        <v>51787.579999999987</v>
      </c>
      <c r="C29" s="2171">
        <f t="shared" si="14"/>
        <v>1.5918476623735895</v>
      </c>
      <c r="D29" s="2171">
        <v>0</v>
      </c>
      <c r="E29" s="2171">
        <f t="shared" si="14"/>
        <v>0</v>
      </c>
      <c r="F29" s="2171">
        <v>0</v>
      </c>
      <c r="G29" s="2171">
        <f t="shared" si="15"/>
        <v>0</v>
      </c>
      <c r="H29" s="2171">
        <v>164652.84999999998</v>
      </c>
      <c r="I29" s="2171">
        <f t="shared" si="16"/>
        <v>2.6288094325765554</v>
      </c>
      <c r="J29" s="2171">
        <v>0</v>
      </c>
      <c r="K29" s="2171">
        <f t="shared" si="17"/>
        <v>0</v>
      </c>
      <c r="L29" s="2171">
        <v>0</v>
      </c>
      <c r="M29" s="2171">
        <f t="shared" si="18"/>
        <v>0</v>
      </c>
      <c r="N29" s="2171">
        <v>6679.17</v>
      </c>
      <c r="O29" s="2171">
        <f t="shared" si="19"/>
        <v>0.10620738455667218</v>
      </c>
      <c r="P29" s="2171">
        <v>15948</v>
      </c>
      <c r="Q29" s="2171">
        <f t="shared" si="20"/>
        <v>0.21838498089747627</v>
      </c>
      <c r="R29" s="2171">
        <f t="shared" si="21"/>
        <v>239067.59999999998</v>
      </c>
      <c r="S29" s="2171">
        <f t="shared" si="22"/>
        <v>0.32126653416489614</v>
      </c>
      <c r="T29" s="2170">
        <v>15948</v>
      </c>
      <c r="U29" s="2171">
        <v>13.595907928388748</v>
      </c>
      <c r="V29" s="2171">
        <v>0</v>
      </c>
      <c r="W29" s="2172">
        <v>0</v>
      </c>
      <c r="X29" s="2173">
        <f t="shared" si="0"/>
        <v>223119.59999999998</v>
      </c>
      <c r="Y29" s="2174">
        <f t="shared" si="1"/>
        <v>0.30685346730461638</v>
      </c>
      <c r="Z29" s="2170">
        <f t="shared" si="2"/>
        <v>223.11959999999996</v>
      </c>
      <c r="AA29" s="2448" t="s">
        <v>1457</v>
      </c>
      <c r="AB29" s="13" t="s">
        <v>101</v>
      </c>
      <c r="AC29" s="655" t="s">
        <v>155</v>
      </c>
    </row>
    <row r="30" spans="1:29" thickBot="1" x14ac:dyDescent="0.3">
      <c r="A30" s="2170" t="s">
        <v>749</v>
      </c>
      <c r="B30" s="2171">
        <v>0</v>
      </c>
      <c r="C30" s="2171">
        <f t="shared" si="14"/>
        <v>0</v>
      </c>
      <c r="D30" s="2171">
        <v>29980</v>
      </c>
      <c r="E30" s="2171">
        <f t="shared" si="14"/>
        <v>0.67527085163411937</v>
      </c>
      <c r="F30" s="2171">
        <v>0</v>
      </c>
      <c r="G30" s="2171">
        <f t="shared" si="15"/>
        <v>0</v>
      </c>
      <c r="H30" s="2171">
        <v>267708</v>
      </c>
      <c r="I30" s="2171">
        <f t="shared" si="16"/>
        <v>4.2741641919724112</v>
      </c>
      <c r="J30" s="2171">
        <v>0</v>
      </c>
      <c r="K30" s="2171">
        <f t="shared" si="17"/>
        <v>0</v>
      </c>
      <c r="L30" s="2171">
        <v>0</v>
      </c>
      <c r="M30" s="2171">
        <f t="shared" si="18"/>
        <v>0</v>
      </c>
      <c r="N30" s="2171">
        <v>0</v>
      </c>
      <c r="O30" s="2171">
        <f t="shared" si="19"/>
        <v>0</v>
      </c>
      <c r="P30" s="2171">
        <v>560755</v>
      </c>
      <c r="Q30" s="2171">
        <f t="shared" si="20"/>
        <v>7.6787352623002452</v>
      </c>
      <c r="R30" s="2171">
        <f t="shared" si="21"/>
        <v>858443</v>
      </c>
      <c r="S30" s="2171">
        <f t="shared" si="22"/>
        <v>1.1536026102580021</v>
      </c>
      <c r="T30" s="2170">
        <v>2401</v>
      </c>
      <c r="U30" s="2171">
        <v>2.0468883205456097</v>
      </c>
      <c r="V30" s="2171">
        <v>139226</v>
      </c>
      <c r="W30" s="2172">
        <v>8.7856376601249444</v>
      </c>
      <c r="X30" s="2173">
        <f t="shared" si="0"/>
        <v>716816</v>
      </c>
      <c r="Y30" s="2174">
        <f t="shared" si="1"/>
        <v>0.98582766829729851</v>
      </c>
      <c r="Z30" s="2170">
        <f t="shared" si="2"/>
        <v>716.81600000000003</v>
      </c>
      <c r="AA30" s="2448" t="s">
        <v>1457</v>
      </c>
      <c r="AB30" s="13" t="s">
        <v>101</v>
      </c>
      <c r="AC30" s="655" t="s">
        <v>155</v>
      </c>
    </row>
    <row r="31" spans="1:29" thickBot="1" x14ac:dyDescent="0.3">
      <c r="A31" s="2170" t="s">
        <v>750</v>
      </c>
      <c r="B31" s="2171">
        <v>198777.94999999992</v>
      </c>
      <c r="C31" s="2171">
        <f t="shared" si="14"/>
        <v>6.1100405741862085</v>
      </c>
      <c r="D31" s="2171">
        <v>391140</v>
      </c>
      <c r="E31" s="2171">
        <f t="shared" si="14"/>
        <v>8.8100547334279344</v>
      </c>
      <c r="F31" s="2171">
        <v>0</v>
      </c>
      <c r="G31" s="2171">
        <f t="shared" si="15"/>
        <v>0</v>
      </c>
      <c r="H31" s="2171">
        <v>135397.83000000002</v>
      </c>
      <c r="I31" s="2171">
        <f t="shared" si="16"/>
        <v>2.1617305297442284</v>
      </c>
      <c r="J31" s="2171">
        <v>3083680</v>
      </c>
      <c r="K31" s="2171">
        <f t="shared" si="17"/>
        <v>9.6774477005830928</v>
      </c>
      <c r="L31" s="2171">
        <v>546920</v>
      </c>
      <c r="M31" s="2171">
        <f t="shared" si="18"/>
        <v>7.7881096475614093</v>
      </c>
      <c r="N31" s="2171">
        <v>795130.4</v>
      </c>
      <c r="O31" s="2171">
        <f t="shared" si="19"/>
        <v>12.643594962472967</v>
      </c>
      <c r="P31" s="2171">
        <v>0</v>
      </c>
      <c r="Q31" s="2171">
        <f t="shared" si="20"/>
        <v>0</v>
      </c>
      <c r="R31" s="2171">
        <f t="shared" si="21"/>
        <v>5151046.1800000006</v>
      </c>
      <c r="S31" s="2171">
        <f t="shared" si="22"/>
        <v>6.9221373099990471</v>
      </c>
      <c r="T31" s="2170">
        <v>0</v>
      </c>
      <c r="U31" s="2171">
        <v>0</v>
      </c>
      <c r="V31" s="2171">
        <v>0</v>
      </c>
      <c r="W31" s="2172">
        <v>0</v>
      </c>
      <c r="X31" s="2173">
        <f t="shared" si="0"/>
        <v>5151046.1800000006</v>
      </c>
      <c r="Y31" s="2174">
        <f t="shared" si="1"/>
        <v>7.0841664317218189</v>
      </c>
      <c r="Z31" s="2170">
        <f t="shared" si="2"/>
        <v>5151.0461800000003</v>
      </c>
      <c r="AA31" s="2448" t="s">
        <v>1458</v>
      </c>
      <c r="AB31" s="13" t="s">
        <v>101</v>
      </c>
      <c r="AC31" s="655" t="s">
        <v>114</v>
      </c>
    </row>
    <row r="32" spans="1:29" thickBot="1" x14ac:dyDescent="0.3">
      <c r="A32" s="2170" t="s">
        <v>751</v>
      </c>
      <c r="B32" s="2171">
        <v>0</v>
      </c>
      <c r="C32" s="2171">
        <f t="shared" si="14"/>
        <v>0</v>
      </c>
      <c r="D32" s="2171">
        <v>0</v>
      </c>
      <c r="E32" s="2171">
        <f t="shared" si="14"/>
        <v>0</v>
      </c>
      <c r="F32" s="2171">
        <v>0</v>
      </c>
      <c r="G32" s="2171">
        <f t="shared" si="15"/>
        <v>0</v>
      </c>
      <c r="H32" s="2171">
        <v>0</v>
      </c>
      <c r="I32" s="2171">
        <f t="shared" si="16"/>
        <v>0</v>
      </c>
      <c r="J32" s="2171">
        <v>716790</v>
      </c>
      <c r="K32" s="2171">
        <f t="shared" si="17"/>
        <v>2.2494868914092754</v>
      </c>
      <c r="L32" s="2171">
        <v>0</v>
      </c>
      <c r="M32" s="2171">
        <f t="shared" si="18"/>
        <v>0</v>
      </c>
      <c r="N32" s="2171">
        <v>0</v>
      </c>
      <c r="O32" s="2171">
        <f t="shared" si="19"/>
        <v>0</v>
      </c>
      <c r="P32" s="2171">
        <v>0</v>
      </c>
      <c r="Q32" s="2171">
        <f t="shared" si="20"/>
        <v>0</v>
      </c>
      <c r="R32" s="2171">
        <f t="shared" si="21"/>
        <v>716790</v>
      </c>
      <c r="S32" s="2171">
        <f t="shared" si="22"/>
        <v>0.96324486891597161</v>
      </c>
      <c r="T32" s="2170">
        <v>0</v>
      </c>
      <c r="U32" s="2171">
        <v>0</v>
      </c>
      <c r="V32" s="2171">
        <v>0</v>
      </c>
      <c r="W32" s="2172">
        <v>0</v>
      </c>
      <c r="X32" s="2173">
        <f t="shared" si="0"/>
        <v>716790</v>
      </c>
      <c r="Y32" s="2174">
        <f t="shared" si="1"/>
        <v>0.98579191083739848</v>
      </c>
      <c r="Z32" s="2170">
        <f t="shared" si="2"/>
        <v>716.79</v>
      </c>
      <c r="AA32" s="2448" t="s">
        <v>1459</v>
      </c>
      <c r="AB32" s="13" t="s">
        <v>101</v>
      </c>
      <c r="AC32" s="655" t="s">
        <v>117</v>
      </c>
    </row>
    <row r="33" spans="1:29" thickBot="1" x14ac:dyDescent="0.3">
      <c r="A33" s="2170" t="s">
        <v>752</v>
      </c>
      <c r="B33" s="2171">
        <v>0</v>
      </c>
      <c r="C33" s="2171">
        <f t="shared" si="14"/>
        <v>0</v>
      </c>
      <c r="D33" s="2171">
        <v>0</v>
      </c>
      <c r="E33" s="2171">
        <f t="shared" si="14"/>
        <v>0</v>
      </c>
      <c r="F33" s="2171">
        <v>0</v>
      </c>
      <c r="G33" s="2171">
        <f t="shared" si="15"/>
        <v>0</v>
      </c>
      <c r="H33" s="2171">
        <v>0</v>
      </c>
      <c r="I33" s="2171">
        <f t="shared" si="16"/>
        <v>0</v>
      </c>
      <c r="J33" s="2171">
        <v>693680</v>
      </c>
      <c r="K33" s="2171">
        <f t="shared" si="17"/>
        <v>2.1769612673625276</v>
      </c>
      <c r="L33" s="2171">
        <v>0</v>
      </c>
      <c r="M33" s="2171">
        <f t="shared" si="18"/>
        <v>0</v>
      </c>
      <c r="N33" s="2171">
        <v>0</v>
      </c>
      <c r="O33" s="2171">
        <f t="shared" si="19"/>
        <v>0</v>
      </c>
      <c r="P33" s="2171">
        <v>1101852</v>
      </c>
      <c r="Q33" s="2171">
        <f t="shared" si="20"/>
        <v>15.088282416092678</v>
      </c>
      <c r="R33" s="2171">
        <f t="shared" si="21"/>
        <v>1795532</v>
      </c>
      <c r="S33" s="2171">
        <f t="shared" si="22"/>
        <v>2.4128921803797936</v>
      </c>
      <c r="T33" s="2170">
        <v>424219</v>
      </c>
      <c r="U33" s="2171">
        <v>361.65302642796252</v>
      </c>
      <c r="V33" s="2171">
        <v>56435</v>
      </c>
      <c r="W33" s="2172">
        <v>3.561241875433836</v>
      </c>
      <c r="X33" s="2173">
        <f t="shared" si="0"/>
        <v>1314878</v>
      </c>
      <c r="Y33" s="2174">
        <f t="shared" si="1"/>
        <v>1.808334513787939</v>
      </c>
      <c r="Z33" s="2170">
        <f t="shared" si="2"/>
        <v>1314.8779999999999</v>
      </c>
      <c r="AA33" s="2448" t="s">
        <v>1459</v>
      </c>
      <c r="AB33" s="13" t="s">
        <v>101</v>
      </c>
      <c r="AC33" s="655" t="s">
        <v>117</v>
      </c>
    </row>
    <row r="34" spans="1:29" thickBot="1" x14ac:dyDescent="0.3">
      <c r="A34" s="2170" t="s">
        <v>753</v>
      </c>
      <c r="B34" s="2171">
        <v>43520</v>
      </c>
      <c r="C34" s="2171">
        <f t="shared" si="14"/>
        <v>1.3377186241662311</v>
      </c>
      <c r="D34" s="2171">
        <v>54420</v>
      </c>
      <c r="E34" s="2171">
        <f t="shared" si="14"/>
        <v>1.2257584971957565</v>
      </c>
      <c r="F34" s="2171">
        <v>706438.03</v>
      </c>
      <c r="G34" s="2171">
        <f t="shared" si="15"/>
        <v>8.8536054191575495</v>
      </c>
      <c r="H34" s="2171">
        <v>149745</v>
      </c>
      <c r="I34" s="2171">
        <f t="shared" si="16"/>
        <v>2.3907941373694799</v>
      </c>
      <c r="J34" s="2171">
        <v>270216</v>
      </c>
      <c r="K34" s="2171">
        <f t="shared" si="17"/>
        <v>0.84801315566490709</v>
      </c>
      <c r="L34" s="2171">
        <v>215476</v>
      </c>
      <c r="M34" s="2171">
        <f t="shared" si="18"/>
        <v>3.0683659665361338</v>
      </c>
      <c r="N34" s="2171">
        <v>215950.32000000007</v>
      </c>
      <c r="O34" s="2171">
        <f t="shared" si="19"/>
        <v>3.433887546113727</v>
      </c>
      <c r="P34" s="2171">
        <v>45171</v>
      </c>
      <c r="Q34" s="2171">
        <f t="shared" si="20"/>
        <v>0.6185520423952785</v>
      </c>
      <c r="R34" s="2171">
        <f t="shared" si="21"/>
        <v>1700936.35</v>
      </c>
      <c r="S34" s="2171">
        <f t="shared" si="22"/>
        <v>2.285771580923508</v>
      </c>
      <c r="T34" s="2170">
        <v>0</v>
      </c>
      <c r="U34" s="2171">
        <v>0</v>
      </c>
      <c r="V34" s="2171">
        <v>0</v>
      </c>
      <c r="W34" s="2172">
        <v>0</v>
      </c>
      <c r="X34" s="2173">
        <f t="shared" si="0"/>
        <v>1700936.35</v>
      </c>
      <c r="Y34" s="2174">
        <f t="shared" si="1"/>
        <v>2.3392755126038169</v>
      </c>
      <c r="Z34" s="2170">
        <f t="shared" si="2"/>
        <v>1700.9363500000002</v>
      </c>
      <c r="AA34" s="2448" t="s">
        <v>1459</v>
      </c>
      <c r="AB34" s="13" t="s">
        <v>101</v>
      </c>
      <c r="AC34" s="655" t="s">
        <v>117</v>
      </c>
    </row>
    <row r="35" spans="1:29" thickBot="1" x14ac:dyDescent="0.3">
      <c r="A35" s="2170" t="s">
        <v>754</v>
      </c>
      <c r="B35" s="2171">
        <v>421219.67000000004</v>
      </c>
      <c r="C35" s="2171">
        <f t="shared" si="14"/>
        <v>12.947458580518244</v>
      </c>
      <c r="D35" s="2171">
        <v>358160</v>
      </c>
      <c r="E35" s="2171">
        <f t="shared" si="14"/>
        <v>8.0672117485415686</v>
      </c>
      <c r="F35" s="2171">
        <v>1625660</v>
      </c>
      <c r="G35" s="2171">
        <f t="shared" si="15"/>
        <v>20.37397701495156</v>
      </c>
      <c r="H35" s="2171">
        <v>789234</v>
      </c>
      <c r="I35" s="2171">
        <f t="shared" si="16"/>
        <v>12.600728039084203</v>
      </c>
      <c r="J35" s="2171">
        <v>2264910</v>
      </c>
      <c r="K35" s="2171">
        <f t="shared" si="17"/>
        <v>7.1079191328307907</v>
      </c>
      <c r="L35" s="2171">
        <v>482600</v>
      </c>
      <c r="M35" s="2171">
        <f t="shared" si="18"/>
        <v>6.8721965112139554</v>
      </c>
      <c r="N35" s="2171">
        <v>294599.87999999995</v>
      </c>
      <c r="O35" s="2171">
        <f t="shared" si="19"/>
        <v>4.6845166009413548</v>
      </c>
      <c r="P35" s="2171">
        <v>380912</v>
      </c>
      <c r="Q35" s="2171">
        <f t="shared" si="20"/>
        <v>5.216043381215167</v>
      </c>
      <c r="R35" s="2171">
        <f t="shared" si="21"/>
        <v>6617295.5499999998</v>
      </c>
      <c r="S35" s="2171">
        <f t="shared" si="22"/>
        <v>8.8925291712188947</v>
      </c>
      <c r="T35" s="2170">
        <v>54337</v>
      </c>
      <c r="U35" s="2171">
        <v>46.323103154305201</v>
      </c>
      <c r="V35" s="2171">
        <v>17466</v>
      </c>
      <c r="W35" s="2172">
        <v>1.1021644475295009</v>
      </c>
      <c r="X35" s="2173">
        <f t="shared" si="0"/>
        <v>6545492.5499999998</v>
      </c>
      <c r="Y35" s="2174">
        <f t="shared" si="1"/>
        <v>9.00193028395549</v>
      </c>
      <c r="Z35" s="2170">
        <f t="shared" si="2"/>
        <v>6545.4925499999999</v>
      </c>
      <c r="AA35" s="2448" t="s">
        <v>1459</v>
      </c>
      <c r="AB35" s="13" t="s">
        <v>101</v>
      </c>
      <c r="AC35" s="655" t="s">
        <v>117</v>
      </c>
    </row>
    <row r="36" spans="1:29" x14ac:dyDescent="0.3">
      <c r="A36" s="2175" t="s">
        <v>755</v>
      </c>
      <c r="B36" s="2176">
        <f>+SUM(B27:B35)</f>
        <v>1837369.2800000003</v>
      </c>
      <c r="C36" s="2176">
        <f t="shared" si="14"/>
        <v>56.477093412842351</v>
      </c>
      <c r="D36" s="2176">
        <f>+SUM(D27:D35)</f>
        <v>2702701.14</v>
      </c>
      <c r="E36" s="2176">
        <f t="shared" si="14"/>
        <v>60.875760524359755</v>
      </c>
      <c r="F36" s="2176">
        <f>+SUM(F27:F35)</f>
        <v>5042478.03</v>
      </c>
      <c r="G36" s="2176">
        <f t="shared" si="15"/>
        <v>63.196075121254282</v>
      </c>
      <c r="H36" s="2176">
        <f>+SUM(H27:H35)</f>
        <v>3652367.8400000003</v>
      </c>
      <c r="I36" s="2176">
        <f t="shared" si="16"/>
        <v>58.312862662451707</v>
      </c>
      <c r="J36" s="2176">
        <f>+SUM(J27:J35)</f>
        <v>17445146</v>
      </c>
      <c r="K36" s="2176">
        <f t="shared" si="17"/>
        <v>54.747732593536398</v>
      </c>
      <c r="L36" s="2176">
        <f>+SUM(L27:L35)</f>
        <v>3764176</v>
      </c>
      <c r="M36" s="2176">
        <f t="shared" si="18"/>
        <v>53.601651833392665</v>
      </c>
      <c r="N36" s="2176">
        <f>+SUM(N27:N35)</f>
        <v>3323320.7199999997</v>
      </c>
      <c r="O36" s="2176">
        <f t="shared" si="19"/>
        <v>52.845069329601827</v>
      </c>
      <c r="P36" s="2176">
        <f>+SUM(P27:P35)</f>
        <v>3884911</v>
      </c>
      <c r="Q36" s="2176">
        <f t="shared" si="20"/>
        <v>53.198282826899643</v>
      </c>
      <c r="R36" s="2176">
        <f t="shared" si="21"/>
        <v>41652470.009999998</v>
      </c>
      <c r="S36" s="2176">
        <f t="shared" si="22"/>
        <v>55.973894745753825</v>
      </c>
      <c r="T36" s="2175">
        <v>517280</v>
      </c>
      <c r="U36" s="2176">
        <v>440.98891730605288</v>
      </c>
      <c r="V36" s="2176">
        <v>539541</v>
      </c>
      <c r="W36" s="2177">
        <v>34.046885845901436</v>
      </c>
      <c r="X36" s="2178">
        <f t="shared" si="0"/>
        <v>40595649.009999998</v>
      </c>
      <c r="Y36" s="2179">
        <f t="shared" si="1"/>
        <v>55.830665061248403</v>
      </c>
      <c r="Z36" s="2175">
        <f t="shared" si="2"/>
        <v>40595.649010000001</v>
      </c>
    </row>
    <row r="37" spans="1:29" ht="15" thickBot="1" x14ac:dyDescent="0.35">
      <c r="A37" s="2130" t="s">
        <v>756</v>
      </c>
      <c r="B37" s="2131" t="s">
        <v>153</v>
      </c>
      <c r="C37" s="2131"/>
      <c r="D37" s="2131" t="s">
        <v>153</v>
      </c>
      <c r="E37" s="2131"/>
      <c r="F37" s="2131" t="s">
        <v>153</v>
      </c>
      <c r="G37" s="2131"/>
      <c r="H37" s="2131" t="s">
        <v>153</v>
      </c>
      <c r="I37" s="2131"/>
      <c r="J37" s="2131" t="s">
        <v>153</v>
      </c>
      <c r="K37" s="2131"/>
      <c r="L37" s="2131" t="s">
        <v>153</v>
      </c>
      <c r="M37" s="2131"/>
      <c r="N37" s="2131" t="s">
        <v>153</v>
      </c>
      <c r="O37" s="2131"/>
      <c r="P37" s="2131" t="s">
        <v>153</v>
      </c>
      <c r="Q37" s="2131"/>
      <c r="R37" s="2131" t="s">
        <v>153</v>
      </c>
      <c r="S37" s="2131"/>
      <c r="T37" s="2130" t="s">
        <v>153</v>
      </c>
      <c r="U37" s="2131"/>
      <c r="V37" s="2131" t="s">
        <v>153</v>
      </c>
      <c r="W37" s="2132"/>
      <c r="X37" s="2133"/>
      <c r="Y37" s="2134"/>
      <c r="Z37" s="2130">
        <f t="shared" si="2"/>
        <v>0</v>
      </c>
    </row>
    <row r="38" spans="1:29" thickBot="1" x14ac:dyDescent="0.3">
      <c r="A38" s="2180" t="s">
        <v>757</v>
      </c>
      <c r="B38" s="2181">
        <v>142431.10999999999</v>
      </c>
      <c r="C38" s="2181">
        <f t="shared" si="14"/>
        <v>4.3780502874004856</v>
      </c>
      <c r="D38" s="2181">
        <v>0</v>
      </c>
      <c r="E38" s="2181">
        <f t="shared" si="14"/>
        <v>0</v>
      </c>
      <c r="F38" s="2181">
        <v>0</v>
      </c>
      <c r="G38" s="2181">
        <f t="shared" ref="G38:G44" si="23">+F38/F$3</f>
        <v>0</v>
      </c>
      <c r="H38" s="2181">
        <v>76335.010000000009</v>
      </c>
      <c r="I38" s="2181">
        <f t="shared" ref="I38:I44" si="24">+H38/H$3</f>
        <v>1.2187471660759333</v>
      </c>
      <c r="J38" s="2181">
        <v>1427872</v>
      </c>
      <c r="K38" s="2181">
        <f t="shared" ref="K38:K44" si="25">+J38/J$3</f>
        <v>4.4810604871864079</v>
      </c>
      <c r="L38" s="2181">
        <v>119860</v>
      </c>
      <c r="M38" s="2181">
        <f t="shared" ref="M38:M44" si="26">+L38/L$3</f>
        <v>1.7067995728017087</v>
      </c>
      <c r="N38" s="2181">
        <v>469800</v>
      </c>
      <c r="O38" s="2181">
        <f t="shared" ref="O38:O44" si="27">+N38/N$3</f>
        <v>7.470423610227706</v>
      </c>
      <c r="P38" s="2181">
        <v>0</v>
      </c>
      <c r="Q38" s="2181">
        <f t="shared" ref="Q38:Q44" si="28">+P38/P$3</f>
        <v>0</v>
      </c>
      <c r="R38" s="2181">
        <f t="shared" ref="R38:R44" si="29">+B38+D38+F38+H38+J38+L38+N38+P38</f>
        <v>2236298.12</v>
      </c>
      <c r="S38" s="2181">
        <f t="shared" ref="S38:S44" si="30">+R38/R$3</f>
        <v>3.0052075077169516</v>
      </c>
      <c r="T38" s="2180">
        <v>0</v>
      </c>
      <c r="U38" s="2181">
        <v>0</v>
      </c>
      <c r="V38" s="2181">
        <v>0</v>
      </c>
      <c r="W38" s="2182">
        <v>0</v>
      </c>
      <c r="X38" s="2183">
        <f t="shared" si="0"/>
        <v>2236298.12</v>
      </c>
      <c r="Y38" s="2184">
        <f t="shared" si="1"/>
        <v>3.0755515519425241</v>
      </c>
      <c r="Z38" s="2180">
        <f t="shared" si="2"/>
        <v>2236.2981199999999</v>
      </c>
      <c r="AA38" s="2449" t="s">
        <v>1457</v>
      </c>
      <c r="AB38" s="10" t="s">
        <v>14</v>
      </c>
      <c r="AC38" s="655" t="s">
        <v>155</v>
      </c>
    </row>
    <row r="39" spans="1:29" thickBot="1" x14ac:dyDescent="0.3">
      <c r="A39" s="2180" t="s">
        <v>758</v>
      </c>
      <c r="B39" s="2181">
        <v>258.99</v>
      </c>
      <c r="C39" s="2181">
        <f t="shared" si="14"/>
        <v>7.960839762702487E-3</v>
      </c>
      <c r="D39" s="2181">
        <v>0</v>
      </c>
      <c r="E39" s="2181">
        <f t="shared" si="14"/>
        <v>0</v>
      </c>
      <c r="F39" s="2181">
        <v>0</v>
      </c>
      <c r="G39" s="2181">
        <f t="shared" si="23"/>
        <v>0</v>
      </c>
      <c r="H39" s="2181">
        <v>0</v>
      </c>
      <c r="I39" s="2181">
        <f t="shared" si="24"/>
        <v>0</v>
      </c>
      <c r="J39" s="2181">
        <v>704570</v>
      </c>
      <c r="K39" s="2181">
        <f t="shared" si="25"/>
        <v>2.2111371239557376</v>
      </c>
      <c r="L39" s="2181">
        <v>0</v>
      </c>
      <c r="M39" s="2181">
        <f t="shared" si="26"/>
        <v>0</v>
      </c>
      <c r="N39" s="2181">
        <v>0</v>
      </c>
      <c r="O39" s="2181">
        <f t="shared" si="27"/>
        <v>0</v>
      </c>
      <c r="P39" s="2181">
        <v>151840</v>
      </c>
      <c r="Q39" s="2181">
        <f t="shared" si="28"/>
        <v>2.0792309693674942</v>
      </c>
      <c r="R39" s="2181">
        <f t="shared" si="29"/>
        <v>856668.99</v>
      </c>
      <c r="S39" s="2181">
        <f t="shared" si="30"/>
        <v>1.1512186400158035</v>
      </c>
      <c r="T39" s="2180">
        <v>2825</v>
      </c>
      <c r="U39" s="2181">
        <v>2.4083546462063086</v>
      </c>
      <c r="V39" s="2181">
        <v>28107</v>
      </c>
      <c r="W39" s="2182">
        <v>1.7736480090868934</v>
      </c>
      <c r="X39" s="2183">
        <f t="shared" si="0"/>
        <v>825736.99</v>
      </c>
      <c r="Y39" s="2184">
        <f t="shared" si="1"/>
        <v>1.1356252810742642</v>
      </c>
      <c r="Z39" s="2180">
        <f t="shared" si="2"/>
        <v>825.73698999999999</v>
      </c>
      <c r="AA39" s="2449" t="s">
        <v>1459</v>
      </c>
      <c r="AB39" s="10" t="s">
        <v>14</v>
      </c>
      <c r="AC39" s="655" t="s">
        <v>117</v>
      </c>
    </row>
    <row r="40" spans="1:29" thickBot="1" x14ac:dyDescent="0.3">
      <c r="A40" s="2180" t="s">
        <v>759</v>
      </c>
      <c r="B40" s="2181">
        <v>974757.69999999984</v>
      </c>
      <c r="C40" s="2181">
        <f t="shared" si="14"/>
        <v>29.962121538130507</v>
      </c>
      <c r="D40" s="2181">
        <v>1706349.11</v>
      </c>
      <c r="E40" s="2181">
        <f t="shared" si="14"/>
        <v>38.433883145257568</v>
      </c>
      <c r="F40" s="2181">
        <v>1799378.0000000002</v>
      </c>
      <c r="G40" s="2181">
        <f t="shared" si="23"/>
        <v>22.551139852865614</v>
      </c>
      <c r="H40" s="2181">
        <v>2425643.3099999996</v>
      </c>
      <c r="I40" s="2181">
        <f t="shared" si="24"/>
        <v>38.727261710891838</v>
      </c>
      <c r="J40" s="2181">
        <f>7168640+13000</f>
        <v>7181640</v>
      </c>
      <c r="K40" s="2181">
        <f t="shared" si="25"/>
        <v>22.537988865386666</v>
      </c>
      <c r="L40" s="2181">
        <v>3241370</v>
      </c>
      <c r="M40" s="2181">
        <f t="shared" si="26"/>
        <v>46.156924172303313</v>
      </c>
      <c r="N40" s="2181">
        <v>1867771.34</v>
      </c>
      <c r="O40" s="2181">
        <f t="shared" si="27"/>
        <v>29.699964063096299</v>
      </c>
      <c r="P40" s="2181">
        <v>1475540</v>
      </c>
      <c r="Q40" s="2181">
        <f t="shared" si="28"/>
        <v>20.205403480904323</v>
      </c>
      <c r="R40" s="2181">
        <f t="shared" si="29"/>
        <v>20672449.460000001</v>
      </c>
      <c r="S40" s="2181">
        <f t="shared" si="30"/>
        <v>27.78028553728393</v>
      </c>
      <c r="T40" s="2180">
        <v>29024</v>
      </c>
      <c r="U40" s="2181">
        <v>24.743393009377662</v>
      </c>
      <c r="V40" s="2181">
        <v>276460</v>
      </c>
      <c r="W40" s="2182">
        <v>17.445573294629899</v>
      </c>
      <c r="X40" s="2183">
        <f t="shared" si="0"/>
        <v>20366965.460000001</v>
      </c>
      <c r="Y40" s="2184">
        <f t="shared" si="1"/>
        <v>28.010421181619016</v>
      </c>
      <c r="Z40" s="2180">
        <f t="shared" si="2"/>
        <v>20366.965459999999</v>
      </c>
      <c r="AA40" s="2449" t="s">
        <v>1457</v>
      </c>
      <c r="AB40" s="10" t="s">
        <v>14</v>
      </c>
      <c r="AC40" s="655" t="s">
        <v>155</v>
      </c>
    </row>
    <row r="41" spans="1:29" thickBot="1" x14ac:dyDescent="0.3">
      <c r="A41" s="2180" t="s">
        <v>748</v>
      </c>
      <c r="B41" s="2181">
        <v>69356.760000000009</v>
      </c>
      <c r="C41" s="2181">
        <f t="shared" si="14"/>
        <v>2.1318894660805952</v>
      </c>
      <c r="D41" s="2181">
        <v>0</v>
      </c>
      <c r="E41" s="2181">
        <f t="shared" si="14"/>
        <v>0</v>
      </c>
      <c r="F41" s="2181">
        <v>0</v>
      </c>
      <c r="G41" s="2181">
        <f t="shared" si="23"/>
        <v>0</v>
      </c>
      <c r="H41" s="2181">
        <v>192121.74</v>
      </c>
      <c r="I41" s="2181">
        <f t="shared" si="24"/>
        <v>3.0673713957275601</v>
      </c>
      <c r="J41" s="2181">
        <v>0</v>
      </c>
      <c r="K41" s="2181">
        <f t="shared" si="25"/>
        <v>0</v>
      </c>
      <c r="L41" s="2181">
        <v>0</v>
      </c>
      <c r="M41" s="2181">
        <f t="shared" si="26"/>
        <v>0</v>
      </c>
      <c r="N41" s="2181">
        <v>7838.7799999999988</v>
      </c>
      <c r="O41" s="2181">
        <f t="shared" si="27"/>
        <v>0.12464667345121484</v>
      </c>
      <c r="P41" s="2181">
        <v>0</v>
      </c>
      <c r="Q41" s="2181">
        <f t="shared" si="28"/>
        <v>0</v>
      </c>
      <c r="R41" s="2181">
        <f t="shared" si="29"/>
        <v>269317.28000000003</v>
      </c>
      <c r="S41" s="2181">
        <f t="shared" si="30"/>
        <v>0.36191700228854484</v>
      </c>
      <c r="T41" s="2180">
        <v>0</v>
      </c>
      <c r="U41" s="2181">
        <v>0</v>
      </c>
      <c r="V41" s="2181">
        <v>0</v>
      </c>
      <c r="W41" s="2182">
        <v>0</v>
      </c>
      <c r="X41" s="2183">
        <f t="shared" si="0"/>
        <v>269317.28000000003</v>
      </c>
      <c r="Y41" s="2184">
        <f t="shared" si="1"/>
        <v>0.3703885323075527</v>
      </c>
      <c r="Z41" s="2180">
        <f t="shared" si="2"/>
        <v>269.31728000000004</v>
      </c>
      <c r="AA41" s="2449" t="s">
        <v>1457</v>
      </c>
      <c r="AB41" s="10" t="s">
        <v>14</v>
      </c>
      <c r="AC41" s="655" t="s">
        <v>155</v>
      </c>
    </row>
    <row r="42" spans="1:29" thickBot="1" x14ac:dyDescent="0.3">
      <c r="A42" s="2180" t="s">
        <v>760</v>
      </c>
      <c r="B42" s="2181">
        <v>0</v>
      </c>
      <c r="C42" s="2181">
        <f t="shared" si="14"/>
        <v>0</v>
      </c>
      <c r="D42" s="2181">
        <v>134620.03</v>
      </c>
      <c r="E42" s="2181">
        <f t="shared" si="14"/>
        <v>3.0321875351938194</v>
      </c>
      <c r="F42" s="2181">
        <v>0</v>
      </c>
      <c r="G42" s="2181">
        <f t="shared" si="23"/>
        <v>0</v>
      </c>
      <c r="H42" s="2181">
        <v>0</v>
      </c>
      <c r="I42" s="2181">
        <f t="shared" si="24"/>
        <v>0</v>
      </c>
      <c r="J42" s="2181">
        <v>0</v>
      </c>
      <c r="K42" s="2181">
        <f t="shared" si="25"/>
        <v>0</v>
      </c>
      <c r="L42" s="2181">
        <v>0</v>
      </c>
      <c r="M42" s="2181">
        <f t="shared" si="26"/>
        <v>0</v>
      </c>
      <c r="N42" s="2181">
        <v>0</v>
      </c>
      <c r="O42" s="2181">
        <f t="shared" si="27"/>
        <v>0</v>
      </c>
      <c r="P42" s="2181">
        <v>0</v>
      </c>
      <c r="Q42" s="2181">
        <f t="shared" si="28"/>
        <v>0</v>
      </c>
      <c r="R42" s="2181">
        <f t="shared" si="29"/>
        <v>134620.03</v>
      </c>
      <c r="S42" s="2181">
        <f t="shared" si="30"/>
        <v>0.18090661581608861</v>
      </c>
      <c r="T42" s="2180">
        <v>0</v>
      </c>
      <c r="U42" s="2181">
        <v>0</v>
      </c>
      <c r="V42" s="2181">
        <v>0</v>
      </c>
      <c r="W42" s="2182">
        <v>0</v>
      </c>
      <c r="X42" s="2183">
        <f t="shared" si="0"/>
        <v>134620.03</v>
      </c>
      <c r="Y42" s="2184">
        <f t="shared" si="1"/>
        <v>0.18514116632582472</v>
      </c>
      <c r="Z42" s="2180">
        <f t="shared" si="2"/>
        <v>134.62002999999999</v>
      </c>
      <c r="AA42" s="2449" t="s">
        <v>1459</v>
      </c>
      <c r="AB42" s="10" t="s">
        <v>14</v>
      </c>
      <c r="AC42" s="655" t="s">
        <v>117</v>
      </c>
    </row>
    <row r="43" spans="1:29" thickBot="1" x14ac:dyDescent="0.3">
      <c r="A43" s="2180" t="s">
        <v>754</v>
      </c>
      <c r="B43" s="2181">
        <v>42371.509999999995</v>
      </c>
      <c r="C43" s="2181">
        <f t="shared" si="14"/>
        <v>1.3024163157409399</v>
      </c>
      <c r="D43" s="2181">
        <v>69340</v>
      </c>
      <c r="E43" s="2181">
        <f t="shared" si="14"/>
        <v>1.561817239903597</v>
      </c>
      <c r="F43" s="2181">
        <v>0</v>
      </c>
      <c r="G43" s="2181">
        <f t="shared" si="23"/>
        <v>0</v>
      </c>
      <c r="H43" s="2181">
        <v>0</v>
      </c>
      <c r="I43" s="2181">
        <f t="shared" si="24"/>
        <v>0</v>
      </c>
      <c r="J43" s="2181">
        <v>134700</v>
      </c>
      <c r="K43" s="2181">
        <f t="shared" si="25"/>
        <v>0.42272616006477409</v>
      </c>
      <c r="L43" s="2181">
        <v>0</v>
      </c>
      <c r="M43" s="2181">
        <f t="shared" si="26"/>
        <v>0</v>
      </c>
      <c r="N43" s="2181">
        <v>156920.12</v>
      </c>
      <c r="O43" s="2181">
        <f t="shared" si="27"/>
        <v>2.4952315227070345</v>
      </c>
      <c r="P43" s="2181">
        <v>0</v>
      </c>
      <c r="Q43" s="2181">
        <f t="shared" si="28"/>
        <v>0</v>
      </c>
      <c r="R43" s="2181">
        <f t="shared" si="29"/>
        <v>403331.63</v>
      </c>
      <c r="S43" s="2181">
        <f t="shared" si="30"/>
        <v>0.54200968633632607</v>
      </c>
      <c r="T43" s="2180">
        <v>0</v>
      </c>
      <c r="U43" s="2181">
        <v>0</v>
      </c>
      <c r="V43" s="2181">
        <v>0</v>
      </c>
      <c r="W43" s="2182">
        <v>0</v>
      </c>
      <c r="X43" s="2183">
        <f t="shared" si="0"/>
        <v>403331.63</v>
      </c>
      <c r="Y43" s="2184">
        <f t="shared" si="1"/>
        <v>0.55469671485213601</v>
      </c>
      <c r="Z43" s="2180">
        <f t="shared" si="2"/>
        <v>403.33163000000002</v>
      </c>
      <c r="AA43" s="2449" t="s">
        <v>1459</v>
      </c>
      <c r="AB43" s="10" t="s">
        <v>14</v>
      </c>
      <c r="AC43" s="655" t="s">
        <v>117</v>
      </c>
    </row>
    <row r="44" spans="1:29" x14ac:dyDescent="0.3">
      <c r="A44" s="2185" t="s">
        <v>761</v>
      </c>
      <c r="B44" s="2186">
        <f>+SUM(B38:B43)</f>
        <v>1229176.0699999998</v>
      </c>
      <c r="C44" s="2186">
        <f t="shared" si="14"/>
        <v>37.782438447115233</v>
      </c>
      <c r="D44" s="2186">
        <f>+SUM(D38:D43)</f>
        <v>1910309.1400000001</v>
      </c>
      <c r="E44" s="2186">
        <f t="shared" si="14"/>
        <v>43.027887920354985</v>
      </c>
      <c r="F44" s="2186">
        <f>+SUM(F38:F43)</f>
        <v>1799378.0000000002</v>
      </c>
      <c r="G44" s="2186">
        <f t="shared" si="23"/>
        <v>22.551139852865614</v>
      </c>
      <c r="H44" s="2186">
        <f>+SUM(H38:H43)</f>
        <v>2694100.0599999996</v>
      </c>
      <c r="I44" s="2186">
        <f t="shared" si="24"/>
        <v>43.013380272695336</v>
      </c>
      <c r="J44" s="2186">
        <f>+SUM(J38:J43)</f>
        <v>9448782</v>
      </c>
      <c r="K44" s="2186">
        <f t="shared" si="25"/>
        <v>29.652912636593587</v>
      </c>
      <c r="L44" s="2186">
        <f>+SUM(L38:L43)</f>
        <v>3361230</v>
      </c>
      <c r="M44" s="2186">
        <f t="shared" si="26"/>
        <v>47.86372374510502</v>
      </c>
      <c r="N44" s="2186">
        <f>+SUM(N38:N43)</f>
        <v>2502330.2399999998</v>
      </c>
      <c r="O44" s="2186">
        <f t="shared" si="27"/>
        <v>39.790265869482248</v>
      </c>
      <c r="P44" s="2186">
        <f>+SUM(P38:P43)</f>
        <v>1627380</v>
      </c>
      <c r="Q44" s="2186">
        <f t="shared" si="28"/>
        <v>22.284634450271817</v>
      </c>
      <c r="R44" s="2186">
        <f t="shared" si="29"/>
        <v>24572685.509999998</v>
      </c>
      <c r="S44" s="2186">
        <f t="shared" si="30"/>
        <v>33.021544989457638</v>
      </c>
      <c r="T44" s="2185">
        <v>31849</v>
      </c>
      <c r="U44" s="2186">
        <v>27.151747655583971</v>
      </c>
      <c r="V44" s="2186">
        <v>304567</v>
      </c>
      <c r="W44" s="2187">
        <v>19.219221303716793</v>
      </c>
      <c r="X44" s="2188">
        <f t="shared" si="0"/>
        <v>24236269.509999998</v>
      </c>
      <c r="Y44" s="2189">
        <f t="shared" si="1"/>
        <v>33.331824428121315</v>
      </c>
      <c r="Z44" s="2185">
        <f t="shared" si="2"/>
        <v>24236.269509999998</v>
      </c>
    </row>
    <row r="45" spans="1:29" ht="15" thickBot="1" x14ac:dyDescent="0.35">
      <c r="A45" s="2130" t="s">
        <v>762</v>
      </c>
      <c r="B45" s="2131" t="s">
        <v>153</v>
      </c>
      <c r="C45" s="2131"/>
      <c r="D45" s="2131" t="s">
        <v>153</v>
      </c>
      <c r="E45" s="2131"/>
      <c r="F45" s="2131" t="s">
        <v>153</v>
      </c>
      <c r="G45" s="2131"/>
      <c r="H45" s="2131" t="s">
        <v>153</v>
      </c>
      <c r="I45" s="2131"/>
      <c r="J45" s="2131" t="s">
        <v>153</v>
      </c>
      <c r="K45" s="2131"/>
      <c r="L45" s="2131" t="s">
        <v>153</v>
      </c>
      <c r="M45" s="2131"/>
      <c r="N45" s="2131" t="s">
        <v>153</v>
      </c>
      <c r="O45" s="2131"/>
      <c r="P45" s="2131" t="s">
        <v>153</v>
      </c>
      <c r="Q45" s="2131"/>
      <c r="R45" s="2131" t="s">
        <v>153</v>
      </c>
      <c r="S45" s="2131"/>
      <c r="T45" s="2130" t="s">
        <v>153</v>
      </c>
      <c r="U45" s="2131"/>
      <c r="V45" s="2131" t="s">
        <v>153</v>
      </c>
      <c r="W45" s="2132"/>
      <c r="X45" s="2133"/>
      <c r="Y45" s="2134"/>
      <c r="Z45" s="2130">
        <f t="shared" si="2"/>
        <v>0</v>
      </c>
    </row>
    <row r="46" spans="1:29" thickBot="1" x14ac:dyDescent="0.3">
      <c r="A46" s="2190" t="s">
        <v>747</v>
      </c>
      <c r="B46" s="2191">
        <v>1139674</v>
      </c>
      <c r="C46" s="2191">
        <f t="shared" si="14"/>
        <v>35.031322042234038</v>
      </c>
      <c r="D46" s="2191">
        <v>1923494</v>
      </c>
      <c r="E46" s="2191">
        <f t="shared" si="14"/>
        <v>43.324864292632384</v>
      </c>
      <c r="F46" s="2191">
        <v>2132065</v>
      </c>
      <c r="G46" s="2191">
        <f>+F46/F$3</f>
        <v>26.720620120063668</v>
      </c>
      <c r="H46" s="2191">
        <v>2213873</v>
      </c>
      <c r="I46" s="2191">
        <f>+H46/H$3</f>
        <v>35.346185777692625</v>
      </c>
      <c r="J46" s="2191">
        <v>8684620</v>
      </c>
      <c r="K46" s="2191">
        <f>+J46/J$3</f>
        <v>27.254759199864427</v>
      </c>
      <c r="L46" s="2191">
        <v>2408172</v>
      </c>
      <c r="M46" s="2191">
        <f>+L46/L$3</f>
        <v>34.292232111071556</v>
      </c>
      <c r="N46" s="2191">
        <v>2308228</v>
      </c>
      <c r="O46" s="2191">
        <f>+N46/N$3</f>
        <v>36.703790866302</v>
      </c>
      <c r="P46" s="2191">
        <v>2069382</v>
      </c>
      <c r="Q46" s="2191">
        <f>+P46/P$3</f>
        <v>28.337217741383323</v>
      </c>
      <c r="R46" s="2191">
        <f>+B46+D46+F46+H46+J46+L46+N46+P46</f>
        <v>22879508</v>
      </c>
      <c r="S46" s="2191">
        <f>+R46/R$3</f>
        <v>30.746199980917595</v>
      </c>
      <c r="T46" s="2190">
        <v>38446</v>
      </c>
      <c r="U46" s="2191">
        <v>32.775788576300087</v>
      </c>
      <c r="V46" s="2191">
        <v>342796</v>
      </c>
      <c r="W46" s="2192">
        <v>21.631602195999243</v>
      </c>
      <c r="X46" s="2193">
        <f t="shared" si="0"/>
        <v>22498266</v>
      </c>
      <c r="Y46" s="2194">
        <f t="shared" si="1"/>
        <v>30.941570935236363</v>
      </c>
      <c r="Z46" s="2190">
        <f t="shared" si="2"/>
        <v>22498.266</v>
      </c>
      <c r="AA46" s="2450" t="s">
        <v>1457</v>
      </c>
      <c r="AB46" s="13" t="s">
        <v>12</v>
      </c>
      <c r="AC46" s="655" t="s">
        <v>155</v>
      </c>
    </row>
    <row r="47" spans="1:29" thickBot="1" x14ac:dyDescent="0.3">
      <c r="A47" s="2190" t="s">
        <v>763</v>
      </c>
      <c r="B47" s="2191">
        <v>0</v>
      </c>
      <c r="C47" s="2191">
        <f t="shared" si="14"/>
        <v>0</v>
      </c>
      <c r="D47" s="2191">
        <v>0</v>
      </c>
      <c r="E47" s="2191">
        <f t="shared" si="14"/>
        <v>0</v>
      </c>
      <c r="F47" s="2191">
        <v>216200</v>
      </c>
      <c r="G47" s="2191">
        <f>+F47/F$3</f>
        <v>2.709578774548508</v>
      </c>
      <c r="H47" s="2191">
        <v>0</v>
      </c>
      <c r="I47" s="2191">
        <f>+H47/H$3</f>
        <v>0</v>
      </c>
      <c r="J47" s="2191">
        <v>1184147</v>
      </c>
      <c r="K47" s="2191">
        <f>+J47/J$3</f>
        <v>3.7161834763342392</v>
      </c>
      <c r="L47" s="2191">
        <v>0</v>
      </c>
      <c r="M47" s="2191">
        <f>+L47/L$3</f>
        <v>0</v>
      </c>
      <c r="N47" s="2191">
        <v>0</v>
      </c>
      <c r="O47" s="2191">
        <f>+N47/N$3</f>
        <v>0</v>
      </c>
      <c r="P47" s="2191">
        <v>0</v>
      </c>
      <c r="Q47" s="2191">
        <f>+P47/P$3</f>
        <v>0</v>
      </c>
      <c r="R47" s="2191">
        <f>+B47+D47+F47+H47+J47+L47+N47+P47</f>
        <v>1400347</v>
      </c>
      <c r="S47" s="2191">
        <f>+R47/R$3</f>
        <v>1.8818301907837358</v>
      </c>
      <c r="T47" s="2190">
        <v>0</v>
      </c>
      <c r="U47" s="2191">
        <v>0</v>
      </c>
      <c r="V47" s="2191">
        <v>0</v>
      </c>
      <c r="W47" s="2192">
        <v>0</v>
      </c>
      <c r="X47" s="2193">
        <f t="shared" si="0"/>
        <v>1400347</v>
      </c>
      <c r="Y47" s="2194">
        <f t="shared" si="1"/>
        <v>1.9258789114879091</v>
      </c>
      <c r="Z47" s="2190">
        <f t="shared" si="2"/>
        <v>1400.347</v>
      </c>
      <c r="AA47" s="2450" t="s">
        <v>1458</v>
      </c>
      <c r="AB47" s="13" t="s">
        <v>12</v>
      </c>
      <c r="AC47" s="655" t="s">
        <v>114</v>
      </c>
    </row>
    <row r="48" spans="1:29" thickBot="1" x14ac:dyDescent="0.3">
      <c r="A48" s="2190" t="s">
        <v>764</v>
      </c>
      <c r="B48" s="2191">
        <v>0</v>
      </c>
      <c r="C48" s="2191">
        <f t="shared" si="14"/>
        <v>0</v>
      </c>
      <c r="D48" s="2191">
        <v>0</v>
      </c>
      <c r="E48" s="2191">
        <f t="shared" si="14"/>
        <v>0</v>
      </c>
      <c r="F48" s="2191">
        <v>0</v>
      </c>
      <c r="G48" s="2191">
        <f>+F48/F$3</f>
        <v>0</v>
      </c>
      <c r="H48" s="2191">
        <v>43640</v>
      </c>
      <c r="I48" s="2191">
        <f>+H48/H$3</f>
        <v>0.69674617619823098</v>
      </c>
      <c r="J48" s="2191">
        <v>0</v>
      </c>
      <c r="K48" s="2191">
        <f>+J48/J$3</f>
        <v>0</v>
      </c>
      <c r="L48" s="2191">
        <v>0</v>
      </c>
      <c r="M48" s="2191">
        <f>+L48/L$3</f>
        <v>0</v>
      </c>
      <c r="N48" s="2191">
        <v>0</v>
      </c>
      <c r="O48" s="2191">
        <f>+N48/N$3</f>
        <v>0</v>
      </c>
      <c r="P48" s="2191">
        <v>0</v>
      </c>
      <c r="Q48" s="2191">
        <f>+P48/P$3</f>
        <v>0</v>
      </c>
      <c r="R48" s="2191">
        <f>+B48+D48+F48+H48+J48+L48+N48+P48</f>
        <v>43640</v>
      </c>
      <c r="S48" s="2191">
        <f>+R48/R$3</f>
        <v>5.8644799843040496E-2</v>
      </c>
      <c r="T48" s="2190">
        <v>0</v>
      </c>
      <c r="U48" s="2191">
        <v>0</v>
      </c>
      <c r="V48" s="2191">
        <v>0</v>
      </c>
      <c r="W48" s="2192">
        <v>0</v>
      </c>
      <c r="X48" s="2193">
        <f t="shared" si="0"/>
        <v>43640</v>
      </c>
      <c r="Y48" s="2194">
        <f t="shared" si="1"/>
        <v>6.0017521155351035E-2</v>
      </c>
      <c r="Z48" s="2190">
        <f t="shared" si="2"/>
        <v>43.64</v>
      </c>
      <c r="AA48" s="2450" t="s">
        <v>1459</v>
      </c>
      <c r="AB48" s="13" t="s">
        <v>12</v>
      </c>
      <c r="AC48" s="655" t="s">
        <v>117</v>
      </c>
    </row>
    <row r="49" spans="1:29" x14ac:dyDescent="0.3">
      <c r="A49" s="2195" t="s">
        <v>765</v>
      </c>
      <c r="B49" s="2196">
        <f>+SUM(B46:B48)</f>
        <v>1139674</v>
      </c>
      <c r="C49" s="2196">
        <f t="shared" si="14"/>
        <v>35.031322042234038</v>
      </c>
      <c r="D49" s="2196">
        <f>+SUM(D46:D48)</f>
        <v>1923494</v>
      </c>
      <c r="E49" s="2196">
        <f t="shared" si="14"/>
        <v>43.324864292632384</v>
      </c>
      <c r="F49" s="2196">
        <f>+SUM(F46:F48)</f>
        <v>2348265</v>
      </c>
      <c r="G49" s="2196">
        <f>+F49/F$3</f>
        <v>29.430198894612175</v>
      </c>
      <c r="H49" s="2196">
        <f>+SUM(H46:H48)</f>
        <v>2257513</v>
      </c>
      <c r="I49" s="2196">
        <f>+H49/H$3</f>
        <v>36.042931953890857</v>
      </c>
      <c r="J49" s="2196">
        <f>+SUM(J46:J48)</f>
        <v>9868767</v>
      </c>
      <c r="K49" s="2196">
        <f>+J49/J$3</f>
        <v>30.970942676198664</v>
      </c>
      <c r="L49" s="2196">
        <f>+SUM(L46:L48)</f>
        <v>2408172</v>
      </c>
      <c r="M49" s="2196">
        <f>+L49/L$3</f>
        <v>34.292232111071556</v>
      </c>
      <c r="N49" s="2196">
        <f>+SUM(N46:N48)</f>
        <v>2308228</v>
      </c>
      <c r="O49" s="2196">
        <f>+N49/N$3</f>
        <v>36.703790866302</v>
      </c>
      <c r="P49" s="2196">
        <f>+SUM(P46:P48)</f>
        <v>2069382</v>
      </c>
      <c r="Q49" s="2196">
        <f>+P49/P$3</f>
        <v>28.337217741383323</v>
      </c>
      <c r="R49" s="2196">
        <f>+B49+D49+F49+H49+J49+L49+N49+P49</f>
        <v>24323495</v>
      </c>
      <c r="S49" s="2196">
        <f>+R49/R$3</f>
        <v>32.68667497154437</v>
      </c>
      <c r="T49" s="2195">
        <v>38446</v>
      </c>
      <c r="U49" s="2196">
        <v>32.775788576300087</v>
      </c>
      <c r="V49" s="2196">
        <v>342796</v>
      </c>
      <c r="W49" s="2197">
        <v>21.631602195999243</v>
      </c>
      <c r="X49" s="2198">
        <f t="shared" si="0"/>
        <v>23942253</v>
      </c>
      <c r="Y49" s="2199">
        <f t="shared" si="1"/>
        <v>32.927467367879622</v>
      </c>
      <c r="Z49" s="2195">
        <f t="shared" si="2"/>
        <v>23942.253000000001</v>
      </c>
    </row>
    <row r="50" spans="1:29" ht="15" thickBot="1" x14ac:dyDescent="0.35">
      <c r="A50" s="2130" t="s">
        <v>766</v>
      </c>
      <c r="B50" s="2131" t="s">
        <v>153</v>
      </c>
      <c r="C50" s="2131"/>
      <c r="D50" s="2131" t="s">
        <v>153</v>
      </c>
      <c r="E50" s="2131"/>
      <c r="F50" s="2131" t="s">
        <v>153</v>
      </c>
      <c r="G50" s="2131"/>
      <c r="H50" s="2131" t="s">
        <v>153</v>
      </c>
      <c r="I50" s="2131"/>
      <c r="J50" s="2131" t="s">
        <v>153</v>
      </c>
      <c r="K50" s="2131"/>
      <c r="L50" s="2131" t="s">
        <v>153</v>
      </c>
      <c r="M50" s="2131"/>
      <c r="N50" s="2131" t="s">
        <v>153</v>
      </c>
      <c r="O50" s="2131"/>
      <c r="P50" s="2131" t="s">
        <v>153</v>
      </c>
      <c r="Q50" s="2131"/>
      <c r="R50" s="2131" t="s">
        <v>153</v>
      </c>
      <c r="S50" s="2131"/>
      <c r="T50" s="2130" t="s">
        <v>153</v>
      </c>
      <c r="U50" s="2131"/>
      <c r="V50" s="2131" t="s">
        <v>153</v>
      </c>
      <c r="W50" s="2132"/>
      <c r="X50" s="2133"/>
      <c r="Y50" s="2134"/>
      <c r="Z50" s="2130">
        <f t="shared" si="2"/>
        <v>0</v>
      </c>
    </row>
    <row r="51" spans="1:29" thickBot="1" x14ac:dyDescent="0.3">
      <c r="A51" s="2200" t="s">
        <v>766</v>
      </c>
      <c r="B51" s="2201">
        <v>0</v>
      </c>
      <c r="C51" s="2201">
        <f t="shared" si="14"/>
        <v>0</v>
      </c>
      <c r="D51" s="2201">
        <v>0</v>
      </c>
      <c r="E51" s="2201">
        <f t="shared" si="14"/>
        <v>0</v>
      </c>
      <c r="F51" s="2201">
        <v>119720</v>
      </c>
      <c r="G51" s="2201">
        <f>+F51/F$3</f>
        <v>1.5004198468498953</v>
      </c>
      <c r="H51" s="2201">
        <v>0</v>
      </c>
      <c r="I51" s="2201">
        <f>+H51/H$3</f>
        <v>0</v>
      </c>
      <c r="J51" s="2201">
        <v>9137</v>
      </c>
      <c r="K51" s="2201">
        <f>+J51/J$3</f>
        <v>2.8674453782567489E-2</v>
      </c>
      <c r="L51" s="2201">
        <v>0</v>
      </c>
      <c r="M51" s="2201">
        <f>+L51/L$3</f>
        <v>0</v>
      </c>
      <c r="N51" s="2201">
        <v>0</v>
      </c>
      <c r="O51" s="2201">
        <f>+N51/N$3</f>
        <v>0</v>
      </c>
      <c r="P51" s="2201">
        <v>0</v>
      </c>
      <c r="Q51" s="2201">
        <f>+P51/P$3</f>
        <v>0</v>
      </c>
      <c r="R51" s="2201">
        <f>+B51+D51+F51+H51+J51+L51+N51+P51</f>
        <v>128857</v>
      </c>
      <c r="S51" s="2201">
        <f>+R51/R$3</f>
        <v>0.17316207546688062</v>
      </c>
      <c r="T51" s="2200">
        <v>0</v>
      </c>
      <c r="U51" s="2201">
        <v>0</v>
      </c>
      <c r="V51" s="2201">
        <v>0</v>
      </c>
      <c r="W51" s="2202">
        <v>0</v>
      </c>
      <c r="X51" s="2203">
        <f t="shared" si="0"/>
        <v>128857</v>
      </c>
      <c r="Y51" s="2204">
        <f t="shared" si="1"/>
        <v>0.17721534655167434</v>
      </c>
      <c r="Z51" s="2200">
        <f t="shared" si="2"/>
        <v>128.857</v>
      </c>
      <c r="AA51" s="2451" t="s">
        <v>1457</v>
      </c>
      <c r="AB51" s="2441" t="s">
        <v>178</v>
      </c>
      <c r="AC51" s="655" t="s">
        <v>155</v>
      </c>
    </row>
    <row r="52" spans="1:29" x14ac:dyDescent="0.3">
      <c r="A52" s="2205" t="s">
        <v>767</v>
      </c>
      <c r="B52" s="2206">
        <f>+B51</f>
        <v>0</v>
      </c>
      <c r="C52" s="2206">
        <f t="shared" si="14"/>
        <v>0</v>
      </c>
      <c r="D52" s="2206">
        <f>+D51</f>
        <v>0</v>
      </c>
      <c r="E52" s="2206">
        <f t="shared" si="14"/>
        <v>0</v>
      </c>
      <c r="F52" s="2206">
        <v>119720</v>
      </c>
      <c r="G52" s="2206">
        <f>+G51</f>
        <v>1.5004198468498953</v>
      </c>
      <c r="H52" s="2206">
        <v>0</v>
      </c>
      <c r="I52" s="2206">
        <f>+I51</f>
        <v>0</v>
      </c>
      <c r="J52" s="2206">
        <v>9137</v>
      </c>
      <c r="K52" s="2206">
        <f>+K51</f>
        <v>2.8674453782567489E-2</v>
      </c>
      <c r="L52" s="2206">
        <v>0</v>
      </c>
      <c r="M52" s="2206">
        <f>+M51</f>
        <v>0</v>
      </c>
      <c r="N52" s="2206">
        <v>0</v>
      </c>
      <c r="O52" s="2206">
        <f>+O51</f>
        <v>0</v>
      </c>
      <c r="P52" s="2206">
        <v>0</v>
      </c>
      <c r="Q52" s="2206">
        <f>+Q51</f>
        <v>0</v>
      </c>
      <c r="R52" s="2206">
        <f>+B52+D52+F52+H52+J52+L52+N52+P52</f>
        <v>128857</v>
      </c>
      <c r="S52" s="2206">
        <f>+S51</f>
        <v>0.17316207546688062</v>
      </c>
      <c r="T52" s="2205">
        <v>0</v>
      </c>
      <c r="U52" s="2206">
        <v>0</v>
      </c>
      <c r="V52" s="2206">
        <v>0</v>
      </c>
      <c r="W52" s="2207">
        <v>0</v>
      </c>
      <c r="X52" s="2208">
        <f t="shared" si="0"/>
        <v>128857</v>
      </c>
      <c r="Y52" s="2209">
        <f t="shared" si="1"/>
        <v>0.17721534655167434</v>
      </c>
      <c r="Z52" s="2205">
        <f t="shared" si="2"/>
        <v>128.857</v>
      </c>
    </row>
    <row r="53" spans="1:29" ht="15" thickBot="1" x14ac:dyDescent="0.35">
      <c r="A53" s="2130" t="s">
        <v>768</v>
      </c>
      <c r="B53" s="2131" t="s">
        <v>153</v>
      </c>
      <c r="C53" s="2131"/>
      <c r="D53" s="2131" t="s">
        <v>153</v>
      </c>
      <c r="E53" s="2131"/>
      <c r="F53" s="2131" t="s">
        <v>153</v>
      </c>
      <c r="G53" s="2131"/>
      <c r="H53" s="2131" t="s">
        <v>153</v>
      </c>
      <c r="I53" s="2131"/>
      <c r="J53" s="2131" t="s">
        <v>153</v>
      </c>
      <c r="K53" s="2131"/>
      <c r="L53" s="2131" t="s">
        <v>153</v>
      </c>
      <c r="M53" s="2131"/>
      <c r="N53" s="2131" t="s">
        <v>153</v>
      </c>
      <c r="O53" s="2131"/>
      <c r="P53" s="2131" t="s">
        <v>153</v>
      </c>
      <c r="Q53" s="2131"/>
      <c r="R53" s="2131" t="s">
        <v>153</v>
      </c>
      <c r="S53" s="2131"/>
      <c r="T53" s="2130">
        <v>6.802988252954216E-3</v>
      </c>
      <c r="U53" s="2131"/>
      <c r="V53" s="2131">
        <v>0.21412612801312597</v>
      </c>
      <c r="W53" s="2132"/>
      <c r="X53" s="2133"/>
      <c r="Y53" s="2134"/>
      <c r="Z53" s="2130">
        <f t="shared" si="2"/>
        <v>0</v>
      </c>
    </row>
    <row r="54" spans="1:29" thickBot="1" x14ac:dyDescent="0.3">
      <c r="A54" s="2210" t="s">
        <v>769</v>
      </c>
      <c r="B54" s="2211">
        <v>89534</v>
      </c>
      <c r="C54" s="2211">
        <f t="shared" si="14"/>
        <v>2.7520978698552239</v>
      </c>
      <c r="D54" s="2211">
        <v>0</v>
      </c>
      <c r="E54" s="2211">
        <f t="shared" si="14"/>
        <v>0</v>
      </c>
      <c r="F54" s="2211">
        <v>0</v>
      </c>
      <c r="G54" s="2211">
        <f>+F54/F$3</f>
        <v>0</v>
      </c>
      <c r="H54" s="2211">
        <v>0</v>
      </c>
      <c r="I54" s="2211">
        <f>+H54/H$3</f>
        <v>0</v>
      </c>
      <c r="J54" s="2211">
        <f>4423047-J115</f>
        <v>1667707</v>
      </c>
      <c r="K54" s="2211">
        <f>+J54/J$3</f>
        <v>5.2337295933418275</v>
      </c>
      <c r="L54" s="2211">
        <v>452640</v>
      </c>
      <c r="M54" s="2211">
        <f>+L54/L$3</f>
        <v>6.4455678177287288</v>
      </c>
      <c r="N54" s="2211">
        <v>108280.49</v>
      </c>
      <c r="O54" s="2211">
        <f>+N54/N$3</f>
        <v>1.7217989123521182</v>
      </c>
      <c r="P54" s="2211">
        <v>187978</v>
      </c>
      <c r="Q54" s="2211">
        <f>+P54/P$3</f>
        <v>2.5740890355621895</v>
      </c>
      <c r="R54" s="2211">
        <f>+B54+D54+F54+H54+J54+L54+N54+P54</f>
        <v>2506139.4900000002</v>
      </c>
      <c r="S54" s="2211">
        <f>+R54/R$3</f>
        <v>3.3678287985744642</v>
      </c>
      <c r="T54" s="2210">
        <v>1726.312693093156</v>
      </c>
      <c r="U54" s="2211">
        <v>1.4717073257401159</v>
      </c>
      <c r="V54" s="2211">
        <v>41850</v>
      </c>
      <c r="W54" s="2212">
        <v>2.6408783996971037</v>
      </c>
      <c r="X54" s="2213">
        <f t="shared" si="0"/>
        <v>2462563.1773069073</v>
      </c>
      <c r="Y54" s="2214">
        <f t="shared" si="1"/>
        <v>3.3867309255363374</v>
      </c>
      <c r="Z54" s="2210">
        <f t="shared" si="2"/>
        <v>2462.5631773069072</v>
      </c>
      <c r="AA54" s="2452" t="s">
        <v>1457</v>
      </c>
      <c r="AB54" s="11" t="s">
        <v>83</v>
      </c>
      <c r="AC54" s="655" t="s">
        <v>155</v>
      </c>
    </row>
    <row r="55" spans="1:29" thickBot="1" x14ac:dyDescent="0.3">
      <c r="A55" s="2210" t="s">
        <v>770</v>
      </c>
      <c r="B55" s="2211">
        <v>0</v>
      </c>
      <c r="C55" s="2211">
        <f t="shared" si="14"/>
        <v>0</v>
      </c>
      <c r="D55" s="2211">
        <v>0</v>
      </c>
      <c r="E55" s="2211">
        <f t="shared" si="14"/>
        <v>0</v>
      </c>
      <c r="F55" s="2211">
        <v>0</v>
      </c>
      <c r="G55" s="2211">
        <f>+F55/F$3</f>
        <v>0</v>
      </c>
      <c r="H55" s="2211">
        <v>0</v>
      </c>
      <c r="I55" s="2211">
        <f>+H55/H$3</f>
        <v>0</v>
      </c>
      <c r="J55" s="2211">
        <v>133287</v>
      </c>
      <c r="K55" s="2211">
        <f>+J55/J$3</f>
        <v>0.41829177206053114</v>
      </c>
      <c r="L55" s="2211">
        <v>0</v>
      </c>
      <c r="M55" s="2211">
        <f>+L55/L$3</f>
        <v>0</v>
      </c>
      <c r="N55" s="2211">
        <v>0</v>
      </c>
      <c r="O55" s="2211">
        <f>+N55/N$3</f>
        <v>0</v>
      </c>
      <c r="P55" s="2211">
        <v>0</v>
      </c>
      <c r="Q55" s="2211">
        <f>+P55/P$3</f>
        <v>0</v>
      </c>
      <c r="R55" s="2211">
        <f>+B55+D55+F55+H55+J55+L55+N55+P55</f>
        <v>133287</v>
      </c>
      <c r="S55" s="2211">
        <f>+R55/R$3</f>
        <v>0.17911524831987485</v>
      </c>
      <c r="T55" s="2210">
        <v>0</v>
      </c>
      <c r="U55" s="2211">
        <v>0</v>
      </c>
      <c r="V55" s="2211">
        <v>0</v>
      </c>
      <c r="W55" s="2212">
        <v>0</v>
      </c>
      <c r="X55" s="2213">
        <f t="shared" si="0"/>
        <v>133287</v>
      </c>
      <c r="Y55" s="2214">
        <f t="shared" si="1"/>
        <v>0.18330786760387885</v>
      </c>
      <c r="Z55" s="2210">
        <f t="shared" si="2"/>
        <v>133.28700000000001</v>
      </c>
      <c r="AA55" s="2452" t="s">
        <v>1459</v>
      </c>
      <c r="AB55" s="11" t="s">
        <v>83</v>
      </c>
      <c r="AC55" s="655" t="s">
        <v>117</v>
      </c>
    </row>
    <row r="56" spans="1:29" thickBot="1" x14ac:dyDescent="0.3">
      <c r="A56" s="2210" t="s">
        <v>771</v>
      </c>
      <c r="B56" s="2211">
        <v>11020</v>
      </c>
      <c r="C56" s="2211">
        <f t="shared" si="14"/>
        <v>0.33873297882150433</v>
      </c>
      <c r="D56" s="2211">
        <v>17520</v>
      </c>
      <c r="E56" s="2211">
        <f t="shared" si="14"/>
        <v>0.39462125819312116</v>
      </c>
      <c r="F56" s="2211">
        <v>0</v>
      </c>
      <c r="G56" s="2211">
        <f>+F56/F$3</f>
        <v>0</v>
      </c>
      <c r="H56" s="2211">
        <v>0</v>
      </c>
      <c r="I56" s="2211">
        <f>+H56/H$3</f>
        <v>0</v>
      </c>
      <c r="J56" s="2211">
        <v>496655</v>
      </c>
      <c r="K56" s="2211">
        <f>+J56/J$3</f>
        <v>1.5586418784481839</v>
      </c>
      <c r="L56" s="2211">
        <v>0</v>
      </c>
      <c r="M56" s="2211">
        <f>+L56/L$3</f>
        <v>0</v>
      </c>
      <c r="N56" s="2211">
        <f>239080.44-N115</f>
        <v>100136.07</v>
      </c>
      <c r="O56" s="2211">
        <f>+N56/N$3</f>
        <v>1.5922921702073529</v>
      </c>
      <c r="P56" s="2211">
        <f>270350-P115</f>
        <v>65780</v>
      </c>
      <c r="Q56" s="2211">
        <f>+P56/P$3</f>
        <v>0.9007627315924247</v>
      </c>
      <c r="R56" s="2211">
        <f>+B56+D56+F56+H56+J56+L56+N56+P56</f>
        <v>691111.07000000007</v>
      </c>
      <c r="S56" s="2211">
        <f>+R56/R$3</f>
        <v>0.92873671790695589</v>
      </c>
      <c r="T56" s="2210">
        <v>0</v>
      </c>
      <c r="U56" s="2211">
        <v>0</v>
      </c>
      <c r="V56" s="2211">
        <v>12486.217992354817</v>
      </c>
      <c r="W56" s="2212">
        <v>0.78792313954406623</v>
      </c>
      <c r="X56" s="2213">
        <f t="shared" si="0"/>
        <v>678624.8520076453</v>
      </c>
      <c r="Y56" s="2214">
        <f t="shared" si="1"/>
        <v>0.93330388203290138</v>
      </c>
      <c r="Z56" s="2210">
        <f t="shared" si="2"/>
        <v>678.62485200764525</v>
      </c>
      <c r="AA56" s="2452" t="s">
        <v>1459</v>
      </c>
      <c r="AB56" s="11" t="s">
        <v>83</v>
      </c>
      <c r="AC56" s="655" t="s">
        <v>117</v>
      </c>
    </row>
    <row r="57" spans="1:29" x14ac:dyDescent="0.3">
      <c r="A57" s="2215" t="s">
        <v>772</v>
      </c>
      <c r="B57" s="2216">
        <f>+SUM(B54:B56)</f>
        <v>100554</v>
      </c>
      <c r="C57" s="2216">
        <f t="shared" si="14"/>
        <v>3.0908308486767284</v>
      </c>
      <c r="D57" s="2216">
        <f>+SUM(D54:D56)</f>
        <v>17520</v>
      </c>
      <c r="E57" s="2216">
        <f t="shared" si="14"/>
        <v>0.39462125819312116</v>
      </c>
      <c r="F57" s="2211">
        <f>+SUM(F54:F56)</f>
        <v>0</v>
      </c>
      <c r="G57" s="2211">
        <f>+F57/F$3</f>
        <v>0</v>
      </c>
      <c r="H57" s="2211">
        <f>+SUM(H54:H56)</f>
        <v>0</v>
      </c>
      <c r="I57" s="2211">
        <f>+H57/H$3</f>
        <v>0</v>
      </c>
      <c r="J57" s="2216">
        <f>+SUM(J54:J56)</f>
        <v>2297649</v>
      </c>
      <c r="K57" s="2216">
        <f>+J57/J$3</f>
        <v>7.2106632438505427</v>
      </c>
      <c r="L57" s="2216">
        <f>+SUM(L54:L56)</f>
        <v>452640</v>
      </c>
      <c r="M57" s="2216">
        <f>+L57/L$3</f>
        <v>6.4455678177287288</v>
      </c>
      <c r="N57" s="2211">
        <f>+SUM(N54:N56)</f>
        <v>208416.56</v>
      </c>
      <c r="O57" s="2216">
        <f>+N57/N$3</f>
        <v>3.3140910825594707</v>
      </c>
      <c r="P57" s="2211">
        <f>+SUM(P54:P56)</f>
        <v>253758</v>
      </c>
      <c r="Q57" s="2216">
        <f>+P57/P$3</f>
        <v>3.4748517671546142</v>
      </c>
      <c r="R57" s="2216">
        <f>+B57+D57+F57+H57+J57+L57+N57+P57</f>
        <v>3330537.56</v>
      </c>
      <c r="S57" s="2216">
        <f>+R57/R$3</f>
        <v>4.4756807648012948</v>
      </c>
      <c r="T57" s="2215">
        <v>1726.312693093156</v>
      </c>
      <c r="U57" s="2216">
        <v>1.4717073257401159</v>
      </c>
      <c r="V57" s="2216">
        <v>54336.217992354817</v>
      </c>
      <c r="W57" s="2217">
        <v>3.4288015392411699</v>
      </c>
      <c r="X57" s="2218">
        <f t="shared" si="0"/>
        <v>3274475.0293145524</v>
      </c>
      <c r="Y57" s="2219">
        <f t="shared" si="1"/>
        <v>4.5033426751731174</v>
      </c>
      <c r="Z57" s="2215">
        <f t="shared" si="2"/>
        <v>3274.4750293145526</v>
      </c>
    </row>
    <row r="58" spans="1:29" ht="15" thickBot="1" x14ac:dyDescent="0.35">
      <c r="A58" s="2130" t="s">
        <v>773</v>
      </c>
      <c r="B58" s="2131" t="s">
        <v>153</v>
      </c>
      <c r="C58" s="2131"/>
      <c r="D58" s="2131" t="s">
        <v>153</v>
      </c>
      <c r="E58" s="2131"/>
      <c r="F58" s="2131" t="s">
        <v>153</v>
      </c>
      <c r="G58" s="2131"/>
      <c r="H58" s="2131" t="s">
        <v>153</v>
      </c>
      <c r="I58" s="2131"/>
      <c r="J58" s="2131" t="s">
        <v>153</v>
      </c>
      <c r="K58" s="2131"/>
      <c r="L58" s="2131" t="s">
        <v>153</v>
      </c>
      <c r="M58" s="2131"/>
      <c r="N58" s="2131" t="s">
        <v>153</v>
      </c>
      <c r="O58" s="2131"/>
      <c r="P58" s="2131" t="s">
        <v>153</v>
      </c>
      <c r="Q58" s="2131"/>
      <c r="R58" s="2131" t="s">
        <v>153</v>
      </c>
      <c r="S58" s="2131"/>
      <c r="T58" s="2130">
        <v>-1391.687306906844</v>
      </c>
      <c r="U58" s="2131"/>
      <c r="V58" s="2131">
        <v>-43803.782007645183</v>
      </c>
      <c r="W58" s="2132"/>
      <c r="X58" s="2133"/>
      <c r="Y58" s="2134"/>
      <c r="Z58" s="2130">
        <f t="shared" si="2"/>
        <v>0</v>
      </c>
    </row>
    <row r="59" spans="1:29" thickBot="1" x14ac:dyDescent="0.3">
      <c r="A59" s="2220" t="s">
        <v>774</v>
      </c>
      <c r="B59" s="2221">
        <v>95700</v>
      </c>
      <c r="C59" s="2221">
        <f t="shared" si="14"/>
        <v>2.9416285002920111</v>
      </c>
      <c r="D59" s="2221">
        <v>462600</v>
      </c>
      <c r="E59" s="2221">
        <f t="shared" si="14"/>
        <v>10.419622947496453</v>
      </c>
      <c r="F59" s="2221">
        <v>4048481</v>
      </c>
      <c r="G59" s="2221">
        <f>+F59/F$3</f>
        <v>50.738567006303967</v>
      </c>
      <c r="H59" s="2221">
        <v>1030620</v>
      </c>
      <c r="I59" s="2221">
        <f>+H59/H$3</f>
        <v>16.454641249161796</v>
      </c>
      <c r="J59" s="2221">
        <v>2401677</v>
      </c>
      <c r="K59" s="2221">
        <f>+J59/J$3</f>
        <v>7.5371321152627049</v>
      </c>
      <c r="L59" s="2221">
        <v>711680</v>
      </c>
      <c r="M59" s="2221">
        <f>+L59/L$3</f>
        <v>10.134282662869348</v>
      </c>
      <c r="N59" s="2221">
        <v>0</v>
      </c>
      <c r="O59" s="2221">
        <f>+N59/N$3</f>
        <v>0</v>
      </c>
      <c r="P59" s="2221">
        <v>1240457</v>
      </c>
      <c r="Q59" s="2221">
        <f>+P59/P$3</f>
        <v>16.986279047475591</v>
      </c>
      <c r="R59" s="2221">
        <f>+B59+D59+F59+H59+J59+L59+N59+P59</f>
        <v>9991215</v>
      </c>
      <c r="S59" s="2221">
        <f>+R59/R$3</f>
        <v>13.426507879555084</v>
      </c>
      <c r="T59" s="2220">
        <v>186742</v>
      </c>
      <c r="U59" s="2221">
        <v>159.2003410059676</v>
      </c>
      <c r="V59" s="2221">
        <v>88126</v>
      </c>
      <c r="W59" s="2222">
        <v>5.5610525651542879</v>
      </c>
      <c r="X59" s="2223">
        <f t="shared" si="0"/>
        <v>9716347</v>
      </c>
      <c r="Y59" s="2224">
        <f t="shared" si="1"/>
        <v>13.362764931833905</v>
      </c>
      <c r="Z59" s="2220">
        <f t="shared" si="2"/>
        <v>9716.3469999999998</v>
      </c>
      <c r="AA59" s="2453" t="s">
        <v>1459</v>
      </c>
      <c r="AB59" s="4" t="s">
        <v>29</v>
      </c>
      <c r="AC59" s="655" t="s">
        <v>117</v>
      </c>
    </row>
    <row r="60" spans="1:29" thickBot="1" x14ac:dyDescent="0.3">
      <c r="A60" s="2220" t="s">
        <v>775</v>
      </c>
      <c r="B60" s="2221">
        <v>3229</v>
      </c>
      <c r="C60" s="2221">
        <f t="shared" si="14"/>
        <v>9.9253066117480707E-2</v>
      </c>
      <c r="D60" s="2221">
        <v>254680</v>
      </c>
      <c r="E60" s="2221">
        <f t="shared" si="14"/>
        <v>5.7364236322274031</v>
      </c>
      <c r="F60" s="2221">
        <v>0</v>
      </c>
      <c r="G60" s="2221">
        <f>+F60/F$3</f>
        <v>0</v>
      </c>
      <c r="H60" s="2221">
        <v>0</v>
      </c>
      <c r="I60" s="2221">
        <f>+H60/H$3</f>
        <v>0</v>
      </c>
      <c r="J60" s="2221">
        <v>0</v>
      </c>
      <c r="K60" s="2221">
        <f>+J60/J$3</f>
        <v>0</v>
      </c>
      <c r="L60" s="2221">
        <v>0</v>
      </c>
      <c r="M60" s="2221">
        <f>+L60/L$3</f>
        <v>0</v>
      </c>
      <c r="N60" s="2221">
        <v>0</v>
      </c>
      <c r="O60" s="2221">
        <f>+N60/N$3</f>
        <v>0</v>
      </c>
      <c r="P60" s="2221">
        <v>309240</v>
      </c>
      <c r="Q60" s="2221">
        <f>+P60/P$3</f>
        <v>4.2345981623235245</v>
      </c>
      <c r="R60" s="2221">
        <f>+B60+D60+F60+H60+J60+L60+N60+P60</f>
        <v>567149</v>
      </c>
      <c r="S60" s="2221">
        <f>+R60/R$3</f>
        <v>0.76215260279973818</v>
      </c>
      <c r="T60" s="2220">
        <v>5084</v>
      </c>
      <c r="U60" s="2221">
        <v>4.3341858482523445</v>
      </c>
      <c r="V60" s="2221">
        <v>69122</v>
      </c>
      <c r="W60" s="2222">
        <v>4.3618350476430869</v>
      </c>
      <c r="X60" s="2223">
        <f t="shared" si="0"/>
        <v>492943</v>
      </c>
      <c r="Y60" s="2224">
        <f t="shared" si="1"/>
        <v>0.67793805982773159</v>
      </c>
      <c r="Z60" s="2220">
        <f t="shared" si="2"/>
        <v>492.94299999999998</v>
      </c>
      <c r="AA60" s="2453" t="s">
        <v>1459</v>
      </c>
      <c r="AB60" s="4" t="s">
        <v>29</v>
      </c>
      <c r="AC60" s="655" t="s">
        <v>117</v>
      </c>
    </row>
    <row r="61" spans="1:29" thickBot="1" x14ac:dyDescent="0.3">
      <c r="A61" s="2220" t="s">
        <v>776</v>
      </c>
      <c r="B61" s="2221">
        <v>2400</v>
      </c>
      <c r="C61" s="2221">
        <f t="shared" si="14"/>
        <v>7.3771247656225988E-2</v>
      </c>
      <c r="D61" s="2221">
        <v>0</v>
      </c>
      <c r="E61" s="2221">
        <f t="shared" si="14"/>
        <v>0</v>
      </c>
      <c r="F61" s="2221">
        <v>0</v>
      </c>
      <c r="G61" s="2221">
        <f>+F61/F$3</f>
        <v>0</v>
      </c>
      <c r="H61" s="2221">
        <v>0</v>
      </c>
      <c r="I61" s="2221">
        <f>+H61/H$3</f>
        <v>0</v>
      </c>
      <c r="J61" s="2221">
        <v>1638903</v>
      </c>
      <c r="K61" s="2221">
        <f>+J61/J$3</f>
        <v>5.1433346095667289</v>
      </c>
      <c r="L61" s="2221">
        <v>0</v>
      </c>
      <c r="M61" s="2221">
        <f>+L61/L$3</f>
        <v>0</v>
      </c>
      <c r="N61" s="2221">
        <v>16920</v>
      </c>
      <c r="O61" s="2221">
        <f>+N61/N$3</f>
        <v>0.26904973921892888</v>
      </c>
      <c r="P61" s="2221">
        <v>0</v>
      </c>
      <c r="Q61" s="2221">
        <f>+P61/P$3</f>
        <v>0</v>
      </c>
      <c r="R61" s="2221">
        <f>+B61+D61+F61+H61+J61+L61+N61+P61</f>
        <v>1658223</v>
      </c>
      <c r="S61" s="2221">
        <f>+R61/R$3</f>
        <v>2.2283720423951912</v>
      </c>
      <c r="T61" s="2220">
        <v>0</v>
      </c>
      <c r="U61" s="2221">
        <v>0</v>
      </c>
      <c r="V61" s="2221">
        <v>0</v>
      </c>
      <c r="W61" s="2222">
        <v>0</v>
      </c>
      <c r="X61" s="2223">
        <f t="shared" si="0"/>
        <v>1658223</v>
      </c>
      <c r="Y61" s="2224">
        <f t="shared" si="1"/>
        <v>2.2805324010721737</v>
      </c>
      <c r="Z61" s="2220">
        <f t="shared" si="2"/>
        <v>1658.223</v>
      </c>
      <c r="AA61" s="2453" t="s">
        <v>1458</v>
      </c>
      <c r="AB61" s="4" t="s">
        <v>29</v>
      </c>
      <c r="AC61" s="655" t="s">
        <v>114</v>
      </c>
    </row>
    <row r="62" spans="1:29" thickBot="1" x14ac:dyDescent="0.3">
      <c r="A62" s="2220" t="s">
        <v>777</v>
      </c>
      <c r="B62" s="2221">
        <v>1396280</v>
      </c>
      <c r="C62" s="2221">
        <f t="shared" si="14"/>
        <v>42.918882365598009</v>
      </c>
      <c r="D62" s="2221">
        <v>855070</v>
      </c>
      <c r="E62" s="2221">
        <f t="shared" si="14"/>
        <v>19.259634659999548</v>
      </c>
      <c r="F62" s="2221">
        <v>0</v>
      </c>
      <c r="G62" s="2221">
        <f>+F62/F$3</f>
        <v>0</v>
      </c>
      <c r="H62" s="2221">
        <v>1967430</v>
      </c>
      <c r="I62" s="2221">
        <f>+H62/H$3</f>
        <v>31.411533671807643</v>
      </c>
      <c r="J62" s="2221">
        <v>1036547</v>
      </c>
      <c r="K62" s="2221">
        <f>+J62/J$3</f>
        <v>3.2529735192031284</v>
      </c>
      <c r="L62" s="2221">
        <v>1210260</v>
      </c>
      <c r="M62" s="2221">
        <f>+L62/L$3</f>
        <v>17.234033463866144</v>
      </c>
      <c r="N62" s="2221">
        <v>1461600.4499999997</v>
      </c>
      <c r="O62" s="2221">
        <f>+N62/N$3</f>
        <v>23.241325054064365</v>
      </c>
      <c r="P62" s="2221">
        <v>713320</v>
      </c>
      <c r="Q62" s="2221">
        <f>+P62/P$3</f>
        <v>9.7678940665781155</v>
      </c>
      <c r="R62" s="2221">
        <f>+B62+D62+F62+H62+J62+L62+N62+P62</f>
        <v>8640507.4499999993</v>
      </c>
      <c r="S62" s="2221">
        <f>+R62/R$3</f>
        <v>11.611384737569894</v>
      </c>
      <c r="T62" s="2220">
        <v>0</v>
      </c>
      <c r="U62" s="2221">
        <v>0</v>
      </c>
      <c r="V62" s="2221">
        <v>137100</v>
      </c>
      <c r="W62" s="2222">
        <v>8.6514797753518025</v>
      </c>
      <c r="X62" s="2223">
        <f t="shared" si="0"/>
        <v>8503407.4499999993</v>
      </c>
      <c r="Y62" s="2224">
        <f t="shared" si="1"/>
        <v>11.694625034897905</v>
      </c>
      <c r="Z62" s="2220">
        <f t="shared" si="2"/>
        <v>8503.4074499999988</v>
      </c>
      <c r="AA62" s="2453" t="s">
        <v>1459</v>
      </c>
      <c r="AB62" s="4" t="s">
        <v>29</v>
      </c>
      <c r="AC62" s="655" t="s">
        <v>117</v>
      </c>
    </row>
    <row r="63" spans="1:29" x14ac:dyDescent="0.3">
      <c r="A63" s="2225" t="s">
        <v>778</v>
      </c>
      <c r="B63" s="2226">
        <f>+SUM(B59:B62)</f>
        <v>1497609</v>
      </c>
      <c r="C63" s="2226">
        <f t="shared" si="14"/>
        <v>46.033535179663723</v>
      </c>
      <c r="D63" s="2226">
        <f>+SUM(D59:D62)</f>
        <v>1572350</v>
      </c>
      <c r="E63" s="2226">
        <f t="shared" si="14"/>
        <v>35.415681239723405</v>
      </c>
      <c r="F63" s="2226">
        <f>+SUM(F59:F62)</f>
        <v>4048481</v>
      </c>
      <c r="G63" s="2226">
        <f>+F63/F$3</f>
        <v>50.738567006303967</v>
      </c>
      <c r="H63" s="2226">
        <f>+SUM(H59:H62)</f>
        <v>2998050</v>
      </c>
      <c r="I63" s="2226">
        <f>+H63/H$3</f>
        <v>47.866174920969442</v>
      </c>
      <c r="J63" s="2226">
        <f>+SUM(J59:J62)</f>
        <v>5077127</v>
      </c>
      <c r="K63" s="2226">
        <f>+J63/J$3</f>
        <v>15.933440244032562</v>
      </c>
      <c r="L63" s="2226">
        <f>+SUM(L59:L62)</f>
        <v>1921940</v>
      </c>
      <c r="M63" s="2226">
        <f>+L63/L$3</f>
        <v>27.368316126735493</v>
      </c>
      <c r="N63" s="2226">
        <f>+SUM(N59:N62)</f>
        <v>1478520.4499999997</v>
      </c>
      <c r="O63" s="2226">
        <f>+N63/N$3</f>
        <v>23.510374793283294</v>
      </c>
      <c r="P63" s="2226">
        <f>+SUM(P59:P62)</f>
        <v>2263017</v>
      </c>
      <c r="Q63" s="2226">
        <f>+P63/P$3</f>
        <v>30.988771276377232</v>
      </c>
      <c r="R63" s="2226">
        <f>+B63+D63+F63+H63+J63+L63+N63+P63</f>
        <v>20857094.449999999</v>
      </c>
      <c r="S63" s="2226">
        <f>+R63/R$3</f>
        <v>28.028417262319909</v>
      </c>
      <c r="T63" s="2225">
        <v>191826</v>
      </c>
      <c r="U63" s="2226">
        <v>163.53452685421993</v>
      </c>
      <c r="V63" s="2226">
        <v>294348</v>
      </c>
      <c r="W63" s="2227">
        <v>18.574367388149177</v>
      </c>
      <c r="X63" s="2228">
        <f t="shared" si="0"/>
        <v>20370920.449999999</v>
      </c>
      <c r="Y63" s="2229">
        <f t="shared" si="1"/>
        <v>28.015860427631715</v>
      </c>
      <c r="Z63" s="2225">
        <f t="shared" si="2"/>
        <v>20370.920449999998</v>
      </c>
    </row>
    <row r="64" spans="1:29" ht="15" thickBot="1" x14ac:dyDescent="0.35">
      <c r="A64" s="2130" t="s">
        <v>779</v>
      </c>
      <c r="B64" s="2131" t="s">
        <v>153</v>
      </c>
      <c r="C64" s="2131"/>
      <c r="D64" s="2131" t="s">
        <v>153</v>
      </c>
      <c r="E64" s="2131"/>
      <c r="F64" s="2131" t="s">
        <v>153</v>
      </c>
      <c r="G64" s="2131"/>
      <c r="H64" s="2131" t="s">
        <v>153</v>
      </c>
      <c r="I64" s="2131"/>
      <c r="J64" s="2131" t="s">
        <v>153</v>
      </c>
      <c r="K64" s="2131"/>
      <c r="L64" s="2131" t="s">
        <v>153</v>
      </c>
      <c r="M64" s="2131"/>
      <c r="N64" s="2131" t="s">
        <v>153</v>
      </c>
      <c r="O64" s="2131"/>
      <c r="P64" s="2131" t="s">
        <v>153</v>
      </c>
      <c r="Q64" s="2131"/>
      <c r="R64" s="2131" t="s">
        <v>153</v>
      </c>
      <c r="S64" s="2131"/>
      <c r="T64" s="2130" t="s">
        <v>153</v>
      </c>
      <c r="U64" s="2131"/>
      <c r="V64" s="2131" t="s">
        <v>153</v>
      </c>
      <c r="W64" s="2132"/>
      <c r="X64" s="2133"/>
      <c r="Y64" s="2134">
        <f t="shared" si="1"/>
        <v>0</v>
      </c>
      <c r="Z64" s="2130">
        <f t="shared" si="2"/>
        <v>0</v>
      </c>
    </row>
    <row r="65" spans="1:29" thickBot="1" x14ac:dyDescent="0.3">
      <c r="A65" s="2230" t="s">
        <v>780</v>
      </c>
      <c r="B65" s="2231">
        <v>181961.75000000006</v>
      </c>
      <c r="C65" s="2231">
        <f t="shared" si="14"/>
        <v>5.5931438846709511</v>
      </c>
      <c r="D65" s="2231">
        <v>298100.84000000008</v>
      </c>
      <c r="E65" s="2231">
        <f t="shared" si="14"/>
        <v>6.7144365610288999</v>
      </c>
      <c r="F65" s="2231">
        <v>261241.01</v>
      </c>
      <c r="G65" s="2231">
        <f>+F65/F$3</f>
        <v>3.2740661227456731</v>
      </c>
      <c r="H65" s="2231">
        <v>349430.65000000014</v>
      </c>
      <c r="I65" s="2231">
        <f>+H65/H$3</f>
        <v>5.5789291758469863</v>
      </c>
      <c r="J65" s="2231">
        <v>1241341</v>
      </c>
      <c r="K65" s="2231">
        <f>+J65/J$3</f>
        <v>3.8956741964437023</v>
      </c>
      <c r="L65" s="2231">
        <v>375355</v>
      </c>
      <c r="M65" s="2231">
        <f>+L65/L$3</f>
        <v>5.3450338198647209</v>
      </c>
      <c r="N65" s="2231">
        <v>401548.64</v>
      </c>
      <c r="O65" s="2231">
        <f>+N65/N$3</f>
        <v>6.3851392952550565</v>
      </c>
      <c r="P65" s="2231">
        <v>250181</v>
      </c>
      <c r="Q65" s="2231">
        <f>+P65/P$3</f>
        <v>3.4258698837416297</v>
      </c>
      <c r="R65" s="2231">
        <f>+B65+D65+F65+H65+J65+L65+N65+P65</f>
        <v>3359159.89</v>
      </c>
      <c r="S65" s="2231">
        <f>+R65/R$3</f>
        <v>4.5141443489876245</v>
      </c>
      <c r="T65" s="2230">
        <v>3330</v>
      </c>
      <c r="U65" s="2231">
        <v>2.8388746803069052</v>
      </c>
      <c r="V65" s="2231">
        <v>56128</v>
      </c>
      <c r="W65" s="2232">
        <v>3.5418691234934059</v>
      </c>
      <c r="X65" s="2233">
        <f t="shared" si="0"/>
        <v>3299701.89</v>
      </c>
      <c r="Y65" s="2234">
        <f t="shared" si="1"/>
        <v>4.5380368466871399</v>
      </c>
      <c r="Z65" s="2230">
        <f t="shared" si="2"/>
        <v>3299.7018900000003</v>
      </c>
      <c r="AA65" s="2454" t="s">
        <v>1457</v>
      </c>
      <c r="AB65" s="9" t="s">
        <v>25</v>
      </c>
      <c r="AC65" s="655" t="s">
        <v>155</v>
      </c>
    </row>
    <row r="66" spans="1:29" thickBot="1" x14ac:dyDescent="0.3">
      <c r="A66" s="2230" t="s">
        <v>781</v>
      </c>
      <c r="B66" s="2231">
        <v>0</v>
      </c>
      <c r="C66" s="2231">
        <f t="shared" si="14"/>
        <v>0</v>
      </c>
      <c r="D66" s="2231">
        <v>0</v>
      </c>
      <c r="E66" s="2231">
        <f t="shared" si="14"/>
        <v>0</v>
      </c>
      <c r="F66" s="2231">
        <v>0</v>
      </c>
      <c r="G66" s="2231">
        <f>+F66/F$3</f>
        <v>0</v>
      </c>
      <c r="H66" s="2231">
        <v>0</v>
      </c>
      <c r="I66" s="2231">
        <f>+H66/H$3</f>
        <v>0</v>
      </c>
      <c r="J66" s="2231">
        <v>0</v>
      </c>
      <c r="K66" s="2231">
        <f>+J66/J$3</f>
        <v>0</v>
      </c>
      <c r="L66" s="2231">
        <v>27076</v>
      </c>
      <c r="M66" s="2231">
        <f>+L66/L$3</f>
        <v>0.38556069775720897</v>
      </c>
      <c r="N66" s="2231">
        <v>13677.159999999998</v>
      </c>
      <c r="O66" s="2231">
        <f>+N66/N$3</f>
        <v>0.21748441674087263</v>
      </c>
      <c r="P66" s="2231">
        <v>0</v>
      </c>
      <c r="Q66" s="2231">
        <f>+P66/P$3</f>
        <v>0</v>
      </c>
      <c r="R66" s="2231">
        <f>+B66+D66+F66+H66+J66+L66+N66+P66</f>
        <v>40753.159999999996</v>
      </c>
      <c r="S66" s="2231">
        <f>+R66/R$3</f>
        <v>5.4765373766530803E-2</v>
      </c>
      <c r="T66" s="2230">
        <v>0</v>
      </c>
      <c r="U66" s="2231">
        <v>0</v>
      </c>
      <c r="V66" s="2231">
        <v>0</v>
      </c>
      <c r="W66" s="2232">
        <v>0</v>
      </c>
      <c r="X66" s="2233">
        <f t="shared" si="0"/>
        <v>40753.159999999996</v>
      </c>
      <c r="Y66" s="2234">
        <f t="shared" si="1"/>
        <v>5.6047287865430923E-2</v>
      </c>
      <c r="Z66" s="2230">
        <f t="shared" si="2"/>
        <v>40.753159999999994</v>
      </c>
      <c r="AA66" s="2454" t="s">
        <v>1459</v>
      </c>
      <c r="AB66" s="9" t="s">
        <v>25</v>
      </c>
      <c r="AC66" s="655" t="s">
        <v>155</v>
      </c>
    </row>
    <row r="67" spans="1:29" x14ac:dyDescent="0.3">
      <c r="A67" s="2235" t="s">
        <v>782</v>
      </c>
      <c r="B67" s="2236">
        <f>+B65+B66</f>
        <v>181961.75000000006</v>
      </c>
      <c r="C67" s="2236">
        <f t="shared" si="14"/>
        <v>5.5931438846709511</v>
      </c>
      <c r="D67" s="2236">
        <f>+D65+D66</f>
        <v>298100.84000000008</v>
      </c>
      <c r="E67" s="2236">
        <f t="shared" si="14"/>
        <v>6.7144365610288999</v>
      </c>
      <c r="F67" s="2236">
        <f>+F65+F66</f>
        <v>261241.01</v>
      </c>
      <c r="G67" s="2236">
        <f>+F67/F$3</f>
        <v>3.2740661227456731</v>
      </c>
      <c r="H67" s="2236">
        <f>+H65+H66</f>
        <v>349430.65000000014</v>
      </c>
      <c r="I67" s="2236">
        <f>+H67/H$3</f>
        <v>5.5789291758469863</v>
      </c>
      <c r="J67" s="2236">
        <f>+J65+J66</f>
        <v>1241341</v>
      </c>
      <c r="K67" s="2236">
        <f>+J67/J$3</f>
        <v>3.8956741964437023</v>
      </c>
      <c r="L67" s="2236">
        <f>+L65+L66</f>
        <v>402431</v>
      </c>
      <c r="M67" s="2236">
        <f>+L67/L$3</f>
        <v>5.7305945176219293</v>
      </c>
      <c r="N67" s="2236">
        <f>+N65+N66</f>
        <v>415225.8</v>
      </c>
      <c r="O67" s="2236">
        <f>+N67/N$3</f>
        <v>6.6026237119959292</v>
      </c>
      <c r="P67" s="2236">
        <f>+P65+P66</f>
        <v>250181</v>
      </c>
      <c r="Q67" s="2236">
        <f>+P67/P$3</f>
        <v>3.4258698837416297</v>
      </c>
      <c r="R67" s="2236">
        <f>+B67+D67+F67+H67+J67+L67+N67+P67</f>
        <v>3399913.05</v>
      </c>
      <c r="S67" s="2236">
        <f>+R67/R$3</f>
        <v>4.5689097227541549</v>
      </c>
      <c r="T67" s="2235">
        <v>3330</v>
      </c>
      <c r="U67" s="2236">
        <v>2.8388746803069052</v>
      </c>
      <c r="V67" s="2236">
        <v>56128</v>
      </c>
      <c r="W67" s="2237">
        <v>3.5418691234934059</v>
      </c>
      <c r="X67" s="2238">
        <f t="shared" si="0"/>
        <v>3340455.05</v>
      </c>
      <c r="Y67" s="2239">
        <f t="shared" si="1"/>
        <v>4.5940841345525705</v>
      </c>
      <c r="Z67" s="2235">
        <f t="shared" si="2"/>
        <v>3340.45505</v>
      </c>
    </row>
    <row r="68" spans="1:29" ht="15" thickBot="1" x14ac:dyDescent="0.35">
      <c r="A68" s="2130" t="s">
        <v>783</v>
      </c>
      <c r="B68" s="2131" t="s">
        <v>153</v>
      </c>
      <c r="C68" s="2131"/>
      <c r="D68" s="2131" t="s">
        <v>153</v>
      </c>
      <c r="E68" s="2131"/>
      <c r="F68" s="2131" t="s">
        <v>153</v>
      </c>
      <c r="G68" s="2131"/>
      <c r="H68" s="2131" t="s">
        <v>153</v>
      </c>
      <c r="I68" s="2131"/>
      <c r="J68" s="2131" t="s">
        <v>153</v>
      </c>
      <c r="K68" s="2131"/>
      <c r="L68" s="2131" t="s">
        <v>153</v>
      </c>
      <c r="M68" s="2131"/>
      <c r="N68" s="2131" t="s">
        <v>153</v>
      </c>
      <c r="O68" s="2131"/>
      <c r="P68" s="2131" t="s">
        <v>153</v>
      </c>
      <c r="Q68" s="2131"/>
      <c r="R68" s="2131" t="s">
        <v>153</v>
      </c>
      <c r="S68" s="2131"/>
      <c r="T68" s="2130" t="s">
        <v>153</v>
      </c>
      <c r="U68" s="2131"/>
      <c r="V68" s="2131" t="s">
        <v>153</v>
      </c>
      <c r="W68" s="2132"/>
      <c r="X68" s="2133"/>
      <c r="Y68" s="2134"/>
      <c r="Z68" s="2130">
        <f t="shared" si="2"/>
        <v>0</v>
      </c>
    </row>
    <row r="69" spans="1:29" thickBot="1" x14ac:dyDescent="0.3">
      <c r="A69" s="2240" t="s">
        <v>784</v>
      </c>
      <c r="B69" s="2241">
        <v>20502</v>
      </c>
      <c r="C69" s="2241">
        <f t="shared" si="14"/>
        <v>0.63019088310331051</v>
      </c>
      <c r="D69" s="2241">
        <v>37078.559999999998</v>
      </c>
      <c r="E69" s="2241">
        <f t="shared" si="14"/>
        <v>0.83515913237380901</v>
      </c>
      <c r="F69" s="2241">
        <v>41824.03</v>
      </c>
      <c r="G69" s="2241">
        <f>+F69/F$3</f>
        <v>0.5241697685202592</v>
      </c>
      <c r="H69" s="2241">
        <v>44087</v>
      </c>
      <c r="I69" s="2241">
        <f>+H69/H$3</f>
        <v>0.70388287511575187</v>
      </c>
      <c r="J69" s="2241">
        <v>180665</v>
      </c>
      <c r="K69" s="2241">
        <f>+J69/J$3</f>
        <v>0.56697714705347002</v>
      </c>
      <c r="L69" s="2241">
        <v>55439.490000000005</v>
      </c>
      <c r="M69" s="2241">
        <f>+L69/L$3</f>
        <v>0.78945517977928092</v>
      </c>
      <c r="N69" s="2241">
        <v>65305</v>
      </c>
      <c r="O69" s="2241">
        <f>+N69/N$3</f>
        <v>1.038433405419158</v>
      </c>
      <c r="P69" s="2241">
        <v>67369</v>
      </c>
      <c r="Q69" s="2241">
        <f>+P69/P$3</f>
        <v>0.92252180700288933</v>
      </c>
      <c r="R69" s="2241">
        <f>+B69+D69+F69+H69+J69+L69+N69+P69</f>
        <v>512270.07999999996</v>
      </c>
      <c r="S69" s="2241">
        <f>+R69/R$3</f>
        <v>0.68840458999033782</v>
      </c>
      <c r="T69" s="2240">
        <v>630</v>
      </c>
      <c r="U69" s="2241">
        <v>0.53708439897698212</v>
      </c>
      <c r="V69" s="2241">
        <v>13702</v>
      </c>
      <c r="W69" s="2242">
        <v>0.86464315012305171</v>
      </c>
      <c r="X69" s="2243">
        <f t="shared" si="0"/>
        <v>497938.07999999996</v>
      </c>
      <c r="Y69" s="2244">
        <f t="shared" si="1"/>
        <v>0.68480772801225653</v>
      </c>
      <c r="Z69" s="2240">
        <f t="shared" si="2"/>
        <v>497.93807999999996</v>
      </c>
      <c r="AA69" s="2455" t="s">
        <v>1457</v>
      </c>
      <c r="AB69" s="11" t="s">
        <v>33</v>
      </c>
      <c r="AC69" s="655" t="s">
        <v>155</v>
      </c>
    </row>
    <row r="70" spans="1:29" thickBot="1" x14ac:dyDescent="0.3">
      <c r="A70" s="2240" t="s">
        <v>785</v>
      </c>
      <c r="B70" s="2241">
        <v>0</v>
      </c>
      <c r="C70" s="2241">
        <f t="shared" si="14"/>
        <v>0</v>
      </c>
      <c r="D70" s="2241">
        <v>0</v>
      </c>
      <c r="E70" s="2241">
        <f t="shared" si="14"/>
        <v>0</v>
      </c>
      <c r="F70" s="2241">
        <v>0</v>
      </c>
      <c r="G70" s="2241">
        <f>+F70/F$3</f>
        <v>0</v>
      </c>
      <c r="H70" s="2241">
        <v>0</v>
      </c>
      <c r="I70" s="2241">
        <f>+H70/H$3</f>
        <v>0</v>
      </c>
      <c r="J70" s="2241">
        <v>7690</v>
      </c>
      <c r="K70" s="2241">
        <f>+J70/J$3</f>
        <v>2.4133364297684579E-2</v>
      </c>
      <c r="L70" s="2241">
        <v>0</v>
      </c>
      <c r="M70" s="2241">
        <f>+L70/L$3</f>
        <v>0</v>
      </c>
      <c r="N70" s="2241">
        <v>0</v>
      </c>
      <c r="O70" s="2241">
        <f>+N70/N$3</f>
        <v>0</v>
      </c>
      <c r="P70" s="2241">
        <v>0</v>
      </c>
      <c r="Q70" s="2241">
        <f>+P70/P$3</f>
        <v>0</v>
      </c>
      <c r="R70" s="2241">
        <f>+B70+D70+F70+H70+J70+L70+N70+P70</f>
        <v>7690</v>
      </c>
      <c r="S70" s="2241">
        <f>+R70/R$3</f>
        <v>1.0334063033753012E-2</v>
      </c>
      <c r="T70" s="2240">
        <v>0</v>
      </c>
      <c r="U70" s="2241">
        <v>0</v>
      </c>
      <c r="V70" s="2241">
        <v>0</v>
      </c>
      <c r="W70" s="2242">
        <v>0</v>
      </c>
      <c r="X70" s="2243">
        <f t="shared" si="0"/>
        <v>7690</v>
      </c>
      <c r="Y70" s="2244">
        <f t="shared" si="1"/>
        <v>1.0575956408905808E-2</v>
      </c>
      <c r="Z70" s="2240">
        <f t="shared" si="2"/>
        <v>7.69</v>
      </c>
      <c r="AA70" s="2455" t="s">
        <v>1457</v>
      </c>
      <c r="AB70" s="11" t="s">
        <v>33</v>
      </c>
      <c r="AC70" s="655" t="s">
        <v>155</v>
      </c>
    </row>
    <row r="71" spans="1:29" thickBot="1" x14ac:dyDescent="0.3">
      <c r="A71" s="2240" t="s">
        <v>786</v>
      </c>
      <c r="B71" s="2241">
        <v>0</v>
      </c>
      <c r="C71" s="2241">
        <f t="shared" si="14"/>
        <v>0</v>
      </c>
      <c r="D71" s="2241">
        <v>0</v>
      </c>
      <c r="E71" s="2241">
        <f t="shared" si="14"/>
        <v>0</v>
      </c>
      <c r="F71" s="2241">
        <v>0</v>
      </c>
      <c r="G71" s="2241">
        <f>+F71/F$3</f>
        <v>0</v>
      </c>
      <c r="H71" s="2241">
        <v>0</v>
      </c>
      <c r="I71" s="2241">
        <f>+H71/H$3</f>
        <v>0</v>
      </c>
      <c r="J71" s="2241">
        <v>0</v>
      </c>
      <c r="K71" s="2241">
        <f>+J71/J$3</f>
        <v>0</v>
      </c>
      <c r="L71" s="2241">
        <v>1678.38</v>
      </c>
      <c r="M71" s="2241">
        <f>+L71/L$3</f>
        <v>2.3900035599857601E-2</v>
      </c>
      <c r="N71" s="2241">
        <v>1727.1100000000001</v>
      </c>
      <c r="O71" s="2241">
        <f>+N71/N$3</f>
        <v>2.7463268032056991E-2</v>
      </c>
      <c r="P71" s="2241">
        <v>0</v>
      </c>
      <c r="Q71" s="2241">
        <f>+P71/P$3</f>
        <v>0</v>
      </c>
      <c r="R71" s="2241">
        <f>+B71+D71+F71+H71+J71+L71+N71+P71</f>
        <v>3405.4900000000002</v>
      </c>
      <c r="S71" s="2241">
        <f>+R71/R$3</f>
        <v>4.5764042029669116E-3</v>
      </c>
      <c r="T71" s="2240">
        <v>0</v>
      </c>
      <c r="U71" s="2241">
        <v>0</v>
      </c>
      <c r="V71" s="2241">
        <v>0</v>
      </c>
      <c r="W71" s="2242">
        <v>0</v>
      </c>
      <c r="X71" s="2243">
        <f t="shared" ref="X71:X127" si="31">R71-T71-V71</f>
        <v>3405.4900000000002</v>
      </c>
      <c r="Y71" s="2244">
        <f t="shared" ref="Y71:Y128" si="32">X71/X$3</f>
        <v>4.6835258505805773E-3</v>
      </c>
      <c r="Z71" s="2240">
        <f t="shared" ref="Z71:Z128" si="33">X71/1000</f>
        <v>3.4054900000000004</v>
      </c>
      <c r="AA71" s="2455" t="s">
        <v>1459</v>
      </c>
      <c r="AB71" s="11" t="s">
        <v>33</v>
      </c>
      <c r="AC71" s="655" t="s">
        <v>155</v>
      </c>
    </row>
    <row r="72" spans="1:29" x14ac:dyDescent="0.3">
      <c r="A72" s="2245" t="s">
        <v>787</v>
      </c>
      <c r="B72" s="2246">
        <f>+SUM(B69:B71)</f>
        <v>20502</v>
      </c>
      <c r="C72" s="2246">
        <f t="shared" si="14"/>
        <v>0.63019088310331051</v>
      </c>
      <c r="D72" s="2246">
        <f>+SUM(D69:D71)</f>
        <v>37078.559999999998</v>
      </c>
      <c r="E72" s="2246">
        <f t="shared" si="14"/>
        <v>0.83515913237380901</v>
      </c>
      <c r="F72" s="2246">
        <f>+SUM(F69:F71)</f>
        <v>41824.03</v>
      </c>
      <c r="G72" s="2246">
        <f>+F72/F$3</f>
        <v>0.5241697685202592</v>
      </c>
      <c r="H72" s="2246">
        <f>+SUM(H69:H71)</f>
        <v>44087</v>
      </c>
      <c r="I72" s="2246">
        <f>+H72/H$3</f>
        <v>0.70388287511575187</v>
      </c>
      <c r="J72" s="2246">
        <f>+SUM(J69:J71)</f>
        <v>188355</v>
      </c>
      <c r="K72" s="2246">
        <f>+J72/J$3</f>
        <v>0.59111051135115456</v>
      </c>
      <c r="L72" s="2246">
        <f>+SUM(L69:L71)</f>
        <v>57117.87</v>
      </c>
      <c r="M72" s="2246">
        <f>+L72/L$3</f>
        <v>0.81335521537913857</v>
      </c>
      <c r="N72" s="2246">
        <f>+SUM(N69:N71)</f>
        <v>67032.11</v>
      </c>
      <c r="O72" s="2246">
        <f>+N72/N$3</f>
        <v>1.065896673451215</v>
      </c>
      <c r="P72" s="2246">
        <f>+SUM(P69:P71)</f>
        <v>67369</v>
      </c>
      <c r="Q72" s="2246">
        <f>+P72/P$3</f>
        <v>0.92252180700288933</v>
      </c>
      <c r="R72" s="2246">
        <f>+B72+D72+F72+H72+J72+L72+N72+P72</f>
        <v>523365.56999999995</v>
      </c>
      <c r="S72" s="2246">
        <f>+R72/R$3</f>
        <v>0.70331505722705767</v>
      </c>
      <c r="T72" s="2245">
        <v>630</v>
      </c>
      <c r="U72" s="2246">
        <v>0.53708439897698212</v>
      </c>
      <c r="V72" s="2246">
        <v>13702</v>
      </c>
      <c r="W72" s="2247">
        <v>0.86464315012305171</v>
      </c>
      <c r="X72" s="2248">
        <f t="shared" si="31"/>
        <v>509033.56999999995</v>
      </c>
      <c r="Y72" s="2249">
        <f t="shared" si="32"/>
        <v>0.7000672102717429</v>
      </c>
      <c r="Z72" s="2245">
        <f t="shared" si="33"/>
        <v>509.03356999999994</v>
      </c>
    </row>
    <row r="73" spans="1:29" ht="15" thickBot="1" x14ac:dyDescent="0.35">
      <c r="A73" s="2130" t="s">
        <v>788</v>
      </c>
      <c r="B73" s="2131" t="s">
        <v>153</v>
      </c>
      <c r="C73" s="2131"/>
      <c r="D73" s="2131" t="s">
        <v>153</v>
      </c>
      <c r="E73" s="2131"/>
      <c r="F73" s="2131" t="s">
        <v>153</v>
      </c>
      <c r="G73" s="2131"/>
      <c r="H73" s="2131" t="s">
        <v>153</v>
      </c>
      <c r="I73" s="2131"/>
      <c r="J73" s="2131" t="s">
        <v>153</v>
      </c>
      <c r="K73" s="2131"/>
      <c r="L73" s="2131" t="s">
        <v>153</v>
      </c>
      <c r="M73" s="2131"/>
      <c r="N73" s="2131" t="s">
        <v>153</v>
      </c>
      <c r="O73" s="2131"/>
      <c r="P73" s="2131" t="s">
        <v>153</v>
      </c>
      <c r="Q73" s="2131"/>
      <c r="R73" s="2131" t="s">
        <v>153</v>
      </c>
      <c r="S73" s="2131"/>
      <c r="T73" s="2130" t="s">
        <v>153</v>
      </c>
      <c r="U73" s="2131"/>
      <c r="V73" s="2131" t="s">
        <v>153</v>
      </c>
      <c r="W73" s="2132"/>
      <c r="X73" s="2133"/>
      <c r="Y73" s="2134"/>
      <c r="Z73" s="2130">
        <f t="shared" si="33"/>
        <v>0</v>
      </c>
    </row>
    <row r="74" spans="1:29" thickBot="1" x14ac:dyDescent="0.3">
      <c r="A74" s="2250" t="s">
        <v>789</v>
      </c>
      <c r="B74" s="2251">
        <v>0</v>
      </c>
      <c r="C74" s="2251">
        <f t="shared" si="14"/>
        <v>0</v>
      </c>
      <c r="D74" s="2251">
        <v>4610</v>
      </c>
      <c r="E74" s="2251">
        <f t="shared" si="14"/>
        <v>0.10383584476428588</v>
      </c>
      <c r="F74" s="2251">
        <v>0</v>
      </c>
      <c r="G74" s="2251">
        <f>+F74/F$3</f>
        <v>0</v>
      </c>
      <c r="H74" s="2251">
        <v>0</v>
      </c>
      <c r="I74" s="2251">
        <f>+H74/H$3</f>
        <v>0</v>
      </c>
      <c r="J74" s="2251">
        <v>51246</v>
      </c>
      <c r="K74" s="2251">
        <f>+J74/J$3</f>
        <v>0.16082423755515526</v>
      </c>
      <c r="L74" s="2251">
        <v>8424.01</v>
      </c>
      <c r="M74" s="2251">
        <f>+L74/L$3</f>
        <v>0.11995742257030972</v>
      </c>
      <c r="N74" s="2251">
        <v>0</v>
      </c>
      <c r="O74" s="2251">
        <f>+N74/N$3</f>
        <v>0</v>
      </c>
      <c r="P74" s="2251">
        <v>4634</v>
      </c>
      <c r="Q74" s="2251">
        <f>+P74/P$3</f>
        <v>6.3455982034042208E-2</v>
      </c>
      <c r="R74" s="2251">
        <f>+B74+D74+F74+H74+J74+L74+N74+P74</f>
        <v>68914.010000000009</v>
      </c>
      <c r="S74" s="2251">
        <f>+R74/R$3</f>
        <v>9.2608806664328414E-2</v>
      </c>
      <c r="T74" s="2250">
        <v>74</v>
      </c>
      <c r="U74" s="2251">
        <v>6.3086104006820118E-2</v>
      </c>
      <c r="V74" s="2251">
        <v>1005</v>
      </c>
      <c r="W74" s="2252">
        <v>6.3418943648640119E-2</v>
      </c>
      <c r="X74" s="2253">
        <f t="shared" si="31"/>
        <v>67835.010000000009</v>
      </c>
      <c r="Y74" s="2254">
        <f t="shared" si="32"/>
        <v>9.3292601919075374E-2</v>
      </c>
      <c r="Z74" s="2250">
        <f t="shared" si="33"/>
        <v>67.835010000000011</v>
      </c>
      <c r="AA74" s="2456" t="s">
        <v>1457</v>
      </c>
      <c r="AB74" s="9" t="s">
        <v>60</v>
      </c>
      <c r="AC74" s="655" t="s">
        <v>155</v>
      </c>
    </row>
    <row r="75" spans="1:29" thickBot="1" x14ac:dyDescent="0.3">
      <c r="A75" s="2250" t="s">
        <v>790</v>
      </c>
      <c r="B75" s="2251">
        <v>1235</v>
      </c>
      <c r="C75" s="2251">
        <f t="shared" si="14"/>
        <v>3.7961454523099625E-2</v>
      </c>
      <c r="D75" s="2251">
        <v>0</v>
      </c>
      <c r="E75" s="2251">
        <f t="shared" si="14"/>
        <v>0</v>
      </c>
      <c r="F75" s="2251">
        <v>12979.01</v>
      </c>
      <c r="G75" s="2251">
        <f>+F75/F$3</f>
        <v>0.16266258099284381</v>
      </c>
      <c r="H75" s="2251">
        <v>7768</v>
      </c>
      <c r="I75" s="2251">
        <f>+H75/H$3</f>
        <v>0.12402209662483635</v>
      </c>
      <c r="J75" s="2251">
        <v>0</v>
      </c>
      <c r="K75" s="2251">
        <f>+J75/J$3</f>
        <v>0</v>
      </c>
      <c r="L75" s="2251">
        <v>0</v>
      </c>
      <c r="M75" s="2251">
        <f>+L75/L$3</f>
        <v>0</v>
      </c>
      <c r="N75" s="2251">
        <v>13832.330000000002</v>
      </c>
      <c r="O75" s="2251">
        <f>+N75/N$3</f>
        <v>0.21995181910698386</v>
      </c>
      <c r="P75" s="2251">
        <v>3003</v>
      </c>
      <c r="Q75" s="2251">
        <f>+P75/P$3</f>
        <v>4.1121776877045477E-2</v>
      </c>
      <c r="R75" s="2251">
        <f>+B75+D75+F75+H75+J75+L75+N75+P75</f>
        <v>38817.340000000004</v>
      </c>
      <c r="S75" s="2251">
        <f>+R75/R$3</f>
        <v>5.216395817459326E-2</v>
      </c>
      <c r="T75" s="2250">
        <v>0</v>
      </c>
      <c r="U75" s="2251">
        <v>0</v>
      </c>
      <c r="V75" s="2251">
        <v>0</v>
      </c>
      <c r="W75" s="2252">
        <v>0</v>
      </c>
      <c r="X75" s="2253">
        <f t="shared" si="31"/>
        <v>38817.340000000004</v>
      </c>
      <c r="Y75" s="2254">
        <f t="shared" si="32"/>
        <v>5.3384979941440286E-2</v>
      </c>
      <c r="Z75" s="2250">
        <f t="shared" si="33"/>
        <v>38.817340000000002</v>
      </c>
      <c r="AA75" s="2456" t="s">
        <v>1457</v>
      </c>
      <c r="AB75" s="9" t="s">
        <v>41</v>
      </c>
      <c r="AC75" s="655" t="s">
        <v>114</v>
      </c>
    </row>
    <row r="76" spans="1:29" x14ac:dyDescent="0.3">
      <c r="A76" s="2255" t="s">
        <v>791</v>
      </c>
      <c r="B76" s="2256">
        <f>+B74+B75</f>
        <v>1235</v>
      </c>
      <c r="C76" s="2256">
        <f t="shared" si="14"/>
        <v>3.7961454523099625E-2</v>
      </c>
      <c r="D76" s="2256">
        <f>+D74+D75</f>
        <v>4610</v>
      </c>
      <c r="E76" s="2256">
        <f t="shared" si="14"/>
        <v>0.10383584476428588</v>
      </c>
      <c r="F76" s="2256">
        <f>+F74+F75</f>
        <v>12979.01</v>
      </c>
      <c r="G76" s="2256">
        <f>+F76/F$3</f>
        <v>0.16266258099284381</v>
      </c>
      <c r="H76" s="2256">
        <f>+H74+H75</f>
        <v>7768</v>
      </c>
      <c r="I76" s="2256">
        <f>+H76/H$3</f>
        <v>0.12402209662483635</v>
      </c>
      <c r="J76" s="2256">
        <f>+J74+J75</f>
        <v>51246</v>
      </c>
      <c r="K76" s="2256">
        <f>+J76/J$3</f>
        <v>0.16082423755515526</v>
      </c>
      <c r="L76" s="2256">
        <f>+L74+L75</f>
        <v>8424.01</v>
      </c>
      <c r="M76" s="2256">
        <f>+L76/L$3</f>
        <v>0.11995742257030972</v>
      </c>
      <c r="N76" s="2256">
        <f>+N74+N75</f>
        <v>13832.330000000002</v>
      </c>
      <c r="O76" s="2256">
        <f>+N76/N$3</f>
        <v>0.21995181910698386</v>
      </c>
      <c r="P76" s="2256">
        <f>+P74+P75</f>
        <v>7637</v>
      </c>
      <c r="Q76" s="2256">
        <f>+P76/P$3</f>
        <v>0.10457775891108768</v>
      </c>
      <c r="R76" s="2256">
        <f>+B76+D76+F76+H76+J76+L76+N76+P76</f>
        <v>107731.35</v>
      </c>
      <c r="S76" s="2256">
        <f>+R76/R$3</f>
        <v>0.14477276483892165</v>
      </c>
      <c r="T76" s="2255">
        <v>74</v>
      </c>
      <c r="U76" s="2256">
        <v>6.3086104006820118E-2</v>
      </c>
      <c r="V76" s="2256">
        <v>1005</v>
      </c>
      <c r="W76" s="2257">
        <v>6.3418943648640119E-2</v>
      </c>
      <c r="X76" s="2258">
        <f t="shared" si="31"/>
        <v>106652.35</v>
      </c>
      <c r="Y76" s="2259">
        <f t="shared" si="32"/>
        <v>0.14667758186051566</v>
      </c>
      <c r="Z76" s="2255">
        <f t="shared" si="33"/>
        <v>106.65235000000001</v>
      </c>
    </row>
    <row r="77" spans="1:29" ht="15" thickBot="1" x14ac:dyDescent="0.35">
      <c r="A77" s="2130" t="s">
        <v>792</v>
      </c>
      <c r="B77" s="2131" t="s">
        <v>153</v>
      </c>
      <c r="C77" s="2131"/>
      <c r="D77" s="2131" t="s">
        <v>153</v>
      </c>
      <c r="E77" s="2131"/>
      <c r="F77" s="2131" t="s">
        <v>153</v>
      </c>
      <c r="G77" s="2131"/>
      <c r="H77" s="2131" t="s">
        <v>153</v>
      </c>
      <c r="I77" s="2131"/>
      <c r="J77" s="2131" t="s">
        <v>153</v>
      </c>
      <c r="K77" s="2131"/>
      <c r="L77" s="2131" t="s">
        <v>153</v>
      </c>
      <c r="M77" s="2131"/>
      <c r="N77" s="2131" t="s">
        <v>153</v>
      </c>
      <c r="O77" s="2131"/>
      <c r="P77" s="2131" t="s">
        <v>153</v>
      </c>
      <c r="Q77" s="2131"/>
      <c r="R77" s="2131" t="s">
        <v>153</v>
      </c>
      <c r="S77" s="2131"/>
      <c r="T77" s="2130" t="s">
        <v>153</v>
      </c>
      <c r="U77" s="2131"/>
      <c r="V77" s="2131" t="s">
        <v>153</v>
      </c>
      <c r="W77" s="2132"/>
      <c r="X77" s="2133"/>
      <c r="Y77" s="2134"/>
      <c r="Z77" s="2130">
        <f t="shared" si="33"/>
        <v>0</v>
      </c>
    </row>
    <row r="78" spans="1:29" thickBot="1" x14ac:dyDescent="0.3">
      <c r="A78" s="2260" t="s">
        <v>793</v>
      </c>
      <c r="B78" s="2261">
        <v>8631</v>
      </c>
      <c r="C78" s="2261">
        <f t="shared" si="14"/>
        <v>0.26529984938370271</v>
      </c>
      <c r="D78" s="2261">
        <v>14220</v>
      </c>
      <c r="E78" s="2261">
        <f t="shared" si="14"/>
        <v>0.32029191161564968</v>
      </c>
      <c r="F78" s="2261">
        <v>0</v>
      </c>
      <c r="G78" s="2261">
        <f>+F78/F$3</f>
        <v>0</v>
      </c>
      <c r="H78" s="2261">
        <v>0</v>
      </c>
      <c r="I78" s="2261">
        <f>+H78/H$3</f>
        <v>0</v>
      </c>
      <c r="J78" s="2261">
        <v>0</v>
      </c>
      <c r="K78" s="2261">
        <f>+J78/J$3</f>
        <v>0</v>
      </c>
      <c r="L78" s="2261">
        <v>160640</v>
      </c>
      <c r="M78" s="2261">
        <f>+L78/L$3</f>
        <v>2.2875044499822001</v>
      </c>
      <c r="N78" s="2261">
        <v>39560.380000000005</v>
      </c>
      <c r="O78" s="2261">
        <f>+N78/N$3</f>
        <v>0.62906087011830558</v>
      </c>
      <c r="P78" s="2261">
        <v>9862</v>
      </c>
      <c r="Q78" s="2261">
        <f>+P78/P$3</f>
        <v>0.13504594191189559</v>
      </c>
      <c r="R78" s="2261">
        <f>+B78+D78+F78+H78+J78+L78+N78+P78</f>
        <v>232913.38</v>
      </c>
      <c r="S78" s="2261">
        <f>+R78/R$3</f>
        <v>0.31299630043231053</v>
      </c>
      <c r="T78" s="2260">
        <v>163</v>
      </c>
      <c r="U78" s="2261">
        <v>0.13895993179880647</v>
      </c>
      <c r="V78" s="2261">
        <v>2190</v>
      </c>
      <c r="W78" s="2262">
        <v>0.13819650407017101</v>
      </c>
      <c r="X78" s="2263">
        <f t="shared" si="31"/>
        <v>230560.38</v>
      </c>
      <c r="Y78" s="2264">
        <f t="shared" si="32"/>
        <v>0.31708667470751084</v>
      </c>
      <c r="Z78" s="2260">
        <f t="shared" si="33"/>
        <v>230.56038000000001</v>
      </c>
      <c r="AA78" s="2457" t="s">
        <v>1457</v>
      </c>
      <c r="AB78" s="11" t="s">
        <v>79</v>
      </c>
      <c r="AC78" s="655" t="s">
        <v>155</v>
      </c>
    </row>
    <row r="79" spans="1:29" thickBot="1" x14ac:dyDescent="0.3">
      <c r="A79" s="2260" t="s">
        <v>794</v>
      </c>
      <c r="B79" s="2261">
        <v>100050</v>
      </c>
      <c r="C79" s="2261">
        <f t="shared" si="14"/>
        <v>3.0753388866689209</v>
      </c>
      <c r="D79" s="2261">
        <v>154970</v>
      </c>
      <c r="E79" s="2261">
        <f t="shared" si="14"/>
        <v>3.4905511633668942</v>
      </c>
      <c r="F79" s="2261">
        <v>333157.01999999996</v>
      </c>
      <c r="G79" s="2261">
        <f>+F79/F$3</f>
        <v>4.175370906493213</v>
      </c>
      <c r="H79" s="2261">
        <v>367010</v>
      </c>
      <c r="I79" s="2261">
        <f>+H79/H$3</f>
        <v>5.8595970239805855</v>
      </c>
      <c r="J79" s="2261">
        <v>384649</v>
      </c>
      <c r="K79" s="2261">
        <f>+J79/J$3</f>
        <v>1.2071358184317393</v>
      </c>
      <c r="L79" s="2261">
        <v>303381</v>
      </c>
      <c r="M79" s="2261">
        <f>+L79/L$3</f>
        <v>4.3201281594873624</v>
      </c>
      <c r="N79" s="2261">
        <v>229508.50999999989</v>
      </c>
      <c r="O79" s="2261">
        <f>+N79/N$3</f>
        <v>3.6494801869991078</v>
      </c>
      <c r="P79" s="2261">
        <v>173530</v>
      </c>
      <c r="Q79" s="2261">
        <f>+P79/P$3</f>
        <v>2.3762444027551455</v>
      </c>
      <c r="R79" s="2261">
        <f>+B79+D79+F79+H79+J79+L79+N79+P79</f>
        <v>2046255.5299999998</v>
      </c>
      <c r="S79" s="2261">
        <f>+R79/R$3</f>
        <v>2.7498223186197235</v>
      </c>
      <c r="T79" s="2260">
        <v>0</v>
      </c>
      <c r="U79" s="2261">
        <v>0</v>
      </c>
      <c r="V79" s="2261">
        <v>13173</v>
      </c>
      <c r="W79" s="2262">
        <v>0.83126143749605608</v>
      </c>
      <c r="X79" s="2263">
        <f t="shared" si="31"/>
        <v>2033082.5299999998</v>
      </c>
      <c r="Y79" s="2264">
        <f t="shared" si="32"/>
        <v>2.7960718092312007</v>
      </c>
      <c r="Z79" s="2260">
        <f t="shared" si="33"/>
        <v>2033.0825299999999</v>
      </c>
      <c r="AA79" s="2457" t="s">
        <v>1457</v>
      </c>
      <c r="AB79" s="11" t="s">
        <v>79</v>
      </c>
      <c r="AC79" s="655" t="s">
        <v>155</v>
      </c>
    </row>
    <row r="80" spans="1:29" thickBot="1" x14ac:dyDescent="0.3">
      <c r="A80" s="2260" t="s">
        <v>795</v>
      </c>
      <c r="B80" s="2261">
        <v>0</v>
      </c>
      <c r="C80" s="2261">
        <f t="shared" si="14"/>
        <v>0</v>
      </c>
      <c r="D80" s="2261">
        <v>0</v>
      </c>
      <c r="E80" s="2261">
        <f t="shared" si="14"/>
        <v>0</v>
      </c>
      <c r="F80" s="2261">
        <v>0</v>
      </c>
      <c r="G80" s="2261">
        <f>+F80/F$3</f>
        <v>0</v>
      </c>
      <c r="H80" s="2261">
        <v>0</v>
      </c>
      <c r="I80" s="2261">
        <f>+H80/H$3</f>
        <v>0</v>
      </c>
      <c r="J80" s="2261">
        <v>100969</v>
      </c>
      <c r="K80" s="2261">
        <f>+J80/J$3</f>
        <v>0.31686887643340889</v>
      </c>
      <c r="L80" s="2261">
        <v>0</v>
      </c>
      <c r="M80" s="2261">
        <f>+L80/L$3</f>
        <v>0</v>
      </c>
      <c r="N80" s="2261">
        <v>0</v>
      </c>
      <c r="O80" s="2261">
        <f>+N80/N$3</f>
        <v>0</v>
      </c>
      <c r="P80" s="2261">
        <v>3900</v>
      </c>
      <c r="Q80" s="2261">
        <f>+P80/P$3</f>
        <v>5.3404905035123997E-2</v>
      </c>
      <c r="R80" s="2261">
        <f>+B80+D80+F80+H80+J80+L80+N80+P80</f>
        <v>104869</v>
      </c>
      <c r="S80" s="2261">
        <f>+R80/R$3</f>
        <v>0.1409262491920214</v>
      </c>
      <c r="T80" s="2260">
        <v>0</v>
      </c>
      <c r="U80" s="2261">
        <v>0</v>
      </c>
      <c r="V80" s="2261">
        <v>840</v>
      </c>
      <c r="W80" s="2262">
        <v>5.3006878273490252E-2</v>
      </c>
      <c r="X80" s="2263">
        <f t="shared" si="31"/>
        <v>104029</v>
      </c>
      <c r="Y80" s="2264">
        <f t="shared" si="32"/>
        <v>0.14306972292094439</v>
      </c>
      <c r="Z80" s="2260">
        <f t="shared" si="33"/>
        <v>104.029</v>
      </c>
      <c r="AA80" s="2457" t="s">
        <v>1459</v>
      </c>
      <c r="AB80" s="11" t="s">
        <v>79</v>
      </c>
      <c r="AC80" s="655" t="s">
        <v>114</v>
      </c>
    </row>
    <row r="81" spans="1:29" x14ac:dyDescent="0.3">
      <c r="A81" s="2265" t="s">
        <v>796</v>
      </c>
      <c r="B81" s="2266">
        <f>+SUM(B78:B80)</f>
        <v>108681</v>
      </c>
      <c r="C81" s="2266">
        <f t="shared" si="14"/>
        <v>3.3406387360526235</v>
      </c>
      <c r="D81" s="2266">
        <f>+SUM(D78:D80)</f>
        <v>169190</v>
      </c>
      <c r="E81" s="2266">
        <f t="shared" si="14"/>
        <v>3.8108430749825439</v>
      </c>
      <c r="F81" s="2266">
        <f>+SUM(F78:F80)</f>
        <v>333157.01999999996</v>
      </c>
      <c r="G81" s="2266">
        <f>+F81/F$3</f>
        <v>4.175370906493213</v>
      </c>
      <c r="H81" s="2266">
        <f>+SUM(H78:H80)</f>
        <v>367010</v>
      </c>
      <c r="I81" s="2266">
        <f>+H81/H$3</f>
        <v>5.8595970239805855</v>
      </c>
      <c r="J81" s="2266">
        <f>+SUM(J78:J80)</f>
        <v>485618</v>
      </c>
      <c r="K81" s="2266">
        <f>+J81/J$3</f>
        <v>1.5240046948651482</v>
      </c>
      <c r="L81" s="2266">
        <f>+SUM(L78:L80)</f>
        <v>464021</v>
      </c>
      <c r="M81" s="2266">
        <f>+L81/L$3</f>
        <v>6.6076326094695625</v>
      </c>
      <c r="N81" s="2266">
        <f>+SUM(N78:N80)</f>
        <v>269068.8899999999</v>
      </c>
      <c r="O81" s="2266">
        <f>+N81/N$3</f>
        <v>4.2785410571174136</v>
      </c>
      <c r="P81" s="2266">
        <f>+SUM(P78:P80)</f>
        <v>187292</v>
      </c>
      <c r="Q81" s="2266">
        <f>+P81/P$3</f>
        <v>2.5646952497021651</v>
      </c>
      <c r="R81" s="2266">
        <f>+B81+D81+F81+H81+J81+L81+N81+P81</f>
        <v>2384037.91</v>
      </c>
      <c r="S81" s="2266">
        <f>+R81/R$3</f>
        <v>3.2037448682440561</v>
      </c>
      <c r="T81" s="2265">
        <v>163</v>
      </c>
      <c r="U81" s="2266">
        <v>0.13895993179880647</v>
      </c>
      <c r="V81" s="2266">
        <v>16203</v>
      </c>
      <c r="W81" s="2267">
        <v>1.0224648198397173</v>
      </c>
      <c r="X81" s="2268">
        <f t="shared" si="31"/>
        <v>2367671.91</v>
      </c>
      <c r="Y81" s="2269">
        <f t="shared" si="32"/>
        <v>3.2562282068596562</v>
      </c>
      <c r="Z81" s="2265">
        <f t="shared" si="33"/>
        <v>2367.67191</v>
      </c>
    </row>
    <row r="82" spans="1:29" x14ac:dyDescent="0.3">
      <c r="A82" s="2130" t="s">
        <v>797</v>
      </c>
      <c r="B82" s="2131" t="s">
        <v>153</v>
      </c>
      <c r="C82" s="2131"/>
      <c r="D82" s="2131" t="s">
        <v>153</v>
      </c>
      <c r="E82" s="2131"/>
      <c r="F82" s="2131" t="s">
        <v>153</v>
      </c>
      <c r="G82" s="2131"/>
      <c r="H82" s="2131" t="s">
        <v>153</v>
      </c>
      <c r="I82" s="2131"/>
      <c r="J82" s="2131" t="s">
        <v>153</v>
      </c>
      <c r="K82" s="2131"/>
      <c r="L82" s="2131" t="s">
        <v>153</v>
      </c>
      <c r="M82" s="2131"/>
      <c r="N82" s="2131" t="s">
        <v>153</v>
      </c>
      <c r="O82" s="2131"/>
      <c r="P82" s="2131" t="s">
        <v>153</v>
      </c>
      <c r="Q82" s="2131"/>
      <c r="R82" s="2131" t="s">
        <v>153</v>
      </c>
      <c r="S82" s="2131"/>
      <c r="T82" s="2130" t="s">
        <v>153</v>
      </c>
      <c r="U82" s="2131"/>
      <c r="V82" s="2131" t="s">
        <v>153</v>
      </c>
      <c r="W82" s="2132"/>
      <c r="X82" s="2133"/>
      <c r="Y82" s="2134"/>
      <c r="Z82" s="2130">
        <f t="shared" si="33"/>
        <v>0</v>
      </c>
    </row>
    <row r="83" spans="1:29" ht="13.2" x14ac:dyDescent="0.25">
      <c r="A83" s="2270" t="s">
        <v>798</v>
      </c>
      <c r="B83" s="2271">
        <v>19790</v>
      </c>
      <c r="C83" s="2271">
        <f t="shared" si="14"/>
        <v>0.60830541296529672</v>
      </c>
      <c r="D83" s="2271">
        <v>25986</v>
      </c>
      <c r="E83" s="2271">
        <f t="shared" si="14"/>
        <v>0.58530981823096151</v>
      </c>
      <c r="F83" s="2271">
        <v>64563.06</v>
      </c>
      <c r="G83" s="2271">
        <f>+F83/F$3</f>
        <v>0.80915216001804713</v>
      </c>
      <c r="H83" s="2271">
        <v>53807</v>
      </c>
      <c r="I83" s="2271">
        <f>+H83/H$3</f>
        <v>0.85907015359070149</v>
      </c>
      <c r="J83" s="2271">
        <v>36775</v>
      </c>
      <c r="K83" s="2271">
        <f>+J83/J$3</f>
        <v>0.11541020442748379</v>
      </c>
      <c r="L83" s="2271">
        <v>54099</v>
      </c>
      <c r="M83" s="2271">
        <f>+L83/L$3</f>
        <v>0.77036667853328589</v>
      </c>
      <c r="N83" s="2271">
        <v>40427.280000000013</v>
      </c>
      <c r="O83" s="2271">
        <f>+N83/N$3</f>
        <v>0.64284569393206992</v>
      </c>
      <c r="P83" s="2271">
        <v>33739</v>
      </c>
      <c r="Q83" s="2271">
        <f>+P83/P$3</f>
        <v>0.46200720281539703</v>
      </c>
      <c r="R83" s="2271">
        <f>+B83+D83+F83+H83+J83+L83+N83+P83</f>
        <v>329186.34000000003</v>
      </c>
      <c r="S83" s="2271">
        <f>+R83/R$3</f>
        <v>0.44237092163985053</v>
      </c>
      <c r="T83" s="2270">
        <v>0</v>
      </c>
      <c r="U83" s="2271">
        <v>0</v>
      </c>
      <c r="V83" s="2271">
        <v>5565</v>
      </c>
      <c r="W83" s="2272">
        <v>0.3511705685618729</v>
      </c>
      <c r="X83" s="2273">
        <f t="shared" si="31"/>
        <v>323621.34000000003</v>
      </c>
      <c r="Y83" s="2274">
        <f t="shared" si="32"/>
        <v>0.44507219568682521</v>
      </c>
      <c r="Z83" s="2270">
        <f t="shared" si="33"/>
        <v>323.62134000000003</v>
      </c>
      <c r="AA83" s="2458" t="s">
        <v>1459</v>
      </c>
      <c r="AB83" s="1" t="s">
        <v>54</v>
      </c>
      <c r="AC83" s="655" t="s">
        <v>155</v>
      </c>
    </row>
    <row r="84" spans="1:29" ht="13.2" x14ac:dyDescent="0.25">
      <c r="A84" s="2270" t="s">
        <v>799</v>
      </c>
      <c r="B84" s="2271">
        <v>880</v>
      </c>
      <c r="C84" s="2271">
        <f t="shared" si="14"/>
        <v>2.7049457473949528E-2</v>
      </c>
      <c r="D84" s="2271">
        <v>0</v>
      </c>
      <c r="E84" s="2271">
        <f t="shared" si="14"/>
        <v>0</v>
      </c>
      <c r="F84" s="2271">
        <v>0</v>
      </c>
      <c r="G84" s="2271">
        <f>+F84/F$3</f>
        <v>0</v>
      </c>
      <c r="H84" s="2271">
        <v>0</v>
      </c>
      <c r="I84" s="2271">
        <f>+H84/H$3</f>
        <v>0</v>
      </c>
      <c r="J84" s="2271">
        <v>42941</v>
      </c>
      <c r="K84" s="2271">
        <f>+J84/J$3</f>
        <v>0.13476083176942438</v>
      </c>
      <c r="L84" s="2271">
        <v>0</v>
      </c>
      <c r="M84" s="2271">
        <f>+L84/L$3</f>
        <v>0</v>
      </c>
      <c r="N84" s="2271">
        <v>0</v>
      </c>
      <c r="O84" s="2271">
        <f>+N84/N$3</f>
        <v>0</v>
      </c>
      <c r="P84" s="2271">
        <v>0</v>
      </c>
      <c r="Q84" s="2271">
        <f>+P84/P$3</f>
        <v>0</v>
      </c>
      <c r="R84" s="2271">
        <f>+B84+D84+F84+H84+J84+L84+N84+P84</f>
        <v>43821</v>
      </c>
      <c r="S84" s="2271">
        <f>+R84/R$3</f>
        <v>5.8888033316266672E-2</v>
      </c>
      <c r="T84" s="2270">
        <v>0</v>
      </c>
      <c r="U84" s="2271">
        <v>0</v>
      </c>
      <c r="V84" s="2271">
        <v>0</v>
      </c>
      <c r="W84" s="2272">
        <v>0</v>
      </c>
      <c r="X84" s="2273">
        <f t="shared" si="31"/>
        <v>43821</v>
      </c>
      <c r="Y84" s="2274">
        <f t="shared" si="32"/>
        <v>6.0266448087732301E-2</v>
      </c>
      <c r="Z84" s="2270">
        <f t="shared" si="33"/>
        <v>43.820999999999998</v>
      </c>
      <c r="AA84" s="2458" t="s">
        <v>1457</v>
      </c>
      <c r="AB84" s="1" t="s">
        <v>54</v>
      </c>
      <c r="AC84" s="655" t="s">
        <v>155</v>
      </c>
    </row>
    <row r="85" spans="1:29" x14ac:dyDescent="0.3">
      <c r="A85" s="2275" t="s">
        <v>800</v>
      </c>
      <c r="B85" s="2276">
        <f>+B83+B84</f>
        <v>20670</v>
      </c>
      <c r="C85" s="2276">
        <f t="shared" ref="C85:E128" si="34">+B85/B$3</f>
        <v>0.63535487043924632</v>
      </c>
      <c r="D85" s="2276">
        <f>+D83+D84</f>
        <v>25986</v>
      </c>
      <c r="E85" s="2276">
        <f t="shared" si="34"/>
        <v>0.58530981823096151</v>
      </c>
      <c r="F85" s="2276">
        <f>+F83+F84</f>
        <v>64563.06</v>
      </c>
      <c r="G85" s="2276">
        <f>+F85/F$3</f>
        <v>0.80915216001804713</v>
      </c>
      <c r="H85" s="2276">
        <f>+H83+H84</f>
        <v>53807</v>
      </c>
      <c r="I85" s="2276">
        <f>+H85/H$3</f>
        <v>0.85907015359070149</v>
      </c>
      <c r="J85" s="2276">
        <f>+J83+J84</f>
        <v>79716</v>
      </c>
      <c r="K85" s="2276">
        <f>+J85/J$3</f>
        <v>0.25017103619690817</v>
      </c>
      <c r="L85" s="2276">
        <f>+L83+L84</f>
        <v>54099</v>
      </c>
      <c r="M85" s="2276">
        <f>+L85/L$3</f>
        <v>0.77036667853328589</v>
      </c>
      <c r="N85" s="2276">
        <f>+N83+N84</f>
        <v>40427.280000000013</v>
      </c>
      <c r="O85" s="2276">
        <f>+N85/N$3</f>
        <v>0.64284569393206992</v>
      </c>
      <c r="P85" s="2276">
        <f>+P83+P84</f>
        <v>33739</v>
      </c>
      <c r="Q85" s="2276">
        <f>+P85/P$3</f>
        <v>0.46200720281539703</v>
      </c>
      <c r="R85" s="2276">
        <f>+B85+D85+F85+H85+J85+L85+N85+P85</f>
        <v>373007.34</v>
      </c>
      <c r="S85" s="2276">
        <f>+R85/R$3</f>
        <v>0.50125895495611728</v>
      </c>
      <c r="T85" s="2275">
        <v>0</v>
      </c>
      <c r="U85" s="2276">
        <v>0</v>
      </c>
      <c r="V85" s="2276">
        <v>5565</v>
      </c>
      <c r="W85" s="2277">
        <v>0.3511705685618729</v>
      </c>
      <c r="X85" s="2278">
        <f t="shared" si="31"/>
        <v>367442.34</v>
      </c>
      <c r="Y85" s="2279">
        <f t="shared" si="32"/>
        <v>0.50533864377455751</v>
      </c>
      <c r="Z85" s="2275">
        <f t="shared" si="33"/>
        <v>367.44234</v>
      </c>
    </row>
    <row r="86" spans="1:29" ht="15" thickBot="1" x14ac:dyDescent="0.35">
      <c r="A86" s="2130" t="s">
        <v>801</v>
      </c>
      <c r="B86" s="2131" t="s">
        <v>153</v>
      </c>
      <c r="C86" s="2131"/>
      <c r="D86" s="2131" t="s">
        <v>153</v>
      </c>
      <c r="E86" s="2131"/>
      <c r="F86" s="2131" t="s">
        <v>153</v>
      </c>
      <c r="G86" s="2131"/>
      <c r="H86" s="2131" t="s">
        <v>153</v>
      </c>
      <c r="I86" s="2131"/>
      <c r="J86" s="2131" t="s">
        <v>153</v>
      </c>
      <c r="K86" s="2131"/>
      <c r="L86" s="2131" t="s">
        <v>153</v>
      </c>
      <c r="M86" s="2131"/>
      <c r="N86" s="2131" t="s">
        <v>153</v>
      </c>
      <c r="O86" s="2131"/>
      <c r="P86" s="2131" t="s">
        <v>153</v>
      </c>
      <c r="Q86" s="2131"/>
      <c r="R86" s="2131" t="s">
        <v>153</v>
      </c>
      <c r="S86" s="2131"/>
      <c r="T86" s="2130" t="s">
        <v>153</v>
      </c>
      <c r="U86" s="2131"/>
      <c r="V86" s="2131" t="s">
        <v>153</v>
      </c>
      <c r="W86" s="2132"/>
      <c r="X86" s="2133"/>
      <c r="Y86" s="2134"/>
      <c r="Z86" s="2130">
        <f t="shared" si="33"/>
        <v>0</v>
      </c>
    </row>
    <row r="87" spans="1:29" thickBot="1" x14ac:dyDescent="0.3">
      <c r="A87" s="2280" t="s">
        <v>802</v>
      </c>
      <c r="B87" s="2281">
        <v>124060.00000000001</v>
      </c>
      <c r="C87" s="2281">
        <f t="shared" si="34"/>
        <v>3.8133587434297489</v>
      </c>
      <c r="D87" s="2281">
        <v>105410</v>
      </c>
      <c r="E87" s="2281">
        <f t="shared" si="34"/>
        <v>2.3742595220397775</v>
      </c>
      <c r="F87" s="2281">
        <v>393071.01999999996</v>
      </c>
      <c r="G87" s="2281">
        <f>+F87/F$3</f>
        <v>4.9262575979747085</v>
      </c>
      <c r="H87" s="2281">
        <v>227820</v>
      </c>
      <c r="I87" s="2281">
        <f>+H87/H$3</f>
        <v>3.6373215825270622</v>
      </c>
      <c r="J87" s="2281">
        <v>457011</v>
      </c>
      <c r="K87" s="2281">
        <f>+J87/J$3</f>
        <v>1.4342279520219932</v>
      </c>
      <c r="L87" s="2281">
        <v>34660</v>
      </c>
      <c r="M87" s="2281">
        <f>+L87/L$3</f>
        <v>0.49355642577429693</v>
      </c>
      <c r="N87" s="2281">
        <v>0</v>
      </c>
      <c r="O87" s="2281">
        <f>+N87/N$3</f>
        <v>0</v>
      </c>
      <c r="P87" s="2281">
        <v>186304</v>
      </c>
      <c r="Q87" s="2281">
        <f>+P87/P$3</f>
        <v>2.5511660070932667</v>
      </c>
      <c r="R87" s="2281">
        <f>+B87+D87+F87+H87+J87+L87+N87+P87</f>
        <v>1528336.02</v>
      </c>
      <c r="S87" s="2281">
        <f>+R87/R$3</f>
        <v>2.0538258475208329</v>
      </c>
      <c r="T87" s="2280">
        <v>24970</v>
      </c>
      <c r="U87" s="2281">
        <v>21.287297527706734</v>
      </c>
      <c r="V87" s="2281">
        <v>26209</v>
      </c>
      <c r="W87" s="2282">
        <v>1.6538777055594118</v>
      </c>
      <c r="X87" s="2283">
        <f t="shared" si="31"/>
        <v>1477157.02</v>
      </c>
      <c r="Y87" s="2284">
        <f t="shared" si="32"/>
        <v>2.0315147272599745</v>
      </c>
      <c r="Z87" s="2280">
        <f t="shared" si="33"/>
        <v>1477.1570200000001</v>
      </c>
      <c r="AA87" s="2459" t="s">
        <v>1459</v>
      </c>
      <c r="AB87" s="4" t="s">
        <v>176</v>
      </c>
      <c r="AC87" s="655" t="s">
        <v>117</v>
      </c>
    </row>
    <row r="88" spans="1:29" thickBot="1" x14ac:dyDescent="0.3">
      <c r="A88" s="2280" t="s">
        <v>803</v>
      </c>
      <c r="B88" s="2281">
        <v>54790</v>
      </c>
      <c r="C88" s="2281">
        <f t="shared" si="34"/>
        <v>1.6841361079519257</v>
      </c>
      <c r="D88" s="2281">
        <v>94450</v>
      </c>
      <c r="E88" s="2281">
        <f t="shared" si="34"/>
        <v>2.1273959952249024</v>
      </c>
      <c r="F88" s="2281">
        <v>302980</v>
      </c>
      <c r="G88" s="2281">
        <f>+F88/F$3</f>
        <v>3.7971701069042876</v>
      </c>
      <c r="H88" s="2281">
        <v>19350</v>
      </c>
      <c r="I88" s="2281">
        <f>+H88/H$3</f>
        <v>0.30893763770476101</v>
      </c>
      <c r="J88" s="2281">
        <v>192576</v>
      </c>
      <c r="K88" s="2281">
        <f>+J88/J$3</f>
        <v>0.60435718634472113</v>
      </c>
      <c r="L88" s="2281">
        <v>139810</v>
      </c>
      <c r="M88" s="2281">
        <f>+L88/L$3</f>
        <v>1.9908864364542542</v>
      </c>
      <c r="N88" s="2281">
        <v>270501.8</v>
      </c>
      <c r="O88" s="2281">
        <f>+N88/N$3</f>
        <v>4.3013261671543059</v>
      </c>
      <c r="P88" s="2281">
        <v>23040</v>
      </c>
      <c r="Q88" s="2281">
        <f>+P88/P$3</f>
        <v>0.31549974666904024</v>
      </c>
      <c r="R88" s="2281">
        <f>+B88+D88+F88+H88+J88+L88+N88+P88</f>
        <v>1097497.8</v>
      </c>
      <c r="S88" s="2281">
        <f>+R88/R$3</f>
        <v>1.4748519433816978</v>
      </c>
      <c r="T88" s="2280">
        <v>0</v>
      </c>
      <c r="U88" s="2281">
        <v>0</v>
      </c>
      <c r="V88" s="2281">
        <v>0</v>
      </c>
      <c r="W88" s="2282">
        <v>0</v>
      </c>
      <c r="X88" s="2283">
        <f t="shared" si="31"/>
        <v>1097497.8</v>
      </c>
      <c r="Y88" s="2284">
        <f t="shared" si="32"/>
        <v>1.5093743682275715</v>
      </c>
      <c r="Z88" s="2280">
        <f t="shared" si="33"/>
        <v>1097.4978000000001</v>
      </c>
      <c r="AA88" s="2459" t="s">
        <v>1459</v>
      </c>
      <c r="AB88" s="4" t="s">
        <v>176</v>
      </c>
      <c r="AC88" s="655" t="s">
        <v>117</v>
      </c>
    </row>
    <row r="89" spans="1:29" x14ac:dyDescent="0.3">
      <c r="A89" s="2285" t="s">
        <v>804</v>
      </c>
      <c r="B89" s="2286">
        <f>+B87+B88</f>
        <v>178850</v>
      </c>
      <c r="C89" s="2286">
        <f t="shared" si="34"/>
        <v>5.4974948513816742</v>
      </c>
      <c r="D89" s="2286">
        <f>+D87+D88</f>
        <v>199860</v>
      </c>
      <c r="E89" s="2286">
        <f t="shared" si="34"/>
        <v>4.5016555172646804</v>
      </c>
      <c r="F89" s="2286">
        <f>+F87+F88</f>
        <v>696051.02</v>
      </c>
      <c r="G89" s="2286">
        <f>+F89/F$3</f>
        <v>8.723427704878997</v>
      </c>
      <c r="H89" s="2286">
        <f>+H87+H88</f>
        <v>247170</v>
      </c>
      <c r="I89" s="2286">
        <f>+H89/H$3</f>
        <v>3.946259220231823</v>
      </c>
      <c r="J89" s="2286">
        <f>+J87+J88</f>
        <v>649587</v>
      </c>
      <c r="K89" s="2286">
        <f>+J89/J$3</f>
        <v>2.038585138366714</v>
      </c>
      <c r="L89" s="2286">
        <f>+L87+L88</f>
        <v>174470</v>
      </c>
      <c r="M89" s="2286">
        <f>+L89/L$3</f>
        <v>2.4844428622285513</v>
      </c>
      <c r="N89" s="2286">
        <f>+N87+N88</f>
        <v>270501.8</v>
      </c>
      <c r="O89" s="2286">
        <f>+N89/N$3</f>
        <v>4.3013261671543059</v>
      </c>
      <c r="P89" s="2286">
        <f>+P87+P88</f>
        <v>209344</v>
      </c>
      <c r="Q89" s="2286">
        <f>+P89/P$3</f>
        <v>2.866665753762307</v>
      </c>
      <c r="R89" s="2286">
        <f>+B89+D89+F89+H89+J89+L89+N89+P89</f>
        <v>2625833.8199999998</v>
      </c>
      <c r="S89" s="2286">
        <f>+R89/R$3</f>
        <v>3.5286777909025302</v>
      </c>
      <c r="T89" s="2285">
        <v>24970</v>
      </c>
      <c r="U89" s="2286">
        <v>21.287297527706734</v>
      </c>
      <c r="V89" s="2286">
        <v>26209</v>
      </c>
      <c r="W89" s="2287">
        <v>1.6538777055594118</v>
      </c>
      <c r="X89" s="2288">
        <f>R89-T89-V89</f>
        <v>2574654.8199999998</v>
      </c>
      <c r="Y89" s="2289">
        <f t="shared" si="32"/>
        <v>3.5408890954875458</v>
      </c>
      <c r="Z89" s="2285">
        <f t="shared" si="33"/>
        <v>2574.6548199999997</v>
      </c>
    </row>
    <row r="90" spans="1:29" ht="15" thickBot="1" x14ac:dyDescent="0.35">
      <c r="A90" s="2130" t="s">
        <v>805</v>
      </c>
      <c r="B90" s="2131" t="s">
        <v>153</v>
      </c>
      <c r="C90" s="2131"/>
      <c r="D90" s="2131" t="s">
        <v>153</v>
      </c>
      <c r="E90" s="2131"/>
      <c r="F90" s="2131" t="s">
        <v>153</v>
      </c>
      <c r="G90" s="2131"/>
      <c r="H90" s="2131" t="s">
        <v>153</v>
      </c>
      <c r="I90" s="2131"/>
      <c r="J90" s="2131" t="s">
        <v>153</v>
      </c>
      <c r="K90" s="2131"/>
      <c r="L90" s="2131" t="s">
        <v>153</v>
      </c>
      <c r="M90" s="2131"/>
      <c r="N90" s="2131" t="s">
        <v>153</v>
      </c>
      <c r="O90" s="2131"/>
      <c r="P90" s="2131" t="s">
        <v>153</v>
      </c>
      <c r="Q90" s="2131"/>
      <c r="R90" s="2131" t="s">
        <v>153</v>
      </c>
      <c r="S90" s="2131"/>
      <c r="T90" s="2130" t="s">
        <v>153</v>
      </c>
      <c r="U90" s="2131"/>
      <c r="V90" s="2131" t="s">
        <v>153</v>
      </c>
      <c r="W90" s="2132"/>
      <c r="X90" s="2133"/>
      <c r="Y90" s="2134"/>
      <c r="Z90" s="2130">
        <f t="shared" si="33"/>
        <v>0</v>
      </c>
    </row>
    <row r="91" spans="1:29" thickBot="1" x14ac:dyDescent="0.3">
      <c r="A91" s="2290" t="s">
        <v>806</v>
      </c>
      <c r="B91" s="2291">
        <v>0</v>
      </c>
      <c r="C91" s="2291">
        <f t="shared" si="34"/>
        <v>0</v>
      </c>
      <c r="D91" s="2291">
        <v>6860</v>
      </c>
      <c r="E91" s="2291">
        <f t="shared" si="34"/>
        <v>0.15451494470347096</v>
      </c>
      <c r="F91" s="2291">
        <v>0</v>
      </c>
      <c r="G91" s="2291">
        <f>+F91/F$3</f>
        <v>0</v>
      </c>
      <c r="H91" s="2291">
        <v>0</v>
      </c>
      <c r="I91" s="2291">
        <f>+H91/H$3</f>
        <v>0</v>
      </c>
      <c r="J91" s="2291">
        <v>0</v>
      </c>
      <c r="K91" s="2291">
        <f>+J91/J$3</f>
        <v>0</v>
      </c>
      <c r="L91" s="2291">
        <v>0</v>
      </c>
      <c r="M91" s="2291">
        <f>+L91/L$3</f>
        <v>0</v>
      </c>
      <c r="N91" s="2291">
        <v>0</v>
      </c>
      <c r="O91" s="2291">
        <f>+N91/N$3</f>
        <v>0</v>
      </c>
      <c r="P91" s="2291">
        <v>0</v>
      </c>
      <c r="Q91" s="2291">
        <f>+P91/P$3</f>
        <v>0</v>
      </c>
      <c r="R91" s="2291">
        <f>+B91+D91+F91+H91+J91+L91+N91+P91</f>
        <v>6860</v>
      </c>
      <c r="S91" s="2291">
        <f>+R91/R$3</f>
        <v>9.2186830184064587E-3</v>
      </c>
      <c r="T91" s="2290">
        <v>0</v>
      </c>
      <c r="U91" s="2291">
        <v>0</v>
      </c>
      <c r="V91" s="2291">
        <v>0</v>
      </c>
      <c r="W91" s="2292">
        <v>0</v>
      </c>
      <c r="X91" s="2293">
        <f t="shared" si="31"/>
        <v>6860</v>
      </c>
      <c r="Y91" s="2294">
        <f t="shared" si="32"/>
        <v>9.4344682659419817E-3</v>
      </c>
      <c r="Z91" s="2290">
        <f t="shared" si="33"/>
        <v>6.86</v>
      </c>
      <c r="AA91" s="2460" t="s">
        <v>1457</v>
      </c>
      <c r="AB91" s="10" t="s">
        <v>17</v>
      </c>
      <c r="AC91" s="655" t="s">
        <v>155</v>
      </c>
    </row>
    <row r="92" spans="1:29" thickBot="1" x14ac:dyDescent="0.3">
      <c r="A92" s="2290" t="s">
        <v>807</v>
      </c>
      <c r="B92" s="2291">
        <v>105440</v>
      </c>
      <c r="C92" s="2291">
        <f t="shared" si="34"/>
        <v>3.2410168136968616</v>
      </c>
      <c r="D92" s="2291">
        <v>115080</v>
      </c>
      <c r="E92" s="2291">
        <f t="shared" si="34"/>
        <v>2.5920670315561862</v>
      </c>
      <c r="F92" s="2291">
        <v>214580</v>
      </c>
      <c r="G92" s="2291">
        <f>+F92/F$3</f>
        <v>2.6892757328520762</v>
      </c>
      <c r="H92" s="2291">
        <v>271270</v>
      </c>
      <c r="I92" s="2291">
        <f>+H92/H$3</f>
        <v>4.3310342625411122</v>
      </c>
      <c r="J92" s="2291">
        <v>174489</v>
      </c>
      <c r="K92" s="2291">
        <f>+J92/J$3</f>
        <v>0.54759513692310591</v>
      </c>
      <c r="L92" s="2291">
        <v>239190</v>
      </c>
      <c r="M92" s="2291">
        <f>+L92/L$3</f>
        <v>3.4060519757920966</v>
      </c>
      <c r="N92" s="2291">
        <v>256920.44000000012</v>
      </c>
      <c r="O92" s="2291">
        <f>+N92/N$3</f>
        <v>4.0853650934995569</v>
      </c>
      <c r="P92" s="2291">
        <v>105100</v>
      </c>
      <c r="Q92" s="2291">
        <f>+P92/P$3</f>
        <v>1.4391937228696237</v>
      </c>
      <c r="R92" s="2291">
        <f>+B92+D92+F92+H92+J92+L92+N92+P92</f>
        <v>1482069.4400000002</v>
      </c>
      <c r="S92" s="2291">
        <f>+R92/R$3</f>
        <v>1.9916513671468179</v>
      </c>
      <c r="T92" s="2290">
        <v>0</v>
      </c>
      <c r="U92" s="2291">
        <v>0</v>
      </c>
      <c r="V92" s="2291">
        <v>0</v>
      </c>
      <c r="W92" s="2292">
        <v>0</v>
      </c>
      <c r="X92" s="2293">
        <f t="shared" si="31"/>
        <v>1482069.4400000002</v>
      </c>
      <c r="Y92" s="2294">
        <f t="shared" si="32"/>
        <v>2.0382707142277559</v>
      </c>
      <c r="Z92" s="2290">
        <f t="shared" si="33"/>
        <v>1482.0694400000002</v>
      </c>
      <c r="AA92" s="2460" t="s">
        <v>1459</v>
      </c>
      <c r="AB92" s="10" t="s">
        <v>17</v>
      </c>
      <c r="AC92" s="655" t="s">
        <v>155</v>
      </c>
    </row>
    <row r="93" spans="1:29" x14ac:dyDescent="0.3">
      <c r="A93" s="2295" t="s">
        <v>808</v>
      </c>
      <c r="B93" s="2296">
        <f>+B91+B92</f>
        <v>105440</v>
      </c>
      <c r="C93" s="2296">
        <f t="shared" si="34"/>
        <v>3.2410168136968616</v>
      </c>
      <c r="D93" s="2296">
        <f>+D91+D92</f>
        <v>121940</v>
      </c>
      <c r="E93" s="2296">
        <f t="shared" si="34"/>
        <v>2.7465819762596571</v>
      </c>
      <c r="F93" s="2296">
        <f>+F91+F92</f>
        <v>214580</v>
      </c>
      <c r="G93" s="2296">
        <f>+F93/F$3</f>
        <v>2.6892757328520762</v>
      </c>
      <c r="H93" s="2296">
        <f>+H91+H92</f>
        <v>271270</v>
      </c>
      <c r="I93" s="2296">
        <f>+H93/H$3</f>
        <v>4.3310342625411122</v>
      </c>
      <c r="J93" s="2296">
        <f>+J91+J92</f>
        <v>174489</v>
      </c>
      <c r="K93" s="2296">
        <f>+J93/J$3</f>
        <v>0.54759513692310591</v>
      </c>
      <c r="L93" s="2296">
        <f>+L91+L92</f>
        <v>239190</v>
      </c>
      <c r="M93" s="2296">
        <f>+L93/L$3</f>
        <v>3.4060519757920966</v>
      </c>
      <c r="N93" s="2296">
        <f>+N91+N92</f>
        <v>256920.44000000012</v>
      </c>
      <c r="O93" s="2296">
        <f>+N93/N$3</f>
        <v>4.0853650934995569</v>
      </c>
      <c r="P93" s="2296">
        <f>+P91+P92</f>
        <v>105100</v>
      </c>
      <c r="Q93" s="2296">
        <f>+P93/P$3</f>
        <v>1.4391937228696237</v>
      </c>
      <c r="R93" s="2296">
        <f>+B93+D93+F93+H93+J93+L93+N93+P93</f>
        <v>1488929.4400000002</v>
      </c>
      <c r="S93" s="2296">
        <f>+R93/R$3</f>
        <v>2.0008700501652243</v>
      </c>
      <c r="T93" s="2295">
        <v>0</v>
      </c>
      <c r="U93" s="2296">
        <v>0</v>
      </c>
      <c r="V93" s="2296">
        <v>0</v>
      </c>
      <c r="W93" s="2297">
        <v>0</v>
      </c>
      <c r="X93" s="2298">
        <f t="shared" si="31"/>
        <v>1488929.4400000002</v>
      </c>
      <c r="Y93" s="2299">
        <f t="shared" si="32"/>
        <v>2.047705182493698</v>
      </c>
      <c r="Z93" s="2295">
        <f t="shared" si="33"/>
        <v>1488.9294400000001</v>
      </c>
    </row>
    <row r="94" spans="1:29" ht="15" thickBot="1" x14ac:dyDescent="0.35">
      <c r="A94" s="2130" t="s">
        <v>809</v>
      </c>
      <c r="B94" s="2131" t="s">
        <v>153</v>
      </c>
      <c r="C94" s="2131"/>
      <c r="D94" s="2131" t="s">
        <v>153</v>
      </c>
      <c r="E94" s="2131"/>
      <c r="F94" s="2131" t="s">
        <v>153</v>
      </c>
      <c r="G94" s="2131"/>
      <c r="H94" s="2131" t="s">
        <v>153</v>
      </c>
      <c r="I94" s="2131"/>
      <c r="J94" s="2131" t="s">
        <v>153</v>
      </c>
      <c r="K94" s="2131"/>
      <c r="L94" s="2131" t="s">
        <v>153</v>
      </c>
      <c r="M94" s="2131"/>
      <c r="N94" s="2131" t="s">
        <v>153</v>
      </c>
      <c r="O94" s="2131"/>
      <c r="P94" s="2131" t="s">
        <v>153</v>
      </c>
      <c r="Q94" s="2131"/>
      <c r="R94" s="2131" t="s">
        <v>153</v>
      </c>
      <c r="S94" s="2131"/>
      <c r="T94" s="2130" t="s">
        <v>153</v>
      </c>
      <c r="U94" s="2131"/>
      <c r="V94" s="2131" t="s">
        <v>153</v>
      </c>
      <c r="W94" s="2132"/>
      <c r="X94" s="2133"/>
      <c r="Y94" s="2134"/>
      <c r="Z94" s="2130">
        <f t="shared" si="33"/>
        <v>0</v>
      </c>
    </row>
    <row r="95" spans="1:29" thickBot="1" x14ac:dyDescent="0.3">
      <c r="A95" s="2300" t="s">
        <v>810</v>
      </c>
      <c r="B95" s="2301">
        <v>6820</v>
      </c>
      <c r="C95" s="2301">
        <f t="shared" si="34"/>
        <v>0.20963329542310885</v>
      </c>
      <c r="D95" s="2301">
        <v>9740</v>
      </c>
      <c r="E95" s="2301">
        <f t="shared" si="34"/>
        <v>0.21938419262562786</v>
      </c>
      <c r="F95" s="2301">
        <v>0</v>
      </c>
      <c r="G95" s="2301">
        <f>+F95/F$3</f>
        <v>0</v>
      </c>
      <c r="H95" s="2301">
        <v>35000</v>
      </c>
      <c r="I95" s="2301">
        <f>+H95/H$3</f>
        <v>0.55880192866494238</v>
      </c>
      <c r="J95" s="2301">
        <v>35934</v>
      </c>
      <c r="K95" s="2301">
        <f>+J95/J$3</f>
        <v>0.11277091192106602</v>
      </c>
      <c r="L95" s="2301">
        <v>20426</v>
      </c>
      <c r="M95" s="2301">
        <f>+L95/L$3</f>
        <v>0.29086507653969385</v>
      </c>
      <c r="N95" s="2301">
        <v>4780.0300000000007</v>
      </c>
      <c r="O95" s="2301">
        <f>+N95/N$3</f>
        <v>7.6008618496374511E-2</v>
      </c>
      <c r="P95" s="2301">
        <v>28860</v>
      </c>
      <c r="Q95" s="2301">
        <f>+P95/P$3</f>
        <v>0.39519629725991756</v>
      </c>
      <c r="R95" s="2301">
        <f>+B95+D95+F95+H95+J95+L95+N95+P95</f>
        <v>141560.03</v>
      </c>
      <c r="S95" s="2301">
        <f>+R95/R$3</f>
        <v>0.19023280534199835</v>
      </c>
      <c r="T95" s="2300">
        <v>0</v>
      </c>
      <c r="U95" s="2301">
        <v>0</v>
      </c>
      <c r="V95" s="2301">
        <v>0</v>
      </c>
      <c r="W95" s="2302">
        <v>0</v>
      </c>
      <c r="X95" s="2303">
        <f t="shared" si="31"/>
        <v>141560.03</v>
      </c>
      <c r="Y95" s="2304">
        <f t="shared" si="32"/>
        <v>0.1946856575453054</v>
      </c>
      <c r="Z95" s="2300">
        <f t="shared" si="33"/>
        <v>141.56003000000001</v>
      </c>
      <c r="AA95" s="2461" t="s">
        <v>1457</v>
      </c>
      <c r="AB95" s="9" t="s">
        <v>66</v>
      </c>
      <c r="AC95" s="655" t="s">
        <v>155</v>
      </c>
    </row>
    <row r="96" spans="1:29" thickBot="1" x14ac:dyDescent="0.3">
      <c r="A96" s="2300" t="s">
        <v>811</v>
      </c>
      <c r="B96" s="2301">
        <v>0</v>
      </c>
      <c r="C96" s="2301">
        <f t="shared" si="34"/>
        <v>0</v>
      </c>
      <c r="D96" s="2301">
        <v>0</v>
      </c>
      <c r="E96" s="2301">
        <f t="shared" si="34"/>
        <v>0</v>
      </c>
      <c r="F96" s="2301">
        <v>26570</v>
      </c>
      <c r="G96" s="2301">
        <f>+F96/F$3</f>
        <v>0.33299494930505946</v>
      </c>
      <c r="H96" s="2301">
        <v>0</v>
      </c>
      <c r="I96" s="2301">
        <f>+H96/H$3</f>
        <v>0</v>
      </c>
      <c r="J96" s="2301">
        <v>0</v>
      </c>
      <c r="K96" s="2301">
        <f>+J96/J$3</f>
        <v>0</v>
      </c>
      <c r="L96" s="2301">
        <v>0</v>
      </c>
      <c r="M96" s="2301">
        <f>+L96/L$3</f>
        <v>0</v>
      </c>
      <c r="N96" s="2301">
        <v>0</v>
      </c>
      <c r="O96" s="2301">
        <f>+N96/N$3</f>
        <v>0</v>
      </c>
      <c r="P96" s="2301">
        <v>0</v>
      </c>
      <c r="Q96" s="2301">
        <f>+P96/P$3</f>
        <v>0</v>
      </c>
      <c r="R96" s="2301">
        <f>+B96+D96+F96+H96+J96+L96+N96+P96</f>
        <v>26570</v>
      </c>
      <c r="S96" s="2301">
        <f>+R96/R$3</f>
        <v>3.5705598804527637E-2</v>
      </c>
      <c r="T96" s="2300">
        <v>0</v>
      </c>
      <c r="U96" s="2301">
        <v>0</v>
      </c>
      <c r="V96" s="2301">
        <v>0</v>
      </c>
      <c r="W96" s="2302">
        <v>0</v>
      </c>
      <c r="X96" s="2303">
        <f t="shared" si="31"/>
        <v>26570</v>
      </c>
      <c r="Y96" s="2304">
        <f t="shared" si="32"/>
        <v>3.6541373444034762E-2</v>
      </c>
      <c r="Z96" s="2300">
        <f t="shared" si="33"/>
        <v>26.57</v>
      </c>
      <c r="AA96" s="2461" t="s">
        <v>1459</v>
      </c>
      <c r="AB96" s="9" t="s">
        <v>66</v>
      </c>
      <c r="AC96" s="655" t="s">
        <v>155</v>
      </c>
    </row>
    <row r="97" spans="1:29" x14ac:dyDescent="0.3">
      <c r="A97" s="2305" t="s">
        <v>812</v>
      </c>
      <c r="B97" s="2306">
        <f>+B95+B96</f>
        <v>6820</v>
      </c>
      <c r="C97" s="2306">
        <f t="shared" si="34"/>
        <v>0.20963329542310885</v>
      </c>
      <c r="D97" s="2306">
        <f>+D95+D96</f>
        <v>9740</v>
      </c>
      <c r="E97" s="2306">
        <f t="shared" si="34"/>
        <v>0.21938419262562786</v>
      </c>
      <c r="F97" s="2306">
        <f>+F95+F96</f>
        <v>26570</v>
      </c>
      <c r="G97" s="2306">
        <f>+F97/F$3</f>
        <v>0.33299494930505946</v>
      </c>
      <c r="H97" s="2306">
        <f>+H95+H96</f>
        <v>35000</v>
      </c>
      <c r="I97" s="2306">
        <f>+H97/H$3</f>
        <v>0.55880192866494238</v>
      </c>
      <c r="J97" s="2306">
        <f>+J95+J96</f>
        <v>35934</v>
      </c>
      <c r="K97" s="2306">
        <f>+J97/J$3</f>
        <v>0.11277091192106602</v>
      </c>
      <c r="L97" s="2306">
        <f>+L95+L96</f>
        <v>20426</v>
      </c>
      <c r="M97" s="2306">
        <f>+L97/L$3</f>
        <v>0.29086507653969385</v>
      </c>
      <c r="N97" s="2306">
        <f>+N95+N96</f>
        <v>4780.0300000000007</v>
      </c>
      <c r="O97" s="2306">
        <f>+N97/N$3</f>
        <v>7.6008618496374511E-2</v>
      </c>
      <c r="P97" s="2306">
        <f>+P95+P96</f>
        <v>28860</v>
      </c>
      <c r="Q97" s="2306">
        <f>+P97/P$3</f>
        <v>0.39519629725991756</v>
      </c>
      <c r="R97" s="2306">
        <f>+B97+D97+F97+H97+J97+L97+N97+P97</f>
        <v>168130.03</v>
      </c>
      <c r="S97" s="2306">
        <f>+R97/R$3</f>
        <v>0.225938404146526</v>
      </c>
      <c r="T97" s="2305">
        <v>0</v>
      </c>
      <c r="U97" s="2306">
        <v>0</v>
      </c>
      <c r="V97" s="2306">
        <v>0</v>
      </c>
      <c r="W97" s="2307">
        <v>0</v>
      </c>
      <c r="X97" s="2308">
        <f t="shared" si="31"/>
        <v>168130.03</v>
      </c>
      <c r="Y97" s="2309">
        <f t="shared" si="32"/>
        <v>0.23122703098934014</v>
      </c>
      <c r="Z97" s="2305">
        <f t="shared" si="33"/>
        <v>168.13003</v>
      </c>
    </row>
    <row r="98" spans="1:29" ht="15" thickBot="1" x14ac:dyDescent="0.35">
      <c r="A98" s="2130" t="s">
        <v>813</v>
      </c>
      <c r="B98" s="2131" t="s">
        <v>153</v>
      </c>
      <c r="C98" s="2131"/>
      <c r="D98" s="2131" t="s">
        <v>153</v>
      </c>
      <c r="E98" s="2131"/>
      <c r="F98" s="2131" t="s">
        <v>153</v>
      </c>
      <c r="G98" s="2131"/>
      <c r="H98" s="2131" t="s">
        <v>153</v>
      </c>
      <c r="I98" s="2131"/>
      <c r="J98" s="2131" t="s">
        <v>153</v>
      </c>
      <c r="K98" s="2131"/>
      <c r="L98" s="2131" t="s">
        <v>153</v>
      </c>
      <c r="M98" s="2131"/>
      <c r="N98" s="2131" t="s">
        <v>153</v>
      </c>
      <c r="O98" s="2131"/>
      <c r="P98" s="2131" t="s">
        <v>153</v>
      </c>
      <c r="Q98" s="2131"/>
      <c r="R98" s="2131" t="s">
        <v>153</v>
      </c>
      <c r="S98" s="2131"/>
      <c r="T98" s="2130" t="s">
        <v>153</v>
      </c>
      <c r="U98" s="2131"/>
      <c r="V98" s="2131" t="s">
        <v>153</v>
      </c>
      <c r="W98" s="2132"/>
      <c r="X98" s="2133"/>
      <c r="Y98" s="2134"/>
      <c r="Z98" s="2130">
        <f t="shared" si="33"/>
        <v>0</v>
      </c>
    </row>
    <row r="99" spans="1:29" thickBot="1" x14ac:dyDescent="0.3">
      <c r="A99" s="2310" t="s">
        <v>975</v>
      </c>
      <c r="B99" s="2311">
        <v>0</v>
      </c>
      <c r="C99" s="2311">
        <f t="shared" si="34"/>
        <v>0</v>
      </c>
      <c r="D99" s="2311">
        <v>4350</v>
      </c>
      <c r="E99" s="2311">
        <f t="shared" si="34"/>
        <v>9.7979593215757818E-2</v>
      </c>
      <c r="F99" s="2311">
        <v>0</v>
      </c>
      <c r="G99" s="2311">
        <f>+F99/F$3</f>
        <v>0</v>
      </c>
      <c r="H99" s="2311">
        <v>0</v>
      </c>
      <c r="I99" s="2311">
        <f>+H99/H$3</f>
        <v>0</v>
      </c>
      <c r="J99" s="2311">
        <v>0</v>
      </c>
      <c r="K99" s="2311">
        <f>+J99/J$3</f>
        <v>0</v>
      </c>
      <c r="L99" s="2311">
        <v>0</v>
      </c>
      <c r="M99" s="2311">
        <f>+L99/L$3</f>
        <v>0</v>
      </c>
      <c r="N99" s="2311">
        <v>0</v>
      </c>
      <c r="O99" s="2311">
        <f>+N99/N$3</f>
        <v>0</v>
      </c>
      <c r="P99" s="2311">
        <v>0</v>
      </c>
      <c r="Q99" s="2311">
        <f>+P99/P$3</f>
        <v>0</v>
      </c>
      <c r="R99" s="2311">
        <f>+B99+D99+F99+H99+J99+L99+N99+P99</f>
        <v>4350</v>
      </c>
      <c r="S99" s="2311">
        <f>+R99/R$3</f>
        <v>5.8456663454909755E-3</v>
      </c>
      <c r="T99" s="2310">
        <v>0</v>
      </c>
      <c r="U99" s="2311">
        <v>0</v>
      </c>
      <c r="V99" s="2311">
        <v>0</v>
      </c>
      <c r="W99" s="2312">
        <v>0</v>
      </c>
      <c r="X99" s="2313">
        <f t="shared" si="31"/>
        <v>4350</v>
      </c>
      <c r="Y99" s="2314">
        <f t="shared" si="32"/>
        <v>5.9824980986658343E-3</v>
      </c>
      <c r="Z99" s="2310">
        <f t="shared" si="33"/>
        <v>4.3499999999999996</v>
      </c>
      <c r="AA99" s="2462" t="s">
        <v>1457</v>
      </c>
      <c r="AB99" s="9" t="s">
        <v>65</v>
      </c>
      <c r="AC99" s="655" t="s">
        <v>155</v>
      </c>
    </row>
    <row r="100" spans="1:29" x14ac:dyDescent="0.3">
      <c r="A100" s="2315" t="s">
        <v>815</v>
      </c>
      <c r="B100" s="2316">
        <f>+B99</f>
        <v>0</v>
      </c>
      <c r="C100" s="2316">
        <f t="shared" si="34"/>
        <v>0</v>
      </c>
      <c r="D100" s="2316">
        <f>+D99</f>
        <v>4350</v>
      </c>
      <c r="E100" s="2316">
        <f t="shared" si="34"/>
        <v>9.7979593215757818E-2</v>
      </c>
      <c r="F100" s="2316">
        <f>+F99</f>
        <v>0</v>
      </c>
      <c r="G100" s="2316">
        <f>+F100/F$3</f>
        <v>0</v>
      </c>
      <c r="H100" s="2316">
        <f>+H99</f>
        <v>0</v>
      </c>
      <c r="I100" s="2316">
        <f>+H100/H$3</f>
        <v>0</v>
      </c>
      <c r="J100" s="2316">
        <f>+J99</f>
        <v>0</v>
      </c>
      <c r="K100" s="2316">
        <f>+J100/J$3</f>
        <v>0</v>
      </c>
      <c r="L100" s="2316">
        <f>+L99</f>
        <v>0</v>
      </c>
      <c r="M100" s="2316">
        <f>+L100/L$3</f>
        <v>0</v>
      </c>
      <c r="N100" s="2316">
        <f>+N99</f>
        <v>0</v>
      </c>
      <c r="O100" s="2316">
        <f>+N100/N$3</f>
        <v>0</v>
      </c>
      <c r="P100" s="2316">
        <f>+P99</f>
        <v>0</v>
      </c>
      <c r="Q100" s="2316">
        <f>+P100/P$3</f>
        <v>0</v>
      </c>
      <c r="R100" s="2316">
        <f>+B100+D100+F100+H100+J100+L100+N100+P100</f>
        <v>4350</v>
      </c>
      <c r="S100" s="2316">
        <f>+R100/R$3</f>
        <v>5.8456663454909755E-3</v>
      </c>
      <c r="T100" s="2315">
        <v>0</v>
      </c>
      <c r="U100" s="2316">
        <v>0</v>
      </c>
      <c r="V100" s="2316">
        <v>0</v>
      </c>
      <c r="W100" s="2317">
        <v>0</v>
      </c>
      <c r="X100" s="2318">
        <f t="shared" si="31"/>
        <v>4350</v>
      </c>
      <c r="Y100" s="2319">
        <f t="shared" si="32"/>
        <v>5.9824980986658343E-3</v>
      </c>
      <c r="Z100" s="2315">
        <f t="shared" si="33"/>
        <v>4.3499999999999996</v>
      </c>
    </row>
    <row r="101" spans="1:29" x14ac:dyDescent="0.3">
      <c r="A101" s="2315" t="s">
        <v>816</v>
      </c>
      <c r="B101" s="2316">
        <f>+B24+B36+B44+B49+B52+B57+B63+B67+B72+B76+B81+B85+B89+B93+B97+B100</f>
        <v>9578237.0999999996</v>
      </c>
      <c r="C101" s="2316">
        <f t="shared" si="34"/>
        <v>294.41604217256321</v>
      </c>
      <c r="D101" s="2316">
        <f>+D24+D36+D44+D49+D52+D57+D63+D67+D72+D76+D81+D85+D89+D93+D97+D100</f>
        <v>14012718.810000002</v>
      </c>
      <c r="E101" s="2316">
        <f t="shared" si="34"/>
        <v>315.62310088519502</v>
      </c>
      <c r="F101" s="2316">
        <f>+F24+F36+F44+F49+F52+F57+F63+F67+F72+F76+F81+F85+F89+F93+F97+F100</f>
        <v>21938200.200000003</v>
      </c>
      <c r="G101" s="2316">
        <f>+F101/F$3</f>
        <v>274.94579839831562</v>
      </c>
      <c r="H101" s="2316">
        <f>+H24+H36+H44+H49+H52+H57+H63+H67+H72+H76+H81+H85+H89+H93+H97+H100</f>
        <v>18584633.549999997</v>
      </c>
      <c r="I101" s="2316">
        <f>+H101/H$3</f>
        <v>296.7179734648912</v>
      </c>
      <c r="J101" s="2316">
        <f>+J24+J36+J44+J49+J52+J57+J63+J67+J72+J76+J81+J85+J89+J93+J97+J100</f>
        <v>63275163</v>
      </c>
      <c r="K101" s="2316">
        <f>+J101/J$3</f>
        <v>198.57510528925516</v>
      </c>
      <c r="L101" s="2316">
        <f>+L24+L36+L44+L49+L52+L57+L63+L67+L72+L76+L81+L85+L89+L93+L97+L100</f>
        <v>20423630.880000003</v>
      </c>
      <c r="M101" s="2316">
        <f>+L101/L$3</f>
        <v>290.83134040583843</v>
      </c>
      <c r="N101" s="2316">
        <f>+N24+N36+N44+N49+N52+N57+N63+N67+N72+N76+N81+N85+N89+N93+N97+N100</f>
        <v>18539895.380000003</v>
      </c>
      <c r="O101" s="2316">
        <f>+N101/N$3</f>
        <v>294.80815704108898</v>
      </c>
      <c r="P101" s="2316">
        <f>+P24+P36+P44+P49+P52+P57+P63+P67+P72+P76+P81+P85+P89+P93+P97+P100</f>
        <v>16052218</v>
      </c>
      <c r="Q101" s="2316">
        <f>+P101/P$3</f>
        <v>219.81209689566873</v>
      </c>
      <c r="R101" s="2316">
        <f>+B101+D101+F101+H101+J101+L101+N101+P101</f>
        <v>182404696.91999999</v>
      </c>
      <c r="S101" s="2316">
        <f>+R101/R$3</f>
        <v>245.12114897579892</v>
      </c>
      <c r="T101" s="2315">
        <v>918090.3126930932</v>
      </c>
      <c r="U101" s="2316">
        <v>782.68568857041214</v>
      </c>
      <c r="V101" s="2316">
        <v>2498016.2179923551</v>
      </c>
      <c r="W101" s="2317">
        <v>157.63338284800619</v>
      </c>
      <c r="X101" s="2318">
        <f t="shared" si="31"/>
        <v>178988590.38931453</v>
      </c>
      <c r="Y101" s="2319">
        <f t="shared" si="32"/>
        <v>246.16066705447173</v>
      </c>
      <c r="Z101" s="2315">
        <f t="shared" si="33"/>
        <v>178988.59038931454</v>
      </c>
    </row>
    <row r="102" spans="1:29" x14ac:dyDescent="0.3">
      <c r="A102" s="2315" t="s">
        <v>817</v>
      </c>
      <c r="B102" s="2316">
        <f>+B101+B6</f>
        <v>9993309.4199999999</v>
      </c>
      <c r="C102" s="2316">
        <f t="shared" si="34"/>
        <v>307.17454338671502</v>
      </c>
      <c r="D102" s="2316">
        <f>+D101+D6</f>
        <v>14012718.810000002</v>
      </c>
      <c r="E102" s="2316">
        <f t="shared" si="34"/>
        <v>315.62310088519502</v>
      </c>
      <c r="F102" s="2316">
        <f>+F101+F6</f>
        <v>22090296.360000003</v>
      </c>
      <c r="G102" s="2316">
        <f>+F102/F$3</f>
        <v>276.85198029852995</v>
      </c>
      <c r="H102" s="2316">
        <f>+H101+H6</f>
        <v>19238042.549999997</v>
      </c>
      <c r="I102" s="2316">
        <f>+H102/H$3</f>
        <v>307.15015087652068</v>
      </c>
      <c r="J102" s="2316">
        <f>+J101+J6</f>
        <v>64013019.479999997</v>
      </c>
      <c r="K102" s="2316">
        <f>+J102/J$3</f>
        <v>200.89070466913125</v>
      </c>
      <c r="L102" s="2316">
        <f>+L101+L6</f>
        <v>20851919.400000002</v>
      </c>
      <c r="M102" s="2316">
        <f>+L102/L$3</f>
        <v>296.9301445354219</v>
      </c>
      <c r="N102" s="2316">
        <f>+N101+N6</f>
        <v>19153879.580000002</v>
      </c>
      <c r="O102" s="2316">
        <f>+N102/N$3</f>
        <v>304.57129468261036</v>
      </c>
      <c r="P102" s="2316">
        <f>+P101+P6</f>
        <v>16267220.890000001</v>
      </c>
      <c r="Q102" s="2316">
        <f>+P102/P$3</f>
        <v>222.75625302970136</v>
      </c>
      <c r="R102" s="2316">
        <f>+B102+D102+F102+H102+J102+L102+N102+P102</f>
        <v>185620406.49000001</v>
      </c>
      <c r="S102" s="2316">
        <f>+R102/R$3</f>
        <v>249.44252028849374</v>
      </c>
      <c r="T102" s="2315">
        <v>952157.02269309317</v>
      </c>
      <c r="U102" s="2316">
        <v>811.72806708703615</v>
      </c>
      <c r="V102" s="2316">
        <v>2502720.2179923551</v>
      </c>
      <c r="W102" s="2317">
        <v>157.93022136633775</v>
      </c>
      <c r="X102" s="2318">
        <f t="shared" si="31"/>
        <v>182165529.24931455</v>
      </c>
      <c r="Y102" s="2319">
        <f t="shared" si="32"/>
        <v>250.52986951183442</v>
      </c>
      <c r="Z102" s="2315">
        <f t="shared" si="33"/>
        <v>182165.52924931454</v>
      </c>
    </row>
    <row r="103" spans="1:29" ht="15" thickBot="1" x14ac:dyDescent="0.35">
      <c r="A103" s="2130" t="s">
        <v>818</v>
      </c>
      <c r="B103" s="2131" t="s">
        <v>153</v>
      </c>
      <c r="C103" s="2131"/>
      <c r="D103" s="2131" t="s">
        <v>153</v>
      </c>
      <c r="E103" s="2131"/>
      <c r="F103" s="2131" t="s">
        <v>153</v>
      </c>
      <c r="G103" s="2131"/>
      <c r="H103" s="2131" t="s">
        <v>153</v>
      </c>
      <c r="I103" s="2131"/>
      <c r="J103" s="2131" t="s">
        <v>153</v>
      </c>
      <c r="K103" s="2131"/>
      <c r="L103" s="2131" t="s">
        <v>153</v>
      </c>
      <c r="M103" s="2131"/>
      <c r="N103" s="2131" t="s">
        <v>153</v>
      </c>
      <c r="O103" s="2131"/>
      <c r="P103" s="2131" t="s">
        <v>153</v>
      </c>
      <c r="Q103" s="2131"/>
      <c r="R103" s="2131" t="s">
        <v>153</v>
      </c>
      <c r="S103" s="2131"/>
      <c r="T103" s="2130" t="s">
        <v>153</v>
      </c>
      <c r="U103" s="2131"/>
      <c r="V103" s="2131" t="s">
        <v>153</v>
      </c>
      <c r="W103" s="2132"/>
      <c r="X103" s="2133"/>
      <c r="Y103" s="2134"/>
      <c r="Z103" s="2130">
        <f t="shared" si="33"/>
        <v>0</v>
      </c>
    </row>
    <row r="104" spans="1:29" thickBot="1" x14ac:dyDescent="0.3">
      <c r="A104" s="2320" t="s">
        <v>819</v>
      </c>
      <c r="B104" s="2321">
        <v>346118.55</v>
      </c>
      <c r="C104" s="2321">
        <f t="shared" si="34"/>
        <v>10.638998862693265</v>
      </c>
      <c r="D104" s="2321">
        <v>0</v>
      </c>
      <c r="E104" s="2321">
        <f t="shared" si="34"/>
        <v>0</v>
      </c>
      <c r="F104" s="2321">
        <v>0</v>
      </c>
      <c r="G104" s="2321">
        <f t="shared" ref="G104:G120" si="35">+F104/F$3</f>
        <v>0</v>
      </c>
      <c r="H104" s="2321">
        <v>137207.71000000002</v>
      </c>
      <c r="I104" s="2321">
        <f t="shared" ref="I104:I120" si="36">+H104/H$3</f>
        <v>2.1906266564485746</v>
      </c>
      <c r="J104" s="2321">
        <v>1049540</v>
      </c>
      <c r="K104" s="2321">
        <f t="shared" ref="K104:K120" si="37">+J104/J$3</f>
        <v>3.2937491762018039</v>
      </c>
      <c r="L104" s="2321">
        <v>277140</v>
      </c>
      <c r="M104" s="2321">
        <f t="shared" ref="M104:M120" si="38">+L104/L$3</f>
        <v>3.9464578141687432</v>
      </c>
      <c r="N104" s="2321">
        <v>1175906.2199999997</v>
      </c>
      <c r="O104" s="2321">
        <f t="shared" ref="O104:O120" si="39">+N104/N$3</f>
        <v>18.698419730314207</v>
      </c>
      <c r="P104" s="2321">
        <v>0</v>
      </c>
      <c r="Q104" s="2321">
        <f t="shared" ref="Q104:Q120" si="40">+P104/P$3</f>
        <v>0</v>
      </c>
      <c r="R104" s="2321">
        <f t="shared" ref="R104:R119" si="41">+B104+D104+F104+H104+J104+L104+N104+P104</f>
        <v>2985912.4799999995</v>
      </c>
      <c r="S104" s="2321">
        <f t="shared" ref="S104:S120" si="42">+R104/R$3</f>
        <v>4.0125627804408026</v>
      </c>
      <c r="T104" s="2320">
        <v>0</v>
      </c>
      <c r="U104" s="2321">
        <v>0</v>
      </c>
      <c r="V104" s="2321">
        <v>0</v>
      </c>
      <c r="W104" s="2322">
        <v>0</v>
      </c>
      <c r="X104" s="2323">
        <f t="shared" si="31"/>
        <v>2985912.4799999995</v>
      </c>
      <c r="Y104" s="2324">
        <f t="shared" si="32"/>
        <v>4.1064863757201335</v>
      </c>
      <c r="Z104" s="2320">
        <f t="shared" si="33"/>
        <v>2985.9124799999995</v>
      </c>
      <c r="AA104" s="2463" t="s">
        <v>1457</v>
      </c>
      <c r="AB104" s="6" t="s">
        <v>6</v>
      </c>
      <c r="AC104" s="655" t="s">
        <v>155</v>
      </c>
    </row>
    <row r="105" spans="1:29" thickBot="1" x14ac:dyDescent="0.3">
      <c r="A105" s="2320" t="s">
        <v>820</v>
      </c>
      <c r="B105" s="2321">
        <v>2547182.5500000003</v>
      </c>
      <c r="C105" s="2321">
        <f t="shared" si="34"/>
        <v>78.295347800694685</v>
      </c>
      <c r="D105" s="2321">
        <v>4556159.13</v>
      </c>
      <c r="E105" s="2321">
        <f t="shared" si="34"/>
        <v>102.62313061693358</v>
      </c>
      <c r="F105" s="2321">
        <v>18373430</v>
      </c>
      <c r="G105" s="2321">
        <f t="shared" si="35"/>
        <v>230.26945394844029</v>
      </c>
      <c r="H105" s="2321">
        <v>5363727</v>
      </c>
      <c r="I105" s="2321">
        <f t="shared" si="36"/>
        <v>85.636028355206435</v>
      </c>
      <c r="J105" s="2321">
        <v>57235308</v>
      </c>
      <c r="K105" s="2321">
        <f t="shared" si="37"/>
        <v>179.62035613188303</v>
      </c>
      <c r="L105" s="2321">
        <v>4600040</v>
      </c>
      <c r="M105" s="2321">
        <f t="shared" si="38"/>
        <v>65.50430758276967</v>
      </c>
      <c r="N105" s="2321">
        <v>4570964.76</v>
      </c>
      <c r="O105" s="2321">
        <f t="shared" si="39"/>
        <v>72.684212568375514</v>
      </c>
      <c r="P105" s="2321">
        <v>11014016</v>
      </c>
      <c r="Q105" s="2321">
        <f t="shared" si="40"/>
        <v>150.82114834239391</v>
      </c>
      <c r="R105" s="2321">
        <f t="shared" si="41"/>
        <v>108260827.44000001</v>
      </c>
      <c r="S105" s="2321">
        <f t="shared" si="42"/>
        <v>145.48429321862392</v>
      </c>
      <c r="T105" s="2320">
        <v>80827</v>
      </c>
      <c r="U105" s="2321">
        <v>68.906223358908775</v>
      </c>
      <c r="V105" s="2321">
        <v>2809916</v>
      </c>
      <c r="W105" s="2322">
        <v>177.31532782230076</v>
      </c>
      <c r="X105" s="2323">
        <f t="shared" si="31"/>
        <v>105370084.44000001</v>
      </c>
      <c r="Y105" s="2324">
        <f t="shared" si="32"/>
        <v>144.91409880886403</v>
      </c>
      <c r="Z105" s="2320">
        <f t="shared" si="33"/>
        <v>105370.08444000001</v>
      </c>
      <c r="AA105" s="2463" t="s">
        <v>1457</v>
      </c>
      <c r="AB105" s="6" t="s">
        <v>6</v>
      </c>
      <c r="AC105" s="655" t="s">
        <v>155</v>
      </c>
    </row>
    <row r="106" spans="1:29" thickBot="1" x14ac:dyDescent="0.3">
      <c r="A106" s="2320" t="s">
        <v>821</v>
      </c>
      <c r="B106" s="2321">
        <v>193950.78999999998</v>
      </c>
      <c r="C106" s="2321">
        <f t="shared" si="34"/>
        <v>5.9616632342544484</v>
      </c>
      <c r="D106" s="2321">
        <v>0</v>
      </c>
      <c r="E106" s="2321">
        <f t="shared" si="34"/>
        <v>0</v>
      </c>
      <c r="F106" s="2321">
        <v>0</v>
      </c>
      <c r="G106" s="2321">
        <f t="shared" si="35"/>
        <v>0</v>
      </c>
      <c r="H106" s="2321">
        <v>469674.31</v>
      </c>
      <c r="I106" s="2321">
        <f t="shared" si="36"/>
        <v>7.4987117220678865</v>
      </c>
      <c r="J106" s="2321">
        <v>0</v>
      </c>
      <c r="K106" s="2321">
        <f t="shared" si="37"/>
        <v>0</v>
      </c>
      <c r="L106" s="2321">
        <v>0</v>
      </c>
      <c r="M106" s="2321">
        <f t="shared" si="38"/>
        <v>0</v>
      </c>
      <c r="N106" s="2321">
        <v>21689.43</v>
      </c>
      <c r="O106" s="2321">
        <f t="shared" si="39"/>
        <v>0.34488980409617098</v>
      </c>
      <c r="P106" s="2321">
        <v>0</v>
      </c>
      <c r="Q106" s="2321">
        <f t="shared" si="40"/>
        <v>0</v>
      </c>
      <c r="R106" s="2321">
        <f t="shared" si="41"/>
        <v>685314.53</v>
      </c>
      <c r="S106" s="2321">
        <f t="shared" si="42"/>
        <v>0.92094714576941739</v>
      </c>
      <c r="T106" s="2320">
        <v>0</v>
      </c>
      <c r="U106" s="2321">
        <v>0</v>
      </c>
      <c r="V106" s="2321">
        <v>0</v>
      </c>
      <c r="W106" s="2322">
        <v>0</v>
      </c>
      <c r="X106" s="2323">
        <f t="shared" si="31"/>
        <v>685314.53</v>
      </c>
      <c r="Y106" s="2324">
        <f t="shared" si="32"/>
        <v>0.94250410866967127</v>
      </c>
      <c r="Z106" s="2320">
        <f t="shared" si="33"/>
        <v>685.31452999999999</v>
      </c>
      <c r="AA106" s="2463" t="s">
        <v>1457</v>
      </c>
      <c r="AB106" s="6" t="s">
        <v>6</v>
      </c>
      <c r="AC106" s="655" t="s">
        <v>155</v>
      </c>
    </row>
    <row r="107" spans="1:29" thickBot="1" x14ac:dyDescent="0.3">
      <c r="A107" s="2320" t="s">
        <v>822</v>
      </c>
      <c r="B107" s="2321">
        <v>0</v>
      </c>
      <c r="C107" s="2321">
        <f t="shared" si="34"/>
        <v>0</v>
      </c>
      <c r="D107" s="2321">
        <v>0</v>
      </c>
      <c r="E107" s="2321">
        <f t="shared" si="34"/>
        <v>0</v>
      </c>
      <c r="F107" s="2321">
        <v>0</v>
      </c>
      <c r="G107" s="2321">
        <f t="shared" si="35"/>
        <v>0</v>
      </c>
      <c r="H107" s="2321">
        <v>0</v>
      </c>
      <c r="I107" s="2321">
        <f t="shared" si="36"/>
        <v>0</v>
      </c>
      <c r="J107" s="2321">
        <v>80800</v>
      </c>
      <c r="K107" s="2321">
        <f t="shared" si="37"/>
        <v>0.2535729304620174</v>
      </c>
      <c r="L107" s="2321">
        <v>0</v>
      </c>
      <c r="M107" s="2321">
        <f t="shared" si="38"/>
        <v>0</v>
      </c>
      <c r="N107" s="2321">
        <v>0</v>
      </c>
      <c r="O107" s="2321">
        <f t="shared" si="39"/>
        <v>0</v>
      </c>
      <c r="P107" s="2321">
        <v>755273</v>
      </c>
      <c r="Q107" s="2321">
        <f t="shared" si="40"/>
        <v>10.342380215536719</v>
      </c>
      <c r="R107" s="2321">
        <f t="shared" si="41"/>
        <v>836073</v>
      </c>
      <c r="S107" s="2321">
        <f t="shared" si="42"/>
        <v>1.123541103097397</v>
      </c>
      <c r="T107" s="2320">
        <v>150308</v>
      </c>
      <c r="U107" s="2321">
        <v>128.13981244671783</v>
      </c>
      <c r="V107" s="2321">
        <v>35548</v>
      </c>
      <c r="W107" s="2322">
        <v>2.2432006057928944</v>
      </c>
      <c r="X107" s="2323">
        <f t="shared" si="31"/>
        <v>650217</v>
      </c>
      <c r="Y107" s="2324">
        <f t="shared" si="32"/>
        <v>0.89423493476326499</v>
      </c>
      <c r="Z107" s="2320">
        <f t="shared" si="33"/>
        <v>650.21699999999998</v>
      </c>
      <c r="AA107" s="2463" t="s">
        <v>1457</v>
      </c>
      <c r="AB107" s="6" t="s">
        <v>6</v>
      </c>
      <c r="AC107" s="655" t="s">
        <v>155</v>
      </c>
    </row>
    <row r="108" spans="1:29" thickBot="1" x14ac:dyDescent="0.3">
      <c r="A108" s="2320" t="s">
        <v>823</v>
      </c>
      <c r="B108" s="2321">
        <v>292806.33</v>
      </c>
      <c r="C108" s="2321">
        <f t="shared" si="34"/>
        <v>9.0002867857252635</v>
      </c>
      <c r="D108" s="2321">
        <v>449780</v>
      </c>
      <c r="E108" s="2321">
        <f t="shared" si="34"/>
        <v>10.130864698065185</v>
      </c>
      <c r="F108" s="2321">
        <v>0</v>
      </c>
      <c r="G108" s="2321">
        <f t="shared" si="35"/>
        <v>0</v>
      </c>
      <c r="H108" s="2321">
        <v>74331</v>
      </c>
      <c r="I108" s="2321">
        <f t="shared" si="36"/>
        <v>1.1867516045598236</v>
      </c>
      <c r="J108" s="2321">
        <v>0</v>
      </c>
      <c r="K108" s="2321">
        <f t="shared" si="37"/>
        <v>0</v>
      </c>
      <c r="L108" s="2321">
        <v>0</v>
      </c>
      <c r="M108" s="2321">
        <f t="shared" si="38"/>
        <v>0</v>
      </c>
      <c r="N108" s="2321">
        <v>0</v>
      </c>
      <c r="O108" s="2321">
        <f t="shared" si="39"/>
        <v>0</v>
      </c>
      <c r="P108" s="2321">
        <v>162865</v>
      </c>
      <c r="Q108" s="2321">
        <f t="shared" si="40"/>
        <v>2.2302025278321715</v>
      </c>
      <c r="R108" s="2321">
        <f t="shared" si="41"/>
        <v>979782.33000000007</v>
      </c>
      <c r="S108" s="2321">
        <f t="shared" si="42"/>
        <v>1.3166622051466055</v>
      </c>
      <c r="T108" s="2320">
        <v>28483</v>
      </c>
      <c r="U108" s="2321">
        <v>24.282182438192667</v>
      </c>
      <c r="V108" s="2321">
        <v>20530</v>
      </c>
      <c r="W108" s="2322">
        <v>1.2955133463747082</v>
      </c>
      <c r="X108" s="2323">
        <f t="shared" si="31"/>
        <v>930769.33000000007</v>
      </c>
      <c r="Y108" s="2324">
        <f t="shared" si="32"/>
        <v>1.2800748843727523</v>
      </c>
      <c r="Z108" s="2320">
        <f t="shared" si="33"/>
        <v>930.76933000000008</v>
      </c>
      <c r="AA108" s="2463" t="s">
        <v>1458</v>
      </c>
      <c r="AB108" s="4" t="s">
        <v>89</v>
      </c>
      <c r="AC108" s="655" t="s">
        <v>114</v>
      </c>
    </row>
    <row r="109" spans="1:29" thickBot="1" x14ac:dyDescent="0.3">
      <c r="A109" s="2320" t="s">
        <v>824</v>
      </c>
      <c r="B109" s="2321">
        <v>382692.69</v>
      </c>
      <c r="C109" s="2321">
        <f t="shared" si="34"/>
        <v>11.763215504257216</v>
      </c>
      <c r="D109" s="2321">
        <v>635700</v>
      </c>
      <c r="E109" s="2321">
        <f t="shared" si="34"/>
        <v>14.318535036151092</v>
      </c>
      <c r="F109" s="2321">
        <v>693490</v>
      </c>
      <c r="G109" s="2321">
        <f t="shared" si="35"/>
        <v>8.6913311025052948</v>
      </c>
      <c r="H109" s="2321">
        <v>1301000</v>
      </c>
      <c r="I109" s="2321">
        <f t="shared" si="36"/>
        <v>20.771465976945429</v>
      </c>
      <c r="J109" s="2321">
        <v>2775790</v>
      </c>
      <c r="K109" s="2321">
        <f t="shared" si="37"/>
        <v>8.7112030278114272</v>
      </c>
      <c r="L109" s="2321">
        <v>1384900</v>
      </c>
      <c r="M109" s="2321">
        <f t="shared" si="38"/>
        <v>19.720897116411535</v>
      </c>
      <c r="N109" s="2321">
        <v>0</v>
      </c>
      <c r="O109" s="2321">
        <f t="shared" si="39"/>
        <v>0</v>
      </c>
      <c r="P109" s="2321">
        <v>1753372</v>
      </c>
      <c r="Q109" s="2321">
        <f t="shared" si="40"/>
        <v>24.009914141344982</v>
      </c>
      <c r="R109" s="2321">
        <f t="shared" si="41"/>
        <v>8926944.6899999995</v>
      </c>
      <c r="S109" s="2321">
        <f t="shared" si="42"/>
        <v>11.996308078710889</v>
      </c>
      <c r="T109" s="2320">
        <v>346099</v>
      </c>
      <c r="U109" s="2321">
        <v>295.05456095481674</v>
      </c>
      <c r="V109" s="2321">
        <v>235499</v>
      </c>
      <c r="W109" s="2322">
        <v>14.860793841105572</v>
      </c>
      <c r="X109" s="2323">
        <f t="shared" si="31"/>
        <v>8345346.6899999995</v>
      </c>
      <c r="Y109" s="2324">
        <f t="shared" si="32"/>
        <v>11.477246139225795</v>
      </c>
      <c r="Z109" s="2320">
        <f t="shared" si="33"/>
        <v>8345.3466900000003</v>
      </c>
      <c r="AA109" s="2463" t="s">
        <v>1459</v>
      </c>
      <c r="AB109" s="4" t="s">
        <v>89</v>
      </c>
      <c r="AC109" s="655" t="s">
        <v>117</v>
      </c>
    </row>
    <row r="110" spans="1:29" thickBot="1" x14ac:dyDescent="0.3">
      <c r="A110" s="2320" t="s">
        <v>825</v>
      </c>
      <c r="B110" s="2321">
        <v>93685.98</v>
      </c>
      <c r="C110" s="2321">
        <f t="shared" si="34"/>
        <v>2.8797215135400975</v>
      </c>
      <c r="D110" s="2321">
        <v>0</v>
      </c>
      <c r="E110" s="2321">
        <f t="shared" si="34"/>
        <v>0</v>
      </c>
      <c r="F110" s="2321">
        <v>138340</v>
      </c>
      <c r="G110" s="2321">
        <f t="shared" si="35"/>
        <v>1.7337794989409834</v>
      </c>
      <c r="H110" s="2321">
        <v>0</v>
      </c>
      <c r="I110" s="2321">
        <f t="shared" si="36"/>
        <v>0</v>
      </c>
      <c r="J110" s="2321">
        <v>1432260</v>
      </c>
      <c r="K110" s="2321">
        <f t="shared" si="37"/>
        <v>4.4948312547466465</v>
      </c>
      <c r="L110" s="2321">
        <v>0</v>
      </c>
      <c r="M110" s="2321">
        <f t="shared" si="38"/>
        <v>0</v>
      </c>
      <c r="N110" s="2321">
        <v>0</v>
      </c>
      <c r="O110" s="2321">
        <f t="shared" si="39"/>
        <v>0</v>
      </c>
      <c r="P110" s="2321">
        <v>245704</v>
      </c>
      <c r="Q110" s="2321">
        <f t="shared" si="40"/>
        <v>3.364563791474386</v>
      </c>
      <c r="R110" s="2321">
        <f t="shared" si="41"/>
        <v>1909989.98</v>
      </c>
      <c r="S110" s="2321">
        <f t="shared" si="42"/>
        <v>2.5667044014508003</v>
      </c>
      <c r="T110" s="2320">
        <v>0</v>
      </c>
      <c r="U110" s="2321">
        <v>0</v>
      </c>
      <c r="V110" s="2321">
        <v>44175</v>
      </c>
      <c r="W110" s="2322">
        <v>2.7875938663469428</v>
      </c>
      <c r="X110" s="2323">
        <f t="shared" si="31"/>
        <v>1865814.98</v>
      </c>
      <c r="Y110" s="2324">
        <f t="shared" si="32"/>
        <v>2.566030935703961</v>
      </c>
      <c r="Z110" s="2320">
        <f t="shared" si="33"/>
        <v>1865.8149799999999</v>
      </c>
      <c r="AA110" s="2463" t="s">
        <v>1459</v>
      </c>
      <c r="AB110" s="6" t="s">
        <v>88</v>
      </c>
      <c r="AC110" s="655" t="s">
        <v>117</v>
      </c>
    </row>
    <row r="111" spans="1:29" thickBot="1" x14ac:dyDescent="0.3">
      <c r="A111" s="2320" t="s">
        <v>826</v>
      </c>
      <c r="B111" s="2321">
        <v>0</v>
      </c>
      <c r="C111" s="2321">
        <f t="shared" si="34"/>
        <v>0</v>
      </c>
      <c r="D111" s="2321">
        <v>270100</v>
      </c>
      <c r="E111" s="2321">
        <f t="shared" si="34"/>
        <v>6.0837443971439509</v>
      </c>
      <c r="F111" s="2321">
        <v>27590</v>
      </c>
      <c r="G111" s="2321">
        <f t="shared" si="35"/>
        <v>0.34577834592873885</v>
      </c>
      <c r="H111" s="2321">
        <v>0</v>
      </c>
      <c r="I111" s="2321">
        <f t="shared" si="36"/>
        <v>0</v>
      </c>
      <c r="J111" s="2321">
        <v>114240</v>
      </c>
      <c r="K111" s="2321">
        <f t="shared" si="37"/>
        <v>0.3585169749502583</v>
      </c>
      <c r="L111" s="2321">
        <v>0</v>
      </c>
      <c r="M111" s="2321">
        <f t="shared" si="38"/>
        <v>0</v>
      </c>
      <c r="N111" s="2321">
        <v>0</v>
      </c>
      <c r="O111" s="2321">
        <f t="shared" si="39"/>
        <v>0</v>
      </c>
      <c r="P111" s="2321">
        <v>395210</v>
      </c>
      <c r="Q111" s="2321">
        <f t="shared" si="40"/>
        <v>5.411833979213168</v>
      </c>
      <c r="R111" s="2321">
        <f t="shared" si="41"/>
        <v>807140</v>
      </c>
      <c r="S111" s="2321">
        <f t="shared" si="42"/>
        <v>1.084660030827491</v>
      </c>
      <c r="T111" s="2320">
        <v>0</v>
      </c>
      <c r="U111" s="2321">
        <v>0</v>
      </c>
      <c r="V111" s="2321">
        <v>0</v>
      </c>
      <c r="W111" s="2322">
        <v>0</v>
      </c>
      <c r="X111" s="2323">
        <f t="shared" si="31"/>
        <v>807140</v>
      </c>
      <c r="Y111" s="2324">
        <f t="shared" si="32"/>
        <v>1.1100490839901473</v>
      </c>
      <c r="Z111" s="2320">
        <f t="shared" si="33"/>
        <v>807.14</v>
      </c>
      <c r="AA111" s="2463" t="s">
        <v>1459</v>
      </c>
      <c r="AB111" s="6" t="s">
        <v>88</v>
      </c>
      <c r="AC111" s="655" t="s">
        <v>117</v>
      </c>
    </row>
    <row r="112" spans="1:29" thickBot="1" x14ac:dyDescent="0.3">
      <c r="A112" s="2320" t="s">
        <v>827</v>
      </c>
      <c r="B112" s="2321">
        <v>31402</v>
      </c>
      <c r="C112" s="2321">
        <f t="shared" si="34"/>
        <v>0.96523529954200349</v>
      </c>
      <c r="D112" s="2321">
        <v>739700</v>
      </c>
      <c r="E112" s="2321">
        <f t="shared" si="34"/>
        <v>16.661035655562312</v>
      </c>
      <c r="F112" s="2321">
        <f>2076130-2076130</f>
        <v>0</v>
      </c>
      <c r="G112" s="2321">
        <f t="shared" si="35"/>
        <v>0</v>
      </c>
      <c r="H112" s="2321">
        <v>490386</v>
      </c>
      <c r="I112" s="2321">
        <f t="shared" si="36"/>
        <v>7.8293897882938976</v>
      </c>
      <c r="J112" s="2321">
        <v>416678</v>
      </c>
      <c r="K112" s="2321">
        <f t="shared" si="37"/>
        <v>1.3076517514734218</v>
      </c>
      <c r="L112" s="2321">
        <v>0</v>
      </c>
      <c r="M112" s="2321">
        <f t="shared" si="38"/>
        <v>0</v>
      </c>
      <c r="N112" s="2321">
        <v>0</v>
      </c>
      <c r="O112" s="2321">
        <f t="shared" si="39"/>
        <v>0</v>
      </c>
      <c r="P112" s="2321">
        <v>0</v>
      </c>
      <c r="Q112" s="2321">
        <f t="shared" si="40"/>
        <v>0</v>
      </c>
      <c r="R112" s="2321">
        <f t="shared" si="41"/>
        <v>1678166</v>
      </c>
      <c r="S112" s="2321">
        <f t="shared" si="42"/>
        <v>2.2551720708844156</v>
      </c>
      <c r="T112" s="2320">
        <v>0</v>
      </c>
      <c r="U112" s="2321">
        <v>0</v>
      </c>
      <c r="V112" s="2321">
        <v>0</v>
      </c>
      <c r="W112" s="2322">
        <v>0</v>
      </c>
      <c r="X112" s="2323">
        <f t="shared" si="31"/>
        <v>1678166</v>
      </c>
      <c r="Y112" s="2324">
        <f t="shared" si="32"/>
        <v>2.3079597481024479</v>
      </c>
      <c r="Z112" s="2320">
        <f t="shared" si="33"/>
        <v>1678.1659999999999</v>
      </c>
      <c r="AA112" s="2463" t="s">
        <v>1459</v>
      </c>
      <c r="AB112" s="4" t="s">
        <v>89</v>
      </c>
      <c r="AC112" s="655" t="s">
        <v>117</v>
      </c>
    </row>
    <row r="113" spans="1:29" thickBot="1" x14ac:dyDescent="0.3">
      <c r="A113" s="2320" t="s">
        <v>828</v>
      </c>
      <c r="B113" s="2321">
        <v>0</v>
      </c>
      <c r="C113" s="2321">
        <f t="shared" si="34"/>
        <v>0</v>
      </c>
      <c r="D113" s="2321">
        <v>0</v>
      </c>
      <c r="E113" s="2321">
        <f t="shared" si="34"/>
        <v>0</v>
      </c>
      <c r="F113" s="2321">
        <v>0</v>
      </c>
      <c r="G113" s="2321">
        <f t="shared" si="35"/>
        <v>0</v>
      </c>
      <c r="H113" s="2321">
        <v>0</v>
      </c>
      <c r="I113" s="2321">
        <f t="shared" si="36"/>
        <v>0</v>
      </c>
      <c r="J113" s="2321">
        <v>0</v>
      </c>
      <c r="K113" s="2321">
        <f t="shared" si="37"/>
        <v>0</v>
      </c>
      <c r="L113" s="2321">
        <v>0</v>
      </c>
      <c r="M113" s="2321">
        <f t="shared" si="38"/>
        <v>0</v>
      </c>
      <c r="N113" s="2321">
        <v>0</v>
      </c>
      <c r="O113" s="2321">
        <f t="shared" si="39"/>
        <v>0</v>
      </c>
      <c r="P113" s="2321">
        <v>0</v>
      </c>
      <c r="Q113" s="2321">
        <f t="shared" si="40"/>
        <v>0</v>
      </c>
      <c r="R113" s="2321">
        <f t="shared" si="41"/>
        <v>0</v>
      </c>
      <c r="S113" s="2321">
        <f t="shared" si="42"/>
        <v>0</v>
      </c>
      <c r="T113" s="2320">
        <v>0</v>
      </c>
      <c r="U113" s="2321">
        <v>0</v>
      </c>
      <c r="V113" s="2321">
        <v>0</v>
      </c>
      <c r="W113" s="2322">
        <v>0</v>
      </c>
      <c r="X113" s="2323">
        <f t="shared" si="31"/>
        <v>0</v>
      </c>
      <c r="Y113" s="2324">
        <f t="shared" si="32"/>
        <v>0</v>
      </c>
      <c r="Z113" s="2320">
        <f t="shared" si="33"/>
        <v>0</v>
      </c>
      <c r="AA113" s="2463" t="s">
        <v>1459</v>
      </c>
      <c r="AB113" s="4" t="s">
        <v>89</v>
      </c>
      <c r="AC113" s="655" t="s">
        <v>117</v>
      </c>
    </row>
    <row r="114" spans="1:29" thickBot="1" x14ac:dyDescent="0.3">
      <c r="A114" s="2320" t="s">
        <v>829</v>
      </c>
      <c r="B114" s="2321">
        <v>0</v>
      </c>
      <c r="C114" s="2321">
        <f t="shared" si="34"/>
        <v>0</v>
      </c>
      <c r="D114" s="2321">
        <v>0</v>
      </c>
      <c r="E114" s="2321">
        <f t="shared" si="34"/>
        <v>0</v>
      </c>
      <c r="F114" s="2321">
        <v>0</v>
      </c>
      <c r="G114" s="2321">
        <f t="shared" si="35"/>
        <v>0</v>
      </c>
      <c r="H114" s="2321">
        <v>0</v>
      </c>
      <c r="I114" s="2321">
        <f t="shared" si="36"/>
        <v>0</v>
      </c>
      <c r="J114" s="2321">
        <v>0</v>
      </c>
      <c r="K114" s="2321">
        <f t="shared" si="37"/>
        <v>0</v>
      </c>
      <c r="L114" s="2321">
        <v>0</v>
      </c>
      <c r="M114" s="2321">
        <f t="shared" si="38"/>
        <v>0</v>
      </c>
      <c r="N114" s="2321">
        <v>0</v>
      </c>
      <c r="O114" s="2321">
        <f t="shared" si="39"/>
        <v>0</v>
      </c>
      <c r="P114" s="2321">
        <v>0</v>
      </c>
      <c r="Q114" s="2321">
        <f t="shared" si="40"/>
        <v>0</v>
      </c>
      <c r="R114" s="2321">
        <f t="shared" si="41"/>
        <v>0</v>
      </c>
      <c r="S114" s="2321">
        <f t="shared" si="42"/>
        <v>0</v>
      </c>
      <c r="T114" s="2320">
        <v>0</v>
      </c>
      <c r="U114" s="2321">
        <v>0</v>
      </c>
      <c r="V114" s="2321">
        <v>0</v>
      </c>
      <c r="W114" s="2322">
        <v>0</v>
      </c>
      <c r="X114" s="2323">
        <f t="shared" si="31"/>
        <v>0</v>
      </c>
      <c r="Y114" s="2324">
        <f t="shared" si="32"/>
        <v>0</v>
      </c>
      <c r="Z114" s="2320">
        <f t="shared" si="33"/>
        <v>0</v>
      </c>
      <c r="AA114" s="2463" t="s">
        <v>1459</v>
      </c>
      <c r="AB114" s="4" t="s">
        <v>89</v>
      </c>
      <c r="AC114" s="655" t="s">
        <v>117</v>
      </c>
    </row>
    <row r="115" spans="1:29" s="655" customFormat="1" thickBot="1" x14ac:dyDescent="0.3">
      <c r="A115" s="2320" t="s">
        <v>830</v>
      </c>
      <c r="B115" s="2321">
        <v>268643</v>
      </c>
      <c r="C115" s="2321">
        <f t="shared" si="34"/>
        <v>8.2575538683797998</v>
      </c>
      <c r="D115" s="2321">
        <v>349790</v>
      </c>
      <c r="E115" s="2321">
        <f t="shared" si="34"/>
        <v>7.8786854967677993</v>
      </c>
      <c r="F115" s="2321">
        <v>361820</v>
      </c>
      <c r="G115" s="2321">
        <f t="shared" si="35"/>
        <v>4.5345966337055561</v>
      </c>
      <c r="H115" s="2321">
        <v>377920</v>
      </c>
      <c r="I115" s="2321">
        <f t="shared" si="36"/>
        <v>6.0337835680301435</v>
      </c>
      <c r="J115" s="2321">
        <v>2755340</v>
      </c>
      <c r="K115" s="2321">
        <f t="shared" si="37"/>
        <v>8.6470252254853346</v>
      </c>
      <c r="L115" s="2321">
        <v>708780</v>
      </c>
      <c r="M115" s="2321">
        <f t="shared" si="38"/>
        <v>10.092986828052688</v>
      </c>
      <c r="N115" s="2321">
        <v>138944.37</v>
      </c>
      <c r="O115" s="2321">
        <f t="shared" si="39"/>
        <v>2.2093940020353644</v>
      </c>
      <c r="P115" s="2321">
        <v>204570</v>
      </c>
      <c r="Q115" s="2321">
        <f t="shared" si="40"/>
        <v>2.8012926725731577</v>
      </c>
      <c r="R115" s="2321">
        <f t="shared" si="41"/>
        <v>5165807.37</v>
      </c>
      <c r="S115" s="2321">
        <f t="shared" si="42"/>
        <v>6.941973859792701</v>
      </c>
      <c r="T115" s="2320">
        <v>1391.687306906844</v>
      </c>
      <c r="U115" s="2321">
        <v>1.1864341917364398</v>
      </c>
      <c r="V115" s="2321">
        <v>43803.782007645183</v>
      </c>
      <c r="W115" s="2322">
        <v>2.764168739044941</v>
      </c>
      <c r="X115" s="2323">
        <f t="shared" si="31"/>
        <v>5120611.9006854482</v>
      </c>
      <c r="Y115" s="2324">
        <f t="shared" si="32"/>
        <v>7.0423105654842155</v>
      </c>
      <c r="Z115" s="2320">
        <f t="shared" si="33"/>
        <v>5120.6119006854478</v>
      </c>
      <c r="AA115" s="2463" t="s">
        <v>1457</v>
      </c>
      <c r="AB115" s="6" t="s">
        <v>6</v>
      </c>
      <c r="AC115" s="655" t="s">
        <v>155</v>
      </c>
    </row>
    <row r="116" spans="1:29" thickBot="1" x14ac:dyDescent="0.3">
      <c r="A116" s="2320" t="s">
        <v>831</v>
      </c>
      <c r="B116" s="2321">
        <v>540</v>
      </c>
      <c r="C116" s="2321">
        <f t="shared" si="34"/>
        <v>1.6598530722650846E-2</v>
      </c>
      <c r="D116" s="2321">
        <v>0</v>
      </c>
      <c r="E116" s="2321">
        <f t="shared" si="34"/>
        <v>0</v>
      </c>
      <c r="F116" s="2321">
        <v>0</v>
      </c>
      <c r="G116" s="2321">
        <f t="shared" si="35"/>
        <v>0</v>
      </c>
      <c r="H116" s="2321">
        <v>0</v>
      </c>
      <c r="I116" s="2321">
        <f t="shared" si="36"/>
        <v>0</v>
      </c>
      <c r="J116" s="2321">
        <v>0</v>
      </c>
      <c r="K116" s="2321">
        <f t="shared" si="37"/>
        <v>0</v>
      </c>
      <c r="L116" s="2321">
        <v>0</v>
      </c>
      <c r="M116" s="2321">
        <f t="shared" si="38"/>
        <v>0</v>
      </c>
      <c r="N116" s="2321">
        <v>78460</v>
      </c>
      <c r="O116" s="2321">
        <f t="shared" si="39"/>
        <v>1.2476148072764279</v>
      </c>
      <c r="P116" s="2321">
        <v>0</v>
      </c>
      <c r="Q116" s="2321">
        <f t="shared" si="40"/>
        <v>0</v>
      </c>
      <c r="R116" s="2321">
        <f t="shared" si="41"/>
        <v>79000</v>
      </c>
      <c r="S116" s="2321">
        <f t="shared" si="42"/>
        <v>0.10616267615949128</v>
      </c>
      <c r="T116" s="2320">
        <v>0</v>
      </c>
      <c r="U116" s="2321">
        <v>0</v>
      </c>
      <c r="V116" s="2321">
        <v>0</v>
      </c>
      <c r="W116" s="2322">
        <v>0</v>
      </c>
      <c r="X116" s="2323">
        <f t="shared" si="31"/>
        <v>79000</v>
      </c>
      <c r="Y116" s="2324">
        <f t="shared" si="32"/>
        <v>0.10864766661944848</v>
      </c>
      <c r="Z116" s="2320">
        <f t="shared" si="33"/>
        <v>79</v>
      </c>
      <c r="AA116" s="2463" t="s">
        <v>1459</v>
      </c>
      <c r="AB116" s="4" t="s">
        <v>89</v>
      </c>
      <c r="AC116" s="655" t="s">
        <v>117</v>
      </c>
    </row>
    <row r="117" spans="1:29" x14ac:dyDescent="0.3">
      <c r="A117" s="2325" t="s">
        <v>832</v>
      </c>
      <c r="B117" s="2326">
        <f>+SUM(B104:B116)</f>
        <v>4157021.89</v>
      </c>
      <c r="C117" s="2326">
        <f t="shared" si="34"/>
        <v>127.77862139980942</v>
      </c>
      <c r="D117" s="2326">
        <f>+SUM(D104:D116)</f>
        <v>7001229.1299999999</v>
      </c>
      <c r="E117" s="2326">
        <f t="shared" si="34"/>
        <v>157.69599590062393</v>
      </c>
      <c r="F117" s="2326">
        <f>+SUM(F104:F116)</f>
        <v>19594670</v>
      </c>
      <c r="G117" s="2326">
        <f t="shared" si="35"/>
        <v>245.57493952952086</v>
      </c>
      <c r="H117" s="2326">
        <f>+SUM(H104:H116)</f>
        <v>8214246.0199999996</v>
      </c>
      <c r="I117" s="2326">
        <f t="shared" si="36"/>
        <v>131.14675767155219</v>
      </c>
      <c r="J117" s="2326">
        <f>+SUM(J104:J116)</f>
        <v>65859956</v>
      </c>
      <c r="K117" s="2326">
        <f t="shared" si="37"/>
        <v>206.68690647301395</v>
      </c>
      <c r="L117" s="2326">
        <f>+SUM(L104:L116)</f>
        <v>6970860</v>
      </c>
      <c r="M117" s="2326">
        <f t="shared" si="38"/>
        <v>99.264649341402631</v>
      </c>
      <c r="N117" s="2326">
        <f>+SUM(N104:N116)</f>
        <v>5985964.7799999993</v>
      </c>
      <c r="O117" s="2326">
        <f t="shared" si="39"/>
        <v>95.184530912097685</v>
      </c>
      <c r="P117" s="2326">
        <f>+SUM(P104:P116)</f>
        <v>14531010</v>
      </c>
      <c r="Q117" s="2326">
        <f t="shared" si="40"/>
        <v>198.98133567036848</v>
      </c>
      <c r="R117" s="2326">
        <f t="shared" si="41"/>
        <v>132314957.81999999</v>
      </c>
      <c r="S117" s="2326">
        <f t="shared" si="42"/>
        <v>177.80898757090389</v>
      </c>
      <c r="T117" s="2325">
        <v>607108.6873069068</v>
      </c>
      <c r="U117" s="2326">
        <v>517.56921339037251</v>
      </c>
      <c r="V117" s="2326">
        <v>3189471.7820076453</v>
      </c>
      <c r="W117" s="2327">
        <v>201.26659822096585</v>
      </c>
      <c r="X117" s="2328">
        <f t="shared" si="31"/>
        <v>128518377.35068543</v>
      </c>
      <c r="Y117" s="2329">
        <f t="shared" si="32"/>
        <v>176.74964325151581</v>
      </c>
      <c r="Z117" s="2325">
        <f t="shared" si="33"/>
        <v>128518.37735068543</v>
      </c>
    </row>
    <row r="118" spans="1:29" x14ac:dyDescent="0.3">
      <c r="A118" s="2325" t="s">
        <v>833</v>
      </c>
      <c r="B118" s="2326">
        <f>+B101+B117</f>
        <v>13735258.99</v>
      </c>
      <c r="C118" s="2326">
        <f t="shared" si="34"/>
        <v>422.19466357237269</v>
      </c>
      <c r="D118" s="2326">
        <f>+D101+D117</f>
        <v>21013947.940000001</v>
      </c>
      <c r="E118" s="2326">
        <f t="shared" si="34"/>
        <v>473.31909678581889</v>
      </c>
      <c r="F118" s="2326">
        <f>+F101+F117</f>
        <v>41532870.200000003</v>
      </c>
      <c r="G118" s="2326">
        <f t="shared" si="35"/>
        <v>520.52073792783654</v>
      </c>
      <c r="H118" s="2326">
        <f>+H101+H117</f>
        <v>26798879.569999997</v>
      </c>
      <c r="I118" s="2326">
        <f t="shared" si="36"/>
        <v>427.86473113644342</v>
      </c>
      <c r="J118" s="2326">
        <f>+J101+J117</f>
        <v>129135119</v>
      </c>
      <c r="K118" s="2326">
        <f t="shared" si="37"/>
        <v>405.26201176226908</v>
      </c>
      <c r="L118" s="2326">
        <f>+L101+L117</f>
        <v>27394490.880000003</v>
      </c>
      <c r="M118" s="2326">
        <f t="shared" si="38"/>
        <v>390.09598974724105</v>
      </c>
      <c r="N118" s="2326">
        <f>+N101+N117</f>
        <v>24525860.160000004</v>
      </c>
      <c r="O118" s="2326">
        <f t="shared" si="39"/>
        <v>389.9926879531867</v>
      </c>
      <c r="P118" s="2326">
        <f>+P101+P117</f>
        <v>30583228</v>
      </c>
      <c r="Q118" s="2326">
        <f t="shared" si="40"/>
        <v>418.79343256603721</v>
      </c>
      <c r="R118" s="2326">
        <f t="shared" si="41"/>
        <v>314719654.74000001</v>
      </c>
      <c r="S118" s="2326">
        <f t="shared" si="42"/>
        <v>422.93013654670284</v>
      </c>
      <c r="T118" s="2325">
        <v>1525199</v>
      </c>
      <c r="U118" s="2326">
        <v>1300.2549019607845</v>
      </c>
      <c r="V118" s="2326">
        <v>5687488</v>
      </c>
      <c r="W118" s="2327">
        <v>358.89998106897201</v>
      </c>
      <c r="X118" s="2328">
        <f t="shared" si="31"/>
        <v>307506967.74000001</v>
      </c>
      <c r="Y118" s="2329">
        <f t="shared" si="32"/>
        <v>422.91031030598759</v>
      </c>
      <c r="Z118" s="2325">
        <f t="shared" si="33"/>
        <v>307506.96773999999</v>
      </c>
    </row>
    <row r="119" spans="1:29" x14ac:dyDescent="0.3">
      <c r="A119" s="2325" t="s">
        <v>834</v>
      </c>
      <c r="B119" s="2326">
        <f>+B102+B117</f>
        <v>14150331.310000001</v>
      </c>
      <c r="C119" s="2326">
        <f t="shared" si="34"/>
        <v>434.9531647865245</v>
      </c>
      <c r="D119" s="2326">
        <f>+D102+D117</f>
        <v>21013947.940000001</v>
      </c>
      <c r="E119" s="2326">
        <f t="shared" si="34"/>
        <v>473.31909678581889</v>
      </c>
      <c r="F119" s="2326">
        <f>+F102+F117</f>
        <v>41684966.359999999</v>
      </c>
      <c r="G119" s="2326">
        <f t="shared" si="35"/>
        <v>522.42691982805081</v>
      </c>
      <c r="H119" s="2326">
        <f>+H102+H117</f>
        <v>27452288.569999997</v>
      </c>
      <c r="I119" s="2326">
        <f t="shared" si="36"/>
        <v>438.29690854807285</v>
      </c>
      <c r="J119" s="2326">
        <f>+J102+J117</f>
        <v>129872975.47999999</v>
      </c>
      <c r="K119" s="2326">
        <f t="shared" si="37"/>
        <v>407.57761114214514</v>
      </c>
      <c r="L119" s="2326">
        <f>+L102+L117</f>
        <v>27822779.400000002</v>
      </c>
      <c r="M119" s="2326">
        <f t="shared" si="38"/>
        <v>396.19479387682452</v>
      </c>
      <c r="N119" s="2326">
        <f>+N102+N117</f>
        <v>25139844.359999999</v>
      </c>
      <c r="O119" s="2326">
        <f t="shared" si="39"/>
        <v>399.75582559470803</v>
      </c>
      <c r="P119" s="2326">
        <f>+P102+P117</f>
        <v>30798230.890000001</v>
      </c>
      <c r="Q119" s="2326">
        <f t="shared" si="40"/>
        <v>421.73758870006986</v>
      </c>
      <c r="R119" s="2326">
        <f t="shared" si="41"/>
        <v>317935364.30999994</v>
      </c>
      <c r="S119" s="2326">
        <f t="shared" si="42"/>
        <v>427.25150785939752</v>
      </c>
      <c r="T119" s="2325">
        <v>1559265.71</v>
      </c>
      <c r="U119" s="2326">
        <v>1329.2972804774085</v>
      </c>
      <c r="V119" s="2326">
        <v>5692192</v>
      </c>
      <c r="W119" s="2327">
        <v>359.19681958730359</v>
      </c>
      <c r="X119" s="2328">
        <f t="shared" si="31"/>
        <v>310683906.59999996</v>
      </c>
      <c r="Y119" s="2329">
        <f t="shared" si="32"/>
        <v>427.27951276335023</v>
      </c>
      <c r="Z119" s="2325">
        <f t="shared" si="33"/>
        <v>310683.90659999999</v>
      </c>
    </row>
    <row r="120" spans="1:29" x14ac:dyDescent="0.3">
      <c r="A120" s="2325" t="s">
        <v>835</v>
      </c>
      <c r="B120" s="2330">
        <f>+B101/B118</f>
        <v>0.69734666867027884</v>
      </c>
      <c r="C120" s="2331">
        <f t="shared" si="34"/>
        <v>2.1435055748633046E-5</v>
      </c>
      <c r="D120" s="2330">
        <f>+D101/D118</f>
        <v>0.66682942443798598</v>
      </c>
      <c r="E120" s="2331">
        <f t="shared" si="34"/>
        <v>1.5019695574880869E-5</v>
      </c>
      <c r="F120" s="2330">
        <f>+F101/F118</f>
        <v>0.52821295745652563</v>
      </c>
      <c r="G120" s="2331">
        <f t="shared" si="35"/>
        <v>6.6199566048367066E-6</v>
      </c>
      <c r="H120" s="2330">
        <f>+H101/H118</f>
        <v>0.6934854683553473</v>
      </c>
      <c r="I120" s="2331">
        <f t="shared" si="36"/>
        <v>1.1072029063373683E-5</v>
      </c>
      <c r="J120" s="2330">
        <f>+J101/J118</f>
        <v>0.4899919053003699</v>
      </c>
      <c r="K120" s="2331">
        <f t="shared" si="37"/>
        <v>1.537731229327749E-6</v>
      </c>
      <c r="L120" s="2330">
        <f>+L101/L118</f>
        <v>0.74553788823689215</v>
      </c>
      <c r="M120" s="2331">
        <f t="shared" si="38"/>
        <v>1.0616417062825093E-5</v>
      </c>
      <c r="N120" s="2330">
        <f>+N101/N118</f>
        <v>0.75593252424383062</v>
      </c>
      <c r="O120" s="2331">
        <f t="shared" si="39"/>
        <v>1.2020298375585654E-5</v>
      </c>
      <c r="P120" s="2330">
        <f>+P101/P118</f>
        <v>0.5248699712142878</v>
      </c>
      <c r="Q120" s="2331">
        <f t="shared" si="40"/>
        <v>7.1873412739711037E-6</v>
      </c>
      <c r="R120" s="2330">
        <f>+R101/R118</f>
        <v>0.57957834591134882</v>
      </c>
      <c r="S120" s="2331">
        <f t="shared" si="42"/>
        <v>7.7885554741822969E-7</v>
      </c>
      <c r="T120" s="2325">
        <v>0.60194788528781695</v>
      </c>
      <c r="U120" s="2330"/>
      <c r="V120" s="2331">
        <v>0.43921256941418702</v>
      </c>
      <c r="W120" s="2332"/>
      <c r="X120" s="2333">
        <f>X101/X118</f>
        <v>0.58206352755119051</v>
      </c>
      <c r="Y120" s="2334">
        <f t="shared" si="32"/>
        <v>8.005043556040748E-7</v>
      </c>
      <c r="Z120" s="2325">
        <f t="shared" si="33"/>
        <v>5.8206352755119052E-4</v>
      </c>
    </row>
    <row r="121" spans="1:29" ht="15" thickBot="1" x14ac:dyDescent="0.35">
      <c r="A121" s="2130" t="s">
        <v>836</v>
      </c>
      <c r="B121" s="2335" t="s">
        <v>153</v>
      </c>
      <c r="C121" s="2335"/>
      <c r="D121" s="2335" t="s">
        <v>153</v>
      </c>
      <c r="E121" s="2335"/>
      <c r="F121" s="2335" t="s">
        <v>153</v>
      </c>
      <c r="G121" s="2335"/>
      <c r="H121" s="2335" t="s">
        <v>153</v>
      </c>
      <c r="I121" s="2335"/>
      <c r="J121" s="2335" t="s">
        <v>153</v>
      </c>
      <c r="K121" s="2335"/>
      <c r="L121" s="2335" t="s">
        <v>153</v>
      </c>
      <c r="M121" s="2335"/>
      <c r="N121" s="2335" t="s">
        <v>153</v>
      </c>
      <c r="O121" s="2335"/>
      <c r="P121" s="2335" t="s">
        <v>153</v>
      </c>
      <c r="Q121" s="2335"/>
      <c r="R121" s="2335" t="s">
        <v>153</v>
      </c>
      <c r="S121" s="2335"/>
      <c r="T121" s="2130" t="s">
        <v>153</v>
      </c>
      <c r="U121" s="2335"/>
      <c r="V121" s="2335" t="s">
        <v>153</v>
      </c>
      <c r="W121" s="2336"/>
      <c r="X121" s="2337"/>
      <c r="Y121" s="2338"/>
      <c r="Z121" s="2130">
        <f t="shared" si="33"/>
        <v>0</v>
      </c>
    </row>
    <row r="122" spans="1:29" thickBot="1" x14ac:dyDescent="0.3">
      <c r="A122" s="2339" t="s">
        <v>837</v>
      </c>
      <c r="B122" s="2340">
        <v>3224520</v>
      </c>
      <c r="C122" s="2340">
        <f t="shared" si="34"/>
        <v>99.115359788522426</v>
      </c>
      <c r="D122" s="2340">
        <v>921990</v>
      </c>
      <c r="E122" s="2340">
        <f t="shared" si="34"/>
        <v>20.766943712412999</v>
      </c>
      <c r="F122" s="2340">
        <v>4542710</v>
      </c>
      <c r="G122" s="2340">
        <f>+F122/F$3</f>
        <v>56.932611447406352</v>
      </c>
      <c r="H122" s="2340">
        <v>1131020</v>
      </c>
      <c r="I122" s="2340">
        <f>+H122/H$3</f>
        <v>18.057604495960661</v>
      </c>
      <c r="J122" s="2340">
        <v>1379124</v>
      </c>
      <c r="K122" s="2340">
        <f>+J122/J$3</f>
        <v>4.3280756701794472</v>
      </c>
      <c r="L122" s="2340">
        <v>2060260</v>
      </c>
      <c r="M122" s="2340">
        <f>+L122/L$3</f>
        <v>29.337985048059807</v>
      </c>
      <c r="N122" s="2340">
        <v>2459440.4599999995</v>
      </c>
      <c r="O122" s="2340">
        <f>+N122/N$3</f>
        <v>39.108263261671532</v>
      </c>
      <c r="P122" s="2340">
        <v>765500</v>
      </c>
      <c r="Q122" s="2340">
        <f>+P122/P$3</f>
        <v>10.482424308817286</v>
      </c>
      <c r="R122" s="2340">
        <f>+B122+D122+F122+H122+J122+L122+N122+P122</f>
        <v>16484564.459999999</v>
      </c>
      <c r="S122" s="2340">
        <f>+R122/R$3</f>
        <v>22.152474410091635</v>
      </c>
      <c r="T122" s="2339">
        <v>0</v>
      </c>
      <c r="U122" s="2340">
        <v>0</v>
      </c>
      <c r="V122" s="2340">
        <v>165720</v>
      </c>
      <c r="W122" s="2341">
        <v>10.457499842241434</v>
      </c>
      <c r="X122" s="2342">
        <f t="shared" si="31"/>
        <v>16318844.459999999</v>
      </c>
      <c r="Y122" s="2343">
        <f t="shared" si="32"/>
        <v>22.443093322844476</v>
      </c>
      <c r="Z122" s="2339">
        <f t="shared" si="33"/>
        <v>16318.844459999998</v>
      </c>
      <c r="AA122" s="2464" t="s">
        <v>1460</v>
      </c>
      <c r="AB122" s="11" t="s">
        <v>83</v>
      </c>
      <c r="AC122" s="655" t="s">
        <v>155</v>
      </c>
    </row>
    <row r="123" spans="1:29" thickBot="1" x14ac:dyDescent="0.3">
      <c r="A123" s="2339" t="s">
        <v>838</v>
      </c>
      <c r="B123" s="2340">
        <v>0</v>
      </c>
      <c r="C123" s="2340">
        <f t="shared" si="34"/>
        <v>0</v>
      </c>
      <c r="D123" s="2340">
        <v>0</v>
      </c>
      <c r="E123" s="2340">
        <f t="shared" si="34"/>
        <v>0</v>
      </c>
      <c r="F123" s="2340">
        <v>0</v>
      </c>
      <c r="G123" s="2340">
        <f>+F123/F$3</f>
        <v>0</v>
      </c>
      <c r="H123" s="2340">
        <v>0</v>
      </c>
      <c r="I123" s="2340">
        <f>+H123/H$3</f>
        <v>0</v>
      </c>
      <c r="J123" s="2340">
        <v>0</v>
      </c>
      <c r="K123" s="2340">
        <f>+J123/J$3</f>
        <v>0</v>
      </c>
      <c r="L123" s="2340">
        <v>0</v>
      </c>
      <c r="M123" s="2340">
        <f>+L123/L$3</f>
        <v>0</v>
      </c>
      <c r="N123" s="2340">
        <v>0</v>
      </c>
      <c r="O123" s="2340">
        <f>+N123/N$3</f>
        <v>0</v>
      </c>
      <c r="P123" s="2340">
        <v>0</v>
      </c>
      <c r="Q123" s="2340">
        <f>+P123/P$3</f>
        <v>0</v>
      </c>
      <c r="R123" s="2340">
        <v>0</v>
      </c>
      <c r="S123" s="2340">
        <f>+R123/R$3</f>
        <v>0</v>
      </c>
      <c r="T123" s="2339">
        <v>0</v>
      </c>
      <c r="U123" s="2340">
        <v>0</v>
      </c>
      <c r="V123" s="2340">
        <v>0</v>
      </c>
      <c r="W123" s="2341">
        <v>0</v>
      </c>
      <c r="X123" s="2342">
        <f t="shared" si="31"/>
        <v>0</v>
      </c>
      <c r="Y123" s="2343">
        <f t="shared" si="32"/>
        <v>0</v>
      </c>
      <c r="Z123" s="2339">
        <f t="shared" si="33"/>
        <v>0</v>
      </c>
      <c r="AA123" s="2464" t="s">
        <v>1460</v>
      </c>
      <c r="AB123" s="11" t="s">
        <v>83</v>
      </c>
      <c r="AC123" s="655" t="s">
        <v>117</v>
      </c>
    </row>
    <row r="124" spans="1:29" x14ac:dyDescent="0.3">
      <c r="A124" s="2344" t="s">
        <v>839</v>
      </c>
      <c r="B124" s="2345">
        <v>3224520</v>
      </c>
      <c r="C124" s="2345">
        <f t="shared" si="34"/>
        <v>99.115359788522426</v>
      </c>
      <c r="D124" s="2345">
        <v>921990</v>
      </c>
      <c r="E124" s="2345">
        <f t="shared" si="34"/>
        <v>20.766943712412999</v>
      </c>
      <c r="F124" s="2345">
        <v>4542710</v>
      </c>
      <c r="G124" s="2345">
        <f>+F124/F$3</f>
        <v>56.932611447406352</v>
      </c>
      <c r="H124" s="2345">
        <v>1131020</v>
      </c>
      <c r="I124" s="2345">
        <f>+H124/H$3</f>
        <v>18.057604495960661</v>
      </c>
      <c r="J124" s="2345">
        <v>1379124</v>
      </c>
      <c r="K124" s="2345">
        <f>+J124/J$3</f>
        <v>4.3280756701794472</v>
      </c>
      <c r="L124" s="2345">
        <v>2060260</v>
      </c>
      <c r="M124" s="2345">
        <f>+L124/L$3</f>
        <v>29.337985048059807</v>
      </c>
      <c r="N124" s="2345">
        <v>2459440.4599999995</v>
      </c>
      <c r="O124" s="2345">
        <f>+N124/N$3</f>
        <v>39.108263261671532</v>
      </c>
      <c r="P124" s="2345">
        <v>765500</v>
      </c>
      <c r="Q124" s="2345">
        <f>+P124/P$3</f>
        <v>10.482424308817286</v>
      </c>
      <c r="R124" s="2345">
        <f>+B124+D124+F124+H124+J124+L124+N124+P124</f>
        <v>16484564.459999999</v>
      </c>
      <c r="S124" s="2345">
        <f>+R124/R$3</f>
        <v>22.152474410091635</v>
      </c>
      <c r="T124" s="2344">
        <v>0</v>
      </c>
      <c r="U124" s="2345">
        <v>0</v>
      </c>
      <c r="V124" s="2345">
        <v>165720</v>
      </c>
      <c r="W124" s="2346">
        <v>10.457499842241434</v>
      </c>
      <c r="X124" s="2347">
        <f t="shared" si="31"/>
        <v>16318844.459999999</v>
      </c>
      <c r="Y124" s="2348">
        <f t="shared" si="32"/>
        <v>22.443093322844476</v>
      </c>
      <c r="Z124" s="2344">
        <f t="shared" si="33"/>
        <v>16318.844459999998</v>
      </c>
    </row>
    <row r="125" spans="1:29" x14ac:dyDescent="0.3">
      <c r="A125" s="2349" t="s">
        <v>840</v>
      </c>
      <c r="B125" s="2350" t="s">
        <v>153</v>
      </c>
      <c r="C125" s="2350"/>
      <c r="D125" s="2350" t="s">
        <v>153</v>
      </c>
      <c r="E125" s="2350"/>
      <c r="F125" s="2350" t="s">
        <v>153</v>
      </c>
      <c r="G125" s="2350"/>
      <c r="H125" s="2350" t="s">
        <v>153</v>
      </c>
      <c r="I125" s="2350"/>
      <c r="J125" s="2350" t="s">
        <v>153</v>
      </c>
      <c r="K125" s="2350"/>
      <c r="L125" s="2350" t="s">
        <v>153</v>
      </c>
      <c r="M125" s="2350"/>
      <c r="N125" s="2350" t="s">
        <v>153</v>
      </c>
      <c r="O125" s="2350"/>
      <c r="P125" s="2350" t="s">
        <v>153</v>
      </c>
      <c r="Q125" s="2350"/>
      <c r="R125" s="2350" t="s">
        <v>153</v>
      </c>
      <c r="S125" s="2350"/>
      <c r="T125" s="2349" t="s">
        <v>153</v>
      </c>
      <c r="U125" s="2350"/>
      <c r="V125" s="2350" t="s">
        <v>153</v>
      </c>
      <c r="W125" s="2351"/>
      <c r="X125" s="2352"/>
      <c r="Y125" s="2353">
        <f t="shared" si="32"/>
        <v>0</v>
      </c>
      <c r="Z125" s="2349">
        <f t="shared" si="33"/>
        <v>0</v>
      </c>
    </row>
    <row r="126" spans="1:29" ht="13.2" x14ac:dyDescent="0.25">
      <c r="A126" s="2354" t="s">
        <v>841</v>
      </c>
      <c r="B126" s="2350">
        <v>3133700</v>
      </c>
      <c r="C126" s="2350">
        <f t="shared" si="34"/>
        <v>96.323732825131401</v>
      </c>
      <c r="D126" s="2350">
        <v>0</v>
      </c>
      <c r="E126" s="2350">
        <f t="shared" si="34"/>
        <v>0</v>
      </c>
      <c r="F126" s="2350">
        <v>1308820</v>
      </c>
      <c r="G126" s="2350">
        <f>+F126/F$3</f>
        <v>16.403103106866688</v>
      </c>
      <c r="H126" s="2350">
        <v>464220</v>
      </c>
      <c r="I126" s="2350">
        <f>+H126/H$3</f>
        <v>7.411629466423987</v>
      </c>
      <c r="J126" s="2350">
        <v>0</v>
      </c>
      <c r="K126" s="2350">
        <f>+J126/J$3</f>
        <v>0</v>
      </c>
      <c r="L126" s="2350">
        <v>0</v>
      </c>
      <c r="M126" s="2350">
        <f>+L126/L$3</f>
        <v>0</v>
      </c>
      <c r="N126" s="2350">
        <v>0</v>
      </c>
      <c r="O126" s="2350">
        <f>+N126/N$3</f>
        <v>0</v>
      </c>
      <c r="P126" s="2350">
        <v>765500</v>
      </c>
      <c r="Q126" s="2350">
        <f>+P126/P$3</f>
        <v>10.482424308817286</v>
      </c>
      <c r="R126" s="2350">
        <f>+B126+D126+F126+H126+J126+L126+N126+P126</f>
        <v>5672240</v>
      </c>
      <c r="S126" s="2350">
        <f>+R126/R$3</f>
        <v>7.6225339015052258</v>
      </c>
      <c r="T126" s="2354">
        <v>0</v>
      </c>
      <c r="U126" s="2350">
        <v>0</v>
      </c>
      <c r="V126" s="2350">
        <v>165720</v>
      </c>
      <c r="W126" s="2351">
        <v>10.457499842241434</v>
      </c>
      <c r="X126" s="2352">
        <f t="shared" si="31"/>
        <v>5506520</v>
      </c>
      <c r="Y126" s="2353">
        <f t="shared" si="32"/>
        <v>7.5730449264977908</v>
      </c>
      <c r="Z126" s="2354">
        <f t="shared" si="33"/>
        <v>5506.52</v>
      </c>
      <c r="AA126" s="2465" t="s">
        <v>1460</v>
      </c>
    </row>
    <row r="127" spans="1:29" ht="13.2" x14ac:dyDescent="0.25">
      <c r="A127" s="2354" t="s">
        <v>842</v>
      </c>
      <c r="B127" s="2350">
        <v>90820</v>
      </c>
      <c r="C127" s="2350">
        <f t="shared" si="34"/>
        <v>2.7916269633910185</v>
      </c>
      <c r="D127" s="2350">
        <v>0</v>
      </c>
      <c r="E127" s="2350">
        <f t="shared" si="34"/>
        <v>0</v>
      </c>
      <c r="F127" s="2350">
        <v>2942412</v>
      </c>
      <c r="G127" s="2350">
        <f>+F127/F$3</f>
        <v>36.87648982968004</v>
      </c>
      <c r="H127" s="2350">
        <v>0</v>
      </c>
      <c r="I127" s="2350">
        <f>+H127/H$3</f>
        <v>0</v>
      </c>
      <c r="J127" s="2350">
        <v>0</v>
      </c>
      <c r="K127" s="2350">
        <f>+J127/J$3</f>
        <v>0</v>
      </c>
      <c r="L127" s="2350">
        <v>0</v>
      </c>
      <c r="M127" s="2350">
        <f>+L127/L$3</f>
        <v>0</v>
      </c>
      <c r="N127" s="2350">
        <v>0</v>
      </c>
      <c r="O127" s="2350">
        <f>+N127/N$3</f>
        <v>0</v>
      </c>
      <c r="P127" s="2350">
        <v>0</v>
      </c>
      <c r="Q127" s="2350">
        <f>+P127/P$3</f>
        <v>0</v>
      </c>
      <c r="R127" s="2350">
        <f>+B127+D127+F127+H127+J127+L127+N127+P127</f>
        <v>3033232</v>
      </c>
      <c r="S127" s="2350">
        <f>+R127/R$3</f>
        <v>4.0761522345899497</v>
      </c>
      <c r="T127" s="2354">
        <v>0</v>
      </c>
      <c r="U127" s="2350">
        <v>0</v>
      </c>
      <c r="V127" s="2350">
        <v>0</v>
      </c>
      <c r="W127" s="2351">
        <v>0</v>
      </c>
      <c r="X127" s="2352">
        <f t="shared" si="31"/>
        <v>3033232</v>
      </c>
      <c r="Y127" s="2353">
        <f t="shared" si="32"/>
        <v>4.1715642926005438</v>
      </c>
      <c r="Z127" s="2354">
        <f t="shared" si="33"/>
        <v>3033.232</v>
      </c>
      <c r="AA127" s="2465" t="s">
        <v>1460</v>
      </c>
    </row>
    <row r="128" spans="1:29" ht="15" thickBot="1" x14ac:dyDescent="0.35">
      <c r="A128" s="2349" t="s">
        <v>843</v>
      </c>
      <c r="B128" s="2355">
        <f>+B126/B124</f>
        <v>0.97183456762556908</v>
      </c>
      <c r="C128" s="2356">
        <f t="shared" si="34"/>
        <v>2.9872270237161317E-5</v>
      </c>
      <c r="D128" s="2355">
        <f>+D126/D124</f>
        <v>0</v>
      </c>
      <c r="E128" s="2356">
        <f t="shared" si="34"/>
        <v>0</v>
      </c>
      <c r="F128" s="2355">
        <f>+F126/F124</f>
        <v>0.28811436345265273</v>
      </c>
      <c r="G128" s="2356">
        <f>+F128/F$3</f>
        <v>3.6108629225433034E-6</v>
      </c>
      <c r="H128" s="2355">
        <f>+H126/H124</f>
        <v>0.41044367031529061</v>
      </c>
      <c r="I128" s="2356">
        <f>+H128/H$3</f>
        <v>6.5530489880143471E-6</v>
      </c>
      <c r="J128" s="2355">
        <f>+J126/J124</f>
        <v>0</v>
      </c>
      <c r="K128" s="2356">
        <f>+J128/J$3</f>
        <v>0</v>
      </c>
      <c r="L128" s="2355">
        <f>+L126/L124</f>
        <v>0</v>
      </c>
      <c r="M128" s="2356">
        <f>+L128/L$3</f>
        <v>0</v>
      </c>
      <c r="N128" s="2355">
        <f>+N126/N124</f>
        <v>0</v>
      </c>
      <c r="O128" s="2356">
        <f>+N128/N$3</f>
        <v>0</v>
      </c>
      <c r="P128" s="2355">
        <f>+P126/P124</f>
        <v>1</v>
      </c>
      <c r="Q128" s="2356">
        <f>+P128/P$3</f>
        <v>1.3693565393621536E-5</v>
      </c>
      <c r="R128" s="2355">
        <f>+R126/R124</f>
        <v>0.3440940167854456</v>
      </c>
      <c r="S128" s="2356">
        <f>+R128/R$3</f>
        <v>4.6240432496723817E-7</v>
      </c>
      <c r="T128" s="2349">
        <v>0</v>
      </c>
      <c r="U128" s="2355">
        <v>0</v>
      </c>
      <c r="V128" s="2357">
        <v>1</v>
      </c>
      <c r="W128" s="2358">
        <v>6.3103426516059798E-5</v>
      </c>
      <c r="X128" s="2359">
        <f>X126/X124</f>
        <v>0.3374332057332447</v>
      </c>
      <c r="Y128" s="2360">
        <f t="shared" si="32"/>
        <v>4.6406747395996636E-7</v>
      </c>
      <c r="Z128" s="2349">
        <f t="shared" si="33"/>
        <v>3.3743320573324472E-4</v>
      </c>
    </row>
  </sheetData>
  <autoFilter ref="A2:AC128" xr:uid="{00000000-0009-0000-0000-000036000000}"/>
  <mergeCells count="15">
    <mergeCell ref="L1:M1"/>
    <mergeCell ref="B1:C1"/>
    <mergeCell ref="D1:E1"/>
    <mergeCell ref="F1:G1"/>
    <mergeCell ref="H1:I1"/>
    <mergeCell ref="J1:K1"/>
    <mergeCell ref="T3:U3"/>
    <mergeCell ref="V3:W3"/>
    <mergeCell ref="X3:Y3"/>
    <mergeCell ref="N1:O1"/>
    <mergeCell ref="P1:Q1"/>
    <mergeCell ref="R1:S1"/>
    <mergeCell ref="T1:U1"/>
    <mergeCell ref="V1:W1"/>
    <mergeCell ref="X1:Y1"/>
  </mergeCells>
  <pageMargins left="0.25" right="0.25" top="0.75" bottom="0.75" header="0.3" footer="0.3"/>
  <pageSetup paperSize="9" scale="42"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53"/>
  <dimension ref="A1:N280"/>
  <sheetViews>
    <sheetView workbookViewId="0"/>
  </sheetViews>
  <sheetFormatPr baseColWidth="10" defaultColWidth="9.109375" defaultRowHeight="14.4" x14ac:dyDescent="0.3"/>
  <cols>
    <col min="1" max="1" width="13.33203125" bestFit="1" customWidth="1"/>
    <col min="2" max="2" width="32.109375" bestFit="1" customWidth="1"/>
    <col min="3" max="4" width="11.109375" bestFit="1" customWidth="1"/>
    <col min="5" max="5" width="37.44140625" bestFit="1" customWidth="1"/>
    <col min="6" max="6" width="4.44140625" bestFit="1" customWidth="1"/>
    <col min="7" max="7" width="48.33203125" bestFit="1" customWidth="1"/>
    <col min="9" max="9" width="12.6640625" customWidth="1"/>
    <col min="10" max="10" width="16.6640625" bestFit="1" customWidth="1"/>
    <col min="11" max="11" width="17.5546875" customWidth="1"/>
    <col min="13" max="13" width="36.33203125" customWidth="1"/>
    <col min="14" max="14" width="19.109375" customWidth="1"/>
  </cols>
  <sheetData>
    <row r="1" spans="1:14" x14ac:dyDescent="0.3">
      <c r="A1" s="2433" t="s">
        <v>1433</v>
      </c>
      <c r="B1" s="2433" t="s">
        <v>1432</v>
      </c>
      <c r="C1" s="2433" t="s">
        <v>1431</v>
      </c>
      <c r="D1" s="2433" t="s">
        <v>1130</v>
      </c>
      <c r="E1" s="2432" t="s">
        <v>437</v>
      </c>
      <c r="F1" s="2424" t="s">
        <v>1454</v>
      </c>
      <c r="G1" s="2424" t="s">
        <v>1455</v>
      </c>
    </row>
    <row r="2" spans="1:14" x14ac:dyDescent="0.3">
      <c r="A2" s="2404" t="s">
        <v>1347</v>
      </c>
      <c r="B2" s="2431" t="s">
        <v>402</v>
      </c>
      <c r="C2" s="2411">
        <v>24716</v>
      </c>
      <c r="D2" s="2444">
        <f>C2/1000</f>
        <v>24.716000000000001</v>
      </c>
      <c r="E2" t="s">
        <v>33</v>
      </c>
      <c r="F2" t="s">
        <v>155</v>
      </c>
      <c r="G2" t="s">
        <v>7</v>
      </c>
      <c r="J2" s="2426" t="s">
        <v>1005</v>
      </c>
      <c r="K2" s="2426" t="s">
        <v>154</v>
      </c>
      <c r="M2" s="2423" t="s">
        <v>411</v>
      </c>
      <c r="N2" s="2423" t="s">
        <v>154</v>
      </c>
    </row>
    <row r="3" spans="1:14" ht="15.6" x14ac:dyDescent="0.3">
      <c r="A3" s="2404" t="s">
        <v>1344</v>
      </c>
      <c r="B3" s="2431" t="s">
        <v>402</v>
      </c>
      <c r="C3" s="2411">
        <v>4565</v>
      </c>
      <c r="D3" s="2444">
        <f t="shared" ref="D3:D66" si="0">C3/1000</f>
        <v>4.5650000000000004</v>
      </c>
      <c r="E3" t="s">
        <v>33</v>
      </c>
      <c r="F3" t="s">
        <v>155</v>
      </c>
      <c r="G3" t="s">
        <v>7</v>
      </c>
      <c r="J3" s="2438" t="s">
        <v>307</v>
      </c>
      <c r="K3" s="2439">
        <v>432958</v>
      </c>
      <c r="M3" s="2438" t="s">
        <v>1453</v>
      </c>
      <c r="N3" s="2437">
        <v>76782</v>
      </c>
    </row>
    <row r="4" spans="1:14" ht="15.6" x14ac:dyDescent="0.3">
      <c r="A4" s="2404" t="s">
        <v>1343</v>
      </c>
      <c r="B4" s="2431" t="s">
        <v>402</v>
      </c>
      <c r="C4" s="2411">
        <v>568</v>
      </c>
      <c r="D4" s="2444">
        <f t="shared" si="0"/>
        <v>0.56799999999999995</v>
      </c>
      <c r="E4" t="s">
        <v>33</v>
      </c>
      <c r="F4" t="s">
        <v>155</v>
      </c>
      <c r="G4" t="s">
        <v>7</v>
      </c>
      <c r="J4" s="2436" t="s">
        <v>128</v>
      </c>
      <c r="K4" s="2435">
        <v>113455</v>
      </c>
      <c r="M4" s="2436" t="s">
        <v>1452</v>
      </c>
      <c r="N4" s="2435">
        <v>38637</v>
      </c>
    </row>
    <row r="5" spans="1:14" ht="15.6" x14ac:dyDescent="0.3">
      <c r="A5" s="2404" t="s">
        <v>1341</v>
      </c>
      <c r="B5" s="2431" t="s">
        <v>402</v>
      </c>
      <c r="C5" s="2411">
        <v>116145</v>
      </c>
      <c r="D5" s="2444">
        <f t="shared" si="0"/>
        <v>116.145</v>
      </c>
      <c r="E5" t="s">
        <v>33</v>
      </c>
      <c r="F5" t="s">
        <v>155</v>
      </c>
      <c r="G5" t="s">
        <v>7</v>
      </c>
      <c r="J5" s="2438" t="s">
        <v>178</v>
      </c>
      <c r="K5" s="2439">
        <v>103145</v>
      </c>
      <c r="M5" s="2438" t="s">
        <v>305</v>
      </c>
      <c r="N5" s="2437">
        <v>16911</v>
      </c>
    </row>
    <row r="6" spans="1:14" ht="15.6" x14ac:dyDescent="0.3">
      <c r="A6" s="2404" t="s">
        <v>1348</v>
      </c>
      <c r="B6" s="2431" t="s">
        <v>1430</v>
      </c>
      <c r="C6" s="2411">
        <v>0</v>
      </c>
      <c r="D6" s="2444">
        <f t="shared" si="0"/>
        <v>0</v>
      </c>
      <c r="E6" t="s">
        <v>33</v>
      </c>
      <c r="F6" t="s">
        <v>155</v>
      </c>
      <c r="G6" t="s">
        <v>7</v>
      </c>
      <c r="J6" s="2436" t="s">
        <v>145</v>
      </c>
      <c r="K6" s="2435">
        <v>34060</v>
      </c>
      <c r="M6" s="2436" t="s">
        <v>306</v>
      </c>
      <c r="N6" s="2435">
        <v>41990</v>
      </c>
    </row>
    <row r="7" spans="1:14" ht="19.5" customHeight="1" x14ac:dyDescent="0.3">
      <c r="A7" s="2404" t="s">
        <v>1347</v>
      </c>
      <c r="B7" s="2431" t="s">
        <v>1430</v>
      </c>
      <c r="C7" s="2411">
        <v>1010</v>
      </c>
      <c r="D7" s="2444">
        <f t="shared" si="0"/>
        <v>1.01</v>
      </c>
      <c r="E7" t="s">
        <v>33</v>
      </c>
      <c r="F7" t="s">
        <v>155</v>
      </c>
      <c r="G7" t="s">
        <v>7</v>
      </c>
      <c r="J7" s="2438" t="s">
        <v>1451</v>
      </c>
      <c r="K7" s="2438">
        <v>6037</v>
      </c>
      <c r="M7" s="2438" t="s">
        <v>1450</v>
      </c>
      <c r="N7" s="2437">
        <v>25592</v>
      </c>
    </row>
    <row r="8" spans="1:14" ht="15.6" x14ac:dyDescent="0.3">
      <c r="A8" s="2404" t="s">
        <v>1345</v>
      </c>
      <c r="B8" s="2431" t="s">
        <v>1430</v>
      </c>
      <c r="C8" s="2411">
        <v>1650</v>
      </c>
      <c r="D8" s="2444">
        <f t="shared" si="0"/>
        <v>1.65</v>
      </c>
      <c r="E8" t="s">
        <v>33</v>
      </c>
      <c r="F8" t="s">
        <v>155</v>
      </c>
      <c r="G8" t="s">
        <v>7</v>
      </c>
      <c r="J8" s="2436" t="s">
        <v>1449</v>
      </c>
      <c r="K8" s="2435">
        <v>1842</v>
      </c>
      <c r="M8" s="2436" t="s">
        <v>1448</v>
      </c>
      <c r="N8" s="2435">
        <v>11956</v>
      </c>
    </row>
    <row r="9" spans="1:14" ht="15.6" x14ac:dyDescent="0.3">
      <c r="A9" s="2404" t="s">
        <v>1344</v>
      </c>
      <c r="B9" s="2431" t="s">
        <v>1430</v>
      </c>
      <c r="C9" s="2411">
        <v>690</v>
      </c>
      <c r="D9" s="2444">
        <f t="shared" si="0"/>
        <v>0.69</v>
      </c>
      <c r="E9" t="s">
        <v>33</v>
      </c>
      <c r="F9" t="s">
        <v>155</v>
      </c>
      <c r="G9" t="s">
        <v>7</v>
      </c>
      <c r="J9" s="2438" t="s">
        <v>1447</v>
      </c>
      <c r="K9" s="2438">
        <v>2364</v>
      </c>
      <c r="M9" s="2438" t="s">
        <v>1446</v>
      </c>
      <c r="N9" s="2437">
        <v>3355</v>
      </c>
    </row>
    <row r="10" spans="1:14" ht="15.6" x14ac:dyDescent="0.3">
      <c r="A10" s="2404" t="s">
        <v>1343</v>
      </c>
      <c r="B10" s="2431" t="s">
        <v>1430</v>
      </c>
      <c r="C10" s="2411">
        <v>1100</v>
      </c>
      <c r="D10" s="2444">
        <f t="shared" si="0"/>
        <v>1.1000000000000001</v>
      </c>
      <c r="E10" t="s">
        <v>33</v>
      </c>
      <c r="F10" t="s">
        <v>155</v>
      </c>
      <c r="G10" t="s">
        <v>7</v>
      </c>
      <c r="J10" s="2436" t="s">
        <v>1445</v>
      </c>
      <c r="K10" s="2435">
        <v>3431</v>
      </c>
      <c r="M10" s="2436" t="s">
        <v>1444</v>
      </c>
      <c r="N10" s="2435"/>
    </row>
    <row r="11" spans="1:14" ht="15.6" x14ac:dyDescent="0.3">
      <c r="A11" s="2404" t="s">
        <v>1341</v>
      </c>
      <c r="B11" s="2431" t="s">
        <v>1429</v>
      </c>
      <c r="C11" s="2411">
        <v>3820</v>
      </c>
      <c r="D11" s="2444">
        <f t="shared" si="0"/>
        <v>3.82</v>
      </c>
      <c r="E11" t="s">
        <v>33</v>
      </c>
      <c r="F11" t="s">
        <v>155</v>
      </c>
      <c r="G11" t="s">
        <v>7</v>
      </c>
      <c r="J11" s="2438" t="s">
        <v>351</v>
      </c>
      <c r="K11" s="2439">
        <v>303</v>
      </c>
      <c r="M11" s="2438" t="s">
        <v>1443</v>
      </c>
      <c r="N11" s="2437">
        <v>3821</v>
      </c>
    </row>
    <row r="12" spans="1:14" ht="15.6" x14ac:dyDescent="0.3">
      <c r="A12" s="2404" t="s">
        <v>1347</v>
      </c>
      <c r="B12" s="2431" t="s">
        <v>1428</v>
      </c>
      <c r="C12" s="2411">
        <v>10025</v>
      </c>
      <c r="D12" s="2444">
        <f t="shared" si="0"/>
        <v>10.025</v>
      </c>
      <c r="E12" t="s">
        <v>33</v>
      </c>
      <c r="F12" t="s">
        <v>114</v>
      </c>
      <c r="G12" t="s">
        <v>98</v>
      </c>
      <c r="K12" s="2434">
        <f>SUM(K3:K11)</f>
        <v>697595</v>
      </c>
      <c r="M12" s="2436" t="s">
        <v>1442</v>
      </c>
      <c r="N12" s="2435">
        <v>2550</v>
      </c>
    </row>
    <row r="13" spans="1:14" ht="15.6" x14ac:dyDescent="0.3">
      <c r="A13" s="2404" t="s">
        <v>1341</v>
      </c>
      <c r="B13" s="2431" t="s">
        <v>1428</v>
      </c>
      <c r="C13" s="2411">
        <v>0</v>
      </c>
      <c r="D13" s="2444">
        <f t="shared" si="0"/>
        <v>0</v>
      </c>
      <c r="E13" t="s">
        <v>33</v>
      </c>
      <c r="F13" t="s">
        <v>114</v>
      </c>
      <c r="G13" t="s">
        <v>98</v>
      </c>
      <c r="M13" s="2438" t="s">
        <v>1441</v>
      </c>
      <c r="N13" s="2437">
        <v>2082</v>
      </c>
    </row>
    <row r="14" spans="1:14" ht="15.6" x14ac:dyDescent="0.3">
      <c r="A14" s="2404" t="s">
        <v>1341</v>
      </c>
      <c r="B14" s="2431" t="s">
        <v>1427</v>
      </c>
      <c r="C14" s="2411">
        <v>10087</v>
      </c>
      <c r="D14" s="2444">
        <f t="shared" si="0"/>
        <v>10.087</v>
      </c>
      <c r="E14" t="s">
        <v>33</v>
      </c>
      <c r="F14" t="s">
        <v>155</v>
      </c>
      <c r="G14" t="s">
        <v>7</v>
      </c>
      <c r="M14" s="2436" t="s">
        <v>1440</v>
      </c>
      <c r="N14" s="2435">
        <v>2143</v>
      </c>
    </row>
    <row r="15" spans="1:14" ht="15.6" x14ac:dyDescent="0.3">
      <c r="A15" s="2404" t="s">
        <v>1346</v>
      </c>
      <c r="B15" s="2431" t="s">
        <v>1426</v>
      </c>
      <c r="C15" s="2411">
        <v>3371</v>
      </c>
      <c r="D15" s="2444">
        <f t="shared" si="0"/>
        <v>3.371</v>
      </c>
      <c r="E15" t="s">
        <v>33</v>
      </c>
      <c r="F15" t="s">
        <v>155</v>
      </c>
      <c r="G15" t="s">
        <v>7</v>
      </c>
      <c r="M15" s="2438" t="s">
        <v>1439</v>
      </c>
      <c r="N15" s="2439"/>
    </row>
    <row r="16" spans="1:14" ht="15.6" x14ac:dyDescent="0.3">
      <c r="A16" s="2404" t="s">
        <v>1345</v>
      </c>
      <c r="B16" s="2431" t="s">
        <v>1425</v>
      </c>
      <c r="C16" s="2411">
        <v>480</v>
      </c>
      <c r="D16" s="2444">
        <f t="shared" si="0"/>
        <v>0.48</v>
      </c>
      <c r="E16" t="s">
        <v>33</v>
      </c>
      <c r="F16" t="s">
        <v>155</v>
      </c>
      <c r="G16" t="s">
        <v>7</v>
      </c>
      <c r="M16" s="2436" t="s">
        <v>74</v>
      </c>
      <c r="N16" s="2435">
        <v>1368</v>
      </c>
    </row>
    <row r="17" spans="1:14" ht="15.6" x14ac:dyDescent="0.3">
      <c r="A17" s="2404" t="s">
        <v>1341</v>
      </c>
      <c r="B17" s="2431" t="s">
        <v>1425</v>
      </c>
      <c r="C17" s="2411">
        <v>2958</v>
      </c>
      <c r="D17" s="2444">
        <f t="shared" si="0"/>
        <v>2.9580000000000002</v>
      </c>
      <c r="E17" t="s">
        <v>33</v>
      </c>
      <c r="F17" t="s">
        <v>155</v>
      </c>
      <c r="G17" t="s">
        <v>7</v>
      </c>
      <c r="M17" s="2438" t="s">
        <v>1438</v>
      </c>
      <c r="N17" s="2439">
        <v>11</v>
      </c>
    </row>
    <row r="18" spans="1:14" ht="15.6" x14ac:dyDescent="0.3">
      <c r="A18" s="2404" t="s">
        <v>1348</v>
      </c>
      <c r="B18" s="2431" t="s">
        <v>1424</v>
      </c>
      <c r="C18" s="2411">
        <v>916</v>
      </c>
      <c r="D18" s="2444">
        <f t="shared" si="0"/>
        <v>0.91600000000000004</v>
      </c>
      <c r="E18" t="s">
        <v>33</v>
      </c>
      <c r="F18" t="s">
        <v>155</v>
      </c>
      <c r="G18" t="s">
        <v>7</v>
      </c>
      <c r="M18" s="2436" t="s">
        <v>119</v>
      </c>
      <c r="N18" s="2435">
        <v>8394</v>
      </c>
    </row>
    <row r="19" spans="1:14" ht="15.6" x14ac:dyDescent="0.3">
      <c r="A19" s="2404" t="s">
        <v>1347</v>
      </c>
      <c r="B19" s="2431" t="s">
        <v>1424</v>
      </c>
      <c r="C19" s="2411">
        <v>364</v>
      </c>
      <c r="D19" s="2444">
        <f t="shared" si="0"/>
        <v>0.36399999999999999</v>
      </c>
      <c r="E19" t="s">
        <v>33</v>
      </c>
      <c r="F19" t="s">
        <v>155</v>
      </c>
      <c r="G19" t="s">
        <v>7</v>
      </c>
      <c r="M19" s="2438" t="s">
        <v>1437</v>
      </c>
      <c r="N19" s="2437">
        <v>30332</v>
      </c>
    </row>
    <row r="20" spans="1:14" ht="15.6" x14ac:dyDescent="0.3">
      <c r="A20" s="2404" t="s">
        <v>1346</v>
      </c>
      <c r="B20" s="2431" t="s">
        <v>1424</v>
      </c>
      <c r="C20" s="2411">
        <v>1411</v>
      </c>
      <c r="D20" s="2444">
        <f t="shared" si="0"/>
        <v>1.411</v>
      </c>
      <c r="E20" t="s">
        <v>33</v>
      </c>
      <c r="F20" t="s">
        <v>155</v>
      </c>
      <c r="G20" t="s">
        <v>7</v>
      </c>
      <c r="M20" s="2436" t="s">
        <v>1436</v>
      </c>
      <c r="N20" s="2435">
        <v>4</v>
      </c>
    </row>
    <row r="21" spans="1:14" ht="15.6" x14ac:dyDescent="0.3">
      <c r="A21" s="2404" t="s">
        <v>1345</v>
      </c>
      <c r="B21" s="2431" t="s">
        <v>1424</v>
      </c>
      <c r="C21" s="2411">
        <v>1226</v>
      </c>
      <c r="D21" s="2444">
        <f t="shared" si="0"/>
        <v>1.226</v>
      </c>
      <c r="E21" t="s">
        <v>33</v>
      </c>
      <c r="F21" t="s">
        <v>155</v>
      </c>
      <c r="G21" t="s">
        <v>7</v>
      </c>
      <c r="M21" s="2438" t="s">
        <v>1435</v>
      </c>
      <c r="N21" s="2437">
        <v>2318</v>
      </c>
    </row>
    <row r="22" spans="1:14" ht="15.6" x14ac:dyDescent="0.3">
      <c r="A22" s="2404" t="s">
        <v>1344</v>
      </c>
      <c r="B22" s="2431" t="s">
        <v>1424</v>
      </c>
      <c r="C22" s="2411">
        <v>1037</v>
      </c>
      <c r="D22" s="2444">
        <f t="shared" si="0"/>
        <v>1.0369999999999999</v>
      </c>
      <c r="E22" t="s">
        <v>33</v>
      </c>
      <c r="F22" t="s">
        <v>155</v>
      </c>
      <c r="G22" t="s">
        <v>7</v>
      </c>
      <c r="M22" s="2436" t="s">
        <v>1434</v>
      </c>
      <c r="N22" s="2435">
        <v>2197</v>
      </c>
    </row>
    <row r="23" spans="1:14" x14ac:dyDescent="0.3">
      <c r="A23" s="2404" t="s">
        <v>1343</v>
      </c>
      <c r="B23" s="2431" t="s">
        <v>1424</v>
      </c>
      <c r="C23" s="2411">
        <v>745</v>
      </c>
      <c r="D23" s="2444">
        <f t="shared" si="0"/>
        <v>0.745</v>
      </c>
      <c r="E23" t="s">
        <v>33</v>
      </c>
      <c r="F23" t="s">
        <v>155</v>
      </c>
      <c r="G23" t="s">
        <v>7</v>
      </c>
      <c r="N23" s="2434">
        <f>SUM(N3:N22)</f>
        <v>270443</v>
      </c>
    </row>
    <row r="24" spans="1:14" x14ac:dyDescent="0.3">
      <c r="A24" s="2404" t="s">
        <v>1341</v>
      </c>
      <c r="B24" s="2431" t="s">
        <v>1424</v>
      </c>
      <c r="C24" s="2411">
        <v>8953</v>
      </c>
      <c r="D24" s="2444">
        <f t="shared" si="0"/>
        <v>8.9529999999999994</v>
      </c>
      <c r="E24" t="s">
        <v>33</v>
      </c>
      <c r="F24" t="s">
        <v>155</v>
      </c>
      <c r="G24" t="s">
        <v>7</v>
      </c>
    </row>
    <row r="25" spans="1:14" x14ac:dyDescent="0.3">
      <c r="A25" s="2404" t="s">
        <v>1348</v>
      </c>
      <c r="B25" s="2430" t="s">
        <v>403</v>
      </c>
      <c r="C25" s="2411">
        <v>245680</v>
      </c>
      <c r="D25" s="2444">
        <f t="shared" si="0"/>
        <v>245.68</v>
      </c>
      <c r="E25" t="s">
        <v>14</v>
      </c>
      <c r="F25" t="s">
        <v>155</v>
      </c>
      <c r="G25" t="s">
        <v>7</v>
      </c>
    </row>
    <row r="26" spans="1:14" x14ac:dyDescent="0.3">
      <c r="A26" s="2404" t="s">
        <v>1347</v>
      </c>
      <c r="B26" s="2430" t="s">
        <v>403</v>
      </c>
      <c r="C26" s="2411">
        <v>606859</v>
      </c>
      <c r="D26" s="2444">
        <f t="shared" si="0"/>
        <v>606.85900000000004</v>
      </c>
      <c r="E26" t="s">
        <v>14</v>
      </c>
      <c r="F26" t="s">
        <v>155</v>
      </c>
      <c r="G26" t="s">
        <v>7</v>
      </c>
    </row>
    <row r="27" spans="1:14" x14ac:dyDescent="0.3">
      <c r="A27" s="2404" t="s">
        <v>1346</v>
      </c>
      <c r="B27" s="2430" t="s">
        <v>403</v>
      </c>
      <c r="C27" s="2411">
        <v>293131</v>
      </c>
      <c r="D27" s="2444">
        <f t="shared" si="0"/>
        <v>293.13099999999997</v>
      </c>
      <c r="E27" t="s">
        <v>14</v>
      </c>
      <c r="F27" t="s">
        <v>155</v>
      </c>
      <c r="G27" t="s">
        <v>7</v>
      </c>
    </row>
    <row r="28" spans="1:14" x14ac:dyDescent="0.3">
      <c r="A28" s="2404" t="s">
        <v>1345</v>
      </c>
      <c r="B28" s="2430" t="s">
        <v>403</v>
      </c>
      <c r="C28" s="2411">
        <v>299579</v>
      </c>
      <c r="D28" s="2444">
        <f t="shared" si="0"/>
        <v>299.57900000000001</v>
      </c>
      <c r="E28" t="s">
        <v>14</v>
      </c>
      <c r="F28" t="s">
        <v>155</v>
      </c>
      <c r="G28" t="s">
        <v>7</v>
      </c>
    </row>
    <row r="29" spans="1:14" x14ac:dyDescent="0.3">
      <c r="A29" s="2404" t="s">
        <v>1344</v>
      </c>
      <c r="B29" s="2430" t="s">
        <v>403</v>
      </c>
      <c r="C29" s="2411">
        <v>278009</v>
      </c>
      <c r="D29" s="2444">
        <f t="shared" si="0"/>
        <v>278.00900000000001</v>
      </c>
      <c r="E29" t="s">
        <v>14</v>
      </c>
      <c r="F29" t="s">
        <v>155</v>
      </c>
      <c r="G29" t="s">
        <v>7</v>
      </c>
    </row>
    <row r="30" spans="1:14" x14ac:dyDescent="0.3">
      <c r="A30" s="2404" t="s">
        <v>1343</v>
      </c>
      <c r="B30" s="2430" t="s">
        <v>403</v>
      </c>
      <c r="C30" s="2411">
        <v>104620</v>
      </c>
      <c r="D30" s="2444">
        <f t="shared" si="0"/>
        <v>104.62</v>
      </c>
      <c r="E30" t="s">
        <v>14</v>
      </c>
      <c r="F30" t="s">
        <v>155</v>
      </c>
      <c r="G30" t="s">
        <v>7</v>
      </c>
    </row>
    <row r="31" spans="1:14" x14ac:dyDescent="0.3">
      <c r="A31" s="2404" t="s">
        <v>1348</v>
      </c>
      <c r="B31" s="2430" t="s">
        <v>1423</v>
      </c>
      <c r="C31" s="2411">
        <v>5384</v>
      </c>
      <c r="D31" s="2444">
        <f t="shared" si="0"/>
        <v>5.3840000000000003</v>
      </c>
      <c r="E31" t="s">
        <v>14</v>
      </c>
      <c r="F31" t="s">
        <v>117</v>
      </c>
      <c r="G31" t="s">
        <v>86</v>
      </c>
    </row>
    <row r="32" spans="1:14" x14ac:dyDescent="0.3">
      <c r="A32" s="2404" t="s">
        <v>1347</v>
      </c>
      <c r="B32" s="2430" t="s">
        <v>1423</v>
      </c>
      <c r="C32" s="2411">
        <v>20209</v>
      </c>
      <c r="D32" s="2444">
        <f t="shared" si="0"/>
        <v>20.209</v>
      </c>
      <c r="E32" t="s">
        <v>14</v>
      </c>
      <c r="F32" t="s">
        <v>117</v>
      </c>
      <c r="G32" t="s">
        <v>86</v>
      </c>
    </row>
    <row r="33" spans="1:7" x14ac:dyDescent="0.3">
      <c r="A33" s="2404" t="s">
        <v>1346</v>
      </c>
      <c r="B33" s="2430" t="s">
        <v>1423</v>
      </c>
      <c r="C33" s="2411">
        <v>5754</v>
      </c>
      <c r="D33" s="2444">
        <f t="shared" si="0"/>
        <v>5.7539999999999996</v>
      </c>
      <c r="E33" t="s">
        <v>14</v>
      </c>
      <c r="F33" t="s">
        <v>117</v>
      </c>
      <c r="G33" t="s">
        <v>86</v>
      </c>
    </row>
    <row r="34" spans="1:7" x14ac:dyDescent="0.3">
      <c r="A34" s="2404" t="s">
        <v>1345</v>
      </c>
      <c r="B34" s="2430" t="s">
        <v>1423</v>
      </c>
      <c r="C34" s="2411">
        <v>6607</v>
      </c>
      <c r="D34" s="2444">
        <f t="shared" si="0"/>
        <v>6.6070000000000002</v>
      </c>
      <c r="E34" t="s">
        <v>14</v>
      </c>
      <c r="F34" t="s">
        <v>117</v>
      </c>
      <c r="G34" t="s">
        <v>86</v>
      </c>
    </row>
    <row r="35" spans="1:7" x14ac:dyDescent="0.3">
      <c r="A35" s="2404" t="s">
        <v>1344</v>
      </c>
      <c r="B35" s="2430" t="s">
        <v>1423</v>
      </c>
      <c r="C35" s="2411">
        <v>7359</v>
      </c>
      <c r="D35" s="2444">
        <f t="shared" si="0"/>
        <v>7.359</v>
      </c>
      <c r="E35" t="s">
        <v>14</v>
      </c>
      <c r="F35" t="s">
        <v>117</v>
      </c>
      <c r="G35" t="s">
        <v>86</v>
      </c>
    </row>
    <row r="36" spans="1:7" x14ac:dyDescent="0.3">
      <c r="A36" s="2404" t="s">
        <v>1343</v>
      </c>
      <c r="B36" s="2430" t="s">
        <v>1423</v>
      </c>
      <c r="C36" s="2411">
        <v>1714</v>
      </c>
      <c r="D36" s="2444">
        <f t="shared" si="0"/>
        <v>1.714</v>
      </c>
      <c r="E36" t="s">
        <v>14</v>
      </c>
      <c r="F36" t="s">
        <v>117</v>
      </c>
      <c r="G36" t="s">
        <v>86</v>
      </c>
    </row>
    <row r="37" spans="1:7" x14ac:dyDescent="0.3">
      <c r="A37" s="2404" t="s">
        <v>1341</v>
      </c>
      <c r="B37" s="2430" t="s">
        <v>1423</v>
      </c>
      <c r="C37" s="2411">
        <v>149421</v>
      </c>
      <c r="D37" s="2444">
        <f t="shared" si="0"/>
        <v>149.42099999999999</v>
      </c>
      <c r="E37" t="s">
        <v>14</v>
      </c>
      <c r="F37" t="s">
        <v>117</v>
      </c>
      <c r="G37" t="s">
        <v>86</v>
      </c>
    </row>
    <row r="38" spans="1:7" x14ac:dyDescent="0.3">
      <c r="A38" s="2404" t="s">
        <v>1348</v>
      </c>
      <c r="B38" s="2430" t="s">
        <v>1422</v>
      </c>
      <c r="C38" s="2411">
        <v>787</v>
      </c>
      <c r="D38" s="2444">
        <f t="shared" si="0"/>
        <v>0.78700000000000003</v>
      </c>
      <c r="E38" t="s">
        <v>14</v>
      </c>
      <c r="F38" t="s">
        <v>155</v>
      </c>
      <c r="G38" t="s">
        <v>7</v>
      </c>
    </row>
    <row r="39" spans="1:7" x14ac:dyDescent="0.3">
      <c r="A39" s="2404" t="s">
        <v>1347</v>
      </c>
      <c r="B39" s="2430" t="s">
        <v>1422</v>
      </c>
      <c r="C39" s="2411">
        <v>2954</v>
      </c>
      <c r="D39" s="2444">
        <f t="shared" si="0"/>
        <v>2.9540000000000002</v>
      </c>
      <c r="E39" t="s">
        <v>14</v>
      </c>
      <c r="F39" t="s">
        <v>155</v>
      </c>
      <c r="G39" t="s">
        <v>7</v>
      </c>
    </row>
    <row r="40" spans="1:7" x14ac:dyDescent="0.3">
      <c r="A40" s="2404" t="s">
        <v>1346</v>
      </c>
      <c r="B40" s="2430" t="s">
        <v>1422</v>
      </c>
      <c r="C40" s="2411">
        <v>841</v>
      </c>
      <c r="D40" s="2444">
        <f t="shared" si="0"/>
        <v>0.84099999999999997</v>
      </c>
      <c r="E40" t="s">
        <v>14</v>
      </c>
      <c r="F40" t="s">
        <v>155</v>
      </c>
      <c r="G40" t="s">
        <v>7</v>
      </c>
    </row>
    <row r="41" spans="1:7" x14ac:dyDescent="0.3">
      <c r="A41" s="2404" t="s">
        <v>1345</v>
      </c>
      <c r="B41" s="2430" t="s">
        <v>1422</v>
      </c>
      <c r="C41" s="2411">
        <v>964</v>
      </c>
      <c r="D41" s="2444">
        <f t="shared" si="0"/>
        <v>0.96399999999999997</v>
      </c>
      <c r="E41" t="s">
        <v>14</v>
      </c>
      <c r="F41" t="s">
        <v>155</v>
      </c>
      <c r="G41" t="s">
        <v>7</v>
      </c>
    </row>
    <row r="42" spans="1:7" x14ac:dyDescent="0.3">
      <c r="A42" s="2404" t="s">
        <v>1344</v>
      </c>
      <c r="B42" s="2430" t="s">
        <v>1422</v>
      </c>
      <c r="C42" s="2411">
        <v>1076</v>
      </c>
      <c r="D42" s="2444">
        <f t="shared" si="0"/>
        <v>1.0760000000000001</v>
      </c>
      <c r="E42" t="s">
        <v>14</v>
      </c>
      <c r="F42" t="s">
        <v>155</v>
      </c>
      <c r="G42" t="s">
        <v>7</v>
      </c>
    </row>
    <row r="43" spans="1:7" x14ac:dyDescent="0.3">
      <c r="A43" s="2404" t="s">
        <v>1343</v>
      </c>
      <c r="B43" s="2430" t="s">
        <v>1422</v>
      </c>
      <c r="C43" s="2411">
        <v>252</v>
      </c>
      <c r="D43" s="2444">
        <f t="shared" si="0"/>
        <v>0.252</v>
      </c>
      <c r="E43" t="s">
        <v>14</v>
      </c>
      <c r="F43" t="s">
        <v>155</v>
      </c>
      <c r="G43" t="s">
        <v>7</v>
      </c>
    </row>
    <row r="44" spans="1:7" x14ac:dyDescent="0.3">
      <c r="A44" s="2404" t="s">
        <v>1341</v>
      </c>
      <c r="B44" s="2430" t="s">
        <v>1422</v>
      </c>
      <c r="C44" s="2411">
        <v>21845</v>
      </c>
      <c r="D44" s="2444">
        <f t="shared" si="0"/>
        <v>21.844999999999999</v>
      </c>
      <c r="E44" t="s">
        <v>14</v>
      </c>
      <c r="F44" t="s">
        <v>155</v>
      </c>
      <c r="G44" t="s">
        <v>7</v>
      </c>
    </row>
    <row r="45" spans="1:7" x14ac:dyDescent="0.3">
      <c r="A45" s="2404" t="s">
        <v>1347</v>
      </c>
      <c r="B45" s="2430" t="s">
        <v>1421</v>
      </c>
      <c r="C45" s="2411">
        <v>139500</v>
      </c>
      <c r="D45" s="2444">
        <f t="shared" si="0"/>
        <v>139.5</v>
      </c>
      <c r="E45" t="s">
        <v>14</v>
      </c>
      <c r="F45" t="s">
        <v>155</v>
      </c>
      <c r="G45" t="s">
        <v>7</v>
      </c>
    </row>
    <row r="46" spans="1:7" x14ac:dyDescent="0.3">
      <c r="A46" s="2404" t="s">
        <v>1344</v>
      </c>
      <c r="B46" s="2430" t="s">
        <v>1421</v>
      </c>
      <c r="C46" s="2411">
        <v>77020</v>
      </c>
      <c r="D46" s="2444">
        <f t="shared" si="0"/>
        <v>77.02</v>
      </c>
      <c r="E46" t="s">
        <v>14</v>
      </c>
      <c r="F46" t="s">
        <v>155</v>
      </c>
      <c r="G46" t="s">
        <v>7</v>
      </c>
    </row>
    <row r="47" spans="1:7" x14ac:dyDescent="0.3">
      <c r="A47" s="2404" t="s">
        <v>1341</v>
      </c>
      <c r="B47" s="2430" t="s">
        <v>1421</v>
      </c>
      <c r="C47" s="2411">
        <v>52000</v>
      </c>
      <c r="D47" s="2444">
        <f t="shared" si="0"/>
        <v>52</v>
      </c>
      <c r="E47" t="s">
        <v>14</v>
      </c>
      <c r="F47" t="s">
        <v>155</v>
      </c>
      <c r="G47" t="s">
        <v>7</v>
      </c>
    </row>
    <row r="48" spans="1:7" x14ac:dyDescent="0.3">
      <c r="A48" s="2404" t="s">
        <v>1341</v>
      </c>
      <c r="B48" s="2430" t="s">
        <v>1420</v>
      </c>
      <c r="C48" s="2411">
        <v>24860</v>
      </c>
      <c r="D48" s="2444">
        <f t="shared" si="0"/>
        <v>24.86</v>
      </c>
      <c r="E48" t="s">
        <v>14</v>
      </c>
      <c r="F48" t="s">
        <v>114</v>
      </c>
      <c r="G48" t="s">
        <v>98</v>
      </c>
    </row>
    <row r="49" spans="1:7" x14ac:dyDescent="0.3">
      <c r="A49" s="2404" t="s">
        <v>1341</v>
      </c>
      <c r="B49" s="2430" t="s">
        <v>1419</v>
      </c>
      <c r="C49" s="2411">
        <v>5331740</v>
      </c>
      <c r="D49" s="2444">
        <f t="shared" si="0"/>
        <v>5331.74</v>
      </c>
      <c r="E49" t="s">
        <v>14</v>
      </c>
      <c r="F49" t="s">
        <v>155</v>
      </c>
      <c r="G49" t="s">
        <v>7</v>
      </c>
    </row>
    <row r="50" spans="1:7" x14ac:dyDescent="0.3">
      <c r="A50" s="2404" t="s">
        <v>1341</v>
      </c>
      <c r="B50" s="2430" t="s">
        <v>1418</v>
      </c>
      <c r="C50" s="2411">
        <v>185600</v>
      </c>
      <c r="D50" s="2444">
        <f t="shared" si="0"/>
        <v>185.6</v>
      </c>
      <c r="E50" t="s">
        <v>14</v>
      </c>
      <c r="F50" t="s">
        <v>155</v>
      </c>
      <c r="G50" t="s">
        <v>7</v>
      </c>
    </row>
    <row r="51" spans="1:7" x14ac:dyDescent="0.3">
      <c r="A51" s="2404" t="s">
        <v>1348</v>
      </c>
      <c r="B51" s="2429" t="s">
        <v>1417</v>
      </c>
      <c r="C51" s="2411">
        <v>41080</v>
      </c>
      <c r="D51" s="2444">
        <f t="shared" si="0"/>
        <v>41.08</v>
      </c>
      <c r="E51" t="s">
        <v>1339</v>
      </c>
      <c r="F51" t="s">
        <v>155</v>
      </c>
      <c r="G51" t="s">
        <v>7</v>
      </c>
    </row>
    <row r="52" spans="1:7" x14ac:dyDescent="0.3">
      <c r="A52" s="2404" t="s">
        <v>1347</v>
      </c>
      <c r="B52" s="2429" t="s">
        <v>1417</v>
      </c>
      <c r="C52" s="2411">
        <v>140799</v>
      </c>
      <c r="D52" s="2444">
        <f t="shared" si="0"/>
        <v>140.79900000000001</v>
      </c>
      <c r="E52" t="s">
        <v>1339</v>
      </c>
      <c r="F52" t="s">
        <v>155</v>
      </c>
      <c r="G52" t="s">
        <v>7</v>
      </c>
    </row>
    <row r="53" spans="1:7" x14ac:dyDescent="0.3">
      <c r="A53" s="2404" t="s">
        <v>1346</v>
      </c>
      <c r="B53" s="2429" t="s">
        <v>1417</v>
      </c>
      <c r="C53" s="2411">
        <v>369800</v>
      </c>
      <c r="D53" s="2444">
        <f t="shared" si="0"/>
        <v>369.8</v>
      </c>
      <c r="E53" t="s">
        <v>1339</v>
      </c>
      <c r="F53" t="s">
        <v>155</v>
      </c>
      <c r="G53" t="s">
        <v>7</v>
      </c>
    </row>
    <row r="54" spans="1:7" x14ac:dyDescent="0.3">
      <c r="A54" s="2404" t="s">
        <v>1345</v>
      </c>
      <c r="B54" s="2429" t="s">
        <v>1417</v>
      </c>
      <c r="C54" s="2411">
        <v>106800</v>
      </c>
      <c r="D54" s="2444">
        <f t="shared" si="0"/>
        <v>106.8</v>
      </c>
      <c r="E54" t="s">
        <v>1339</v>
      </c>
      <c r="F54" t="s">
        <v>155</v>
      </c>
      <c r="G54" t="s">
        <v>7</v>
      </c>
    </row>
    <row r="55" spans="1:7" x14ac:dyDescent="0.3">
      <c r="A55" s="2404" t="s">
        <v>1344</v>
      </c>
      <c r="B55" s="2429" t="s">
        <v>1417</v>
      </c>
      <c r="C55" s="2411">
        <v>366920</v>
      </c>
      <c r="D55" s="2444">
        <f t="shared" si="0"/>
        <v>366.92</v>
      </c>
      <c r="E55" t="s">
        <v>1339</v>
      </c>
      <c r="F55" t="s">
        <v>155</v>
      </c>
      <c r="G55" t="s">
        <v>7</v>
      </c>
    </row>
    <row r="56" spans="1:7" x14ac:dyDescent="0.3">
      <c r="A56" s="2404" t="s">
        <v>1343</v>
      </c>
      <c r="B56" s="2429" t="s">
        <v>1417</v>
      </c>
      <c r="C56" s="2411">
        <v>46160</v>
      </c>
      <c r="D56" s="2444">
        <f t="shared" si="0"/>
        <v>46.16</v>
      </c>
      <c r="E56" t="s">
        <v>1339</v>
      </c>
      <c r="F56" t="s">
        <v>155</v>
      </c>
      <c r="G56" t="s">
        <v>7</v>
      </c>
    </row>
    <row r="57" spans="1:7" x14ac:dyDescent="0.3">
      <c r="A57" s="2404" t="s">
        <v>1341</v>
      </c>
      <c r="B57" s="2429" t="s">
        <v>1417</v>
      </c>
      <c r="C57" s="2411">
        <v>5100</v>
      </c>
      <c r="D57" s="2444">
        <f t="shared" si="0"/>
        <v>5.0999999999999996</v>
      </c>
      <c r="E57" t="s">
        <v>1339</v>
      </c>
      <c r="F57" t="s">
        <v>155</v>
      </c>
      <c r="G57" t="s">
        <v>7</v>
      </c>
    </row>
    <row r="58" spans="1:7" x14ac:dyDescent="0.3">
      <c r="A58" s="2404" t="s">
        <v>1348</v>
      </c>
      <c r="B58" s="2428" t="s">
        <v>1416</v>
      </c>
      <c r="C58" s="2411">
        <v>64100</v>
      </c>
      <c r="D58" s="2444">
        <f t="shared" si="0"/>
        <v>64.099999999999994</v>
      </c>
      <c r="E58" t="s">
        <v>23</v>
      </c>
      <c r="F58" t="s">
        <v>155</v>
      </c>
      <c r="G58" t="s">
        <v>7</v>
      </c>
    </row>
    <row r="59" spans="1:7" x14ac:dyDescent="0.3">
      <c r="A59" s="2404" t="s">
        <v>1347</v>
      </c>
      <c r="B59" s="2428" t="s">
        <v>1416</v>
      </c>
      <c r="C59" s="2411">
        <v>170549</v>
      </c>
      <c r="D59" s="2444">
        <f t="shared" si="0"/>
        <v>170.54900000000001</v>
      </c>
      <c r="E59" t="s">
        <v>23</v>
      </c>
      <c r="F59" t="s">
        <v>155</v>
      </c>
      <c r="G59" t="s">
        <v>7</v>
      </c>
    </row>
    <row r="60" spans="1:7" x14ac:dyDescent="0.3">
      <c r="A60" s="2404" t="s">
        <v>1346</v>
      </c>
      <c r="B60" s="2428" t="s">
        <v>1416</v>
      </c>
      <c r="C60" s="2411">
        <v>46580</v>
      </c>
      <c r="D60" s="2444">
        <f t="shared" si="0"/>
        <v>46.58</v>
      </c>
      <c r="E60" t="s">
        <v>23</v>
      </c>
      <c r="F60" t="s">
        <v>155</v>
      </c>
      <c r="G60" t="s">
        <v>7</v>
      </c>
    </row>
    <row r="61" spans="1:7" x14ac:dyDescent="0.3">
      <c r="A61" s="2404" t="s">
        <v>1345</v>
      </c>
      <c r="B61" s="2428" t="s">
        <v>1416</v>
      </c>
      <c r="C61" s="2411">
        <v>0</v>
      </c>
      <c r="D61" s="2444">
        <f t="shared" si="0"/>
        <v>0</v>
      </c>
      <c r="E61" t="s">
        <v>23</v>
      </c>
      <c r="F61" t="s">
        <v>155</v>
      </c>
      <c r="G61" t="s">
        <v>7</v>
      </c>
    </row>
    <row r="62" spans="1:7" x14ac:dyDescent="0.3">
      <c r="A62" s="2404" t="s">
        <v>1344</v>
      </c>
      <c r="B62" s="2428" t="s">
        <v>1416</v>
      </c>
      <c r="C62" s="2411">
        <v>0</v>
      </c>
      <c r="D62" s="2444">
        <f t="shared" si="0"/>
        <v>0</v>
      </c>
      <c r="E62" t="s">
        <v>23</v>
      </c>
      <c r="F62" t="s">
        <v>155</v>
      </c>
      <c r="G62" t="s">
        <v>7</v>
      </c>
    </row>
    <row r="63" spans="1:7" x14ac:dyDescent="0.3">
      <c r="A63" s="2404" t="s">
        <v>1343</v>
      </c>
      <c r="B63" s="2428" t="s">
        <v>1416</v>
      </c>
      <c r="C63" s="2411">
        <v>0</v>
      </c>
      <c r="D63" s="2444">
        <f t="shared" si="0"/>
        <v>0</v>
      </c>
      <c r="E63" t="s">
        <v>23</v>
      </c>
      <c r="F63" t="s">
        <v>155</v>
      </c>
      <c r="G63" t="s">
        <v>7</v>
      </c>
    </row>
    <row r="64" spans="1:7" x14ac:dyDescent="0.3">
      <c r="A64" s="2404" t="s">
        <v>1341</v>
      </c>
      <c r="B64" s="2428" t="s">
        <v>1416</v>
      </c>
      <c r="C64" s="2411">
        <v>3770060</v>
      </c>
      <c r="D64" s="2444">
        <f t="shared" si="0"/>
        <v>3770.06</v>
      </c>
      <c r="E64" t="s">
        <v>23</v>
      </c>
      <c r="F64" t="s">
        <v>155</v>
      </c>
      <c r="G64" t="s">
        <v>7</v>
      </c>
    </row>
    <row r="65" spans="1:7" x14ac:dyDescent="0.3">
      <c r="A65" s="2404" t="s">
        <v>1347</v>
      </c>
      <c r="B65" s="2428" t="s">
        <v>1415</v>
      </c>
      <c r="C65" s="2411">
        <v>55846</v>
      </c>
      <c r="D65" s="2444">
        <f t="shared" si="0"/>
        <v>55.845999999999997</v>
      </c>
      <c r="E65" t="s">
        <v>100</v>
      </c>
      <c r="F65" t="s">
        <v>114</v>
      </c>
      <c r="G65" t="s">
        <v>98</v>
      </c>
    </row>
    <row r="66" spans="1:7" x14ac:dyDescent="0.3">
      <c r="A66" s="2404" t="s">
        <v>1348</v>
      </c>
      <c r="B66" s="2427" t="s">
        <v>1414</v>
      </c>
      <c r="C66" s="2411">
        <v>1270</v>
      </c>
      <c r="D66" s="2444">
        <f t="shared" si="0"/>
        <v>1.27</v>
      </c>
      <c r="E66" t="s">
        <v>29</v>
      </c>
      <c r="F66" t="s">
        <v>117</v>
      </c>
      <c r="G66" t="s">
        <v>86</v>
      </c>
    </row>
    <row r="67" spans="1:7" x14ac:dyDescent="0.3">
      <c r="A67" s="2404" t="s">
        <v>1347</v>
      </c>
      <c r="B67" s="2427" t="s">
        <v>1414</v>
      </c>
      <c r="C67" s="2411">
        <v>4765</v>
      </c>
      <c r="D67" s="2444">
        <f t="shared" ref="D67:D130" si="1">C67/1000</f>
        <v>4.7649999999999997</v>
      </c>
      <c r="E67" t="s">
        <v>29</v>
      </c>
      <c r="F67" t="s">
        <v>117</v>
      </c>
      <c r="G67" t="s">
        <v>86</v>
      </c>
    </row>
    <row r="68" spans="1:7" x14ac:dyDescent="0.3">
      <c r="A68" s="2404" t="s">
        <v>1346</v>
      </c>
      <c r="B68" s="2427" t="s">
        <v>1414</v>
      </c>
      <c r="C68" s="2411">
        <v>1357</v>
      </c>
      <c r="D68" s="2444">
        <f t="shared" si="1"/>
        <v>1.357</v>
      </c>
      <c r="E68" t="s">
        <v>29</v>
      </c>
      <c r="F68" t="s">
        <v>117</v>
      </c>
      <c r="G68" t="s">
        <v>86</v>
      </c>
    </row>
    <row r="69" spans="1:7" x14ac:dyDescent="0.3">
      <c r="A69" s="2404" t="s">
        <v>1345</v>
      </c>
      <c r="B69" s="2427" t="s">
        <v>1414</v>
      </c>
      <c r="C69" s="2411">
        <v>1558</v>
      </c>
      <c r="D69" s="2444">
        <f t="shared" si="1"/>
        <v>1.5580000000000001</v>
      </c>
      <c r="E69" t="s">
        <v>29</v>
      </c>
      <c r="F69" t="s">
        <v>117</v>
      </c>
      <c r="G69" t="s">
        <v>86</v>
      </c>
    </row>
    <row r="70" spans="1:7" x14ac:dyDescent="0.3">
      <c r="A70" s="2404" t="s">
        <v>1344</v>
      </c>
      <c r="B70" s="2427" t="s">
        <v>1414</v>
      </c>
      <c r="C70" s="2411">
        <v>1735</v>
      </c>
      <c r="D70" s="2444">
        <f t="shared" si="1"/>
        <v>1.7350000000000001</v>
      </c>
      <c r="E70" t="s">
        <v>29</v>
      </c>
      <c r="F70" t="s">
        <v>117</v>
      </c>
      <c r="G70" t="s">
        <v>86</v>
      </c>
    </row>
    <row r="71" spans="1:7" x14ac:dyDescent="0.3">
      <c r="A71" s="2404" t="s">
        <v>1343</v>
      </c>
      <c r="B71" s="2427" t="s">
        <v>1414</v>
      </c>
      <c r="C71" s="2411">
        <v>403</v>
      </c>
      <c r="D71" s="2444">
        <f t="shared" si="1"/>
        <v>0.40300000000000002</v>
      </c>
      <c r="E71" t="s">
        <v>29</v>
      </c>
      <c r="F71" t="s">
        <v>117</v>
      </c>
      <c r="G71" t="s">
        <v>86</v>
      </c>
    </row>
    <row r="72" spans="1:7" x14ac:dyDescent="0.3">
      <c r="A72" s="2404" t="s">
        <v>1341</v>
      </c>
      <c r="B72" s="2427" t="s">
        <v>1414</v>
      </c>
      <c r="C72" s="2411">
        <v>35223</v>
      </c>
      <c r="D72" s="2444">
        <f t="shared" si="1"/>
        <v>35.222999999999999</v>
      </c>
      <c r="E72" t="s">
        <v>29</v>
      </c>
      <c r="F72" t="s">
        <v>117</v>
      </c>
      <c r="G72" t="s">
        <v>86</v>
      </c>
    </row>
    <row r="73" spans="1:7" x14ac:dyDescent="0.3">
      <c r="A73" s="2404" t="s">
        <v>1348</v>
      </c>
      <c r="B73" s="2427" t="s">
        <v>1413</v>
      </c>
      <c r="C73" s="2411">
        <v>112170</v>
      </c>
      <c r="D73" s="2444">
        <f t="shared" si="1"/>
        <v>112.17</v>
      </c>
      <c r="E73" t="s">
        <v>29</v>
      </c>
      <c r="F73" t="s">
        <v>155</v>
      </c>
      <c r="G73" t="s">
        <v>7</v>
      </c>
    </row>
    <row r="74" spans="1:7" x14ac:dyDescent="0.3">
      <c r="A74" s="2404" t="s">
        <v>1347</v>
      </c>
      <c r="B74" s="2427" t="s">
        <v>1413</v>
      </c>
      <c r="C74" s="2411">
        <v>658628</v>
      </c>
      <c r="D74" s="2444">
        <f t="shared" si="1"/>
        <v>658.62800000000004</v>
      </c>
      <c r="E74" t="s">
        <v>29</v>
      </c>
      <c r="F74" t="s">
        <v>155</v>
      </c>
      <c r="G74" t="s">
        <v>7</v>
      </c>
    </row>
    <row r="75" spans="1:7" x14ac:dyDescent="0.3">
      <c r="A75" s="2404" t="s">
        <v>1345</v>
      </c>
      <c r="B75" s="2427" t="s">
        <v>1413</v>
      </c>
      <c r="C75" s="2411">
        <v>72170</v>
      </c>
      <c r="D75" s="2444">
        <f t="shared" si="1"/>
        <v>72.17</v>
      </c>
      <c r="E75" t="s">
        <v>29</v>
      </c>
      <c r="F75" t="s">
        <v>155</v>
      </c>
      <c r="G75" t="s">
        <v>7</v>
      </c>
    </row>
    <row r="76" spans="1:7" x14ac:dyDescent="0.3">
      <c r="A76" s="2404" t="s">
        <v>1344</v>
      </c>
      <c r="B76" s="2427" t="s">
        <v>1413</v>
      </c>
      <c r="C76" s="2411">
        <v>156928</v>
      </c>
      <c r="D76" s="2444">
        <f t="shared" si="1"/>
        <v>156.928</v>
      </c>
      <c r="E76" t="s">
        <v>29</v>
      </c>
      <c r="F76" t="s">
        <v>155</v>
      </c>
      <c r="G76" t="s">
        <v>7</v>
      </c>
    </row>
    <row r="77" spans="1:7" x14ac:dyDescent="0.3">
      <c r="A77" s="2404" t="s">
        <v>1343</v>
      </c>
      <c r="B77" s="2427" t="s">
        <v>1413</v>
      </c>
      <c r="C77" s="2411">
        <v>45360</v>
      </c>
      <c r="D77" s="2444">
        <f t="shared" si="1"/>
        <v>45.36</v>
      </c>
      <c r="E77" t="s">
        <v>29</v>
      </c>
      <c r="F77" t="s">
        <v>155</v>
      </c>
      <c r="G77" t="s">
        <v>7</v>
      </c>
    </row>
    <row r="78" spans="1:7" x14ac:dyDescent="0.3">
      <c r="A78" s="2404" t="s">
        <v>1341</v>
      </c>
      <c r="B78" s="2427" t="s">
        <v>1412</v>
      </c>
      <c r="C78" s="2411">
        <v>1015220</v>
      </c>
      <c r="D78" s="2444">
        <f t="shared" si="1"/>
        <v>1015.22</v>
      </c>
      <c r="E78" t="s">
        <v>29</v>
      </c>
      <c r="F78" t="s">
        <v>155</v>
      </c>
      <c r="G78" t="s">
        <v>7</v>
      </c>
    </row>
    <row r="79" spans="1:7" x14ac:dyDescent="0.3">
      <c r="A79" s="2404" t="s">
        <v>1341</v>
      </c>
      <c r="B79" s="2427" t="s">
        <v>1411</v>
      </c>
      <c r="C79" s="2411">
        <v>1006600</v>
      </c>
      <c r="D79" s="2444">
        <f t="shared" si="1"/>
        <v>1006.6</v>
      </c>
      <c r="E79" t="s">
        <v>29</v>
      </c>
      <c r="F79" t="s">
        <v>155</v>
      </c>
      <c r="G79" t="s">
        <v>7</v>
      </c>
    </row>
    <row r="80" spans="1:7" x14ac:dyDescent="0.3">
      <c r="A80" s="2404" t="s">
        <v>1348</v>
      </c>
      <c r="B80" s="2426" t="s">
        <v>1410</v>
      </c>
      <c r="C80" s="2411">
        <v>38605</v>
      </c>
      <c r="D80" s="2444">
        <f t="shared" si="1"/>
        <v>38.604999999999997</v>
      </c>
      <c r="E80" s="2424"/>
      <c r="F80" s="2424"/>
    </row>
    <row r="81" spans="1:7" x14ac:dyDescent="0.3">
      <c r="A81" s="2404" t="s">
        <v>1347</v>
      </c>
      <c r="B81" s="2426" t="s">
        <v>1410</v>
      </c>
      <c r="C81" s="2411">
        <v>120959</v>
      </c>
      <c r="D81" s="2444">
        <f t="shared" si="1"/>
        <v>120.959</v>
      </c>
      <c r="E81" s="2424"/>
      <c r="F81" s="2424"/>
    </row>
    <row r="82" spans="1:7" x14ac:dyDescent="0.3">
      <c r="A82" s="2404" t="s">
        <v>1345</v>
      </c>
      <c r="B82" s="2426" t="s">
        <v>1410</v>
      </c>
      <c r="C82" s="2411">
        <v>28383</v>
      </c>
      <c r="D82" s="2444">
        <f t="shared" si="1"/>
        <v>28.382999999999999</v>
      </c>
      <c r="E82" s="2424"/>
      <c r="F82" s="2424"/>
    </row>
    <row r="83" spans="1:7" x14ac:dyDescent="0.3">
      <c r="A83" s="2404" t="s">
        <v>1344</v>
      </c>
      <c r="B83" s="2426" t="s">
        <v>1410</v>
      </c>
      <c r="C83" s="2411">
        <v>71945</v>
      </c>
      <c r="D83" s="2444">
        <f t="shared" si="1"/>
        <v>71.944999999999993</v>
      </c>
      <c r="E83" s="2424"/>
      <c r="F83" s="2424"/>
    </row>
    <row r="84" spans="1:7" x14ac:dyDescent="0.3">
      <c r="A84" s="2404" t="s">
        <v>1343</v>
      </c>
      <c r="B84" s="2426" t="s">
        <v>1410</v>
      </c>
      <c r="C84" s="2411">
        <v>33177</v>
      </c>
      <c r="D84" s="2444">
        <f t="shared" si="1"/>
        <v>33.177</v>
      </c>
      <c r="E84" s="2424"/>
      <c r="F84" s="2424"/>
    </row>
    <row r="85" spans="1:7" x14ac:dyDescent="0.3">
      <c r="A85" s="2404" t="s">
        <v>1341</v>
      </c>
      <c r="B85" s="2426" t="s">
        <v>1409</v>
      </c>
      <c r="C85" s="2411">
        <v>120700</v>
      </c>
      <c r="D85" s="2444">
        <f t="shared" si="1"/>
        <v>120.7</v>
      </c>
      <c r="E85" s="2424"/>
      <c r="F85" s="2424"/>
    </row>
    <row r="86" spans="1:7" x14ac:dyDescent="0.3">
      <c r="A86" s="2404" t="s">
        <v>1341</v>
      </c>
      <c r="B86" s="2426" t="s">
        <v>1408</v>
      </c>
      <c r="C86" s="2411">
        <v>282596</v>
      </c>
      <c r="D86" s="2444">
        <f t="shared" si="1"/>
        <v>282.596</v>
      </c>
      <c r="E86" s="2424"/>
      <c r="F86" s="2424"/>
    </row>
    <row r="87" spans="1:7" x14ac:dyDescent="0.3">
      <c r="A87" s="2404" t="s">
        <v>1348</v>
      </c>
      <c r="B87" s="2426" t="s">
        <v>1407</v>
      </c>
      <c r="C87" s="2411">
        <v>190</v>
      </c>
      <c r="D87" s="2444">
        <f t="shared" si="1"/>
        <v>0.19</v>
      </c>
      <c r="E87" s="2424"/>
      <c r="F87" s="2424"/>
    </row>
    <row r="88" spans="1:7" x14ac:dyDescent="0.3">
      <c r="A88" s="2404" t="s">
        <v>1347</v>
      </c>
      <c r="B88" s="2426" t="s">
        <v>1407</v>
      </c>
      <c r="C88" s="2411">
        <v>76</v>
      </c>
      <c r="D88" s="2444">
        <f t="shared" si="1"/>
        <v>7.5999999999999998E-2</v>
      </c>
      <c r="E88" s="2424"/>
      <c r="F88" s="2424"/>
    </row>
    <row r="89" spans="1:7" x14ac:dyDescent="0.3">
      <c r="A89" s="2404" t="s">
        <v>1346</v>
      </c>
      <c r="B89" s="2426" t="s">
        <v>1407</v>
      </c>
      <c r="C89" s="2411">
        <v>297</v>
      </c>
      <c r="D89" s="2444">
        <f t="shared" si="1"/>
        <v>0.29699999999999999</v>
      </c>
      <c r="E89" s="2424"/>
      <c r="F89" s="2424"/>
    </row>
    <row r="90" spans="1:7" x14ac:dyDescent="0.3">
      <c r="A90" s="2404" t="s">
        <v>1345</v>
      </c>
      <c r="B90" s="2426" t="s">
        <v>1407</v>
      </c>
      <c r="C90" s="2411">
        <v>294</v>
      </c>
      <c r="D90" s="2444">
        <f t="shared" si="1"/>
        <v>0.29399999999999998</v>
      </c>
      <c r="E90" s="2424"/>
      <c r="F90" s="2424"/>
    </row>
    <row r="91" spans="1:7" x14ac:dyDescent="0.3">
      <c r="A91" s="2404" t="s">
        <v>1344</v>
      </c>
      <c r="B91" s="2426" t="s">
        <v>1407</v>
      </c>
      <c r="C91" s="2411">
        <v>217</v>
      </c>
      <c r="D91" s="2444">
        <f t="shared" si="1"/>
        <v>0.217</v>
      </c>
      <c r="E91" s="2424"/>
      <c r="F91" s="2424"/>
    </row>
    <row r="92" spans="1:7" x14ac:dyDescent="0.3">
      <c r="A92" s="2404" t="s">
        <v>1343</v>
      </c>
      <c r="B92" s="2426" t="s">
        <v>1407</v>
      </c>
      <c r="C92" s="2411">
        <v>156</v>
      </c>
      <c r="D92" s="2444">
        <f t="shared" si="1"/>
        <v>0.156</v>
      </c>
      <c r="E92" s="2424"/>
      <c r="F92" s="2424"/>
    </row>
    <row r="93" spans="1:7" x14ac:dyDescent="0.3">
      <c r="A93" s="2404" t="s">
        <v>1348</v>
      </c>
      <c r="B93" s="2425" t="s">
        <v>408</v>
      </c>
      <c r="C93" s="2411">
        <v>252485</v>
      </c>
      <c r="D93" s="2444">
        <f t="shared" si="1"/>
        <v>252.48500000000001</v>
      </c>
      <c r="E93" t="s">
        <v>27</v>
      </c>
      <c r="F93" t="s">
        <v>155</v>
      </c>
      <c r="G93" t="s">
        <v>7</v>
      </c>
    </row>
    <row r="94" spans="1:7" x14ac:dyDescent="0.3">
      <c r="A94" s="2404" t="s">
        <v>1347</v>
      </c>
      <c r="B94" s="2425" t="s">
        <v>408</v>
      </c>
      <c r="C94" s="2411">
        <v>715377</v>
      </c>
      <c r="D94" s="2444">
        <f t="shared" si="1"/>
        <v>715.37699999999995</v>
      </c>
      <c r="E94" t="s">
        <v>27</v>
      </c>
      <c r="F94" t="s">
        <v>155</v>
      </c>
      <c r="G94" t="s">
        <v>7</v>
      </c>
    </row>
    <row r="95" spans="1:7" x14ac:dyDescent="0.3">
      <c r="A95" s="2404" t="s">
        <v>1346</v>
      </c>
      <c r="B95" s="2425" t="s">
        <v>408</v>
      </c>
      <c r="C95" s="2411">
        <v>273527</v>
      </c>
      <c r="D95" s="2444">
        <f t="shared" si="1"/>
        <v>273.52699999999999</v>
      </c>
      <c r="E95" t="s">
        <v>27</v>
      </c>
      <c r="F95" t="s">
        <v>155</v>
      </c>
      <c r="G95" t="s">
        <v>7</v>
      </c>
    </row>
    <row r="96" spans="1:7" x14ac:dyDescent="0.3">
      <c r="A96" s="2404" t="s">
        <v>1345</v>
      </c>
      <c r="B96" s="2425" t="s">
        <v>408</v>
      </c>
      <c r="C96" s="2411">
        <v>399769</v>
      </c>
      <c r="D96" s="2444">
        <f t="shared" si="1"/>
        <v>399.76900000000001</v>
      </c>
      <c r="E96" t="s">
        <v>27</v>
      </c>
      <c r="F96" t="s">
        <v>155</v>
      </c>
      <c r="G96" t="s">
        <v>7</v>
      </c>
    </row>
    <row r="97" spans="1:7" x14ac:dyDescent="0.3">
      <c r="A97" s="2404" t="s">
        <v>1344</v>
      </c>
      <c r="B97" s="2425" t="s">
        <v>408</v>
      </c>
      <c r="C97" s="2411">
        <v>336647</v>
      </c>
      <c r="D97" s="2444">
        <f t="shared" si="1"/>
        <v>336.64699999999999</v>
      </c>
      <c r="E97" t="s">
        <v>27</v>
      </c>
      <c r="F97" t="s">
        <v>155</v>
      </c>
      <c r="G97" t="s">
        <v>7</v>
      </c>
    </row>
    <row r="98" spans="1:7" x14ac:dyDescent="0.3">
      <c r="A98" s="2404" t="s">
        <v>1343</v>
      </c>
      <c r="B98" s="2425" t="s">
        <v>408</v>
      </c>
      <c r="C98" s="2411">
        <v>84162</v>
      </c>
      <c r="D98" s="2444">
        <f t="shared" si="1"/>
        <v>84.162000000000006</v>
      </c>
      <c r="E98" t="s">
        <v>27</v>
      </c>
      <c r="F98" t="s">
        <v>155</v>
      </c>
      <c r="G98" t="s">
        <v>7</v>
      </c>
    </row>
    <row r="99" spans="1:7" x14ac:dyDescent="0.3">
      <c r="A99" s="2404" t="s">
        <v>1348</v>
      </c>
      <c r="B99" s="2425" t="s">
        <v>1406</v>
      </c>
      <c r="C99" s="2411">
        <v>2215</v>
      </c>
      <c r="D99" s="2444">
        <f t="shared" si="1"/>
        <v>2.2149999999999999</v>
      </c>
      <c r="E99" t="s">
        <v>27</v>
      </c>
      <c r="F99" t="s">
        <v>117</v>
      </c>
      <c r="G99" t="s">
        <v>86</v>
      </c>
    </row>
    <row r="100" spans="1:7" x14ac:dyDescent="0.3">
      <c r="A100" s="2404" t="s">
        <v>1347</v>
      </c>
      <c r="B100" s="2425" t="s">
        <v>1406</v>
      </c>
      <c r="C100" s="2411">
        <v>8309</v>
      </c>
      <c r="D100" s="2444">
        <f t="shared" si="1"/>
        <v>8.3089999999999993</v>
      </c>
      <c r="E100" t="s">
        <v>27</v>
      </c>
      <c r="F100" t="s">
        <v>117</v>
      </c>
      <c r="G100" t="s">
        <v>86</v>
      </c>
    </row>
    <row r="101" spans="1:7" x14ac:dyDescent="0.3">
      <c r="A101" s="2404" t="s">
        <v>1346</v>
      </c>
      <c r="B101" s="2425" t="s">
        <v>1406</v>
      </c>
      <c r="C101" s="2411">
        <v>2366</v>
      </c>
      <c r="D101" s="2444">
        <f t="shared" si="1"/>
        <v>2.3660000000000001</v>
      </c>
      <c r="E101" t="s">
        <v>27</v>
      </c>
      <c r="F101" t="s">
        <v>117</v>
      </c>
      <c r="G101" t="s">
        <v>86</v>
      </c>
    </row>
    <row r="102" spans="1:7" x14ac:dyDescent="0.3">
      <c r="A102" s="2404" t="s">
        <v>1345</v>
      </c>
      <c r="B102" s="2425" t="s">
        <v>1406</v>
      </c>
      <c r="C102" s="2411">
        <v>2716</v>
      </c>
      <c r="D102" s="2444">
        <f t="shared" si="1"/>
        <v>2.7160000000000002</v>
      </c>
      <c r="E102" t="s">
        <v>27</v>
      </c>
      <c r="F102" t="s">
        <v>117</v>
      </c>
      <c r="G102" t="s">
        <v>86</v>
      </c>
    </row>
    <row r="103" spans="1:7" x14ac:dyDescent="0.3">
      <c r="A103" s="2404" t="s">
        <v>1344</v>
      </c>
      <c r="B103" s="2425" t="s">
        <v>1406</v>
      </c>
      <c r="C103" s="2411">
        <v>3026</v>
      </c>
      <c r="D103" s="2444">
        <f t="shared" si="1"/>
        <v>3.0259999999999998</v>
      </c>
      <c r="E103" t="s">
        <v>27</v>
      </c>
      <c r="F103" t="s">
        <v>117</v>
      </c>
      <c r="G103" t="s">
        <v>86</v>
      </c>
    </row>
    <row r="104" spans="1:7" x14ac:dyDescent="0.3">
      <c r="A104" s="2404" t="s">
        <v>1343</v>
      </c>
      <c r="B104" s="2425" t="s">
        <v>1406</v>
      </c>
      <c r="C104" s="2411">
        <v>705</v>
      </c>
      <c r="D104" s="2444">
        <f t="shared" si="1"/>
        <v>0.70499999999999996</v>
      </c>
      <c r="E104" t="s">
        <v>27</v>
      </c>
      <c r="F104" t="s">
        <v>117</v>
      </c>
      <c r="G104" t="s">
        <v>86</v>
      </c>
    </row>
    <row r="105" spans="1:7" x14ac:dyDescent="0.3">
      <c r="A105" s="2404" t="s">
        <v>1341</v>
      </c>
      <c r="B105" s="2425" t="s">
        <v>1406</v>
      </c>
      <c r="C105" s="2411">
        <v>61436</v>
      </c>
      <c r="D105" s="2444">
        <f t="shared" si="1"/>
        <v>61.436</v>
      </c>
      <c r="E105" t="s">
        <v>27</v>
      </c>
      <c r="F105" t="s">
        <v>117</v>
      </c>
      <c r="G105" t="s">
        <v>86</v>
      </c>
    </row>
    <row r="106" spans="1:7" x14ac:dyDescent="0.3">
      <c r="A106" s="2404" t="s">
        <v>1341</v>
      </c>
      <c r="B106" s="2425" t="s">
        <v>1405</v>
      </c>
      <c r="C106" s="2411">
        <v>1420000</v>
      </c>
      <c r="D106" s="2444">
        <f t="shared" si="1"/>
        <v>1420</v>
      </c>
      <c r="E106" t="s">
        <v>27</v>
      </c>
      <c r="F106" t="s">
        <v>117</v>
      </c>
      <c r="G106" t="s">
        <v>86</v>
      </c>
    </row>
    <row r="107" spans="1:7" x14ac:dyDescent="0.3">
      <c r="A107" s="2404" t="s">
        <v>1341</v>
      </c>
      <c r="B107" s="2425" t="s">
        <v>1404</v>
      </c>
      <c r="C107" s="2411">
        <v>51346</v>
      </c>
      <c r="D107" s="2444">
        <f t="shared" si="1"/>
        <v>51.345999999999997</v>
      </c>
      <c r="E107" t="s">
        <v>27</v>
      </c>
      <c r="F107" t="s">
        <v>155</v>
      </c>
      <c r="G107" t="s">
        <v>7</v>
      </c>
    </row>
    <row r="108" spans="1:7" x14ac:dyDescent="0.3">
      <c r="A108" s="2404" t="s">
        <v>1348</v>
      </c>
      <c r="B108" s="2425" t="s">
        <v>1402</v>
      </c>
      <c r="C108" s="2411">
        <v>17440</v>
      </c>
      <c r="D108" s="2444">
        <f t="shared" si="1"/>
        <v>17.440000000000001</v>
      </c>
      <c r="E108" t="s">
        <v>27</v>
      </c>
      <c r="F108" t="s">
        <v>155</v>
      </c>
      <c r="G108" t="s">
        <v>7</v>
      </c>
    </row>
    <row r="109" spans="1:7" x14ac:dyDescent="0.3">
      <c r="A109" s="2404" t="s">
        <v>1347</v>
      </c>
      <c r="B109" s="2425" t="s">
        <v>1402</v>
      </c>
      <c r="C109" s="2411">
        <v>23278</v>
      </c>
      <c r="D109" s="2444">
        <f t="shared" si="1"/>
        <v>23.277999999999999</v>
      </c>
      <c r="E109" t="s">
        <v>27</v>
      </c>
      <c r="F109" t="s">
        <v>155</v>
      </c>
      <c r="G109" t="s">
        <v>7</v>
      </c>
    </row>
    <row r="110" spans="1:7" x14ac:dyDescent="0.3">
      <c r="A110" s="2404" t="s">
        <v>1345</v>
      </c>
      <c r="B110" s="2425" t="s">
        <v>1402</v>
      </c>
      <c r="C110" s="2411">
        <v>15060</v>
      </c>
      <c r="D110" s="2444">
        <f t="shared" si="1"/>
        <v>15.06</v>
      </c>
      <c r="E110" t="s">
        <v>27</v>
      </c>
      <c r="F110" t="s">
        <v>155</v>
      </c>
      <c r="G110" t="s">
        <v>7</v>
      </c>
    </row>
    <row r="111" spans="1:7" x14ac:dyDescent="0.3">
      <c r="A111" s="2404" t="s">
        <v>1344</v>
      </c>
      <c r="B111" s="2425" t="s">
        <v>1403</v>
      </c>
      <c r="C111" s="2411">
        <v>38990</v>
      </c>
      <c r="D111" s="2444">
        <f t="shared" si="1"/>
        <v>38.99</v>
      </c>
      <c r="E111" t="s">
        <v>27</v>
      </c>
      <c r="F111" t="s">
        <v>155</v>
      </c>
      <c r="G111" t="s">
        <v>7</v>
      </c>
    </row>
    <row r="112" spans="1:7" x14ac:dyDescent="0.3">
      <c r="A112" s="2404" t="s">
        <v>1343</v>
      </c>
      <c r="B112" s="2425" t="s">
        <v>1402</v>
      </c>
      <c r="C112" s="2411">
        <v>6140</v>
      </c>
      <c r="D112" s="2444">
        <f t="shared" si="1"/>
        <v>6.14</v>
      </c>
      <c r="E112" t="s">
        <v>27</v>
      </c>
      <c r="F112" t="s">
        <v>155</v>
      </c>
      <c r="G112" t="s">
        <v>7</v>
      </c>
    </row>
    <row r="113" spans="1:7" x14ac:dyDescent="0.3">
      <c r="A113" s="2404" t="s">
        <v>1341</v>
      </c>
      <c r="B113" s="2425" t="s">
        <v>1401</v>
      </c>
      <c r="C113" s="2411">
        <v>10040</v>
      </c>
      <c r="D113" s="2444">
        <f t="shared" si="1"/>
        <v>10.039999999999999</v>
      </c>
      <c r="E113" t="s">
        <v>27</v>
      </c>
      <c r="F113" t="s">
        <v>155</v>
      </c>
      <c r="G113" t="s">
        <v>7</v>
      </c>
    </row>
    <row r="114" spans="1:7" x14ac:dyDescent="0.3">
      <c r="A114" s="2404" t="s">
        <v>1341</v>
      </c>
      <c r="B114" s="2425" t="s">
        <v>1400</v>
      </c>
      <c r="C114" s="2411">
        <v>120580</v>
      </c>
      <c r="D114" s="2444">
        <f t="shared" si="1"/>
        <v>120.58</v>
      </c>
      <c r="E114" t="s">
        <v>27</v>
      </c>
      <c r="F114" t="s">
        <v>155</v>
      </c>
      <c r="G114" t="s">
        <v>7</v>
      </c>
    </row>
    <row r="115" spans="1:7" x14ac:dyDescent="0.3">
      <c r="A115" s="2404" t="s">
        <v>1341</v>
      </c>
      <c r="B115" s="2425" t="s">
        <v>1399</v>
      </c>
      <c r="C115" s="2411">
        <v>197041</v>
      </c>
      <c r="D115" s="2444">
        <f t="shared" si="1"/>
        <v>197.041</v>
      </c>
      <c r="E115" t="s">
        <v>27</v>
      </c>
      <c r="F115" t="s">
        <v>155</v>
      </c>
      <c r="G115" t="s">
        <v>7</v>
      </c>
    </row>
    <row r="116" spans="1:7" x14ac:dyDescent="0.3">
      <c r="A116" s="2404" t="s">
        <v>1347</v>
      </c>
      <c r="B116" s="2425" t="s">
        <v>1398</v>
      </c>
      <c r="C116" s="2411">
        <v>124267</v>
      </c>
      <c r="D116" s="2444">
        <f t="shared" si="1"/>
        <v>124.267</v>
      </c>
      <c r="E116" t="s">
        <v>27</v>
      </c>
      <c r="F116" t="s">
        <v>155</v>
      </c>
      <c r="G116" t="s">
        <v>7</v>
      </c>
    </row>
    <row r="117" spans="1:7" x14ac:dyDescent="0.3">
      <c r="A117" s="2404" t="s">
        <v>1347</v>
      </c>
      <c r="B117" s="2425" t="s">
        <v>1397</v>
      </c>
      <c r="C117" s="2411">
        <v>158623</v>
      </c>
      <c r="D117" s="2444">
        <f t="shared" si="1"/>
        <v>158.62299999999999</v>
      </c>
      <c r="E117" t="s">
        <v>101</v>
      </c>
      <c r="F117" t="s">
        <v>114</v>
      </c>
      <c r="G117" t="s">
        <v>98</v>
      </c>
    </row>
    <row r="118" spans="1:7" x14ac:dyDescent="0.3">
      <c r="A118" s="2404" t="s">
        <v>1341</v>
      </c>
      <c r="B118" s="2425" t="s">
        <v>1397</v>
      </c>
      <c r="C118" s="2411">
        <v>286183</v>
      </c>
      <c r="D118" s="2444">
        <f t="shared" si="1"/>
        <v>286.18299999999999</v>
      </c>
      <c r="E118" t="s">
        <v>101</v>
      </c>
      <c r="F118" t="s">
        <v>114</v>
      </c>
      <c r="G118" t="s">
        <v>98</v>
      </c>
    </row>
    <row r="119" spans="1:7" x14ac:dyDescent="0.3">
      <c r="A119" s="2404" t="s">
        <v>1341</v>
      </c>
      <c r="B119" s="2425" t="s">
        <v>1396</v>
      </c>
      <c r="C119" s="2411">
        <v>7413597</v>
      </c>
      <c r="D119" s="2444">
        <f t="shared" si="1"/>
        <v>7413.5969999999998</v>
      </c>
      <c r="E119" t="s">
        <v>27</v>
      </c>
      <c r="F119" t="s">
        <v>155</v>
      </c>
      <c r="G119" t="s">
        <v>7</v>
      </c>
    </row>
    <row r="120" spans="1:7" x14ac:dyDescent="0.3">
      <c r="A120" s="2404" t="s">
        <v>1341</v>
      </c>
      <c r="B120" s="2425" t="s">
        <v>1395</v>
      </c>
      <c r="C120" s="2411">
        <v>158569</v>
      </c>
      <c r="D120" s="2444">
        <f t="shared" si="1"/>
        <v>158.56899999999999</v>
      </c>
      <c r="E120" t="s">
        <v>27</v>
      </c>
      <c r="F120" t="s">
        <v>155</v>
      </c>
      <c r="G120" t="s">
        <v>7</v>
      </c>
    </row>
    <row r="121" spans="1:7" x14ac:dyDescent="0.3">
      <c r="A121" s="2404" t="s">
        <v>1348</v>
      </c>
      <c r="B121" s="2423" t="s">
        <v>1394</v>
      </c>
      <c r="C121" s="2411">
        <v>24817</v>
      </c>
      <c r="D121" s="2444">
        <f t="shared" si="1"/>
        <v>24.817</v>
      </c>
      <c r="E121" s="2424"/>
      <c r="F121" s="2424"/>
    </row>
    <row r="122" spans="1:7" x14ac:dyDescent="0.3">
      <c r="A122" s="2404" t="s">
        <v>1347</v>
      </c>
      <c r="B122" s="2423" t="s">
        <v>1394</v>
      </c>
      <c r="C122" s="2411">
        <v>13287</v>
      </c>
      <c r="D122" s="2444">
        <f t="shared" si="1"/>
        <v>13.287000000000001</v>
      </c>
      <c r="E122" s="2424"/>
      <c r="F122" s="2424"/>
    </row>
    <row r="123" spans="1:7" x14ac:dyDescent="0.3">
      <c r="A123" s="2404" t="s">
        <v>1345</v>
      </c>
      <c r="B123" s="2423" t="s">
        <v>1394</v>
      </c>
      <c r="C123" s="2411">
        <v>14915</v>
      </c>
      <c r="D123" s="2444">
        <f t="shared" si="1"/>
        <v>14.914999999999999</v>
      </c>
      <c r="E123" s="2424"/>
      <c r="F123" s="2424"/>
    </row>
    <row r="124" spans="1:7" x14ac:dyDescent="0.3">
      <c r="A124" s="2404" t="s">
        <v>1344</v>
      </c>
      <c r="B124" s="2423" t="s">
        <v>1394</v>
      </c>
      <c r="C124" s="2411">
        <v>18120</v>
      </c>
      <c r="D124" s="2444">
        <f t="shared" si="1"/>
        <v>18.12</v>
      </c>
      <c r="E124" s="2424"/>
      <c r="F124" s="2424"/>
    </row>
    <row r="125" spans="1:7" x14ac:dyDescent="0.3">
      <c r="A125" s="2404" t="s">
        <v>1343</v>
      </c>
      <c r="B125" s="2423" t="s">
        <v>1394</v>
      </c>
      <c r="C125" s="2411">
        <v>8440</v>
      </c>
      <c r="D125" s="2444">
        <f t="shared" si="1"/>
        <v>8.44</v>
      </c>
      <c r="E125" s="2424"/>
      <c r="F125" s="2424"/>
    </row>
    <row r="126" spans="1:7" x14ac:dyDescent="0.3">
      <c r="A126" s="2404" t="s">
        <v>1341</v>
      </c>
      <c r="B126" s="2423" t="s">
        <v>1393</v>
      </c>
      <c r="C126" s="2411">
        <v>9287</v>
      </c>
      <c r="D126" s="2444">
        <f t="shared" si="1"/>
        <v>9.2870000000000008</v>
      </c>
      <c r="E126" s="2424"/>
      <c r="F126" s="2424"/>
    </row>
    <row r="127" spans="1:7" x14ac:dyDescent="0.3">
      <c r="A127" s="2404" t="s">
        <v>1341</v>
      </c>
      <c r="B127" s="2423" t="s">
        <v>1392</v>
      </c>
      <c r="C127" s="2411">
        <v>81739</v>
      </c>
      <c r="D127" s="2444">
        <f t="shared" si="1"/>
        <v>81.739000000000004</v>
      </c>
      <c r="E127" s="2424"/>
      <c r="F127" s="2424"/>
    </row>
    <row r="128" spans="1:7" x14ac:dyDescent="0.3">
      <c r="A128" s="2404" t="s">
        <v>1341</v>
      </c>
      <c r="B128" s="2423" t="s">
        <v>1391</v>
      </c>
      <c r="C128" s="2411">
        <v>8132</v>
      </c>
      <c r="D128" s="2444">
        <f t="shared" si="1"/>
        <v>8.1319999999999997</v>
      </c>
      <c r="E128" s="2424"/>
      <c r="F128" s="2424"/>
    </row>
    <row r="129" spans="1:7" x14ac:dyDescent="0.3">
      <c r="A129" s="2404" t="s">
        <v>1348</v>
      </c>
      <c r="B129" s="2423" t="s">
        <v>1390</v>
      </c>
      <c r="C129" s="2411">
        <v>4879</v>
      </c>
      <c r="D129" s="2444">
        <f t="shared" si="1"/>
        <v>4.8789999999999996</v>
      </c>
      <c r="E129" s="2424"/>
      <c r="F129" s="2424"/>
    </row>
    <row r="130" spans="1:7" x14ac:dyDescent="0.3">
      <c r="A130" s="2404" t="s">
        <v>1347</v>
      </c>
      <c r="B130" s="2423" t="s">
        <v>1390</v>
      </c>
      <c r="C130" s="2411">
        <v>1937</v>
      </c>
      <c r="D130" s="2444">
        <f t="shared" si="1"/>
        <v>1.9370000000000001</v>
      </c>
      <c r="E130" s="2424"/>
      <c r="F130" s="2424"/>
    </row>
    <row r="131" spans="1:7" x14ac:dyDescent="0.3">
      <c r="A131" s="2404" t="s">
        <v>1346</v>
      </c>
      <c r="B131" s="2423" t="s">
        <v>1390</v>
      </c>
      <c r="C131" s="2411">
        <v>7507</v>
      </c>
      <c r="D131" s="2444">
        <f t="shared" ref="D131:D194" si="2">C131/1000</f>
        <v>7.5069999999999997</v>
      </c>
      <c r="E131" s="2424"/>
      <c r="F131" s="2424"/>
    </row>
    <row r="132" spans="1:7" x14ac:dyDescent="0.3">
      <c r="A132" s="2404" t="s">
        <v>1345</v>
      </c>
      <c r="B132" s="2423" t="s">
        <v>1390</v>
      </c>
      <c r="C132" s="2411">
        <v>5520</v>
      </c>
      <c r="D132" s="2444">
        <f t="shared" si="2"/>
        <v>5.52</v>
      </c>
      <c r="E132" s="2424"/>
      <c r="F132" s="2424"/>
    </row>
    <row r="133" spans="1:7" x14ac:dyDescent="0.3">
      <c r="A133" s="2404" t="s">
        <v>1344</v>
      </c>
      <c r="B133" s="2423" t="s">
        <v>1390</v>
      </c>
      <c r="C133" s="2411">
        <v>5521</v>
      </c>
      <c r="D133" s="2444">
        <f t="shared" si="2"/>
        <v>5.5209999999999999</v>
      </c>
      <c r="E133" s="2424"/>
      <c r="F133" s="2424"/>
    </row>
    <row r="134" spans="1:7" x14ac:dyDescent="0.3">
      <c r="A134" s="2404" t="s">
        <v>1343</v>
      </c>
      <c r="B134" s="2423" t="s">
        <v>1390</v>
      </c>
      <c r="C134" s="2411">
        <v>3963</v>
      </c>
      <c r="D134" s="2444">
        <f t="shared" si="2"/>
        <v>3.9630000000000001</v>
      </c>
      <c r="E134" s="2424"/>
      <c r="F134" s="2424"/>
    </row>
    <row r="135" spans="1:7" x14ac:dyDescent="0.3">
      <c r="A135" s="2404" t="s">
        <v>1341</v>
      </c>
      <c r="B135" s="2423" t="s">
        <v>1390</v>
      </c>
      <c r="C135" s="2411">
        <v>32047</v>
      </c>
      <c r="D135" s="2444">
        <f t="shared" si="2"/>
        <v>32.046999999999997</v>
      </c>
      <c r="E135" s="2424"/>
      <c r="F135" s="2424"/>
    </row>
    <row r="136" spans="1:7" x14ac:dyDescent="0.3">
      <c r="A136" s="2404" t="s">
        <v>1348</v>
      </c>
      <c r="B136" s="2423" t="s">
        <v>1389</v>
      </c>
      <c r="C136" s="2411">
        <v>833</v>
      </c>
      <c r="D136" s="2444">
        <f t="shared" si="2"/>
        <v>0.83299999999999996</v>
      </c>
      <c r="E136" s="2422"/>
      <c r="F136" s="2422"/>
    </row>
    <row r="137" spans="1:7" x14ac:dyDescent="0.3">
      <c r="A137" s="2404" t="s">
        <v>1347</v>
      </c>
      <c r="B137" s="2423" t="s">
        <v>1389</v>
      </c>
      <c r="C137" s="2411">
        <v>3120</v>
      </c>
      <c r="D137" s="2444">
        <f t="shared" si="2"/>
        <v>3.12</v>
      </c>
      <c r="E137" s="2422"/>
      <c r="F137" s="2422"/>
    </row>
    <row r="138" spans="1:7" x14ac:dyDescent="0.3">
      <c r="A138" s="2404" t="s">
        <v>1346</v>
      </c>
      <c r="B138" s="2423" t="s">
        <v>1389</v>
      </c>
      <c r="C138" s="2411">
        <v>888</v>
      </c>
      <c r="D138" s="2444">
        <f t="shared" si="2"/>
        <v>0.88800000000000001</v>
      </c>
      <c r="E138" s="2422"/>
      <c r="F138" s="2422"/>
    </row>
    <row r="139" spans="1:7" x14ac:dyDescent="0.3">
      <c r="A139" s="2404" t="s">
        <v>1345</v>
      </c>
      <c r="B139" s="2423" t="s">
        <v>1389</v>
      </c>
      <c r="C139" s="2411">
        <v>1022</v>
      </c>
      <c r="D139" s="2444">
        <f t="shared" si="2"/>
        <v>1.022</v>
      </c>
      <c r="E139" s="2422"/>
      <c r="F139" s="2422"/>
    </row>
    <row r="140" spans="1:7" x14ac:dyDescent="0.3">
      <c r="A140" s="2404" t="s">
        <v>1344</v>
      </c>
      <c r="B140" s="2423" t="s">
        <v>1389</v>
      </c>
      <c r="C140" s="2411">
        <v>1136</v>
      </c>
      <c r="D140" s="2444">
        <f t="shared" si="2"/>
        <v>1.1359999999999999</v>
      </c>
      <c r="E140" s="2422"/>
      <c r="F140" s="2422"/>
    </row>
    <row r="141" spans="1:7" x14ac:dyDescent="0.3">
      <c r="A141" s="2404" t="s">
        <v>1343</v>
      </c>
      <c r="B141" s="2423" t="s">
        <v>1389</v>
      </c>
      <c r="C141" s="2411">
        <v>266</v>
      </c>
      <c r="D141" s="2444">
        <f t="shared" si="2"/>
        <v>0.26600000000000001</v>
      </c>
      <c r="E141" s="2422"/>
      <c r="F141" s="2422"/>
    </row>
    <row r="142" spans="1:7" x14ac:dyDescent="0.3">
      <c r="A142" s="2404" t="s">
        <v>1341</v>
      </c>
      <c r="B142" s="2423" t="s">
        <v>1389</v>
      </c>
      <c r="C142" s="2411">
        <v>23067</v>
      </c>
      <c r="D142" s="2444">
        <f t="shared" si="2"/>
        <v>23.067</v>
      </c>
      <c r="E142" s="2422"/>
      <c r="F142" s="2422"/>
    </row>
    <row r="143" spans="1:7" x14ac:dyDescent="0.3">
      <c r="A143" s="2404" t="s">
        <v>1344</v>
      </c>
      <c r="B143" s="2421" t="s">
        <v>990</v>
      </c>
      <c r="C143" s="2411">
        <v>58800</v>
      </c>
      <c r="D143" s="2444">
        <f t="shared" si="2"/>
        <v>58.8</v>
      </c>
      <c r="E143" t="s">
        <v>19</v>
      </c>
      <c r="F143" t="s">
        <v>155</v>
      </c>
      <c r="G143" t="s">
        <v>7</v>
      </c>
    </row>
    <row r="144" spans="1:7" x14ac:dyDescent="0.3">
      <c r="A144" s="2404" t="s">
        <v>1348</v>
      </c>
      <c r="B144" s="2421" t="s">
        <v>1388</v>
      </c>
      <c r="C144" s="2411">
        <v>16200</v>
      </c>
      <c r="D144" s="2444">
        <f t="shared" si="2"/>
        <v>16.2</v>
      </c>
      <c r="E144" t="s">
        <v>19</v>
      </c>
      <c r="F144" t="s">
        <v>155</v>
      </c>
      <c r="G144" t="s">
        <v>7</v>
      </c>
    </row>
    <row r="145" spans="1:7" x14ac:dyDescent="0.3">
      <c r="A145" s="2404" t="s">
        <v>1347</v>
      </c>
      <c r="B145" s="2421" t="s">
        <v>1388</v>
      </c>
      <c r="C145" s="2411">
        <v>54640</v>
      </c>
      <c r="D145" s="2444">
        <f t="shared" si="2"/>
        <v>54.64</v>
      </c>
      <c r="E145" t="s">
        <v>19</v>
      </c>
      <c r="F145" t="s">
        <v>155</v>
      </c>
      <c r="G145" t="s">
        <v>7</v>
      </c>
    </row>
    <row r="146" spans="1:7" x14ac:dyDescent="0.3">
      <c r="A146" s="2404" t="s">
        <v>1345</v>
      </c>
      <c r="B146" s="2421" t="s">
        <v>1388</v>
      </c>
      <c r="C146" s="2411">
        <v>13840</v>
      </c>
      <c r="D146" s="2444">
        <f t="shared" si="2"/>
        <v>13.84</v>
      </c>
      <c r="E146" t="s">
        <v>19</v>
      </c>
      <c r="F146" t="s">
        <v>155</v>
      </c>
      <c r="G146" t="s">
        <v>7</v>
      </c>
    </row>
    <row r="147" spans="1:7" x14ac:dyDescent="0.3">
      <c r="A147" s="2404" t="s">
        <v>1344</v>
      </c>
      <c r="B147" s="2421" t="s">
        <v>1388</v>
      </c>
      <c r="C147" s="2411">
        <v>56590</v>
      </c>
      <c r="D147" s="2444">
        <f t="shared" si="2"/>
        <v>56.59</v>
      </c>
      <c r="E147" t="s">
        <v>19</v>
      </c>
      <c r="F147" t="s">
        <v>155</v>
      </c>
      <c r="G147" t="s">
        <v>7</v>
      </c>
    </row>
    <row r="148" spans="1:7" x14ac:dyDescent="0.3">
      <c r="A148" s="2404" t="s">
        <v>1343</v>
      </c>
      <c r="B148" s="2421" t="s">
        <v>1388</v>
      </c>
      <c r="C148" s="2411">
        <v>13880</v>
      </c>
      <c r="D148" s="2444">
        <f t="shared" si="2"/>
        <v>13.88</v>
      </c>
      <c r="E148" t="s">
        <v>19</v>
      </c>
      <c r="F148" t="s">
        <v>155</v>
      </c>
      <c r="G148" t="s">
        <v>7</v>
      </c>
    </row>
    <row r="149" spans="1:7" x14ac:dyDescent="0.3">
      <c r="A149" s="2404" t="s">
        <v>1348</v>
      </c>
      <c r="B149" s="2421" t="s">
        <v>1387</v>
      </c>
      <c r="C149" s="2411">
        <v>332300</v>
      </c>
      <c r="D149" s="2444">
        <f t="shared" si="2"/>
        <v>332.3</v>
      </c>
      <c r="E149" t="s">
        <v>90</v>
      </c>
      <c r="F149" t="s">
        <v>117</v>
      </c>
      <c r="G149" t="s">
        <v>86</v>
      </c>
    </row>
    <row r="150" spans="1:7" x14ac:dyDescent="0.3">
      <c r="A150" s="2404" t="s">
        <v>1347</v>
      </c>
      <c r="B150" s="2421" t="s">
        <v>1386</v>
      </c>
      <c r="C150" s="2411">
        <v>218400</v>
      </c>
      <c r="D150" s="2444">
        <f t="shared" si="2"/>
        <v>218.4</v>
      </c>
      <c r="E150" t="s">
        <v>90</v>
      </c>
      <c r="F150" t="s">
        <v>117</v>
      </c>
      <c r="G150" t="s">
        <v>86</v>
      </c>
    </row>
    <row r="151" spans="1:7" x14ac:dyDescent="0.3">
      <c r="A151" s="2404" t="s">
        <v>1345</v>
      </c>
      <c r="B151" s="2421" t="s">
        <v>1386</v>
      </c>
      <c r="C151" s="2411">
        <v>58530</v>
      </c>
      <c r="D151" s="2444">
        <f t="shared" si="2"/>
        <v>58.53</v>
      </c>
      <c r="E151" t="s">
        <v>90</v>
      </c>
      <c r="F151" t="s">
        <v>117</v>
      </c>
      <c r="G151" t="s">
        <v>86</v>
      </c>
    </row>
    <row r="152" spans="1:7" x14ac:dyDescent="0.3">
      <c r="A152" s="2404" t="s">
        <v>1341</v>
      </c>
      <c r="B152" s="2421" t="s">
        <v>1385</v>
      </c>
      <c r="C152" s="2411">
        <v>316620</v>
      </c>
      <c r="D152" s="2444">
        <f t="shared" si="2"/>
        <v>316.62</v>
      </c>
      <c r="E152" t="s">
        <v>90</v>
      </c>
      <c r="F152" t="s">
        <v>117</v>
      </c>
      <c r="G152" t="s">
        <v>86</v>
      </c>
    </row>
    <row r="153" spans="1:7" x14ac:dyDescent="0.3">
      <c r="A153" s="2404" t="s">
        <v>1341</v>
      </c>
      <c r="B153" s="2421" t="s">
        <v>1384</v>
      </c>
      <c r="C153" s="2411">
        <v>57500</v>
      </c>
      <c r="D153" s="2444">
        <f t="shared" si="2"/>
        <v>57.5</v>
      </c>
      <c r="E153" t="s">
        <v>90</v>
      </c>
      <c r="F153" t="s">
        <v>117</v>
      </c>
      <c r="G153" t="s">
        <v>86</v>
      </c>
    </row>
    <row r="154" spans="1:7" x14ac:dyDescent="0.3">
      <c r="A154" s="2404" t="s">
        <v>1348</v>
      </c>
      <c r="B154" s="2421" t="s">
        <v>1383</v>
      </c>
      <c r="C154" s="2411">
        <v>292800</v>
      </c>
      <c r="D154" s="2444">
        <f t="shared" si="2"/>
        <v>292.8</v>
      </c>
      <c r="E154" t="s">
        <v>19</v>
      </c>
      <c r="F154" t="s">
        <v>155</v>
      </c>
      <c r="G154" t="s">
        <v>7</v>
      </c>
    </row>
    <row r="155" spans="1:7" x14ac:dyDescent="0.3">
      <c r="A155" s="2404" t="s">
        <v>1347</v>
      </c>
      <c r="B155" s="2421" t="s">
        <v>1383</v>
      </c>
      <c r="C155" s="2411">
        <v>23300</v>
      </c>
      <c r="D155" s="2444">
        <f t="shared" si="2"/>
        <v>23.3</v>
      </c>
      <c r="E155" t="s">
        <v>19</v>
      </c>
      <c r="F155" t="s">
        <v>155</v>
      </c>
      <c r="G155" t="s">
        <v>7</v>
      </c>
    </row>
    <row r="156" spans="1:7" x14ac:dyDescent="0.3">
      <c r="A156" s="2404" t="s">
        <v>1346</v>
      </c>
      <c r="B156" s="2421" t="s">
        <v>1383</v>
      </c>
      <c r="C156" s="2411">
        <v>607040</v>
      </c>
      <c r="D156" s="2444">
        <f t="shared" si="2"/>
        <v>607.04</v>
      </c>
      <c r="E156" t="s">
        <v>19</v>
      </c>
      <c r="F156" t="s">
        <v>155</v>
      </c>
      <c r="G156" t="s">
        <v>7</v>
      </c>
    </row>
    <row r="157" spans="1:7" x14ac:dyDescent="0.3">
      <c r="A157" s="2404" t="s">
        <v>1345</v>
      </c>
      <c r="B157" s="2421" t="s">
        <v>1383</v>
      </c>
      <c r="C157" s="2411">
        <v>15580</v>
      </c>
      <c r="D157" s="2444">
        <f t="shared" si="2"/>
        <v>15.58</v>
      </c>
      <c r="E157" t="s">
        <v>19</v>
      </c>
      <c r="F157" t="s">
        <v>155</v>
      </c>
      <c r="G157" t="s">
        <v>7</v>
      </c>
    </row>
    <row r="158" spans="1:7" x14ac:dyDescent="0.3">
      <c r="A158" s="2404" t="s">
        <v>1344</v>
      </c>
      <c r="B158" s="2421" t="s">
        <v>1383</v>
      </c>
      <c r="C158" s="2411">
        <v>177240</v>
      </c>
      <c r="D158" s="2444">
        <f t="shared" si="2"/>
        <v>177.24</v>
      </c>
      <c r="E158" t="s">
        <v>19</v>
      </c>
      <c r="F158" t="s">
        <v>155</v>
      </c>
      <c r="G158" t="s">
        <v>7</v>
      </c>
    </row>
    <row r="159" spans="1:7" x14ac:dyDescent="0.3">
      <c r="A159" s="2404" t="s">
        <v>1343</v>
      </c>
      <c r="B159" s="2421" t="s">
        <v>1383</v>
      </c>
      <c r="C159" s="2411">
        <v>110000</v>
      </c>
      <c r="D159" s="2444">
        <f t="shared" si="2"/>
        <v>110</v>
      </c>
      <c r="E159" t="s">
        <v>19</v>
      </c>
      <c r="F159" t="s">
        <v>155</v>
      </c>
      <c r="G159" t="s">
        <v>7</v>
      </c>
    </row>
    <row r="160" spans="1:7" x14ac:dyDescent="0.3">
      <c r="A160" s="2404" t="s">
        <v>1341</v>
      </c>
      <c r="B160" s="2421" t="s">
        <v>1382</v>
      </c>
      <c r="C160" s="2411">
        <v>8780</v>
      </c>
      <c r="D160" s="2444">
        <f t="shared" si="2"/>
        <v>8.7799999999999994</v>
      </c>
      <c r="E160" t="s">
        <v>90</v>
      </c>
      <c r="F160" t="s">
        <v>117</v>
      </c>
      <c r="G160" t="s">
        <v>86</v>
      </c>
    </row>
    <row r="161" spans="1:7" x14ac:dyDescent="0.3">
      <c r="A161" s="2404" t="s">
        <v>1341</v>
      </c>
      <c r="B161" s="2421" t="s">
        <v>1381</v>
      </c>
      <c r="C161" s="2411">
        <v>0</v>
      </c>
      <c r="D161" s="2444">
        <f t="shared" si="2"/>
        <v>0</v>
      </c>
      <c r="E161" t="s">
        <v>19</v>
      </c>
      <c r="F161" t="s">
        <v>155</v>
      </c>
      <c r="G161" t="s">
        <v>7</v>
      </c>
    </row>
    <row r="162" spans="1:7" x14ac:dyDescent="0.3">
      <c r="A162" s="2404" t="s">
        <v>1348</v>
      </c>
      <c r="B162" s="2420" t="s">
        <v>1380</v>
      </c>
      <c r="C162" s="2411">
        <v>41980</v>
      </c>
      <c r="D162" s="2444">
        <f t="shared" si="2"/>
        <v>41.98</v>
      </c>
      <c r="E162" t="s">
        <v>79</v>
      </c>
      <c r="F162" t="s">
        <v>155</v>
      </c>
      <c r="G162" t="s">
        <v>7</v>
      </c>
    </row>
    <row r="163" spans="1:7" x14ac:dyDescent="0.3">
      <c r="A163" s="2404" t="s">
        <v>1347</v>
      </c>
      <c r="B163" s="2420" t="s">
        <v>1380</v>
      </c>
      <c r="C163" s="2411">
        <v>98281</v>
      </c>
      <c r="D163" s="2444">
        <f t="shared" si="2"/>
        <v>98.281000000000006</v>
      </c>
      <c r="E163" t="s">
        <v>79</v>
      </c>
      <c r="F163" t="s">
        <v>155</v>
      </c>
      <c r="G163" t="s">
        <v>7</v>
      </c>
    </row>
    <row r="164" spans="1:7" x14ac:dyDescent="0.3">
      <c r="A164" s="2404" t="s">
        <v>1345</v>
      </c>
      <c r="B164" s="2420" t="s">
        <v>1380</v>
      </c>
      <c r="C164" s="2411">
        <v>24443</v>
      </c>
      <c r="D164" s="2444">
        <f t="shared" si="2"/>
        <v>24.443000000000001</v>
      </c>
      <c r="E164" t="s">
        <v>79</v>
      </c>
      <c r="F164" t="s">
        <v>155</v>
      </c>
      <c r="G164" t="s">
        <v>7</v>
      </c>
    </row>
    <row r="165" spans="1:7" x14ac:dyDescent="0.3">
      <c r="A165" s="2404" t="s">
        <v>1344</v>
      </c>
      <c r="B165" s="2420" t="s">
        <v>1380</v>
      </c>
      <c r="C165" s="2411">
        <v>50649</v>
      </c>
      <c r="D165" s="2444">
        <f t="shared" si="2"/>
        <v>50.649000000000001</v>
      </c>
      <c r="E165" t="s">
        <v>79</v>
      </c>
      <c r="F165" t="s">
        <v>155</v>
      </c>
      <c r="G165" t="s">
        <v>7</v>
      </c>
    </row>
    <row r="166" spans="1:7" x14ac:dyDescent="0.3">
      <c r="A166" s="2404" t="s">
        <v>1343</v>
      </c>
      <c r="B166" s="2420" t="s">
        <v>1380</v>
      </c>
      <c r="C166" s="2411">
        <v>22572</v>
      </c>
      <c r="D166" s="2444">
        <f t="shared" si="2"/>
        <v>22.571999999999999</v>
      </c>
      <c r="E166" t="s">
        <v>79</v>
      </c>
      <c r="F166" t="s">
        <v>155</v>
      </c>
      <c r="G166" t="s">
        <v>7</v>
      </c>
    </row>
    <row r="167" spans="1:7" x14ac:dyDescent="0.3">
      <c r="A167" s="2404" t="s">
        <v>1341</v>
      </c>
      <c r="B167" s="2420" t="s">
        <v>1379</v>
      </c>
      <c r="C167" s="2411">
        <v>657950</v>
      </c>
      <c r="D167" s="2444">
        <f t="shared" si="2"/>
        <v>657.95</v>
      </c>
      <c r="E167" t="s">
        <v>79</v>
      </c>
      <c r="F167" t="s">
        <v>155</v>
      </c>
      <c r="G167" t="s">
        <v>7</v>
      </c>
    </row>
    <row r="168" spans="1:7" x14ac:dyDescent="0.3">
      <c r="A168" s="2404" t="s">
        <v>1348</v>
      </c>
      <c r="B168" s="2420" t="s">
        <v>1378</v>
      </c>
      <c r="C168" s="2411">
        <v>4339</v>
      </c>
      <c r="D168" s="2444">
        <f t="shared" si="2"/>
        <v>4.3390000000000004</v>
      </c>
      <c r="E168" t="s">
        <v>79</v>
      </c>
      <c r="F168" t="s">
        <v>114</v>
      </c>
      <c r="G168" t="s">
        <v>98</v>
      </c>
    </row>
    <row r="169" spans="1:7" x14ac:dyDescent="0.3">
      <c r="A169" s="2404" t="s">
        <v>1347</v>
      </c>
      <c r="B169" s="2420" t="s">
        <v>1378</v>
      </c>
      <c r="C169" s="2411">
        <v>56877</v>
      </c>
      <c r="D169" s="2444">
        <f t="shared" si="2"/>
        <v>56.877000000000002</v>
      </c>
      <c r="E169" t="s">
        <v>79</v>
      </c>
      <c r="F169" t="s">
        <v>114</v>
      </c>
      <c r="G169" t="s">
        <v>98</v>
      </c>
    </row>
    <row r="170" spans="1:7" x14ac:dyDescent="0.3">
      <c r="A170" s="2404" t="s">
        <v>1346</v>
      </c>
      <c r="B170" s="2420" t="s">
        <v>1378</v>
      </c>
      <c r="C170" s="2411">
        <v>67276</v>
      </c>
      <c r="D170" s="2444">
        <f t="shared" si="2"/>
        <v>67.275999999999996</v>
      </c>
      <c r="E170" t="s">
        <v>79</v>
      </c>
      <c r="F170" t="s">
        <v>114</v>
      </c>
      <c r="G170" t="s">
        <v>98</v>
      </c>
    </row>
    <row r="171" spans="1:7" x14ac:dyDescent="0.3">
      <c r="A171" s="2404" t="s">
        <v>1345</v>
      </c>
      <c r="B171" s="2420" t="s">
        <v>1378</v>
      </c>
      <c r="C171" s="2411">
        <v>49964</v>
      </c>
      <c r="D171" s="2444">
        <f t="shared" si="2"/>
        <v>49.963999999999999</v>
      </c>
      <c r="E171" t="s">
        <v>79</v>
      </c>
      <c r="F171" t="s">
        <v>114</v>
      </c>
      <c r="G171" t="s">
        <v>98</v>
      </c>
    </row>
    <row r="172" spans="1:7" x14ac:dyDescent="0.3">
      <c r="A172" s="2404" t="s">
        <v>1344</v>
      </c>
      <c r="B172" s="2420" t="s">
        <v>1378</v>
      </c>
      <c r="C172" s="2411">
        <v>15514</v>
      </c>
      <c r="D172" s="2444">
        <f t="shared" si="2"/>
        <v>15.513999999999999</v>
      </c>
      <c r="E172" t="s">
        <v>79</v>
      </c>
      <c r="F172" t="s">
        <v>114</v>
      </c>
      <c r="G172" t="s">
        <v>98</v>
      </c>
    </row>
    <row r="173" spans="1:7" x14ac:dyDescent="0.3">
      <c r="A173" s="2404" t="s">
        <v>1343</v>
      </c>
      <c r="B173" s="2420" t="s">
        <v>1378</v>
      </c>
      <c r="C173" s="2411">
        <v>477</v>
      </c>
      <c r="D173" s="2444">
        <f t="shared" si="2"/>
        <v>0.47699999999999998</v>
      </c>
      <c r="E173" t="s">
        <v>79</v>
      </c>
      <c r="F173" t="s">
        <v>114</v>
      </c>
      <c r="G173" t="s">
        <v>98</v>
      </c>
    </row>
    <row r="174" spans="1:7" x14ac:dyDescent="0.3">
      <c r="A174" s="2404" t="s">
        <v>1341</v>
      </c>
      <c r="B174" s="2420" t="s">
        <v>1378</v>
      </c>
      <c r="C174" s="2411">
        <v>817176</v>
      </c>
      <c r="D174" s="2444">
        <f t="shared" si="2"/>
        <v>817.17600000000004</v>
      </c>
      <c r="E174" t="s">
        <v>79</v>
      </c>
      <c r="F174" t="s">
        <v>114</v>
      </c>
      <c r="G174" t="s">
        <v>98</v>
      </c>
    </row>
    <row r="175" spans="1:7" x14ac:dyDescent="0.3">
      <c r="A175" s="2404" t="s">
        <v>1348</v>
      </c>
      <c r="B175" s="2420" t="s">
        <v>1377</v>
      </c>
      <c r="C175" s="2411">
        <v>1971</v>
      </c>
      <c r="D175" s="2444">
        <f t="shared" si="2"/>
        <v>1.9710000000000001</v>
      </c>
      <c r="E175" t="s">
        <v>79</v>
      </c>
      <c r="F175" t="s">
        <v>155</v>
      </c>
      <c r="G175" t="s">
        <v>7</v>
      </c>
    </row>
    <row r="176" spans="1:7" x14ac:dyDescent="0.3">
      <c r="A176" s="2404" t="s">
        <v>1347</v>
      </c>
      <c r="B176" s="2420" t="s">
        <v>1377</v>
      </c>
      <c r="C176" s="2411">
        <v>7395</v>
      </c>
      <c r="D176" s="2444">
        <f t="shared" si="2"/>
        <v>7.3949999999999996</v>
      </c>
      <c r="E176" t="s">
        <v>79</v>
      </c>
      <c r="F176" t="s">
        <v>155</v>
      </c>
      <c r="G176" t="s">
        <v>7</v>
      </c>
    </row>
    <row r="177" spans="1:14" x14ac:dyDescent="0.3">
      <c r="A177" s="2404" t="s">
        <v>1346</v>
      </c>
      <c r="B177" s="2420" t="s">
        <v>1377</v>
      </c>
      <c r="C177" s="2411">
        <v>2106</v>
      </c>
      <c r="D177" s="2444">
        <f t="shared" si="2"/>
        <v>2.1059999999999999</v>
      </c>
      <c r="E177" t="s">
        <v>79</v>
      </c>
      <c r="F177" t="s">
        <v>155</v>
      </c>
      <c r="G177" t="s">
        <v>7</v>
      </c>
    </row>
    <row r="178" spans="1:14" x14ac:dyDescent="0.3">
      <c r="A178" s="2404" t="s">
        <v>1345</v>
      </c>
      <c r="B178" s="2420" t="s">
        <v>1377</v>
      </c>
      <c r="C178" s="2411">
        <v>2416</v>
      </c>
      <c r="D178" s="2444">
        <f t="shared" si="2"/>
        <v>2.4159999999999999</v>
      </c>
      <c r="E178" t="s">
        <v>79</v>
      </c>
      <c r="F178" t="s">
        <v>155</v>
      </c>
      <c r="G178" t="s">
        <v>7</v>
      </c>
    </row>
    <row r="179" spans="1:14" x14ac:dyDescent="0.3">
      <c r="A179" s="2404" t="s">
        <v>1344</v>
      </c>
      <c r="B179" s="2420" t="s">
        <v>1377</v>
      </c>
      <c r="C179" s="2411">
        <v>2694</v>
      </c>
      <c r="D179" s="2444">
        <f t="shared" si="2"/>
        <v>2.694</v>
      </c>
      <c r="E179" t="s">
        <v>79</v>
      </c>
      <c r="F179" t="s">
        <v>155</v>
      </c>
      <c r="G179" t="s">
        <v>7</v>
      </c>
    </row>
    <row r="180" spans="1:14" x14ac:dyDescent="0.3">
      <c r="A180" s="2404" t="s">
        <v>1343</v>
      </c>
      <c r="B180" s="2420" t="s">
        <v>1377</v>
      </c>
      <c r="C180" s="2411">
        <v>629</v>
      </c>
      <c r="D180" s="2444">
        <f t="shared" si="2"/>
        <v>0.629</v>
      </c>
      <c r="E180" t="s">
        <v>79</v>
      </c>
      <c r="F180" t="s">
        <v>155</v>
      </c>
      <c r="G180" t="s">
        <v>7</v>
      </c>
    </row>
    <row r="181" spans="1:14" x14ac:dyDescent="0.3">
      <c r="A181" s="2404" t="s">
        <v>1341</v>
      </c>
      <c r="B181" s="2415" t="s">
        <v>1376</v>
      </c>
      <c r="C181" s="2411">
        <v>3167000</v>
      </c>
      <c r="D181" s="2444">
        <f t="shared" si="2"/>
        <v>3167</v>
      </c>
      <c r="E181" t="s">
        <v>89</v>
      </c>
      <c r="F181" t="s">
        <v>117</v>
      </c>
      <c r="G181" t="s">
        <v>86</v>
      </c>
    </row>
    <row r="182" spans="1:14" x14ac:dyDescent="0.3">
      <c r="A182" s="2404" t="s">
        <v>1341</v>
      </c>
      <c r="B182" s="2415" t="s">
        <v>1375</v>
      </c>
      <c r="C182" s="2411">
        <v>868900</v>
      </c>
      <c r="D182" s="2444">
        <f t="shared" si="2"/>
        <v>868.9</v>
      </c>
      <c r="E182" t="s">
        <v>6</v>
      </c>
      <c r="F182" t="s">
        <v>155</v>
      </c>
      <c r="G182" t="s">
        <v>7</v>
      </c>
      <c r="N182" s="2416" t="s">
        <v>1374</v>
      </c>
    </row>
    <row r="183" spans="1:14" x14ac:dyDescent="0.3">
      <c r="A183" s="2404" t="s">
        <v>1341</v>
      </c>
      <c r="B183" s="2415" t="s">
        <v>1373</v>
      </c>
      <c r="C183" s="2411">
        <v>121880</v>
      </c>
      <c r="D183" s="2444">
        <f t="shared" si="2"/>
        <v>121.88</v>
      </c>
      <c r="E183" t="s">
        <v>6</v>
      </c>
      <c r="F183" t="s">
        <v>155</v>
      </c>
      <c r="G183" t="s">
        <v>7</v>
      </c>
      <c r="N183" s="2404" t="s">
        <v>6</v>
      </c>
    </row>
    <row r="184" spans="1:14" x14ac:dyDescent="0.3">
      <c r="A184" s="2404" t="s">
        <v>1347</v>
      </c>
      <c r="B184" s="2415" t="s">
        <v>136</v>
      </c>
      <c r="C184" s="2411">
        <v>7585290</v>
      </c>
      <c r="D184" s="2444">
        <f t="shared" si="2"/>
        <v>7585.29</v>
      </c>
      <c r="E184" t="s">
        <v>6</v>
      </c>
      <c r="F184" t="s">
        <v>155</v>
      </c>
      <c r="G184" t="s">
        <v>7</v>
      </c>
      <c r="N184" s="2416" t="s">
        <v>86</v>
      </c>
    </row>
    <row r="185" spans="1:14" x14ac:dyDescent="0.3">
      <c r="A185" s="2404" t="s">
        <v>1346</v>
      </c>
      <c r="B185" s="2415" t="s">
        <v>136</v>
      </c>
      <c r="C185" s="2411">
        <v>2925134</v>
      </c>
      <c r="D185" s="2444">
        <f t="shared" si="2"/>
        <v>2925.134</v>
      </c>
      <c r="E185" t="s">
        <v>6</v>
      </c>
      <c r="F185" t="s">
        <v>155</v>
      </c>
      <c r="G185" t="s">
        <v>7</v>
      </c>
      <c r="N185" s="2418" t="s">
        <v>88</v>
      </c>
    </row>
    <row r="186" spans="1:14" x14ac:dyDescent="0.3">
      <c r="A186" s="2404" t="s">
        <v>1345</v>
      </c>
      <c r="B186" s="2415" t="s">
        <v>136</v>
      </c>
      <c r="C186" s="2411">
        <v>4512661</v>
      </c>
      <c r="D186" s="2444">
        <f t="shared" si="2"/>
        <v>4512.6610000000001</v>
      </c>
      <c r="E186" t="s">
        <v>6</v>
      </c>
      <c r="F186" t="s">
        <v>155</v>
      </c>
      <c r="G186" t="s">
        <v>7</v>
      </c>
      <c r="N186" s="2417" t="s">
        <v>89</v>
      </c>
    </row>
    <row r="187" spans="1:14" x14ac:dyDescent="0.3">
      <c r="A187" s="2404" t="s">
        <v>1344</v>
      </c>
      <c r="B187" s="2415" t="s">
        <v>136</v>
      </c>
      <c r="C187" s="2411">
        <v>2757953</v>
      </c>
      <c r="D187" s="2444">
        <f t="shared" si="2"/>
        <v>2757.953</v>
      </c>
      <c r="E187" t="s">
        <v>6</v>
      </c>
      <c r="F187" t="s">
        <v>155</v>
      </c>
      <c r="G187" t="s">
        <v>7</v>
      </c>
      <c r="N187" s="2416" t="s">
        <v>98</v>
      </c>
    </row>
    <row r="188" spans="1:14" x14ac:dyDescent="0.3">
      <c r="A188" s="2404" t="s">
        <v>1343</v>
      </c>
      <c r="B188" s="2415" t="s">
        <v>136</v>
      </c>
      <c r="C188" s="2411">
        <v>1187080</v>
      </c>
      <c r="D188" s="2444">
        <f t="shared" si="2"/>
        <v>1187.08</v>
      </c>
      <c r="E188" t="s">
        <v>6</v>
      </c>
      <c r="F188" t="s">
        <v>155</v>
      </c>
      <c r="G188" t="s">
        <v>7</v>
      </c>
      <c r="N188" s="2404" t="s">
        <v>89</v>
      </c>
    </row>
    <row r="189" spans="1:14" x14ac:dyDescent="0.3">
      <c r="A189" s="2404" t="s">
        <v>1348</v>
      </c>
      <c r="B189" s="2415" t="s">
        <v>1372</v>
      </c>
      <c r="C189" s="2411">
        <v>2973680</v>
      </c>
      <c r="D189" s="2444">
        <f t="shared" si="2"/>
        <v>2973.68</v>
      </c>
      <c r="E189" t="s">
        <v>6</v>
      </c>
      <c r="F189" t="s">
        <v>155</v>
      </c>
      <c r="G189" t="s">
        <v>7</v>
      </c>
    </row>
    <row r="190" spans="1:14" x14ac:dyDescent="0.3">
      <c r="A190" s="2404" t="s">
        <v>1341</v>
      </c>
      <c r="B190" s="2415" t="s">
        <v>1371</v>
      </c>
      <c r="C190" s="2411">
        <v>40649001</v>
      </c>
      <c r="D190" s="2444">
        <f t="shared" si="2"/>
        <v>40649.000999999997</v>
      </c>
      <c r="E190" t="s">
        <v>6</v>
      </c>
      <c r="F190" t="s">
        <v>155</v>
      </c>
      <c r="G190" t="s">
        <v>7</v>
      </c>
    </row>
    <row r="191" spans="1:14" x14ac:dyDescent="0.3">
      <c r="A191" s="2404" t="s">
        <v>1341</v>
      </c>
      <c r="B191" s="2415" t="s">
        <v>1370</v>
      </c>
      <c r="C191" s="2411">
        <v>1590160</v>
      </c>
      <c r="D191" s="2444">
        <f t="shared" si="2"/>
        <v>1590.16</v>
      </c>
      <c r="E191" t="s">
        <v>6</v>
      </c>
      <c r="F191" t="s">
        <v>155</v>
      </c>
      <c r="G191" t="s">
        <v>7</v>
      </c>
    </row>
    <row r="192" spans="1:14" x14ac:dyDescent="0.3">
      <c r="A192" s="2404" t="s">
        <v>1348</v>
      </c>
      <c r="B192" s="2415" t="s">
        <v>1369</v>
      </c>
      <c r="C192" s="2411">
        <v>1543</v>
      </c>
      <c r="D192" s="2444">
        <f t="shared" si="2"/>
        <v>1.5429999999999999</v>
      </c>
      <c r="E192" t="s">
        <v>6</v>
      </c>
      <c r="F192" t="s">
        <v>155</v>
      </c>
      <c r="G192" t="s">
        <v>7</v>
      </c>
    </row>
    <row r="193" spans="1:7" x14ac:dyDescent="0.3">
      <c r="A193" s="2404" t="s">
        <v>1347</v>
      </c>
      <c r="B193" s="2415" t="s">
        <v>1369</v>
      </c>
      <c r="C193" s="2411">
        <v>5797</v>
      </c>
      <c r="D193" s="2444">
        <f t="shared" si="2"/>
        <v>5.7969999999999997</v>
      </c>
      <c r="E193" t="s">
        <v>6</v>
      </c>
      <c r="F193" t="s">
        <v>155</v>
      </c>
      <c r="G193" t="s">
        <v>7</v>
      </c>
    </row>
    <row r="194" spans="1:7" x14ac:dyDescent="0.3">
      <c r="A194" s="2404" t="s">
        <v>1346</v>
      </c>
      <c r="B194" s="2415" t="s">
        <v>1369</v>
      </c>
      <c r="C194" s="2411">
        <v>1650</v>
      </c>
      <c r="D194" s="2444">
        <f t="shared" si="2"/>
        <v>1.65</v>
      </c>
      <c r="E194" t="s">
        <v>6</v>
      </c>
      <c r="F194" t="s">
        <v>155</v>
      </c>
      <c r="G194" t="s">
        <v>7</v>
      </c>
    </row>
    <row r="195" spans="1:7" x14ac:dyDescent="0.3">
      <c r="A195" s="2404" t="s">
        <v>1345</v>
      </c>
      <c r="B195" s="2415" t="s">
        <v>1369</v>
      </c>
      <c r="C195" s="2411">
        <v>1897</v>
      </c>
      <c r="D195" s="2444">
        <f t="shared" ref="D195:D258" si="3">C195/1000</f>
        <v>1.897</v>
      </c>
      <c r="E195" t="s">
        <v>6</v>
      </c>
      <c r="F195" t="s">
        <v>155</v>
      </c>
      <c r="G195" t="s">
        <v>7</v>
      </c>
    </row>
    <row r="196" spans="1:7" x14ac:dyDescent="0.3">
      <c r="A196" s="2404" t="s">
        <v>1344</v>
      </c>
      <c r="B196" s="2415" t="s">
        <v>1369</v>
      </c>
      <c r="C196" s="2411">
        <v>2111</v>
      </c>
      <c r="D196" s="2444">
        <f t="shared" si="3"/>
        <v>2.1110000000000002</v>
      </c>
      <c r="E196" t="s">
        <v>6</v>
      </c>
      <c r="F196" t="s">
        <v>155</v>
      </c>
      <c r="G196" t="s">
        <v>7</v>
      </c>
    </row>
    <row r="197" spans="1:7" x14ac:dyDescent="0.3">
      <c r="A197" s="2404" t="s">
        <v>1343</v>
      </c>
      <c r="B197" s="2415" t="s">
        <v>1369</v>
      </c>
      <c r="C197" s="2411">
        <v>492</v>
      </c>
      <c r="D197" s="2444">
        <f t="shared" si="3"/>
        <v>0.49199999999999999</v>
      </c>
      <c r="E197" t="s">
        <v>6</v>
      </c>
      <c r="F197" t="s">
        <v>155</v>
      </c>
      <c r="G197" t="s">
        <v>7</v>
      </c>
    </row>
    <row r="198" spans="1:7" x14ac:dyDescent="0.3">
      <c r="A198" s="2404" t="s">
        <v>1341</v>
      </c>
      <c r="B198" s="2415" t="s">
        <v>1369</v>
      </c>
      <c r="C198" s="2411">
        <v>42852</v>
      </c>
      <c r="D198" s="2444">
        <f t="shared" si="3"/>
        <v>42.851999999999997</v>
      </c>
      <c r="E198" t="s">
        <v>6</v>
      </c>
      <c r="F198" t="s">
        <v>155</v>
      </c>
      <c r="G198" t="s">
        <v>7</v>
      </c>
    </row>
    <row r="199" spans="1:7" x14ac:dyDescent="0.3">
      <c r="A199" s="2404" t="s">
        <v>1341</v>
      </c>
      <c r="B199" s="2415" t="s">
        <v>1368</v>
      </c>
      <c r="C199" s="2411">
        <f>1408000/2</f>
        <v>704000</v>
      </c>
      <c r="D199" s="2444">
        <f t="shared" si="3"/>
        <v>704</v>
      </c>
      <c r="E199" t="s">
        <v>89</v>
      </c>
      <c r="F199" t="s">
        <v>117</v>
      </c>
      <c r="G199" t="s">
        <v>86</v>
      </c>
    </row>
    <row r="200" spans="1:7" x14ac:dyDescent="0.3">
      <c r="A200" s="2404" t="s">
        <v>1341</v>
      </c>
      <c r="B200" s="2415" t="s">
        <v>1367</v>
      </c>
      <c r="C200" s="2411">
        <f>1408000/2</f>
        <v>704000</v>
      </c>
      <c r="D200" s="2444">
        <f t="shared" si="3"/>
        <v>704</v>
      </c>
      <c r="E200" t="s">
        <v>89</v>
      </c>
      <c r="F200" t="s">
        <v>114</v>
      </c>
      <c r="G200" t="s">
        <v>98</v>
      </c>
    </row>
    <row r="201" spans="1:7" x14ac:dyDescent="0.3">
      <c r="A201" s="2404" t="s">
        <v>1341</v>
      </c>
      <c r="B201" s="2415" t="s">
        <v>1366</v>
      </c>
      <c r="C201" s="2411">
        <v>5500</v>
      </c>
      <c r="D201" s="2444">
        <f t="shared" si="3"/>
        <v>5.5</v>
      </c>
      <c r="E201" t="s">
        <v>89</v>
      </c>
      <c r="F201" t="s">
        <v>117</v>
      </c>
      <c r="G201" t="s">
        <v>86</v>
      </c>
    </row>
    <row r="202" spans="1:7" x14ac:dyDescent="0.3">
      <c r="A202" s="2404" t="s">
        <v>1341</v>
      </c>
      <c r="B202" s="2415" t="s">
        <v>1365</v>
      </c>
      <c r="C202" s="2411">
        <v>2641090</v>
      </c>
      <c r="D202" s="2444">
        <f t="shared" si="3"/>
        <v>2641.09</v>
      </c>
      <c r="E202" t="s">
        <v>88</v>
      </c>
      <c r="F202" t="s">
        <v>117</v>
      </c>
      <c r="G202" t="s">
        <v>86</v>
      </c>
    </row>
    <row r="203" spans="1:7" x14ac:dyDescent="0.3">
      <c r="A203" s="2404" t="s">
        <v>1341</v>
      </c>
      <c r="B203" s="2415" t="s">
        <v>1364</v>
      </c>
      <c r="C203" s="2411">
        <v>7570100</v>
      </c>
      <c r="D203" s="2444">
        <f t="shared" si="3"/>
        <v>7570.1</v>
      </c>
      <c r="E203" t="s">
        <v>6</v>
      </c>
      <c r="F203" t="s">
        <v>155</v>
      </c>
      <c r="G203" t="s">
        <v>7</v>
      </c>
    </row>
    <row r="204" spans="1:7" x14ac:dyDescent="0.3">
      <c r="A204" s="2404" t="s">
        <v>1347</v>
      </c>
      <c r="B204" s="2415" t="s">
        <v>1363</v>
      </c>
      <c r="C204" s="2411">
        <v>688810</v>
      </c>
      <c r="D204" s="2444">
        <f t="shared" si="3"/>
        <v>688.81</v>
      </c>
      <c r="E204" t="s">
        <v>6</v>
      </c>
      <c r="F204" t="s">
        <v>155</v>
      </c>
      <c r="G204" t="s">
        <v>7</v>
      </c>
    </row>
    <row r="205" spans="1:7" x14ac:dyDescent="0.3">
      <c r="A205" s="2404" t="s">
        <v>1344</v>
      </c>
      <c r="B205" s="2415" t="s">
        <v>1363</v>
      </c>
      <c r="C205" s="2411">
        <v>647700</v>
      </c>
      <c r="D205" s="2444">
        <f t="shared" si="3"/>
        <v>647.70000000000005</v>
      </c>
      <c r="E205" t="s">
        <v>6</v>
      </c>
      <c r="F205" t="s">
        <v>155</v>
      </c>
      <c r="G205" t="s">
        <v>7</v>
      </c>
    </row>
    <row r="206" spans="1:7" x14ac:dyDescent="0.3">
      <c r="A206" s="2404" t="s">
        <v>1341</v>
      </c>
      <c r="B206" s="2415" t="s">
        <v>1362</v>
      </c>
      <c r="C206" s="2411">
        <v>4584600</v>
      </c>
      <c r="D206" s="2444">
        <f t="shared" si="3"/>
        <v>4584.6000000000004</v>
      </c>
      <c r="E206" t="s">
        <v>89</v>
      </c>
      <c r="F206" t="s">
        <v>114</v>
      </c>
      <c r="G206" t="s">
        <v>98</v>
      </c>
    </row>
    <row r="207" spans="1:7" x14ac:dyDescent="0.3">
      <c r="A207" s="2404" t="s">
        <v>1346</v>
      </c>
      <c r="B207" s="2415" t="s">
        <v>1361</v>
      </c>
      <c r="C207" s="2411">
        <v>201000</v>
      </c>
      <c r="D207" s="2444">
        <f t="shared" si="3"/>
        <v>201</v>
      </c>
      <c r="E207" t="s">
        <v>89</v>
      </c>
      <c r="F207" t="s">
        <v>117</v>
      </c>
      <c r="G207" t="s">
        <v>86</v>
      </c>
    </row>
    <row r="208" spans="1:7" x14ac:dyDescent="0.3">
      <c r="A208" s="2404" t="s">
        <v>1344</v>
      </c>
      <c r="B208" s="2415" t="s">
        <v>1361</v>
      </c>
      <c r="C208" s="2411">
        <v>60000</v>
      </c>
      <c r="D208" s="2444">
        <f t="shared" si="3"/>
        <v>60</v>
      </c>
      <c r="E208" t="s">
        <v>89</v>
      </c>
      <c r="F208" t="s">
        <v>117</v>
      </c>
      <c r="G208" t="s">
        <v>86</v>
      </c>
    </row>
    <row r="209" spans="1:7" x14ac:dyDescent="0.3">
      <c r="A209" s="2404" t="s">
        <v>1348</v>
      </c>
      <c r="B209" s="2415" t="s">
        <v>1360</v>
      </c>
      <c r="C209" s="2411">
        <v>441000</v>
      </c>
      <c r="D209" s="2444">
        <f t="shared" si="3"/>
        <v>441</v>
      </c>
      <c r="E209" t="s">
        <v>89</v>
      </c>
      <c r="F209" t="s">
        <v>117</v>
      </c>
      <c r="G209" t="s">
        <v>86</v>
      </c>
    </row>
    <row r="210" spans="1:7" x14ac:dyDescent="0.3">
      <c r="A210" s="2404" t="s">
        <v>1347</v>
      </c>
      <c r="B210" s="2415" t="s">
        <v>1360</v>
      </c>
      <c r="C210" s="2411">
        <v>25000</v>
      </c>
      <c r="D210" s="2444">
        <f t="shared" si="3"/>
        <v>25</v>
      </c>
      <c r="E210" t="s">
        <v>89</v>
      </c>
      <c r="F210" t="s">
        <v>117</v>
      </c>
      <c r="G210" t="s">
        <v>86</v>
      </c>
    </row>
    <row r="211" spans="1:7" x14ac:dyDescent="0.3">
      <c r="A211" s="2404" t="s">
        <v>1341</v>
      </c>
      <c r="B211" s="2415" t="s">
        <v>1359</v>
      </c>
      <c r="C211" s="2411">
        <v>14000</v>
      </c>
      <c r="D211" s="2444">
        <f t="shared" si="3"/>
        <v>14</v>
      </c>
      <c r="E211" t="s">
        <v>89</v>
      </c>
      <c r="F211" t="s">
        <v>117</v>
      </c>
      <c r="G211" t="s">
        <v>86</v>
      </c>
    </row>
    <row r="212" spans="1:7" x14ac:dyDescent="0.3">
      <c r="A212" s="2404" t="s">
        <v>1348</v>
      </c>
      <c r="B212" s="2414" t="s">
        <v>409</v>
      </c>
      <c r="C212" s="2411">
        <v>36529</v>
      </c>
      <c r="D212" s="2444">
        <f t="shared" si="3"/>
        <v>36.529000000000003</v>
      </c>
      <c r="E212" t="s">
        <v>25</v>
      </c>
      <c r="F212" t="s">
        <v>155</v>
      </c>
      <c r="G212" t="s">
        <v>7</v>
      </c>
    </row>
    <row r="213" spans="1:7" x14ac:dyDescent="0.3">
      <c r="A213" s="2404" t="s">
        <v>1347</v>
      </c>
      <c r="B213" s="2414" t="s">
        <v>409</v>
      </c>
      <c r="C213" s="2411">
        <v>131964</v>
      </c>
      <c r="D213" s="2444">
        <f t="shared" si="3"/>
        <v>131.964</v>
      </c>
      <c r="E213" t="s">
        <v>25</v>
      </c>
      <c r="F213" t="s">
        <v>155</v>
      </c>
      <c r="G213" t="s">
        <v>7</v>
      </c>
    </row>
    <row r="214" spans="1:7" x14ac:dyDescent="0.3">
      <c r="A214" s="2404" t="s">
        <v>1346</v>
      </c>
      <c r="B214" s="2414" t="s">
        <v>409</v>
      </c>
      <c r="C214" s="2411">
        <v>37957</v>
      </c>
      <c r="D214" s="2444">
        <f t="shared" si="3"/>
        <v>37.957000000000001</v>
      </c>
      <c r="E214" t="s">
        <v>25</v>
      </c>
      <c r="F214" t="s">
        <v>155</v>
      </c>
      <c r="G214" t="s">
        <v>7</v>
      </c>
    </row>
    <row r="215" spans="1:7" x14ac:dyDescent="0.3">
      <c r="A215" s="2404" t="s">
        <v>1345</v>
      </c>
      <c r="B215" s="2414" t="s">
        <v>409</v>
      </c>
      <c r="C215" s="2411">
        <v>51773</v>
      </c>
      <c r="D215" s="2444">
        <f t="shared" si="3"/>
        <v>51.773000000000003</v>
      </c>
      <c r="E215" t="s">
        <v>25</v>
      </c>
      <c r="F215" t="s">
        <v>155</v>
      </c>
      <c r="G215" t="s">
        <v>7</v>
      </c>
    </row>
    <row r="216" spans="1:7" x14ac:dyDescent="0.3">
      <c r="A216" s="2404" t="s">
        <v>1344</v>
      </c>
      <c r="B216" s="2414" t="s">
        <v>409</v>
      </c>
      <c r="C216" s="2411">
        <v>52489</v>
      </c>
      <c r="D216" s="2444">
        <f t="shared" si="3"/>
        <v>52.488999999999997</v>
      </c>
      <c r="E216" t="s">
        <v>25</v>
      </c>
      <c r="F216" t="s">
        <v>155</v>
      </c>
      <c r="G216" t="s">
        <v>7</v>
      </c>
    </row>
    <row r="217" spans="1:7" x14ac:dyDescent="0.3">
      <c r="A217" s="2404" t="s">
        <v>1343</v>
      </c>
      <c r="B217" s="2414" t="s">
        <v>409</v>
      </c>
      <c r="C217" s="2411">
        <v>16928</v>
      </c>
      <c r="D217" s="2444">
        <f t="shared" si="3"/>
        <v>16.928000000000001</v>
      </c>
      <c r="E217" t="s">
        <v>25</v>
      </c>
      <c r="F217" t="s">
        <v>155</v>
      </c>
      <c r="G217" t="s">
        <v>7</v>
      </c>
    </row>
    <row r="218" spans="1:7" x14ac:dyDescent="0.3">
      <c r="A218" s="2404" t="s">
        <v>1341</v>
      </c>
      <c r="B218" s="2414" t="s">
        <v>409</v>
      </c>
      <c r="C218" s="2411">
        <v>685001</v>
      </c>
      <c r="D218" s="2444">
        <f t="shared" si="3"/>
        <v>685.00099999999998</v>
      </c>
      <c r="E218" t="s">
        <v>25</v>
      </c>
      <c r="F218" t="s">
        <v>155</v>
      </c>
      <c r="G218" t="s">
        <v>7</v>
      </c>
    </row>
    <row r="219" spans="1:7" x14ac:dyDescent="0.3">
      <c r="A219" s="2404" t="s">
        <v>1341</v>
      </c>
      <c r="B219" s="2414" t="s">
        <v>1358</v>
      </c>
      <c r="C219" s="2411">
        <v>48075</v>
      </c>
      <c r="D219" s="2444">
        <f t="shared" si="3"/>
        <v>48.075000000000003</v>
      </c>
      <c r="E219" t="s">
        <v>25</v>
      </c>
      <c r="F219" t="s">
        <v>155</v>
      </c>
      <c r="G219" t="s">
        <v>7</v>
      </c>
    </row>
    <row r="220" spans="1:7" x14ac:dyDescent="0.3">
      <c r="A220" s="2404" t="s">
        <v>1341</v>
      </c>
      <c r="B220" s="2414" t="s">
        <v>1357</v>
      </c>
      <c r="C220" s="2411">
        <v>7350</v>
      </c>
      <c r="D220" s="2444">
        <f t="shared" si="3"/>
        <v>7.35</v>
      </c>
      <c r="E220" t="s">
        <v>25</v>
      </c>
      <c r="F220" t="s">
        <v>114</v>
      </c>
      <c r="G220" t="s">
        <v>98</v>
      </c>
    </row>
    <row r="221" spans="1:7" ht="15" thickBot="1" x14ac:dyDescent="0.35">
      <c r="A221" s="2404" t="s">
        <v>1341</v>
      </c>
      <c r="B221" s="2414" t="s">
        <v>1356</v>
      </c>
      <c r="C221" s="2411">
        <v>2013</v>
      </c>
      <c r="D221" s="2444">
        <f t="shared" si="3"/>
        <v>2.0129999999999999</v>
      </c>
      <c r="E221" t="s">
        <v>25</v>
      </c>
      <c r="F221" t="s">
        <v>155</v>
      </c>
      <c r="G221" t="s">
        <v>7</v>
      </c>
    </row>
    <row r="222" spans="1:7" ht="15" thickBot="1" x14ac:dyDescent="0.35">
      <c r="A222" s="2404" t="s">
        <v>1348</v>
      </c>
      <c r="B222" s="2413" t="s">
        <v>407</v>
      </c>
      <c r="C222" s="2411">
        <v>312879</v>
      </c>
      <c r="D222" s="2444">
        <f t="shared" si="3"/>
        <v>312.87900000000002</v>
      </c>
      <c r="E222" s="4" t="s">
        <v>31</v>
      </c>
      <c r="F222" t="s">
        <v>155</v>
      </c>
      <c r="G222" t="s">
        <v>7</v>
      </c>
    </row>
    <row r="223" spans="1:7" ht="15" thickBot="1" x14ac:dyDescent="0.35">
      <c r="A223" s="2404" t="s">
        <v>1347</v>
      </c>
      <c r="B223" s="2413" t="s">
        <v>407</v>
      </c>
      <c r="C223" s="2411">
        <v>824424</v>
      </c>
      <c r="D223" s="2444">
        <f t="shared" si="3"/>
        <v>824.42399999999998</v>
      </c>
      <c r="E223" s="4" t="s">
        <v>31</v>
      </c>
      <c r="F223" t="s">
        <v>155</v>
      </c>
      <c r="G223" t="s">
        <v>7</v>
      </c>
    </row>
    <row r="224" spans="1:7" ht="15" thickBot="1" x14ac:dyDescent="0.35">
      <c r="A224" s="2404" t="s">
        <v>1346</v>
      </c>
      <c r="B224" s="2413" t="s">
        <v>407</v>
      </c>
      <c r="C224" s="2411">
        <v>407619</v>
      </c>
      <c r="D224" s="2444">
        <f t="shared" si="3"/>
        <v>407.61900000000003</v>
      </c>
      <c r="E224" s="4" t="s">
        <v>31</v>
      </c>
      <c r="F224" t="s">
        <v>155</v>
      </c>
      <c r="G224" t="s">
        <v>7</v>
      </c>
    </row>
    <row r="225" spans="1:7" ht="15" thickBot="1" x14ac:dyDescent="0.35">
      <c r="A225" s="2404" t="s">
        <v>1345</v>
      </c>
      <c r="B225" s="2413" t="s">
        <v>407</v>
      </c>
      <c r="C225" s="2411">
        <v>513837</v>
      </c>
      <c r="D225" s="2444">
        <f t="shared" si="3"/>
        <v>513.83699999999999</v>
      </c>
      <c r="E225" s="4" t="s">
        <v>31</v>
      </c>
      <c r="F225" t="s">
        <v>155</v>
      </c>
      <c r="G225" t="s">
        <v>7</v>
      </c>
    </row>
    <row r="226" spans="1:7" ht="15" thickBot="1" x14ac:dyDescent="0.35">
      <c r="A226" s="2404" t="s">
        <v>1344</v>
      </c>
      <c r="B226" s="2413" t="s">
        <v>407</v>
      </c>
      <c r="C226" s="2411">
        <v>393733</v>
      </c>
      <c r="D226" s="2444">
        <f t="shared" si="3"/>
        <v>393.733</v>
      </c>
      <c r="E226" s="4" t="s">
        <v>31</v>
      </c>
      <c r="F226" t="s">
        <v>155</v>
      </c>
      <c r="G226" t="s">
        <v>7</v>
      </c>
    </row>
    <row r="227" spans="1:7" ht="15" thickBot="1" x14ac:dyDescent="0.35">
      <c r="A227" s="2404" t="s">
        <v>1343</v>
      </c>
      <c r="B227" s="2413" t="s">
        <v>407</v>
      </c>
      <c r="C227" s="2411">
        <v>164088</v>
      </c>
      <c r="D227" s="2444">
        <f t="shared" si="3"/>
        <v>164.08799999999999</v>
      </c>
      <c r="E227" s="4" t="s">
        <v>31</v>
      </c>
      <c r="F227" t="s">
        <v>155</v>
      </c>
      <c r="G227" t="s">
        <v>7</v>
      </c>
    </row>
    <row r="228" spans="1:7" ht="15" thickBot="1" x14ac:dyDescent="0.35">
      <c r="A228" s="2404" t="s">
        <v>1341</v>
      </c>
      <c r="B228" s="2413" t="s">
        <v>407</v>
      </c>
      <c r="C228" s="2411">
        <v>5350757</v>
      </c>
      <c r="D228" s="2444">
        <f t="shared" si="3"/>
        <v>5350.7569999999996</v>
      </c>
      <c r="E228" s="4" t="s">
        <v>31</v>
      </c>
      <c r="F228" t="s">
        <v>155</v>
      </c>
      <c r="G228" t="s">
        <v>7</v>
      </c>
    </row>
    <row r="229" spans="1:7" ht="15" thickBot="1" x14ac:dyDescent="0.35">
      <c r="A229" s="2404" t="s">
        <v>1341</v>
      </c>
      <c r="B229" s="2413" t="s">
        <v>1355</v>
      </c>
      <c r="C229" s="2411">
        <v>314280</v>
      </c>
      <c r="D229" s="2444">
        <f t="shared" si="3"/>
        <v>314.27999999999997</v>
      </c>
      <c r="E229" s="6" t="s">
        <v>12</v>
      </c>
      <c r="F229" t="s">
        <v>114</v>
      </c>
      <c r="G229" t="s">
        <v>98</v>
      </c>
    </row>
    <row r="230" spans="1:7" x14ac:dyDescent="0.3">
      <c r="A230" s="2404" t="s">
        <v>1347</v>
      </c>
      <c r="B230" s="2412" t="s">
        <v>404</v>
      </c>
      <c r="C230" s="2411">
        <v>270673</v>
      </c>
      <c r="D230" s="2444">
        <f t="shared" si="3"/>
        <v>270.673</v>
      </c>
      <c r="E230" t="s">
        <v>81</v>
      </c>
      <c r="F230" t="s">
        <v>155</v>
      </c>
      <c r="G230" t="s">
        <v>7</v>
      </c>
    </row>
    <row r="231" spans="1:7" x14ac:dyDescent="0.3">
      <c r="A231" s="2404" t="s">
        <v>1346</v>
      </c>
      <c r="B231" s="2412" t="s">
        <v>404</v>
      </c>
      <c r="C231" s="2411">
        <v>127731</v>
      </c>
      <c r="D231" s="2444">
        <f t="shared" si="3"/>
        <v>127.73099999999999</v>
      </c>
      <c r="E231" t="s">
        <v>81</v>
      </c>
      <c r="F231" t="s">
        <v>155</v>
      </c>
      <c r="G231" t="s">
        <v>7</v>
      </c>
    </row>
    <row r="232" spans="1:7" x14ac:dyDescent="0.3">
      <c r="A232" s="2404" t="s">
        <v>1345</v>
      </c>
      <c r="B232" s="2412" t="s">
        <v>404</v>
      </c>
      <c r="C232" s="2411">
        <v>35239</v>
      </c>
      <c r="D232" s="2444">
        <f t="shared" si="3"/>
        <v>35.238999999999997</v>
      </c>
      <c r="E232" t="s">
        <v>81</v>
      </c>
      <c r="F232" t="s">
        <v>155</v>
      </c>
      <c r="G232" t="s">
        <v>7</v>
      </c>
    </row>
    <row r="233" spans="1:7" x14ac:dyDescent="0.3">
      <c r="A233" s="2404" t="s">
        <v>1348</v>
      </c>
      <c r="B233" s="2412" t="s">
        <v>1354</v>
      </c>
      <c r="C233" s="2411">
        <v>61580</v>
      </c>
      <c r="D233" s="2444">
        <f t="shared" si="3"/>
        <v>61.58</v>
      </c>
      <c r="E233" t="s">
        <v>81</v>
      </c>
      <c r="F233" t="s">
        <v>155</v>
      </c>
      <c r="G233" t="s">
        <v>7</v>
      </c>
    </row>
    <row r="234" spans="1:7" x14ac:dyDescent="0.3">
      <c r="A234" s="2404" t="s">
        <v>1347</v>
      </c>
      <c r="B234" s="2412" t="s">
        <v>1354</v>
      </c>
      <c r="C234" s="2411">
        <v>88770</v>
      </c>
      <c r="D234" s="2444">
        <f t="shared" si="3"/>
        <v>88.77</v>
      </c>
      <c r="E234" t="s">
        <v>81</v>
      </c>
      <c r="F234" t="s">
        <v>155</v>
      </c>
      <c r="G234" t="s">
        <v>7</v>
      </c>
    </row>
    <row r="235" spans="1:7" x14ac:dyDescent="0.3">
      <c r="A235" s="2404" t="s">
        <v>1345</v>
      </c>
      <c r="B235" s="2412" t="s">
        <v>1354</v>
      </c>
      <c r="C235" s="2411">
        <v>41200</v>
      </c>
      <c r="D235" s="2444">
        <f t="shared" si="3"/>
        <v>41.2</v>
      </c>
      <c r="E235" t="s">
        <v>81</v>
      </c>
      <c r="F235" t="s">
        <v>155</v>
      </c>
      <c r="G235" t="s">
        <v>7</v>
      </c>
    </row>
    <row r="236" spans="1:7" x14ac:dyDescent="0.3">
      <c r="A236" s="2404" t="s">
        <v>1344</v>
      </c>
      <c r="B236" s="2412" t="s">
        <v>1354</v>
      </c>
      <c r="C236" s="2411">
        <v>82700</v>
      </c>
      <c r="D236" s="2444">
        <f t="shared" si="3"/>
        <v>82.7</v>
      </c>
      <c r="E236" t="s">
        <v>81</v>
      </c>
      <c r="F236" t="s">
        <v>155</v>
      </c>
      <c r="G236" t="s">
        <v>7</v>
      </c>
    </row>
    <row r="237" spans="1:7" x14ac:dyDescent="0.3">
      <c r="A237" s="2404" t="s">
        <v>1343</v>
      </c>
      <c r="B237" s="2412" t="s">
        <v>1354</v>
      </c>
      <c r="C237" s="2411">
        <v>19000</v>
      </c>
      <c r="D237" s="2444">
        <f t="shared" si="3"/>
        <v>19</v>
      </c>
      <c r="E237" t="s">
        <v>81</v>
      </c>
      <c r="F237" t="s">
        <v>155</v>
      </c>
      <c r="G237" t="s">
        <v>7</v>
      </c>
    </row>
    <row r="238" spans="1:7" x14ac:dyDescent="0.3">
      <c r="A238" s="2404" t="s">
        <v>1341</v>
      </c>
      <c r="B238" s="2412" t="s">
        <v>1353</v>
      </c>
      <c r="C238" s="2411">
        <v>51580</v>
      </c>
      <c r="D238" s="2444">
        <f t="shared" si="3"/>
        <v>51.58</v>
      </c>
      <c r="E238" t="s">
        <v>81</v>
      </c>
      <c r="F238" t="s">
        <v>155</v>
      </c>
      <c r="G238" t="s">
        <v>7</v>
      </c>
    </row>
    <row r="239" spans="1:7" x14ac:dyDescent="0.3">
      <c r="A239" s="2404" t="s">
        <v>1341</v>
      </c>
      <c r="B239" s="2412" t="s">
        <v>1352</v>
      </c>
      <c r="C239" s="2411">
        <v>442320</v>
      </c>
      <c r="D239" s="2444">
        <f t="shared" si="3"/>
        <v>442.32</v>
      </c>
      <c r="E239" t="s">
        <v>81</v>
      </c>
      <c r="F239" t="s">
        <v>155</v>
      </c>
      <c r="G239" t="s">
        <v>7</v>
      </c>
    </row>
    <row r="240" spans="1:7" x14ac:dyDescent="0.3">
      <c r="A240" s="2404" t="s">
        <v>1344</v>
      </c>
      <c r="B240" s="2412" t="s">
        <v>1351</v>
      </c>
      <c r="C240" s="2411">
        <v>80439</v>
      </c>
      <c r="D240" s="2444">
        <f t="shared" si="3"/>
        <v>80.438999999999993</v>
      </c>
      <c r="E240" t="s">
        <v>81</v>
      </c>
      <c r="F240" t="s">
        <v>155</v>
      </c>
      <c r="G240" t="s">
        <v>7</v>
      </c>
    </row>
    <row r="241" spans="1:7" x14ac:dyDescent="0.3">
      <c r="A241" s="2404" t="s">
        <v>1341</v>
      </c>
      <c r="B241" s="2412" t="s">
        <v>1350</v>
      </c>
      <c r="C241" s="2411">
        <v>5900</v>
      </c>
      <c r="D241" s="2444">
        <f t="shared" si="3"/>
        <v>5.9</v>
      </c>
      <c r="E241" t="s">
        <v>81</v>
      </c>
      <c r="F241" t="s">
        <v>155</v>
      </c>
      <c r="G241" t="s">
        <v>7</v>
      </c>
    </row>
    <row r="242" spans="1:7" x14ac:dyDescent="0.3">
      <c r="A242" s="2404" t="s">
        <v>1341</v>
      </c>
      <c r="B242" s="2412" t="s">
        <v>1349</v>
      </c>
      <c r="C242" s="2411">
        <v>1575147</v>
      </c>
      <c r="D242" s="2444">
        <f t="shared" si="3"/>
        <v>1575.1469999999999</v>
      </c>
      <c r="E242" t="s">
        <v>81</v>
      </c>
      <c r="F242" t="s">
        <v>155</v>
      </c>
      <c r="G242" t="s">
        <v>7</v>
      </c>
    </row>
    <row r="243" spans="1:7" x14ac:dyDescent="0.3">
      <c r="A243" s="2404" t="s">
        <v>1348</v>
      </c>
      <c r="B243" s="2412" t="s">
        <v>1342</v>
      </c>
      <c r="C243" s="2411">
        <v>391680</v>
      </c>
      <c r="D243" s="2444">
        <f t="shared" si="3"/>
        <v>391.68</v>
      </c>
      <c r="E243" t="s">
        <v>81</v>
      </c>
      <c r="F243" t="s">
        <v>155</v>
      </c>
      <c r="G243" t="s">
        <v>7</v>
      </c>
    </row>
    <row r="244" spans="1:7" x14ac:dyDescent="0.3">
      <c r="A244" s="2404" t="s">
        <v>1347</v>
      </c>
      <c r="B244" s="2412" t="s">
        <v>1342</v>
      </c>
      <c r="C244" s="2411">
        <v>15020</v>
      </c>
      <c r="D244" s="2444">
        <f t="shared" si="3"/>
        <v>15.02</v>
      </c>
      <c r="E244" t="s">
        <v>81</v>
      </c>
      <c r="F244" t="s">
        <v>155</v>
      </c>
      <c r="G244" t="s">
        <v>7</v>
      </c>
    </row>
    <row r="245" spans="1:7" x14ac:dyDescent="0.3">
      <c r="A245" s="2404" t="s">
        <v>1346</v>
      </c>
      <c r="B245" s="2412" t="s">
        <v>1342</v>
      </c>
      <c r="C245" s="2411">
        <v>135600</v>
      </c>
      <c r="D245" s="2444">
        <f t="shared" si="3"/>
        <v>135.6</v>
      </c>
      <c r="E245" t="s">
        <v>81</v>
      </c>
      <c r="F245" t="s">
        <v>155</v>
      </c>
      <c r="G245" t="s">
        <v>7</v>
      </c>
    </row>
    <row r="246" spans="1:7" x14ac:dyDescent="0.3">
      <c r="A246" s="2404" t="s">
        <v>1345</v>
      </c>
      <c r="B246" s="2412" t="s">
        <v>1342</v>
      </c>
      <c r="C246" s="2411">
        <v>138170</v>
      </c>
      <c r="D246" s="2444">
        <f t="shared" si="3"/>
        <v>138.16999999999999</v>
      </c>
      <c r="E246" t="s">
        <v>81</v>
      </c>
      <c r="F246" t="s">
        <v>155</v>
      </c>
      <c r="G246" t="s">
        <v>7</v>
      </c>
    </row>
    <row r="247" spans="1:7" x14ac:dyDescent="0.3">
      <c r="A247" s="2404" t="s">
        <v>1344</v>
      </c>
      <c r="B247" s="2412" t="s">
        <v>1342</v>
      </c>
      <c r="C247" s="2411">
        <v>163820</v>
      </c>
      <c r="D247" s="2444">
        <f t="shared" si="3"/>
        <v>163.82</v>
      </c>
      <c r="E247" t="s">
        <v>81</v>
      </c>
      <c r="F247" t="s">
        <v>155</v>
      </c>
      <c r="G247" t="s">
        <v>7</v>
      </c>
    </row>
    <row r="248" spans="1:7" x14ac:dyDescent="0.3">
      <c r="A248" s="2404" t="s">
        <v>1343</v>
      </c>
      <c r="B248" s="2412" t="s">
        <v>1342</v>
      </c>
      <c r="C248" s="2411">
        <v>183880</v>
      </c>
      <c r="D248" s="2444">
        <f t="shared" si="3"/>
        <v>183.88</v>
      </c>
      <c r="E248" t="s">
        <v>81</v>
      </c>
      <c r="F248" t="s">
        <v>155</v>
      </c>
      <c r="G248" t="s">
        <v>7</v>
      </c>
    </row>
    <row r="249" spans="1:7" ht="15" thickBot="1" x14ac:dyDescent="0.35">
      <c r="A249" s="2404" t="s">
        <v>1341</v>
      </c>
      <c r="B249" s="2412" t="s">
        <v>1340</v>
      </c>
      <c r="C249" s="2411">
        <v>85320</v>
      </c>
      <c r="D249" s="2444">
        <f t="shared" si="3"/>
        <v>85.32</v>
      </c>
      <c r="E249" t="s">
        <v>81</v>
      </c>
      <c r="F249" t="s">
        <v>155</v>
      </c>
      <c r="G249" t="s">
        <v>7</v>
      </c>
    </row>
    <row r="250" spans="1:7" ht="16.2" thickBot="1" x14ac:dyDescent="0.35">
      <c r="B250" s="2438" t="s">
        <v>307</v>
      </c>
      <c r="C250" s="2439">
        <v>432958</v>
      </c>
      <c r="D250" s="2444">
        <f t="shared" si="3"/>
        <v>432.95800000000003</v>
      </c>
      <c r="E250" s="10" t="s">
        <v>17</v>
      </c>
      <c r="F250" t="s">
        <v>155</v>
      </c>
    </row>
    <row r="251" spans="1:7" ht="16.2" thickBot="1" x14ac:dyDescent="0.35">
      <c r="B251" s="2436" t="s">
        <v>128</v>
      </c>
      <c r="C251" s="2435">
        <v>113455</v>
      </c>
      <c r="D251" s="2444">
        <f t="shared" si="3"/>
        <v>113.455</v>
      </c>
      <c r="E251" s="4" t="s">
        <v>16</v>
      </c>
      <c r="F251" t="s">
        <v>155</v>
      </c>
    </row>
    <row r="252" spans="1:7" ht="16.2" thickBot="1" x14ac:dyDescent="0.35">
      <c r="B252" s="2438" t="s">
        <v>178</v>
      </c>
      <c r="C252" s="2439">
        <v>103145</v>
      </c>
      <c r="D252" s="2444">
        <f t="shared" si="3"/>
        <v>103.145</v>
      </c>
      <c r="E252" s="11" t="s">
        <v>178</v>
      </c>
      <c r="F252" t="s">
        <v>155</v>
      </c>
    </row>
    <row r="253" spans="1:7" ht="16.2" thickBot="1" x14ac:dyDescent="0.35">
      <c r="B253" s="2436" t="s">
        <v>145</v>
      </c>
      <c r="C253" s="2435">
        <v>34060</v>
      </c>
      <c r="D253" s="2444">
        <f t="shared" si="3"/>
        <v>34.06</v>
      </c>
      <c r="E253" s="11" t="s">
        <v>66</v>
      </c>
      <c r="F253" t="s">
        <v>155</v>
      </c>
    </row>
    <row r="254" spans="1:7" ht="16.2" thickBot="1" x14ac:dyDescent="0.35">
      <c r="B254" s="2438" t="s">
        <v>1451</v>
      </c>
      <c r="C254" s="2438">
        <v>6037</v>
      </c>
      <c r="D254" s="2444">
        <f t="shared" si="3"/>
        <v>6.0369999999999999</v>
      </c>
      <c r="E254" s="11" t="s">
        <v>70</v>
      </c>
      <c r="F254" t="s">
        <v>155</v>
      </c>
    </row>
    <row r="255" spans="1:7" ht="16.2" thickBot="1" x14ac:dyDescent="0.35">
      <c r="B255" s="2436" t="s">
        <v>1449</v>
      </c>
      <c r="C255" s="2435">
        <v>1842</v>
      </c>
      <c r="D255" s="2444">
        <f t="shared" si="3"/>
        <v>1.8420000000000001</v>
      </c>
      <c r="E255" s="11" t="s">
        <v>71</v>
      </c>
      <c r="F255" t="s">
        <v>155</v>
      </c>
    </row>
    <row r="256" spans="1:7" ht="16.2" thickBot="1" x14ac:dyDescent="0.35">
      <c r="B256" s="2438" t="s">
        <v>1447</v>
      </c>
      <c r="C256" s="2438">
        <v>2364</v>
      </c>
      <c r="D256" s="2444">
        <f t="shared" si="3"/>
        <v>2.3639999999999999</v>
      </c>
      <c r="E256" s="11" t="s">
        <v>75</v>
      </c>
      <c r="F256" t="s">
        <v>155</v>
      </c>
    </row>
    <row r="257" spans="2:6" ht="16.2" thickBot="1" x14ac:dyDescent="0.35">
      <c r="B257" s="2436" t="s">
        <v>1445</v>
      </c>
      <c r="C257" s="2435">
        <v>3431</v>
      </c>
      <c r="D257" s="2444">
        <f t="shared" si="3"/>
        <v>3.431</v>
      </c>
      <c r="E257" s="11" t="s">
        <v>75</v>
      </c>
      <c r="F257" t="s">
        <v>155</v>
      </c>
    </row>
    <row r="258" spans="2:6" ht="16.2" thickBot="1" x14ac:dyDescent="0.35">
      <c r="B258" s="2438" t="s">
        <v>351</v>
      </c>
      <c r="C258" s="2439">
        <v>303</v>
      </c>
      <c r="D258" s="2444">
        <f t="shared" si="3"/>
        <v>0.30299999999999999</v>
      </c>
      <c r="E258" s="11" t="s">
        <v>75</v>
      </c>
      <c r="F258" t="s">
        <v>155</v>
      </c>
    </row>
    <row r="259" spans="2:6" s="2419" customFormat="1" ht="16.2" thickBot="1" x14ac:dyDescent="0.35">
      <c r="B259" s="2442" t="s">
        <v>1453</v>
      </c>
      <c r="C259" s="2443">
        <v>76782</v>
      </c>
      <c r="D259" s="2444">
        <f t="shared" ref="D259:D278" si="4">C259/1000</f>
        <v>76.781999999999996</v>
      </c>
      <c r="E259" s="9" t="s">
        <v>46</v>
      </c>
      <c r="F259" t="s">
        <v>155</v>
      </c>
    </row>
    <row r="260" spans="2:6" ht="16.2" thickBot="1" x14ac:dyDescent="0.35">
      <c r="B260" s="2436" t="s">
        <v>1452</v>
      </c>
      <c r="C260" s="2435">
        <v>38637</v>
      </c>
      <c r="D260" s="2444">
        <f t="shared" si="4"/>
        <v>38.637</v>
      </c>
      <c r="E260" s="11" t="s">
        <v>50</v>
      </c>
      <c r="F260" t="s">
        <v>155</v>
      </c>
    </row>
    <row r="261" spans="2:6" ht="16.2" thickBot="1" x14ac:dyDescent="0.35">
      <c r="B261" s="2438" t="s">
        <v>305</v>
      </c>
      <c r="C261" s="2437">
        <v>16911</v>
      </c>
      <c r="D261" s="2444">
        <f t="shared" si="4"/>
        <v>16.911000000000001</v>
      </c>
      <c r="E261" s="11" t="s">
        <v>41</v>
      </c>
      <c r="F261" t="s">
        <v>155</v>
      </c>
    </row>
    <row r="262" spans="2:6" ht="16.2" thickBot="1" x14ac:dyDescent="0.35">
      <c r="B262" s="2436" t="s">
        <v>306</v>
      </c>
      <c r="C262" s="2435">
        <v>41990</v>
      </c>
      <c r="D262" s="2444">
        <f t="shared" si="4"/>
        <v>41.99</v>
      </c>
      <c r="E262" s="11" t="s">
        <v>51</v>
      </c>
      <c r="F262" t="s">
        <v>155</v>
      </c>
    </row>
    <row r="263" spans="2:6" ht="16.2" thickBot="1" x14ac:dyDescent="0.35">
      <c r="B263" s="2438" t="s">
        <v>1450</v>
      </c>
      <c r="C263" s="2437">
        <v>25592</v>
      </c>
      <c r="D263" s="2444">
        <f t="shared" si="4"/>
        <v>25.591999999999999</v>
      </c>
      <c r="E263" s="9" t="s">
        <v>54</v>
      </c>
      <c r="F263" t="s">
        <v>155</v>
      </c>
    </row>
    <row r="264" spans="2:6" ht="16.2" thickBot="1" x14ac:dyDescent="0.35">
      <c r="B264" s="2436" t="s">
        <v>1448</v>
      </c>
      <c r="C264" s="2435">
        <v>11956</v>
      </c>
      <c r="D264" s="2444">
        <f t="shared" si="4"/>
        <v>11.956</v>
      </c>
      <c r="E264" s="9" t="s">
        <v>54</v>
      </c>
      <c r="F264" t="s">
        <v>155</v>
      </c>
    </row>
    <row r="265" spans="2:6" ht="16.2" thickBot="1" x14ac:dyDescent="0.35">
      <c r="B265" s="2438" t="s">
        <v>1446</v>
      </c>
      <c r="C265" s="2437">
        <v>3355</v>
      </c>
      <c r="D265" s="2444">
        <f t="shared" si="4"/>
        <v>3.355</v>
      </c>
      <c r="E265" s="9" t="s">
        <v>1446</v>
      </c>
      <c r="F265" t="s">
        <v>155</v>
      </c>
    </row>
    <row r="266" spans="2:6" ht="16.2" thickBot="1" x14ac:dyDescent="0.35">
      <c r="B266" s="2436" t="s">
        <v>1444</v>
      </c>
      <c r="C266" s="2435"/>
      <c r="D266" s="2444">
        <f t="shared" si="4"/>
        <v>0</v>
      </c>
      <c r="E266" s="11" t="s">
        <v>44</v>
      </c>
      <c r="F266" t="s">
        <v>155</v>
      </c>
    </row>
    <row r="267" spans="2:6" ht="16.2" thickBot="1" x14ac:dyDescent="0.35">
      <c r="B267" s="2438" t="s">
        <v>1443</v>
      </c>
      <c r="C267" s="2437">
        <v>3821</v>
      </c>
      <c r="D267" s="2444">
        <f t="shared" si="4"/>
        <v>3.8210000000000002</v>
      </c>
      <c r="E267" s="11" t="s">
        <v>50</v>
      </c>
      <c r="F267" t="s">
        <v>155</v>
      </c>
    </row>
    <row r="268" spans="2:6" ht="16.2" thickBot="1" x14ac:dyDescent="0.35">
      <c r="B268" s="2436" t="s">
        <v>1442</v>
      </c>
      <c r="C268" s="2435">
        <v>2550</v>
      </c>
      <c r="D268" s="2444">
        <f t="shared" si="4"/>
        <v>2.5499999999999998</v>
      </c>
      <c r="E268" s="11" t="s">
        <v>50</v>
      </c>
      <c r="F268" t="s">
        <v>155</v>
      </c>
    </row>
    <row r="269" spans="2:6" ht="31.8" thickBot="1" x14ac:dyDescent="0.35">
      <c r="B269" s="2438" t="s">
        <v>1441</v>
      </c>
      <c r="C269" s="2437">
        <v>2082</v>
      </c>
      <c r="D269" s="2444">
        <f t="shared" si="4"/>
        <v>2.0819999999999999</v>
      </c>
      <c r="E269" s="9" t="s">
        <v>54</v>
      </c>
      <c r="F269" t="s">
        <v>155</v>
      </c>
    </row>
    <row r="270" spans="2:6" ht="16.2" thickBot="1" x14ac:dyDescent="0.35">
      <c r="B270" s="2436" t="s">
        <v>1440</v>
      </c>
      <c r="C270" s="2435">
        <v>2143</v>
      </c>
      <c r="D270" s="2444">
        <f t="shared" si="4"/>
        <v>2.1429999999999998</v>
      </c>
      <c r="E270" s="9" t="s">
        <v>46</v>
      </c>
      <c r="F270" t="s">
        <v>155</v>
      </c>
    </row>
    <row r="271" spans="2:6" ht="31.8" thickBot="1" x14ac:dyDescent="0.35">
      <c r="B271" s="2438" t="s">
        <v>1439</v>
      </c>
      <c r="C271" s="2439"/>
      <c r="D271" s="2444">
        <f t="shared" si="4"/>
        <v>0</v>
      </c>
      <c r="E271" s="9" t="s">
        <v>54</v>
      </c>
      <c r="F271" t="s">
        <v>155</v>
      </c>
    </row>
    <row r="272" spans="2:6" ht="16.2" thickBot="1" x14ac:dyDescent="0.35">
      <c r="B272" s="2436" t="s">
        <v>74</v>
      </c>
      <c r="C272" s="2435">
        <v>1368</v>
      </c>
      <c r="D272" s="2444">
        <f t="shared" si="4"/>
        <v>1.3680000000000001</v>
      </c>
      <c r="E272" s="11" t="s">
        <v>74</v>
      </c>
      <c r="F272" t="s">
        <v>155</v>
      </c>
    </row>
    <row r="273" spans="2:6" ht="16.2" thickBot="1" x14ac:dyDescent="0.35">
      <c r="B273" s="2438" t="s">
        <v>1438</v>
      </c>
      <c r="C273" s="2439">
        <v>11</v>
      </c>
      <c r="D273" s="2444">
        <f t="shared" si="4"/>
        <v>1.0999999999999999E-2</v>
      </c>
      <c r="E273" s="9" t="s">
        <v>54</v>
      </c>
      <c r="F273" t="s">
        <v>155</v>
      </c>
    </row>
    <row r="274" spans="2:6" ht="16.2" thickBot="1" x14ac:dyDescent="0.35">
      <c r="B274" s="2436" t="s">
        <v>119</v>
      </c>
      <c r="C274" s="2435">
        <v>8394</v>
      </c>
      <c r="D274" s="2444">
        <f t="shared" si="4"/>
        <v>8.3940000000000001</v>
      </c>
      <c r="E274" s="9" t="s">
        <v>54</v>
      </c>
      <c r="F274" t="s">
        <v>155</v>
      </c>
    </row>
    <row r="275" spans="2:6" ht="16.2" thickBot="1" x14ac:dyDescent="0.35">
      <c r="B275" s="2438" t="s">
        <v>1437</v>
      </c>
      <c r="C275" s="2437">
        <v>30332</v>
      </c>
      <c r="D275" s="2444">
        <f t="shared" si="4"/>
        <v>30.332000000000001</v>
      </c>
      <c r="E275" s="11" t="s">
        <v>73</v>
      </c>
      <c r="F275" t="s">
        <v>155</v>
      </c>
    </row>
    <row r="276" spans="2:6" ht="16.2" thickBot="1" x14ac:dyDescent="0.35">
      <c r="B276" s="2436" t="s">
        <v>1436</v>
      </c>
      <c r="C276" s="2435">
        <v>4</v>
      </c>
      <c r="D276" s="2444">
        <f t="shared" si="4"/>
        <v>4.0000000000000001E-3</v>
      </c>
      <c r="E276" s="11" t="s">
        <v>53</v>
      </c>
      <c r="F276" t="s">
        <v>155</v>
      </c>
    </row>
    <row r="277" spans="2:6" ht="16.2" thickBot="1" x14ac:dyDescent="0.35">
      <c r="B277" s="2438" t="s">
        <v>1435</v>
      </c>
      <c r="C277" s="2437">
        <v>2318</v>
      </c>
      <c r="D277" s="2444">
        <f t="shared" si="4"/>
        <v>2.3180000000000001</v>
      </c>
      <c r="E277" s="9" t="s">
        <v>54</v>
      </c>
      <c r="F277" t="s">
        <v>155</v>
      </c>
    </row>
    <row r="278" spans="2:6" ht="16.2" thickBot="1" x14ac:dyDescent="0.35">
      <c r="B278" s="2436" t="s">
        <v>1434</v>
      </c>
      <c r="C278" s="2435">
        <v>2197</v>
      </c>
      <c r="D278" s="2444">
        <f t="shared" si="4"/>
        <v>2.1970000000000001</v>
      </c>
      <c r="E278" s="9" t="s">
        <v>54</v>
      </c>
      <c r="F278" t="s">
        <v>155</v>
      </c>
    </row>
    <row r="279" spans="2:6" ht="16.2" thickBot="1" x14ac:dyDescent="0.35">
      <c r="B279" s="2470" t="s">
        <v>1464</v>
      </c>
      <c r="D279">
        <v>2454.1999999999998</v>
      </c>
      <c r="E279" s="9" t="s">
        <v>83</v>
      </c>
      <c r="F279" s="2440" t="s">
        <v>155</v>
      </c>
    </row>
    <row r="280" spans="2:6" ht="16.2" thickBot="1" x14ac:dyDescent="0.35">
      <c r="B280" s="2471" t="s">
        <v>1465</v>
      </c>
      <c r="D280">
        <v>1262.06</v>
      </c>
      <c r="E280" s="11" t="s">
        <v>84</v>
      </c>
      <c r="F280" s="2440" t="s">
        <v>155</v>
      </c>
    </row>
  </sheetData>
  <autoFilter ref="A1:N280" xr:uid="{00000000-0009-0000-0000-000038000000}"/>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B81E8-72F4-4BDC-AD85-6FEC838E08D6}">
  <sheetPr>
    <tabColor rgb="FFFFC000"/>
  </sheetPr>
  <dimension ref="A1:BZ57"/>
  <sheetViews>
    <sheetView topLeftCell="X1" zoomScale="70" zoomScaleNormal="70" workbookViewId="0">
      <selection activeCell="BL7" sqref="BL7:BU30"/>
    </sheetView>
  </sheetViews>
  <sheetFormatPr baseColWidth="10" defaultColWidth="11.44140625" defaultRowHeight="13.2" x14ac:dyDescent="0.25"/>
  <cols>
    <col min="1" max="1" width="30" style="1" bestFit="1" customWidth="1"/>
    <col min="2" max="9" width="11.44140625" style="1"/>
    <col min="10" max="10" width="13.44140625" style="1" customWidth="1"/>
    <col min="11" max="32" width="11.44140625" style="1"/>
    <col min="33" max="33" width="12.5546875" style="1" customWidth="1"/>
    <col min="34" max="41" width="11.44140625" style="1"/>
    <col min="42" max="42" width="11.44140625" style="1" customWidth="1"/>
    <col min="43" max="57" width="11.44140625" style="1"/>
    <col min="58" max="58" width="11.44140625" style="1" customWidth="1"/>
    <col min="59" max="16384" width="11.44140625" style="1"/>
  </cols>
  <sheetData>
    <row r="1" spans="1:78" x14ac:dyDescent="0.25">
      <c r="A1" s="1" t="s">
        <v>39</v>
      </c>
      <c r="AD1" s="512"/>
      <c r="AE1" s="512"/>
      <c r="AF1" s="512"/>
      <c r="AH1" s="2637"/>
      <c r="AN1" s="512"/>
      <c r="AO1" s="512"/>
      <c r="AS1" s="2588">
        <f>+(AK7-2500)/(L7-2500)-AT7</f>
        <v>-1.2351908728328753E-2</v>
      </c>
      <c r="AT1" s="2589">
        <f>+(AK5-2155)/(L5-2155)-AT5</f>
        <v>-1.2704736365453662E-3</v>
      </c>
    </row>
    <row r="2" spans="1:78" ht="13.8" thickBot="1" x14ac:dyDescent="0.3">
      <c r="A2" s="2585" t="s">
        <v>293</v>
      </c>
      <c r="B2" s="512">
        <v>2186517</v>
      </c>
      <c r="AB2" s="512"/>
      <c r="AH2" s="513"/>
      <c r="AI2" s="512"/>
      <c r="AJ2" s="512"/>
      <c r="AK2" s="512"/>
      <c r="AL2" s="512"/>
      <c r="AM2" s="512"/>
      <c r="AN2" s="512"/>
      <c r="AO2" s="512"/>
      <c r="AP2" s="512"/>
    </row>
    <row r="3" spans="1:78" ht="16.2" thickBot="1" x14ac:dyDescent="0.35">
      <c r="A3" s="52">
        <v>2021</v>
      </c>
      <c r="B3" s="61"/>
      <c r="C3" s="52"/>
      <c r="D3" s="52"/>
      <c r="E3" s="52"/>
      <c r="F3" s="52"/>
      <c r="G3" s="52"/>
      <c r="H3" s="52"/>
      <c r="I3" s="52"/>
      <c r="J3" s="52"/>
      <c r="K3" s="52"/>
      <c r="L3" s="61"/>
      <c r="M3" s="3734" t="s">
        <v>193</v>
      </c>
      <c r="N3" s="3735"/>
      <c r="O3" s="3735"/>
      <c r="P3" s="3735"/>
      <c r="Q3" s="3735"/>
      <c r="R3" s="3736"/>
      <c r="AB3" s="512"/>
      <c r="AH3" s="3762" t="s">
        <v>195</v>
      </c>
      <c r="AI3" s="3763"/>
      <c r="AJ3" s="3763"/>
      <c r="AK3" s="3763"/>
      <c r="AL3" s="3763"/>
      <c r="AM3" s="3763"/>
      <c r="AN3" s="3763"/>
      <c r="AO3" s="3763"/>
      <c r="AP3" s="3764"/>
      <c r="AQ3" s="3734" t="s">
        <v>196</v>
      </c>
      <c r="AR3" s="3735"/>
      <c r="AS3" s="3735"/>
      <c r="AT3" s="3735"/>
      <c r="AU3" s="3735"/>
      <c r="AV3" s="3735"/>
      <c r="AW3" s="3735"/>
      <c r="AX3" s="3735"/>
      <c r="AY3" s="3736"/>
    </row>
    <row r="4" spans="1:78" ht="69" customHeight="1" thickBot="1" x14ac:dyDescent="0.3">
      <c r="A4" s="8" t="s">
        <v>198</v>
      </c>
      <c r="B4" s="270" t="s">
        <v>9</v>
      </c>
      <c r="C4" s="271" t="s">
        <v>199</v>
      </c>
      <c r="D4" s="271" t="s">
        <v>158</v>
      </c>
      <c r="E4" s="272" t="s">
        <v>200</v>
      </c>
      <c r="F4" s="273" t="s">
        <v>201</v>
      </c>
      <c r="G4" s="274" t="s">
        <v>11</v>
      </c>
      <c r="H4" s="274" t="s">
        <v>202</v>
      </c>
      <c r="I4" s="274" t="s">
        <v>99</v>
      </c>
      <c r="J4" s="274" t="s">
        <v>203</v>
      </c>
      <c r="K4" s="275" t="s">
        <v>204</v>
      </c>
      <c r="L4" s="2566" t="s">
        <v>205</v>
      </c>
      <c r="M4" s="277" t="s">
        <v>206</v>
      </c>
      <c r="N4" s="278" t="s">
        <v>207</v>
      </c>
      <c r="O4" s="76" t="s">
        <v>140</v>
      </c>
      <c r="P4" s="76" t="s">
        <v>134</v>
      </c>
      <c r="Q4" s="76" t="s">
        <v>133</v>
      </c>
      <c r="R4" s="2518" t="s">
        <v>124</v>
      </c>
      <c r="S4" s="279" t="s">
        <v>122</v>
      </c>
      <c r="T4" s="280" t="s">
        <v>294</v>
      </c>
      <c r="U4" s="77" t="s">
        <v>295</v>
      </c>
      <c r="V4" s="280" t="s">
        <v>296</v>
      </c>
      <c r="W4" s="280" t="s">
        <v>297</v>
      </c>
      <c r="X4" s="280" t="s">
        <v>298</v>
      </c>
      <c r="Y4" s="280" t="s">
        <v>299</v>
      </c>
      <c r="Z4" s="2510" t="s">
        <v>218</v>
      </c>
      <c r="AA4" s="2510" t="s">
        <v>256</v>
      </c>
      <c r="AB4" s="2511" t="s">
        <v>257</v>
      </c>
      <c r="AC4" s="78" t="s">
        <v>300</v>
      </c>
      <c r="AD4" s="282" t="s">
        <v>209</v>
      </c>
      <c r="AE4" s="79" t="s">
        <v>219</v>
      </c>
      <c r="AF4" s="283" t="s">
        <v>161</v>
      </c>
      <c r="AG4" s="284" t="s">
        <v>162</v>
      </c>
      <c r="AH4" s="2553" t="s">
        <v>220</v>
      </c>
      <c r="AI4" s="2554" t="s">
        <v>221</v>
      </c>
      <c r="AJ4" s="2555" t="s">
        <v>222</v>
      </c>
      <c r="AK4" s="2561" t="s">
        <v>223</v>
      </c>
      <c r="AL4" s="2556" t="s">
        <v>224</v>
      </c>
      <c r="AM4" s="2557" t="s">
        <v>225</v>
      </c>
      <c r="AN4" s="2558" t="s">
        <v>226</v>
      </c>
      <c r="AO4" s="2559" t="s">
        <v>227</v>
      </c>
      <c r="AP4" s="2560" t="s">
        <v>259</v>
      </c>
      <c r="AQ4" s="3070" t="s">
        <v>228</v>
      </c>
      <c r="AR4" s="3074" t="s">
        <v>229</v>
      </c>
      <c r="AS4" s="2564" t="s">
        <v>230</v>
      </c>
      <c r="AT4" s="2561" t="s">
        <v>231</v>
      </c>
      <c r="AU4" s="2556" t="s">
        <v>232</v>
      </c>
      <c r="AV4" s="2557" t="s">
        <v>233</v>
      </c>
      <c r="AW4" s="2558" t="s">
        <v>234</v>
      </c>
      <c r="AX4" s="2565" t="s">
        <v>235</v>
      </c>
      <c r="AY4" s="2560" t="s">
        <v>260</v>
      </c>
    </row>
    <row r="5" spans="1:78" ht="14.4" x14ac:dyDescent="0.3">
      <c r="A5" s="8" t="s">
        <v>113</v>
      </c>
      <c r="B5" s="3006">
        <v>451565.49774721719</v>
      </c>
      <c r="C5" s="3012">
        <v>0.44988249099700539</v>
      </c>
      <c r="D5" s="3013">
        <v>465233.4164600611</v>
      </c>
      <c r="E5" s="3027">
        <v>0.46349946870667297</v>
      </c>
      <c r="F5" s="3164"/>
      <c r="G5" s="3023">
        <v>480425.04879062157</v>
      </c>
      <c r="H5" s="3165"/>
      <c r="I5" s="3023">
        <v>71750.445352025592</v>
      </c>
      <c r="J5" s="3210"/>
      <c r="K5" s="3026">
        <v>552175.49414264713</v>
      </c>
      <c r="L5" s="3021">
        <v>1003740.9918898644</v>
      </c>
      <c r="M5" s="3028">
        <v>5670.9330602242389</v>
      </c>
      <c r="N5" s="3029">
        <v>310862.74158461497</v>
      </c>
      <c r="O5" s="3029">
        <v>80446.600759126886</v>
      </c>
      <c r="P5" s="3029">
        <v>23069.912137999185</v>
      </c>
      <c r="Q5" s="3029">
        <v>31186.54046498147</v>
      </c>
      <c r="R5" s="3030">
        <v>328.76974027051529</v>
      </c>
      <c r="S5" s="3034">
        <v>14069.780545237945</v>
      </c>
      <c r="T5" s="3036">
        <v>42011.343001524991</v>
      </c>
      <c r="U5" s="3039">
        <v>22204.337624349449</v>
      </c>
      <c r="V5" s="3036">
        <v>46820.632704434684</v>
      </c>
      <c r="W5" s="3036">
        <v>50015.133364484478</v>
      </c>
      <c r="X5" s="3036">
        <v>5206.2587405966624</v>
      </c>
      <c r="Y5" s="3036">
        <v>64788.144273965743</v>
      </c>
      <c r="Z5" s="3045">
        <v>140654.08582574752</v>
      </c>
      <c r="AA5" s="3045">
        <v>61910.475976667025</v>
      </c>
      <c r="AB5" s="3046">
        <v>91822.036636447112</v>
      </c>
      <c r="AC5" s="3049">
        <v>7212.075051674813</v>
      </c>
      <c r="AD5" s="3050">
        <v>170410.35353789036</v>
      </c>
      <c r="AE5" s="3051">
        <v>21928.439613681963</v>
      </c>
      <c r="AF5" s="3052">
        <v>20398.266829691038</v>
      </c>
      <c r="AG5" s="3053">
        <v>78355.202468695905</v>
      </c>
      <c r="AH5" s="3056">
        <v>5670.9330602242389</v>
      </c>
      <c r="AI5" s="3058">
        <v>324932.52212985291</v>
      </c>
      <c r="AJ5" s="3028">
        <v>80446.600759126886</v>
      </c>
      <c r="AK5" s="3029">
        <v>411050.05594920402</v>
      </c>
      <c r="AL5" s="3060">
        <v>294386.59843886166</v>
      </c>
      <c r="AM5" s="3062">
        <v>705436.65438806568</v>
      </c>
      <c r="AN5" s="3064">
        <v>199550.86820324714</v>
      </c>
      <c r="AO5" s="3066">
        <v>78355.202468695905</v>
      </c>
      <c r="AP5" s="3068">
        <v>20398.266829691038</v>
      </c>
      <c r="AQ5" s="3071">
        <v>5.6497972146647996E-3</v>
      </c>
      <c r="AR5" s="3075">
        <v>0.32372148268854017</v>
      </c>
      <c r="AS5" s="3077">
        <v>8.0146772333827221E-2</v>
      </c>
      <c r="AT5" s="3079">
        <v>0.40951805223703219</v>
      </c>
      <c r="AU5" s="3081">
        <v>0.29328940515280189</v>
      </c>
      <c r="AV5" s="3083">
        <v>0.70280745738983408</v>
      </c>
      <c r="AW5" s="3085">
        <v>0.19880713233354017</v>
      </c>
      <c r="AX5" s="3087">
        <v>7.8063168787365259E-2</v>
      </c>
      <c r="AY5" s="3089">
        <v>2.0322241489096463E-2</v>
      </c>
      <c r="AZ5" s="512">
        <v>0</v>
      </c>
      <c r="BA5" s="512">
        <v>0</v>
      </c>
    </row>
    <row r="6" spans="1:78" ht="14.4" x14ac:dyDescent="0.3">
      <c r="A6" s="2512" t="s">
        <v>236</v>
      </c>
      <c r="B6" s="3006">
        <v>567658.03886428964</v>
      </c>
      <c r="C6" s="3012">
        <v>0.50352207570531604</v>
      </c>
      <c r="D6" s="3013">
        <v>581325.95757713355</v>
      </c>
      <c r="E6" s="3027">
        <v>0.51564574581951306</v>
      </c>
      <c r="F6" s="3164"/>
      <c r="G6" s="3023">
        <v>487872.79857627588</v>
      </c>
      <c r="H6" s="3165"/>
      <c r="I6" s="3023">
        <v>71843.842347076788</v>
      </c>
      <c r="J6" s="3210"/>
      <c r="K6" s="3026">
        <v>559716.64092335268</v>
      </c>
      <c r="L6" s="3020">
        <v>1127374.6797876423</v>
      </c>
      <c r="M6" s="3006">
        <v>5670.9330602242389</v>
      </c>
      <c r="N6" s="3031">
        <v>401414.92365593149</v>
      </c>
      <c r="O6" s="3031">
        <v>80446.600759126886</v>
      </c>
      <c r="P6" s="3031">
        <v>23069.912137999185</v>
      </c>
      <c r="Q6" s="3031">
        <v>56726.899510737407</v>
      </c>
      <c r="R6" s="3032">
        <v>328.76974027051529</v>
      </c>
      <c r="S6" s="3035">
        <v>13686.309115237946</v>
      </c>
      <c r="T6" s="3037">
        <v>42011.343001524991</v>
      </c>
      <c r="U6" s="3037">
        <v>22204.337624349449</v>
      </c>
      <c r="V6" s="3037">
        <v>46820.632704434684</v>
      </c>
      <c r="W6" s="3037">
        <v>50015.133364484478</v>
      </c>
      <c r="X6" s="3038">
        <v>5569.27644051072</v>
      </c>
      <c r="Y6" s="3037">
        <v>68718.631261211151</v>
      </c>
      <c r="Z6" s="3047">
        <v>141835.43835886708</v>
      </c>
      <c r="AA6" s="3047">
        <v>63142.505497857026</v>
      </c>
      <c r="AB6" s="3046">
        <v>92185.05433636118</v>
      </c>
      <c r="AC6" s="3049">
        <v>7212.075051674813</v>
      </c>
      <c r="AD6" s="3050">
        <v>199881.19957089171</v>
      </c>
      <c r="AE6" s="3051">
        <v>22097.172304764848</v>
      </c>
      <c r="AF6" s="3052">
        <v>21063.794177844662</v>
      </c>
      <c r="AG6" s="3053">
        <v>78355.202468695905</v>
      </c>
      <c r="AH6" s="3057">
        <v>5670.9330602242389</v>
      </c>
      <c r="AI6" s="3059">
        <v>415484.70420133398</v>
      </c>
      <c r="AJ6" s="3006">
        <v>80446.600759126886</v>
      </c>
      <c r="AK6" s="3031">
        <v>501602.23802068509</v>
      </c>
      <c r="AL6" s="3061">
        <v>297162.99819308531</v>
      </c>
      <c r="AM6" s="3063">
        <v>798765.23621377046</v>
      </c>
      <c r="AN6" s="3065">
        <v>229190.44692733139</v>
      </c>
      <c r="AO6" s="3067">
        <v>78355.202468695905</v>
      </c>
      <c r="AP6" s="3051">
        <v>21063.794177844662</v>
      </c>
      <c r="AQ6" s="3072">
        <v>5.0302114832776294E-3</v>
      </c>
      <c r="AR6" s="3076">
        <v>0.36854180925865448</v>
      </c>
      <c r="AS6" s="3078">
        <v>7.1357466334333666E-2</v>
      </c>
      <c r="AT6" s="3080">
        <v>0.44492948707626578</v>
      </c>
      <c r="AU6" s="3082">
        <v>0.26358849770252102</v>
      </c>
      <c r="AV6" s="3084">
        <v>0.7085179847787868</v>
      </c>
      <c r="AW6" s="3086">
        <v>0.20329571972514301</v>
      </c>
      <c r="AX6" s="3088">
        <v>6.950236143626648E-2</v>
      </c>
      <c r="AY6" s="3090">
        <v>1.8683934059803738E-2</v>
      </c>
      <c r="AZ6" s="512"/>
      <c r="BA6" s="1">
        <v>0</v>
      </c>
      <c r="BB6" s="3305" t="s">
        <v>198</v>
      </c>
      <c r="BC6" s="3305" t="s">
        <v>395</v>
      </c>
      <c r="BD6" s="3305" t="s">
        <v>156</v>
      </c>
      <c r="BE6" s="3305" t="s">
        <v>220</v>
      </c>
      <c r="BF6" s="3305" t="s">
        <v>221</v>
      </c>
      <c r="BG6" s="3305" t="s">
        <v>222</v>
      </c>
      <c r="BH6" s="3305" t="s">
        <v>223</v>
      </c>
      <c r="BI6" s="3305" t="s">
        <v>224</v>
      </c>
      <c r="BJ6" s="3305" t="s">
        <v>225</v>
      </c>
      <c r="BK6" s="3305" t="s">
        <v>226</v>
      </c>
      <c r="BL6" s="3305" t="s">
        <v>227</v>
      </c>
      <c r="BM6" s="3305" t="s">
        <v>259</v>
      </c>
      <c r="BO6" s="3305" t="s">
        <v>198</v>
      </c>
      <c r="BP6" s="3305" t="s">
        <v>395</v>
      </c>
      <c r="BQ6" s="3305" t="s">
        <v>156</v>
      </c>
      <c r="BR6" s="3305" t="s">
        <v>228</v>
      </c>
      <c r="BS6" s="3305" t="s">
        <v>229</v>
      </c>
      <c r="BT6" s="3305" t="s">
        <v>230</v>
      </c>
      <c r="BU6" s="3305" t="s">
        <v>231</v>
      </c>
      <c r="BV6" s="3305" t="s">
        <v>232</v>
      </c>
      <c r="BW6" s="3305" t="s">
        <v>233</v>
      </c>
      <c r="BX6" s="3305" t="s">
        <v>234</v>
      </c>
      <c r="BY6" s="3305" t="s">
        <v>235</v>
      </c>
      <c r="BZ6" s="3305" t="s">
        <v>260</v>
      </c>
    </row>
    <row r="7" spans="1:78" ht="14.4" x14ac:dyDescent="0.3">
      <c r="A7" s="2512" t="s">
        <v>14</v>
      </c>
      <c r="B7" s="3006">
        <v>54728.664621605611</v>
      </c>
      <c r="C7" s="3012">
        <v>0.42941582415610252</v>
      </c>
      <c r="D7" s="3013">
        <v>62965.855910403683</v>
      </c>
      <c r="E7" s="3027">
        <v>0.49404704274085665</v>
      </c>
      <c r="F7" s="3164"/>
      <c r="G7" s="3023">
        <v>62870.654622869522</v>
      </c>
      <c r="H7" s="3165"/>
      <c r="I7" s="3023">
        <v>9849.7907857842274</v>
      </c>
      <c r="J7" s="3210"/>
      <c r="K7" s="3026">
        <v>72720.445408653759</v>
      </c>
      <c r="L7" s="3020">
        <v>127449.11003025935</v>
      </c>
      <c r="M7" s="3006" t="s">
        <v>153</v>
      </c>
      <c r="N7" s="3031">
        <v>40531.9752172343</v>
      </c>
      <c r="O7" s="3031" t="s">
        <v>153</v>
      </c>
      <c r="P7" s="3031">
        <v>3293.6220278574324</v>
      </c>
      <c r="Q7" s="3031">
        <v>10903.067376513878</v>
      </c>
      <c r="R7" s="3032" t="s">
        <v>153</v>
      </c>
      <c r="S7" s="3033">
        <v>8237.1912887980798</v>
      </c>
      <c r="T7" s="3038" t="s">
        <v>153</v>
      </c>
      <c r="U7" s="3040" t="s">
        <v>153</v>
      </c>
      <c r="V7" s="3038">
        <v>9360.8870031407296</v>
      </c>
      <c r="W7" s="3038">
        <v>16311.217167106888</v>
      </c>
      <c r="X7" s="3038" t="s">
        <v>153</v>
      </c>
      <c r="Y7" s="3038">
        <v>9900.1917855619213</v>
      </c>
      <c r="Z7" s="3046">
        <v>18654.043709347992</v>
      </c>
      <c r="AA7" s="3046">
        <v>8168.3175148311075</v>
      </c>
      <c r="AB7" s="3046">
        <v>9360.8870031407296</v>
      </c>
      <c r="AC7" s="3049" t="s">
        <v>153</v>
      </c>
      <c r="AD7" s="3050">
        <v>37114.476329182689</v>
      </c>
      <c r="AE7" s="3051">
        <v>2866.8605421966022</v>
      </c>
      <c r="AF7" s="3052">
        <v>2515.3584255278574</v>
      </c>
      <c r="AG7" s="3054" t="s">
        <v>153</v>
      </c>
      <c r="AH7" s="3057" t="s">
        <v>153</v>
      </c>
      <c r="AI7" s="3059">
        <v>48769.166506032379</v>
      </c>
      <c r="AJ7" s="3006" t="s">
        <v>153</v>
      </c>
      <c r="AK7" s="3031">
        <v>48769.166506032379</v>
      </c>
      <c r="AL7" s="3061">
        <v>36183.248227319826</v>
      </c>
      <c r="AM7" s="3063">
        <v>84952.414733352198</v>
      </c>
      <c r="AN7" s="3065">
        <v>39981.336871379288</v>
      </c>
      <c r="AO7" s="3067" t="s">
        <v>153</v>
      </c>
      <c r="AP7" s="3051">
        <v>2515.3584255278574</v>
      </c>
      <c r="AQ7" s="3072" t="s">
        <v>153</v>
      </c>
      <c r="AR7" s="3076">
        <v>0.38265599888813234</v>
      </c>
      <c r="AS7" s="3078" t="s">
        <v>153</v>
      </c>
      <c r="AT7" s="3080">
        <v>0.38265599888813234</v>
      </c>
      <c r="AU7" s="3082">
        <v>0.2839034985707557</v>
      </c>
      <c r="AV7" s="3084">
        <v>0.66655949745888798</v>
      </c>
      <c r="AW7" s="3086">
        <v>0.31370432372487184</v>
      </c>
      <c r="AX7" s="3088" t="s">
        <v>153</v>
      </c>
      <c r="AY7" s="3090">
        <v>1.9736178816240093E-2</v>
      </c>
      <c r="AZ7" s="512">
        <v>0</v>
      </c>
      <c r="BA7" s="1">
        <v>0</v>
      </c>
      <c r="BB7" s="643" t="s">
        <v>14</v>
      </c>
      <c r="BC7" s="615">
        <v>127449.11003025935</v>
      </c>
      <c r="BD7" s="3306">
        <v>0.42941582415610252</v>
      </c>
      <c r="BE7" s="615" t="s">
        <v>153</v>
      </c>
      <c r="BF7" s="615">
        <v>48769.166506032379</v>
      </c>
      <c r="BG7" s="615" t="s">
        <v>153</v>
      </c>
      <c r="BH7" s="615">
        <v>48769.166506032379</v>
      </c>
      <c r="BI7" s="615">
        <v>36183.248227319826</v>
      </c>
      <c r="BJ7" s="615">
        <v>84952.414733352198</v>
      </c>
      <c r="BK7" s="615">
        <v>39981.336871379288</v>
      </c>
      <c r="BL7" s="615" t="s">
        <v>153</v>
      </c>
      <c r="BM7" s="615">
        <v>2515.3584255278574</v>
      </c>
      <c r="BO7" s="643" t="s">
        <v>14</v>
      </c>
      <c r="BP7" s="615">
        <v>127449.11003025935</v>
      </c>
      <c r="BQ7" s="3309">
        <v>0.42941582415610252</v>
      </c>
      <c r="BR7" s="3309" t="s">
        <v>153</v>
      </c>
      <c r="BS7" s="3309">
        <v>0.38265599888813234</v>
      </c>
      <c r="BT7" s="3309" t="s">
        <v>153</v>
      </c>
      <c r="BU7" s="3309">
        <v>0.38265599888813234</v>
      </c>
      <c r="BV7" s="3309">
        <v>0.2839034985707557</v>
      </c>
      <c r="BW7" s="3309">
        <v>0.66655949745888798</v>
      </c>
      <c r="BX7" s="3309">
        <v>0.31370432372487184</v>
      </c>
      <c r="BY7" s="3309" t="s">
        <v>153</v>
      </c>
      <c r="BZ7" s="3309">
        <v>1.9736178816240093E-2</v>
      </c>
    </row>
    <row r="8" spans="1:78" ht="14.4" x14ac:dyDescent="0.3">
      <c r="A8" s="2512" t="s">
        <v>32</v>
      </c>
      <c r="B8" s="3006">
        <v>61829.643686178038</v>
      </c>
      <c r="C8" s="3012">
        <v>0.73031628526013437</v>
      </c>
      <c r="D8" s="3013">
        <v>62294.208693399996</v>
      </c>
      <c r="E8" s="3027">
        <v>0.73580361091994617</v>
      </c>
      <c r="F8" s="3164"/>
      <c r="G8" s="3023">
        <v>17271.103894198277</v>
      </c>
      <c r="H8" s="3165"/>
      <c r="I8" s="3023">
        <v>5560.7133976637433</v>
      </c>
      <c r="J8" s="3210"/>
      <c r="K8" s="3026">
        <v>22831.817291862022</v>
      </c>
      <c r="L8" s="3020">
        <v>84661.460978040064</v>
      </c>
      <c r="M8" s="3006" t="s">
        <v>153</v>
      </c>
      <c r="N8" s="3031">
        <v>60001.791522637905</v>
      </c>
      <c r="O8" s="3031" t="s">
        <v>153</v>
      </c>
      <c r="P8" s="3031" t="s">
        <v>153</v>
      </c>
      <c r="Q8" s="3031">
        <v>1641.419054138514</v>
      </c>
      <c r="R8" s="3032">
        <v>186.43310940162405</v>
      </c>
      <c r="S8" s="3033">
        <v>464.56500722195472</v>
      </c>
      <c r="T8" s="3038" t="s">
        <v>153</v>
      </c>
      <c r="U8" s="3040" t="s">
        <v>153</v>
      </c>
      <c r="V8" s="3038" t="s">
        <v>153</v>
      </c>
      <c r="W8" s="3038">
        <v>0</v>
      </c>
      <c r="X8" s="3038">
        <v>1834.7159583740709</v>
      </c>
      <c r="Y8" s="3038">
        <v>10719.794472406427</v>
      </c>
      <c r="Z8" s="3046" t="s">
        <v>153</v>
      </c>
      <c r="AA8" s="3046">
        <v>2108.6233434570586</v>
      </c>
      <c r="AB8" s="3046" t="s">
        <v>153</v>
      </c>
      <c r="AC8" s="3049">
        <v>5970.635441448796</v>
      </c>
      <c r="AD8" s="3050">
        <v>14195.92948491901</v>
      </c>
      <c r="AE8" s="3051">
        <v>691.22893241104964</v>
      </c>
      <c r="AF8" s="3055">
        <v>1042.2541365426646</v>
      </c>
      <c r="AG8" s="3054">
        <v>186.43310940162405</v>
      </c>
      <c r="AH8" s="3057" t="s">
        <v>153</v>
      </c>
      <c r="AI8" s="3059">
        <v>60466.356529859862</v>
      </c>
      <c r="AJ8" s="3006" t="s">
        <v>153</v>
      </c>
      <c r="AK8" s="3031">
        <v>60466.356529859862</v>
      </c>
      <c r="AL8" s="3061">
        <v>2108.6233434570586</v>
      </c>
      <c r="AM8" s="3063">
        <v>62574.979873316923</v>
      </c>
      <c r="AN8" s="3065">
        <v>20857.793858778856</v>
      </c>
      <c r="AO8" s="3067">
        <v>186.43310940162405</v>
      </c>
      <c r="AP8" s="3051">
        <v>1042.2541365426646</v>
      </c>
      <c r="AQ8" s="3072" t="s">
        <v>153</v>
      </c>
      <c r="AR8" s="3076">
        <v>0.71421347838001459</v>
      </c>
      <c r="AS8" s="3078" t="s">
        <v>153</v>
      </c>
      <c r="AT8" s="3080">
        <v>0.71421347838001459</v>
      </c>
      <c r="AU8" s="3082">
        <v>2.4906531485489065E-2</v>
      </c>
      <c r="AV8" s="3084">
        <v>0.73912000986550364</v>
      </c>
      <c r="AW8" s="3086">
        <v>0.24636704372712231</v>
      </c>
      <c r="AX8" s="3088">
        <v>2.2021012541938302E-3</v>
      </c>
      <c r="AY8" s="3090">
        <v>1.2310845153180264E-2</v>
      </c>
      <c r="AZ8" s="512">
        <v>0</v>
      </c>
      <c r="BA8" s="1">
        <v>0</v>
      </c>
      <c r="BB8" s="643" t="s">
        <v>32</v>
      </c>
      <c r="BC8" s="615">
        <v>84661.460978040064</v>
      </c>
      <c r="BD8" s="3306">
        <v>0.73031628526013437</v>
      </c>
      <c r="BE8" s="615" t="s">
        <v>153</v>
      </c>
      <c r="BF8" s="615">
        <v>60466.356529859862</v>
      </c>
      <c r="BG8" s="615" t="s">
        <v>153</v>
      </c>
      <c r="BH8" s="615">
        <v>60466.356529859862</v>
      </c>
      <c r="BI8" s="615">
        <v>2108.6233434570586</v>
      </c>
      <c r="BJ8" s="615">
        <v>62574.979873316923</v>
      </c>
      <c r="BK8" s="615">
        <v>20857.793858778856</v>
      </c>
      <c r="BL8" s="615">
        <v>186.43310940162405</v>
      </c>
      <c r="BM8" s="615">
        <v>1042.2541365426646</v>
      </c>
      <c r="BO8" s="643" t="s">
        <v>32</v>
      </c>
      <c r="BP8" s="615">
        <v>84661.460978040064</v>
      </c>
      <c r="BQ8" s="3309">
        <v>0.73031628526013437</v>
      </c>
      <c r="BR8" s="3309" t="s">
        <v>153</v>
      </c>
      <c r="BS8" s="3309">
        <v>0.71421347838001459</v>
      </c>
      <c r="BT8" s="3309" t="s">
        <v>153</v>
      </c>
      <c r="BU8" s="3309">
        <v>0.71421347838001459</v>
      </c>
      <c r="BV8" s="3309">
        <v>2.4906531485489065E-2</v>
      </c>
      <c r="BW8" s="3309">
        <v>0.73912000986550364</v>
      </c>
      <c r="BX8" s="3309">
        <v>0.24636704372712231</v>
      </c>
      <c r="BY8" s="3309">
        <v>2.2021012541938302E-3</v>
      </c>
      <c r="BZ8" s="3309">
        <v>1.2310845153180264E-2</v>
      </c>
    </row>
    <row r="9" spans="1:78" ht="14.4" x14ac:dyDescent="0.3">
      <c r="A9" s="2512" t="s">
        <v>47</v>
      </c>
      <c r="B9" s="3006">
        <v>740.0433615143146</v>
      </c>
      <c r="C9" s="3012">
        <v>0.36607979978389155</v>
      </c>
      <c r="D9" s="3013">
        <v>740.0433615143146</v>
      </c>
      <c r="E9" s="3027">
        <v>0.36607979978389155</v>
      </c>
      <c r="F9" s="3164"/>
      <c r="G9" s="3023">
        <v>864.79799059749007</v>
      </c>
      <c r="H9" s="3165"/>
      <c r="I9" s="3023">
        <v>416.69428561304539</v>
      </c>
      <c r="J9" s="3210"/>
      <c r="K9" s="3026">
        <v>1281.4922762105355</v>
      </c>
      <c r="L9" s="3020">
        <v>2021.5356377248499</v>
      </c>
      <c r="M9" s="3006" t="s">
        <v>153</v>
      </c>
      <c r="N9" s="3031">
        <v>639.09108361827066</v>
      </c>
      <c r="O9" s="3031" t="s">
        <v>153</v>
      </c>
      <c r="P9" s="3031">
        <v>79.613549999999989</v>
      </c>
      <c r="Q9" s="3031">
        <v>21.3387278960431</v>
      </c>
      <c r="R9" s="3032" t="s">
        <v>153</v>
      </c>
      <c r="S9" s="3033" t="s">
        <v>153</v>
      </c>
      <c r="T9" s="3038" t="s">
        <v>153</v>
      </c>
      <c r="U9" s="3038" t="s">
        <v>153</v>
      </c>
      <c r="V9" s="3042">
        <v>448.20848272510966</v>
      </c>
      <c r="W9" s="3042">
        <v>0</v>
      </c>
      <c r="X9" s="3038">
        <v>39.316773516717035</v>
      </c>
      <c r="Y9" s="3038">
        <v>270.00754605867257</v>
      </c>
      <c r="Z9" s="3046">
        <v>127.94684666631376</v>
      </c>
      <c r="AA9" s="3046">
        <v>325.45590904443696</v>
      </c>
      <c r="AB9" s="3046">
        <v>487.5252562418267</v>
      </c>
      <c r="AC9" s="3049" t="s">
        <v>153</v>
      </c>
      <c r="AD9" s="3050">
        <v>291.34627395471568</v>
      </c>
      <c r="AE9" s="3051">
        <v>27.446870650981868</v>
      </c>
      <c r="AF9" s="3052">
        <v>122.72339754830361</v>
      </c>
      <c r="AG9" s="3054" t="s">
        <v>153</v>
      </c>
      <c r="AH9" s="3057" t="s">
        <v>153</v>
      </c>
      <c r="AI9" s="3059">
        <v>639.09108361827066</v>
      </c>
      <c r="AJ9" s="3006" t="s">
        <v>153</v>
      </c>
      <c r="AK9" s="3031">
        <v>639.09108361827066</v>
      </c>
      <c r="AL9" s="3061">
        <v>940.92801195257744</v>
      </c>
      <c r="AM9" s="3063">
        <v>1580.0190955708481</v>
      </c>
      <c r="AN9" s="3065">
        <v>318.79314460569753</v>
      </c>
      <c r="AO9" s="3067" t="s">
        <v>153</v>
      </c>
      <c r="AP9" s="3051">
        <v>122.72339754830361</v>
      </c>
      <c r="AQ9" s="3072" t="s">
        <v>153</v>
      </c>
      <c r="AR9" s="3076">
        <v>0.31614138860175611</v>
      </c>
      <c r="AS9" s="3078" t="s">
        <v>153</v>
      </c>
      <c r="AT9" s="3080">
        <v>0.31614138860175611</v>
      </c>
      <c r="AU9" s="3082">
        <v>0.46545210205225507</v>
      </c>
      <c r="AV9" s="3084">
        <v>0.78159349065401118</v>
      </c>
      <c r="AW9" s="3086">
        <v>0.1576985033835393</v>
      </c>
      <c r="AX9" s="3088" t="s">
        <v>153</v>
      </c>
      <c r="AY9" s="3090">
        <v>6.0708005962449137E-2</v>
      </c>
      <c r="AZ9" s="512">
        <v>0</v>
      </c>
      <c r="BA9" s="1">
        <v>0</v>
      </c>
      <c r="BB9" s="643" t="s">
        <v>47</v>
      </c>
      <c r="BC9" s="615">
        <v>2021.5356377248499</v>
      </c>
      <c r="BD9" s="3306">
        <v>0.36607979978389155</v>
      </c>
      <c r="BE9" s="615" t="s">
        <v>153</v>
      </c>
      <c r="BF9" s="615">
        <v>639.09108361827066</v>
      </c>
      <c r="BG9" s="615" t="s">
        <v>153</v>
      </c>
      <c r="BH9" s="615">
        <v>639.09108361827066</v>
      </c>
      <c r="BI9" s="615">
        <v>940.92801195257744</v>
      </c>
      <c r="BJ9" s="615">
        <v>1580.0190955708481</v>
      </c>
      <c r="BK9" s="615">
        <v>318.79314460569753</v>
      </c>
      <c r="BL9" s="615" t="s">
        <v>153</v>
      </c>
      <c r="BM9" s="615">
        <v>122.72339754830361</v>
      </c>
      <c r="BO9" s="643" t="s">
        <v>47</v>
      </c>
      <c r="BP9" s="615">
        <v>2021.5356377248499</v>
      </c>
      <c r="BQ9" s="3309">
        <v>0.36607979978389155</v>
      </c>
      <c r="BR9" s="3309" t="s">
        <v>153</v>
      </c>
      <c r="BS9" s="3309">
        <v>0.31614138860175611</v>
      </c>
      <c r="BT9" s="3309" t="s">
        <v>153</v>
      </c>
      <c r="BU9" s="3309">
        <v>0.31614138860175611</v>
      </c>
      <c r="BV9" s="3309">
        <v>0.46545210205225507</v>
      </c>
      <c r="BW9" s="3309">
        <v>0.78159349065401118</v>
      </c>
      <c r="BX9" s="3309">
        <v>0.1576985033835393</v>
      </c>
      <c r="BY9" s="3309" t="s">
        <v>153</v>
      </c>
      <c r="BZ9" s="3309">
        <v>6.0708005962449137E-2</v>
      </c>
    </row>
    <row r="10" spans="1:78" ht="14.4" x14ac:dyDescent="0.3">
      <c r="A10" s="2512" t="s">
        <v>1</v>
      </c>
      <c r="B10" s="3006">
        <v>18047.501675924774</v>
      </c>
      <c r="C10" s="3012">
        <v>0.93218365228875311</v>
      </c>
      <c r="D10" s="3013">
        <v>18047.501675924774</v>
      </c>
      <c r="E10" s="3027">
        <v>0.93218365228875311</v>
      </c>
      <c r="F10" s="3164"/>
      <c r="G10" s="3023">
        <v>1312.9554953777551</v>
      </c>
      <c r="H10" s="3165"/>
      <c r="I10" s="3023" t="s">
        <v>153</v>
      </c>
      <c r="J10" s="3210"/>
      <c r="K10" s="3026">
        <v>1312.9554953777551</v>
      </c>
      <c r="L10" s="3020">
        <v>19360.457171302529</v>
      </c>
      <c r="M10" s="3006">
        <v>20.607179867900193</v>
      </c>
      <c r="N10" s="3031">
        <v>14879.420343613407</v>
      </c>
      <c r="O10" s="3031" t="s">
        <v>153</v>
      </c>
      <c r="P10" s="3031">
        <v>983.80240002768073</v>
      </c>
      <c r="Q10" s="3031">
        <v>2163.6717524157866</v>
      </c>
      <c r="R10" s="3032" t="s">
        <v>153</v>
      </c>
      <c r="S10" s="3033" t="s">
        <v>153</v>
      </c>
      <c r="T10" s="3038" t="s">
        <v>153</v>
      </c>
      <c r="U10" s="3038" t="s">
        <v>153</v>
      </c>
      <c r="V10" s="3042" t="s">
        <v>153</v>
      </c>
      <c r="W10" s="3042">
        <v>0</v>
      </c>
      <c r="X10" s="3038" t="s">
        <v>153</v>
      </c>
      <c r="Y10" s="3038">
        <v>894.28873361606179</v>
      </c>
      <c r="Z10" s="3046" t="s">
        <v>153</v>
      </c>
      <c r="AA10" s="3046">
        <v>1222.6756429568907</v>
      </c>
      <c r="AB10" s="3046" t="s">
        <v>153</v>
      </c>
      <c r="AC10" s="3049" t="s">
        <v>153</v>
      </c>
      <c r="AD10" s="3050">
        <v>3057.9604860318486</v>
      </c>
      <c r="AE10" s="3051">
        <v>52.025260344414789</v>
      </c>
      <c r="AF10" s="3052">
        <v>127.76825848806853</v>
      </c>
      <c r="AG10" s="3054" t="s">
        <v>153</v>
      </c>
      <c r="AH10" s="3057">
        <v>20.607179867900193</v>
      </c>
      <c r="AI10" s="3059">
        <v>14879.420343613407</v>
      </c>
      <c r="AJ10" s="3006" t="s">
        <v>153</v>
      </c>
      <c r="AK10" s="3031">
        <v>14900.027523481307</v>
      </c>
      <c r="AL10" s="3061">
        <v>1222.6756429568907</v>
      </c>
      <c r="AM10" s="3063">
        <v>16122.703166438198</v>
      </c>
      <c r="AN10" s="3065">
        <v>3109.9857463762633</v>
      </c>
      <c r="AO10" s="3067" t="s">
        <v>153</v>
      </c>
      <c r="AP10" s="3051">
        <v>127.76825848806853</v>
      </c>
      <c r="AQ10" s="3072">
        <v>1.0643953128568497E-3</v>
      </c>
      <c r="AR10" s="3076">
        <v>0.76854695175632326</v>
      </c>
      <c r="AS10" s="3078" t="s">
        <v>153</v>
      </c>
      <c r="AT10" s="3080">
        <v>0.76961134706918011</v>
      </c>
      <c r="AU10" s="3082">
        <v>6.315324230923787E-2</v>
      </c>
      <c r="AV10" s="3084">
        <v>0.83276458937841791</v>
      </c>
      <c r="AW10" s="3086">
        <v>0.16063596633379656</v>
      </c>
      <c r="AX10" s="3088" t="s">
        <v>153</v>
      </c>
      <c r="AY10" s="3090">
        <v>6.5994442877855119E-3</v>
      </c>
      <c r="AZ10" s="512">
        <v>0</v>
      </c>
      <c r="BA10" s="1">
        <v>0</v>
      </c>
      <c r="BB10" s="643" t="s">
        <v>1</v>
      </c>
      <c r="BC10" s="615">
        <v>19360.457171302529</v>
      </c>
      <c r="BD10" s="3306">
        <v>0.93218365228875311</v>
      </c>
      <c r="BE10" s="615">
        <v>20.607179867900193</v>
      </c>
      <c r="BF10" s="615">
        <v>14879.420343613407</v>
      </c>
      <c r="BG10" s="615" t="s">
        <v>153</v>
      </c>
      <c r="BH10" s="615">
        <v>14900.027523481307</v>
      </c>
      <c r="BI10" s="615">
        <v>1222.6756429568907</v>
      </c>
      <c r="BJ10" s="615">
        <v>16122.703166438198</v>
      </c>
      <c r="BK10" s="615">
        <v>3109.9857463762633</v>
      </c>
      <c r="BL10" s="615" t="s">
        <v>153</v>
      </c>
      <c r="BM10" s="615">
        <v>127.76825848806853</v>
      </c>
      <c r="BO10" s="643" t="s">
        <v>1</v>
      </c>
      <c r="BP10" s="615">
        <v>19360.457171302529</v>
      </c>
      <c r="BQ10" s="3309">
        <v>0.93218365228875311</v>
      </c>
      <c r="BR10" s="3309">
        <v>1.0643953128568497E-3</v>
      </c>
      <c r="BS10" s="3309">
        <v>0.76854695175632326</v>
      </c>
      <c r="BT10" s="3309" t="s">
        <v>153</v>
      </c>
      <c r="BU10" s="3309">
        <v>0.76961134706918011</v>
      </c>
      <c r="BV10" s="3309">
        <v>6.315324230923787E-2</v>
      </c>
      <c r="BW10" s="3309">
        <v>0.83276458937841791</v>
      </c>
      <c r="BX10" s="3309">
        <v>0.16063596633379656</v>
      </c>
      <c r="BY10" s="3309" t="s">
        <v>153</v>
      </c>
      <c r="BZ10" s="3309">
        <v>6.5994442877855119E-3</v>
      </c>
    </row>
    <row r="11" spans="1:78" ht="14.4" x14ac:dyDescent="0.3">
      <c r="A11" s="2512" t="s">
        <v>5</v>
      </c>
      <c r="B11" s="3006">
        <v>83475.785038304995</v>
      </c>
      <c r="C11" s="3012">
        <v>0.26788863625465559</v>
      </c>
      <c r="D11" s="3013">
        <v>83475.785038304995</v>
      </c>
      <c r="E11" s="3027">
        <v>0.26788863625465559</v>
      </c>
      <c r="F11" s="3164"/>
      <c r="G11" s="3023">
        <v>204378.93427216978</v>
      </c>
      <c r="H11" s="3165"/>
      <c r="I11" s="3023">
        <v>23751.574279943583</v>
      </c>
      <c r="J11" s="3165"/>
      <c r="K11" s="3026">
        <v>228130.50855211337</v>
      </c>
      <c r="L11" s="3020">
        <v>311606.29359041835</v>
      </c>
      <c r="M11" s="3006" t="s">
        <v>153</v>
      </c>
      <c r="N11" s="3031" t="s">
        <v>153</v>
      </c>
      <c r="O11" s="3031">
        <v>80446.600759126886</v>
      </c>
      <c r="P11" s="3031">
        <v>2248.3746403333334</v>
      </c>
      <c r="Q11" s="3031">
        <v>780.8096388447774</v>
      </c>
      <c r="R11" s="3032" t="s">
        <v>153</v>
      </c>
      <c r="S11" s="3033" t="s">
        <v>153</v>
      </c>
      <c r="T11" s="3038">
        <v>23360.757407599023</v>
      </c>
      <c r="U11" s="3038">
        <v>19174.93402468862</v>
      </c>
      <c r="V11" s="3038">
        <v>9048.5772197034821</v>
      </c>
      <c r="W11" s="3038">
        <v>0</v>
      </c>
      <c r="X11" s="3038" t="s">
        <v>153</v>
      </c>
      <c r="Y11" s="3038">
        <v>5592.1377065449706</v>
      </c>
      <c r="Z11" s="3046">
        <v>57256.002376181255</v>
      </c>
      <c r="AA11" s="3046">
        <v>20158.00888114898</v>
      </c>
      <c r="AB11" s="3207">
        <v>32409.334627302505</v>
      </c>
      <c r="AC11" s="3049" t="s">
        <v>153</v>
      </c>
      <c r="AD11" s="3050">
        <v>25547.881370078365</v>
      </c>
      <c r="AE11" s="3051">
        <v>8313.8411852185873</v>
      </c>
      <c r="AF11" s="3052">
        <v>9448.1916629364005</v>
      </c>
      <c r="AG11" s="3054">
        <v>78026.432728425381</v>
      </c>
      <c r="AH11" s="3057" t="s">
        <v>153</v>
      </c>
      <c r="AI11" s="3059">
        <v>0</v>
      </c>
      <c r="AJ11" s="3006">
        <v>80446.600759126886</v>
      </c>
      <c r="AK11" s="3031">
        <v>80446.600759126886</v>
      </c>
      <c r="AL11" s="3061">
        <v>109823.34588463274</v>
      </c>
      <c r="AM11" s="3063">
        <v>190269.94664375961</v>
      </c>
      <c r="AN11" s="3065">
        <v>33861.722555296954</v>
      </c>
      <c r="AO11" s="3067">
        <v>78026.432728425381</v>
      </c>
      <c r="AP11" s="3051">
        <v>9448.1916629364005</v>
      </c>
      <c r="AQ11" s="3072" t="s">
        <v>153</v>
      </c>
      <c r="AR11" s="3076">
        <v>0</v>
      </c>
      <c r="AS11" s="3078">
        <v>0.25816744531118979</v>
      </c>
      <c r="AT11" s="3080">
        <v>0.25816744531118979</v>
      </c>
      <c r="AU11" s="3082">
        <v>0.35244264362961419</v>
      </c>
      <c r="AV11" s="3084">
        <v>0.61061008894080393</v>
      </c>
      <c r="AW11" s="3086">
        <v>0.10866828832348775</v>
      </c>
      <c r="AX11" s="3088">
        <v>0.25040069579270086</v>
      </c>
      <c r="AY11" s="3090">
        <v>3.0320926943007434E-2</v>
      </c>
      <c r="AZ11" s="512">
        <v>0</v>
      </c>
      <c r="BA11" s="1">
        <v>0</v>
      </c>
      <c r="BB11" s="643" t="s">
        <v>5</v>
      </c>
      <c r="BC11" s="615">
        <v>311606.29359041835</v>
      </c>
      <c r="BD11" s="3306">
        <v>0.26788863625465559</v>
      </c>
      <c r="BE11" s="615" t="s">
        <v>153</v>
      </c>
      <c r="BF11" s="615">
        <v>0</v>
      </c>
      <c r="BG11" s="615">
        <v>80446.600759126886</v>
      </c>
      <c r="BH11" s="615">
        <v>80446.600759126886</v>
      </c>
      <c r="BI11" s="615">
        <v>109823.34588463274</v>
      </c>
      <c r="BJ11" s="615">
        <v>190269.94664375961</v>
      </c>
      <c r="BK11" s="615">
        <v>33861.722555296954</v>
      </c>
      <c r="BL11" s="615">
        <v>78026.432728425381</v>
      </c>
      <c r="BM11" s="615">
        <v>9448.1916629364005</v>
      </c>
      <c r="BO11" s="643" t="s">
        <v>5</v>
      </c>
      <c r="BP11" s="615">
        <v>311606.29359041835</v>
      </c>
      <c r="BQ11" s="3309">
        <v>0.26788863625465559</v>
      </c>
      <c r="BR11" s="3309" t="s">
        <v>153</v>
      </c>
      <c r="BS11" s="3309">
        <v>0</v>
      </c>
      <c r="BT11" s="3309">
        <v>0.25816744531118979</v>
      </c>
      <c r="BU11" s="3309">
        <v>0.25816744531118979</v>
      </c>
      <c r="BV11" s="3309">
        <v>0.35244264362961419</v>
      </c>
      <c r="BW11" s="3309">
        <v>0.61061008894080393</v>
      </c>
      <c r="BX11" s="3309">
        <v>0.10866828832348775</v>
      </c>
      <c r="BY11" s="3309">
        <v>0.25040069579270086</v>
      </c>
      <c r="BZ11" s="3309">
        <v>3.0320926943007434E-2</v>
      </c>
    </row>
    <row r="12" spans="1:78" ht="14.4" x14ac:dyDescent="0.3">
      <c r="A12" s="2512" t="s">
        <v>28</v>
      </c>
      <c r="B12" s="3006">
        <v>136480.55093061255</v>
      </c>
      <c r="C12" s="3012">
        <v>0.69729943609249923</v>
      </c>
      <c r="D12" s="3013">
        <v>140340.54147623462</v>
      </c>
      <c r="E12" s="3027">
        <v>0.71702070196101886</v>
      </c>
      <c r="F12" s="3164"/>
      <c r="G12" s="3023">
        <v>40524.265283521643</v>
      </c>
      <c r="H12" s="3165"/>
      <c r="I12" s="3023">
        <v>18722.50531564821</v>
      </c>
      <c r="J12" s="3210"/>
      <c r="K12" s="3026">
        <v>59246.77059916986</v>
      </c>
      <c r="L12" s="3020">
        <v>195727.32152978241</v>
      </c>
      <c r="M12" s="3006" t="s">
        <v>153</v>
      </c>
      <c r="N12" s="3031">
        <v>129656.52338408193</v>
      </c>
      <c r="O12" s="3031" t="s">
        <v>153</v>
      </c>
      <c r="P12" s="3031" t="s">
        <v>153</v>
      </c>
      <c r="Q12" s="3031">
        <v>6824.0275465306277</v>
      </c>
      <c r="R12" s="3032" t="s">
        <v>153</v>
      </c>
      <c r="S12" s="3033">
        <v>3859.9905456220358</v>
      </c>
      <c r="T12" s="3038">
        <v>14826.989466165716</v>
      </c>
      <c r="U12" s="3038">
        <v>2408.3391395262124</v>
      </c>
      <c r="V12" s="3038">
        <v>7593.8203783023346</v>
      </c>
      <c r="W12" s="3038">
        <v>0</v>
      </c>
      <c r="X12" s="3038" t="s">
        <v>153</v>
      </c>
      <c r="Y12" s="3038">
        <v>6254.9633027285572</v>
      </c>
      <c r="Z12" s="3046">
        <v>16064.477397478888</v>
      </c>
      <c r="AA12" s="3046">
        <v>4182.8503912896413</v>
      </c>
      <c r="AB12" s="3046">
        <v>22420.809844468051</v>
      </c>
      <c r="AC12" s="3049" t="s">
        <v>153</v>
      </c>
      <c r="AD12" s="3050">
        <v>15487.329988785397</v>
      </c>
      <c r="AE12" s="3051">
        <v>2136.0466699250355</v>
      </c>
      <c r="AF12" s="3052">
        <v>1919.293308131442</v>
      </c>
      <c r="AG12" s="3054" t="s">
        <v>153</v>
      </c>
      <c r="AH12" s="3057" t="s">
        <v>153</v>
      </c>
      <c r="AI12" s="3059">
        <v>133516.51392970397</v>
      </c>
      <c r="AJ12" s="3006" t="s">
        <v>153</v>
      </c>
      <c r="AK12" s="3031">
        <v>133516.51392970397</v>
      </c>
      <c r="AL12" s="3061">
        <v>42668.137633236576</v>
      </c>
      <c r="AM12" s="3063">
        <v>176184.65156294056</v>
      </c>
      <c r="AN12" s="3065">
        <v>17623.376658710433</v>
      </c>
      <c r="AO12" s="3067" t="s">
        <v>153</v>
      </c>
      <c r="AP12" s="3051">
        <v>1919.293308131442</v>
      </c>
      <c r="AQ12" s="3072" t="s">
        <v>153</v>
      </c>
      <c r="AR12" s="3076">
        <v>0.68215573015639375</v>
      </c>
      <c r="AS12" s="3078" t="s">
        <v>153</v>
      </c>
      <c r="AT12" s="3080">
        <v>0.68215573015639375</v>
      </c>
      <c r="AU12" s="3082">
        <v>0.21799786202430649</v>
      </c>
      <c r="AV12" s="3084">
        <v>0.90015359218070035</v>
      </c>
      <c r="AW12" s="3086">
        <v>9.0040452814497907E-2</v>
      </c>
      <c r="AX12" s="3088" t="s">
        <v>153</v>
      </c>
      <c r="AY12" s="3090">
        <v>9.8059550048019088E-3</v>
      </c>
      <c r="AZ12" s="512">
        <v>0</v>
      </c>
      <c r="BA12" s="1">
        <v>0</v>
      </c>
      <c r="BB12" s="643" t="s">
        <v>28</v>
      </c>
      <c r="BC12" s="615">
        <v>195727.32152978241</v>
      </c>
      <c r="BD12" s="3306">
        <v>0.69729943609249923</v>
      </c>
      <c r="BE12" s="615" t="s">
        <v>153</v>
      </c>
      <c r="BF12" s="615">
        <v>133516.51392970397</v>
      </c>
      <c r="BG12" s="615" t="s">
        <v>153</v>
      </c>
      <c r="BH12" s="615">
        <v>133516.51392970397</v>
      </c>
      <c r="BI12" s="615">
        <v>42668.137633236576</v>
      </c>
      <c r="BJ12" s="615">
        <v>176184.65156294056</v>
      </c>
      <c r="BK12" s="615">
        <v>17623.376658710433</v>
      </c>
      <c r="BL12" s="615" t="s">
        <v>153</v>
      </c>
      <c r="BM12" s="615">
        <v>1919.293308131442</v>
      </c>
      <c r="BO12" s="643" t="s">
        <v>28</v>
      </c>
      <c r="BP12" s="615">
        <v>195727.32152978241</v>
      </c>
      <c r="BQ12" s="3309">
        <v>0.69729943609249923</v>
      </c>
      <c r="BR12" s="3309" t="s">
        <v>153</v>
      </c>
      <c r="BS12" s="3309">
        <v>0.68215573015639375</v>
      </c>
      <c r="BT12" s="3309" t="s">
        <v>153</v>
      </c>
      <c r="BU12" s="3309">
        <v>0.68215573015639375</v>
      </c>
      <c r="BV12" s="3309">
        <v>0.21799786202430649</v>
      </c>
      <c r="BW12" s="3309">
        <v>0.90015359218070035</v>
      </c>
      <c r="BX12" s="3309">
        <v>9.0040452814497907E-2</v>
      </c>
      <c r="BY12" s="3309" t="s">
        <v>153</v>
      </c>
      <c r="BZ12" s="3309">
        <v>9.8059550048019088E-3</v>
      </c>
    </row>
    <row r="13" spans="1:78" ht="14.4" x14ac:dyDescent="0.3">
      <c r="A13" s="2512" t="s">
        <v>17</v>
      </c>
      <c r="B13" s="3006">
        <v>2389.0534400000001</v>
      </c>
      <c r="C13" s="3012">
        <v>0.33947984300368683</v>
      </c>
      <c r="D13" s="3013">
        <v>2872.613899770115</v>
      </c>
      <c r="E13" s="3027">
        <v>0.4081928429797565</v>
      </c>
      <c r="F13" s="3164"/>
      <c r="G13" s="3023">
        <v>3728.7394655175867</v>
      </c>
      <c r="H13" s="3165"/>
      <c r="I13" s="3023">
        <v>919.60118204258288</v>
      </c>
      <c r="J13" s="3210"/>
      <c r="K13" s="3026">
        <v>4648.3406475601696</v>
      </c>
      <c r="L13" s="3020">
        <v>7037.3940875601693</v>
      </c>
      <c r="M13" s="3006" t="s">
        <v>153</v>
      </c>
      <c r="N13" s="3031">
        <v>2269.6007679999998</v>
      </c>
      <c r="O13" s="3031" t="s">
        <v>153</v>
      </c>
      <c r="P13" s="3031" t="s">
        <v>153</v>
      </c>
      <c r="Q13" s="3031">
        <v>119.45267200000001</v>
      </c>
      <c r="R13" s="3032" t="s">
        <v>153</v>
      </c>
      <c r="S13" s="3033">
        <v>483.56045977011496</v>
      </c>
      <c r="T13" s="3038" t="s">
        <v>153</v>
      </c>
      <c r="U13" s="3038" t="s">
        <v>153</v>
      </c>
      <c r="V13" s="3038" t="s">
        <v>153</v>
      </c>
      <c r="W13" s="3038">
        <v>0</v>
      </c>
      <c r="X13" s="3038">
        <v>381.48185173514293</v>
      </c>
      <c r="Y13" s="3038">
        <v>1813.4904560744708</v>
      </c>
      <c r="Z13" s="3046" t="s">
        <v>153</v>
      </c>
      <c r="AA13" s="3046" t="s">
        <v>153</v>
      </c>
      <c r="AB13" s="3046" t="s">
        <v>153</v>
      </c>
      <c r="AC13" s="3049">
        <v>1241.4396102260171</v>
      </c>
      <c r="AD13" s="3050">
        <v>2314.4249798096139</v>
      </c>
      <c r="AE13" s="3051">
        <v>152.06786766065358</v>
      </c>
      <c r="AF13" s="3055">
        <v>192.82897192916255</v>
      </c>
      <c r="AG13" s="3054" t="s">
        <v>153</v>
      </c>
      <c r="AH13" s="3057" t="s">
        <v>153</v>
      </c>
      <c r="AI13" s="3059">
        <v>3136.6326579347219</v>
      </c>
      <c r="AJ13" s="3006" t="s">
        <v>153</v>
      </c>
      <c r="AK13" s="3031">
        <v>3136.6326579347219</v>
      </c>
      <c r="AL13" s="3061">
        <v>0</v>
      </c>
      <c r="AM13" s="3063">
        <v>3136.6326579347219</v>
      </c>
      <c r="AN13" s="3065">
        <v>3707.9324576962845</v>
      </c>
      <c r="AO13" s="3067" t="s">
        <v>153</v>
      </c>
      <c r="AP13" s="3051">
        <v>192.82897192916255</v>
      </c>
      <c r="AQ13" s="3072" t="s">
        <v>153</v>
      </c>
      <c r="AR13" s="3076">
        <v>0.44570939454410707</v>
      </c>
      <c r="AS13" s="3078" t="s">
        <v>153</v>
      </c>
      <c r="AT13" s="3080">
        <v>0.44570939454410707</v>
      </c>
      <c r="AU13" s="3082">
        <v>0</v>
      </c>
      <c r="AV13" s="3084">
        <v>0.44570939454410707</v>
      </c>
      <c r="AW13" s="3086">
        <v>0.5268899839289527</v>
      </c>
      <c r="AX13" s="3088" t="s">
        <v>153</v>
      </c>
      <c r="AY13" s="3090">
        <v>2.7400621526940155E-2</v>
      </c>
      <c r="AZ13" s="512">
        <v>0</v>
      </c>
      <c r="BA13" s="1">
        <v>0</v>
      </c>
      <c r="BB13" s="643" t="s">
        <v>17</v>
      </c>
      <c r="BC13" s="615">
        <v>7037.3940875601693</v>
      </c>
      <c r="BD13" s="3306">
        <v>0.33947984300368683</v>
      </c>
      <c r="BE13" s="615" t="s">
        <v>153</v>
      </c>
      <c r="BF13" s="615">
        <v>3136.6326579347219</v>
      </c>
      <c r="BG13" s="615" t="s">
        <v>153</v>
      </c>
      <c r="BH13" s="615">
        <v>3136.6326579347219</v>
      </c>
      <c r="BI13" s="615">
        <v>0</v>
      </c>
      <c r="BJ13" s="615">
        <v>3136.6326579347219</v>
      </c>
      <c r="BK13" s="615">
        <v>3707.9324576962845</v>
      </c>
      <c r="BL13" s="615" t="s">
        <v>153</v>
      </c>
      <c r="BM13" s="615">
        <v>192.82897192916255</v>
      </c>
      <c r="BO13" s="643" t="s">
        <v>17</v>
      </c>
      <c r="BP13" s="615">
        <v>7037.3940875601693</v>
      </c>
      <c r="BQ13" s="3309">
        <v>0.33947984300368683</v>
      </c>
      <c r="BR13" s="3309" t="s">
        <v>153</v>
      </c>
      <c r="BS13" s="3309">
        <v>0.44570939454410707</v>
      </c>
      <c r="BT13" s="3309" t="s">
        <v>153</v>
      </c>
      <c r="BU13" s="3309">
        <v>0.44570939454410707</v>
      </c>
      <c r="BV13" s="3309">
        <v>0</v>
      </c>
      <c r="BW13" s="3309">
        <v>0.44570939454410707</v>
      </c>
      <c r="BX13" s="3309">
        <v>0.5268899839289527</v>
      </c>
      <c r="BY13" s="3309" t="s">
        <v>153</v>
      </c>
      <c r="BZ13" s="3309">
        <v>2.7400621526940155E-2</v>
      </c>
    </row>
    <row r="14" spans="1:78" ht="14.4" x14ac:dyDescent="0.3">
      <c r="A14" s="2512" t="s">
        <v>29</v>
      </c>
      <c r="B14" s="3006">
        <v>51873.168396564724</v>
      </c>
      <c r="C14" s="3012">
        <v>0.84036790439717091</v>
      </c>
      <c r="D14" s="3013">
        <v>51999.867943988895</v>
      </c>
      <c r="E14" s="3027">
        <v>0.84242049220794313</v>
      </c>
      <c r="F14" s="3164"/>
      <c r="G14" s="3023">
        <v>9379.3989804878311</v>
      </c>
      <c r="H14" s="3165"/>
      <c r="I14" s="3023">
        <v>474.16935949070671</v>
      </c>
      <c r="J14" s="3210"/>
      <c r="K14" s="3026">
        <v>9853.5683399785376</v>
      </c>
      <c r="L14" s="3020">
        <v>61726.736736543258</v>
      </c>
      <c r="M14" s="3006" t="s">
        <v>153</v>
      </c>
      <c r="N14" s="3031">
        <v>45129.656505011306</v>
      </c>
      <c r="O14" s="3031" t="s">
        <v>153</v>
      </c>
      <c r="P14" s="3031" t="s">
        <v>153</v>
      </c>
      <c r="Q14" s="3031">
        <v>6743.5118915534131</v>
      </c>
      <c r="R14" s="3032" t="s">
        <v>153</v>
      </c>
      <c r="S14" s="3033">
        <v>126.69954742416947</v>
      </c>
      <c r="T14" s="3038" t="s">
        <v>153</v>
      </c>
      <c r="U14" s="3038" t="s">
        <v>153</v>
      </c>
      <c r="V14" s="3038">
        <v>1201.3050149687974</v>
      </c>
      <c r="W14" s="3038">
        <v>3316.6015958620228</v>
      </c>
      <c r="X14" s="3038" t="s">
        <v>153</v>
      </c>
      <c r="Y14" s="3038">
        <v>1022.9999923868933</v>
      </c>
      <c r="Z14" s="3046">
        <v>3316.6806385365776</v>
      </c>
      <c r="AA14" s="3046">
        <v>304.33397182183728</v>
      </c>
      <c r="AB14" s="3046">
        <v>1201.3050149687974</v>
      </c>
      <c r="AC14" s="3049" t="s">
        <v>153</v>
      </c>
      <c r="AD14" s="3050">
        <v>11083.113479802329</v>
      </c>
      <c r="AE14" s="3051">
        <v>388.74493146067942</v>
      </c>
      <c r="AF14" s="3052">
        <v>176.20264751755971</v>
      </c>
      <c r="AG14" s="3054" t="s">
        <v>153</v>
      </c>
      <c r="AH14" s="3057" t="s">
        <v>153</v>
      </c>
      <c r="AI14" s="3059">
        <v>45256.356052435476</v>
      </c>
      <c r="AJ14" s="3006" t="s">
        <v>153</v>
      </c>
      <c r="AK14" s="3031">
        <v>45256.356052435476</v>
      </c>
      <c r="AL14" s="3061">
        <v>4822.3196253272126</v>
      </c>
      <c r="AM14" s="3063">
        <v>50078.675677762687</v>
      </c>
      <c r="AN14" s="3065">
        <v>11471.858411263009</v>
      </c>
      <c r="AO14" s="3067" t="s">
        <v>153</v>
      </c>
      <c r="AP14" s="3051">
        <v>176.20264751755971</v>
      </c>
      <c r="AQ14" s="3072" t="s">
        <v>153</v>
      </c>
      <c r="AR14" s="3076">
        <v>0.73317266463631081</v>
      </c>
      <c r="AS14" s="3078" t="s">
        <v>153</v>
      </c>
      <c r="AT14" s="3080">
        <v>0.73317266463631081</v>
      </c>
      <c r="AU14" s="3082">
        <v>7.8123676712563345E-2</v>
      </c>
      <c r="AV14" s="3084">
        <v>0.81129634134887407</v>
      </c>
      <c r="AW14" s="3086">
        <v>0.18584909907397515</v>
      </c>
      <c r="AX14" s="3088" t="s">
        <v>153</v>
      </c>
      <c r="AY14" s="3090">
        <v>2.8545595771507035E-3</v>
      </c>
      <c r="AZ14" s="512">
        <v>0</v>
      </c>
      <c r="BA14" s="1">
        <v>0</v>
      </c>
      <c r="BB14" s="643" t="s">
        <v>29</v>
      </c>
      <c r="BC14" s="615">
        <v>61726.736736543258</v>
      </c>
      <c r="BD14" s="3306">
        <v>0.84036790439717091</v>
      </c>
      <c r="BE14" s="615" t="s">
        <v>153</v>
      </c>
      <c r="BF14" s="615">
        <v>45256.356052435476</v>
      </c>
      <c r="BG14" s="615" t="s">
        <v>153</v>
      </c>
      <c r="BH14" s="615">
        <v>45256.356052435476</v>
      </c>
      <c r="BI14" s="615">
        <v>4822.3196253272126</v>
      </c>
      <c r="BJ14" s="615">
        <v>50078.675677762687</v>
      </c>
      <c r="BK14" s="615">
        <v>11471.858411263009</v>
      </c>
      <c r="BL14" s="615" t="s">
        <v>153</v>
      </c>
      <c r="BM14" s="615">
        <v>176.20264751755971</v>
      </c>
      <c r="BO14" s="643" t="s">
        <v>29</v>
      </c>
      <c r="BP14" s="615">
        <v>61726.736736543258</v>
      </c>
      <c r="BQ14" s="3309">
        <v>0.84036790439717091</v>
      </c>
      <c r="BR14" s="3309" t="s">
        <v>153</v>
      </c>
      <c r="BS14" s="3309">
        <v>0.73317266463631081</v>
      </c>
      <c r="BT14" s="3309" t="s">
        <v>153</v>
      </c>
      <c r="BU14" s="3309">
        <v>0.73317266463631081</v>
      </c>
      <c r="BV14" s="3309">
        <v>7.8123676712563345E-2</v>
      </c>
      <c r="BW14" s="3309">
        <v>0.81129634134887407</v>
      </c>
      <c r="BX14" s="3309">
        <v>0.18584909907397515</v>
      </c>
      <c r="BY14" s="3309" t="s">
        <v>153</v>
      </c>
      <c r="BZ14" s="3309">
        <v>2.8545595771507035E-3</v>
      </c>
    </row>
    <row r="15" spans="1:78" ht="14.4" x14ac:dyDescent="0.3">
      <c r="A15" s="2513" t="s">
        <v>308</v>
      </c>
      <c r="B15" s="3006">
        <v>354.70109604697547</v>
      </c>
      <c r="C15" s="3012">
        <v>0.66422050867776317</v>
      </c>
      <c r="D15" s="3013">
        <v>354.70109604697547</v>
      </c>
      <c r="E15" s="3027">
        <v>0.66422050867776317</v>
      </c>
      <c r="F15" s="3164"/>
      <c r="G15" s="3023">
        <v>150.57242420522306</v>
      </c>
      <c r="H15" s="3165"/>
      <c r="I15" s="3023">
        <v>28.737536938830715</v>
      </c>
      <c r="J15" s="3210"/>
      <c r="K15" s="3026">
        <v>179.30996114405377</v>
      </c>
      <c r="L15" s="3020">
        <v>534.01105719102918</v>
      </c>
      <c r="M15" s="3006" t="s">
        <v>153</v>
      </c>
      <c r="N15" s="3031">
        <v>175.00952078957769</v>
      </c>
      <c r="O15" s="3031" t="s">
        <v>153</v>
      </c>
      <c r="P15" s="3031">
        <v>2.8376087683758033</v>
      </c>
      <c r="Q15" s="3031">
        <v>176.85396648902196</v>
      </c>
      <c r="R15" s="3032" t="s">
        <v>153</v>
      </c>
      <c r="S15" s="3033" t="s">
        <v>153</v>
      </c>
      <c r="T15" s="3038" t="s">
        <v>153</v>
      </c>
      <c r="U15" s="3038" t="s">
        <v>153</v>
      </c>
      <c r="V15" s="3042" t="s">
        <v>153</v>
      </c>
      <c r="W15" s="3042">
        <v>0</v>
      </c>
      <c r="X15" s="3038">
        <v>14.418113982676726</v>
      </c>
      <c r="Y15" s="3038">
        <v>87.907932070283238</v>
      </c>
      <c r="Z15" s="3046">
        <v>46.920234138099012</v>
      </c>
      <c r="AA15" s="3046">
        <v>19.02003468438479</v>
      </c>
      <c r="AB15" s="3048">
        <v>14.418113982676726</v>
      </c>
      <c r="AC15" s="3049" t="s">
        <v>153</v>
      </c>
      <c r="AD15" s="3050">
        <v>264.76189855930522</v>
      </c>
      <c r="AE15" s="3051">
        <v>5.5494571210172872</v>
      </c>
      <c r="AF15" s="3052">
        <v>8.3317979159684921</v>
      </c>
      <c r="AG15" s="3054" t="s">
        <v>153</v>
      </c>
      <c r="AH15" s="3057" t="s">
        <v>153</v>
      </c>
      <c r="AI15" s="3059">
        <v>175.00952078957769</v>
      </c>
      <c r="AJ15" s="3006" t="s">
        <v>153</v>
      </c>
      <c r="AK15" s="3031">
        <v>175.00952078957769</v>
      </c>
      <c r="AL15" s="3061">
        <v>80.358382805160531</v>
      </c>
      <c r="AM15" s="3063">
        <v>255.36790359473821</v>
      </c>
      <c r="AN15" s="3065">
        <v>270.31135568032249</v>
      </c>
      <c r="AO15" s="3067" t="s">
        <v>153</v>
      </c>
      <c r="AP15" s="3051">
        <v>8.3317979159684921</v>
      </c>
      <c r="AQ15" s="3072" t="s">
        <v>153</v>
      </c>
      <c r="AR15" s="3076">
        <v>0.32772639898160832</v>
      </c>
      <c r="AS15" s="3078" t="s">
        <v>153</v>
      </c>
      <c r="AT15" s="3080">
        <v>0.32772639898160832</v>
      </c>
      <c r="AU15" s="3082">
        <v>0.15048074702395969</v>
      </c>
      <c r="AV15" s="3084">
        <v>0.47820714600556796</v>
      </c>
      <c r="AW15" s="3086">
        <v>0.50619055924084611</v>
      </c>
      <c r="AX15" s="3088" t="s">
        <v>153</v>
      </c>
      <c r="AY15" s="3090">
        <v>1.5602294753585971E-2</v>
      </c>
      <c r="AZ15" s="512">
        <v>0</v>
      </c>
      <c r="BA15" s="1">
        <v>0</v>
      </c>
      <c r="BB15" s="643" t="s">
        <v>308</v>
      </c>
      <c r="BC15" s="615">
        <v>534.01105719102918</v>
      </c>
      <c r="BD15" s="3306">
        <v>0.66422050867776317</v>
      </c>
      <c r="BE15" s="615" t="s">
        <v>153</v>
      </c>
      <c r="BF15" s="615">
        <v>175.00952078957769</v>
      </c>
      <c r="BG15" s="615" t="s">
        <v>153</v>
      </c>
      <c r="BH15" s="615">
        <v>175.00952078957769</v>
      </c>
      <c r="BI15" s="615">
        <v>80.358382805160531</v>
      </c>
      <c r="BJ15" s="615">
        <v>255.36790359473821</v>
      </c>
      <c r="BK15" s="615">
        <v>270.31135568032249</v>
      </c>
      <c r="BL15" s="615" t="s">
        <v>153</v>
      </c>
      <c r="BM15" s="615">
        <v>8.3317979159684921</v>
      </c>
      <c r="BO15" s="643" t="s">
        <v>308</v>
      </c>
      <c r="BP15" s="615">
        <v>534.01105719102918</v>
      </c>
      <c r="BQ15" s="3309">
        <v>0.66422050867776317</v>
      </c>
      <c r="BR15" s="3309" t="s">
        <v>153</v>
      </c>
      <c r="BS15" s="3309">
        <v>0.32772639898160832</v>
      </c>
      <c r="BT15" s="3309" t="s">
        <v>153</v>
      </c>
      <c r="BU15" s="3309">
        <v>0.32772639898160832</v>
      </c>
      <c r="BV15" s="3309">
        <v>0.15048074702395969</v>
      </c>
      <c r="BW15" s="3309">
        <v>0.47820714600556796</v>
      </c>
      <c r="BX15" s="3309">
        <v>0.50619055924084611</v>
      </c>
      <c r="BY15" s="3309" t="s">
        <v>153</v>
      </c>
      <c r="BZ15" s="3309">
        <v>1.5602294753585971E-2</v>
      </c>
    </row>
    <row r="16" spans="1:78" ht="14.4" x14ac:dyDescent="0.3">
      <c r="A16" s="2514" t="s">
        <v>60</v>
      </c>
      <c r="B16" s="3006">
        <v>188.28813023670537</v>
      </c>
      <c r="C16" s="3012">
        <v>1</v>
      </c>
      <c r="D16" s="3013">
        <v>188.28813023670537</v>
      </c>
      <c r="E16" s="3027">
        <v>1</v>
      </c>
      <c r="F16" s="3164"/>
      <c r="G16" s="3023" t="s">
        <v>153</v>
      </c>
      <c r="H16" s="3024"/>
      <c r="I16" s="3023" t="s">
        <v>153</v>
      </c>
      <c r="J16" s="3025"/>
      <c r="K16" s="3026" t="s">
        <v>153</v>
      </c>
      <c r="L16" s="3020">
        <v>188.28813023670537</v>
      </c>
      <c r="M16" s="3006" t="s">
        <v>153</v>
      </c>
      <c r="N16" s="3031">
        <v>92.901363458790428</v>
      </c>
      <c r="O16" s="3031" t="s">
        <v>153</v>
      </c>
      <c r="P16" s="3031">
        <v>1.506305041893643</v>
      </c>
      <c r="Q16" s="3031">
        <v>93.880461736021289</v>
      </c>
      <c r="R16" s="3032" t="s">
        <v>153</v>
      </c>
      <c r="S16" s="3033" t="s">
        <v>153</v>
      </c>
      <c r="T16" s="3038" t="s">
        <v>153</v>
      </c>
      <c r="U16" s="3041" t="s">
        <v>153</v>
      </c>
      <c r="V16" s="3043" t="s">
        <v>153</v>
      </c>
      <c r="W16" s="3043">
        <v>0</v>
      </c>
      <c r="X16" s="3041" t="s">
        <v>153</v>
      </c>
      <c r="Y16" s="3041">
        <v>0</v>
      </c>
      <c r="Z16" s="3046" t="s">
        <v>153</v>
      </c>
      <c r="AA16" s="3046">
        <v>1.506305041893643</v>
      </c>
      <c r="AB16" s="3048" t="s">
        <v>153</v>
      </c>
      <c r="AC16" s="3049" t="s">
        <v>153</v>
      </c>
      <c r="AD16" s="3050">
        <v>93.880461736021289</v>
      </c>
      <c r="AE16" s="3051" t="s">
        <v>153</v>
      </c>
      <c r="AF16" s="3052" t="s">
        <v>153</v>
      </c>
      <c r="AG16" s="3054" t="s">
        <v>153</v>
      </c>
      <c r="AH16" s="3057" t="s">
        <v>153</v>
      </c>
      <c r="AI16" s="3059">
        <v>92.901363458790428</v>
      </c>
      <c r="AJ16" s="3006" t="s">
        <v>153</v>
      </c>
      <c r="AK16" s="3031">
        <v>92.901363458790428</v>
      </c>
      <c r="AL16" s="3061">
        <v>1.506305041893643</v>
      </c>
      <c r="AM16" s="3063">
        <v>94.407668500684068</v>
      </c>
      <c r="AN16" s="3065">
        <v>93.880461736021289</v>
      </c>
      <c r="AO16" s="3067" t="s">
        <v>153</v>
      </c>
      <c r="AP16" s="3051" t="s">
        <v>153</v>
      </c>
      <c r="AQ16" s="3072" t="s">
        <v>153</v>
      </c>
      <c r="AR16" s="3076">
        <v>0.49340000000000001</v>
      </c>
      <c r="AS16" s="3078" t="s">
        <v>153</v>
      </c>
      <c r="AT16" s="3080">
        <v>0.49340000000000001</v>
      </c>
      <c r="AU16" s="3082">
        <v>8.0000000000000002E-3</v>
      </c>
      <c r="AV16" s="3084">
        <v>0.50139999999999996</v>
      </c>
      <c r="AW16" s="3086">
        <v>0.49859999999999993</v>
      </c>
      <c r="AX16" s="3088" t="s">
        <v>153</v>
      </c>
      <c r="AY16" s="3090" t="s">
        <v>153</v>
      </c>
      <c r="AZ16" s="512">
        <v>0</v>
      </c>
      <c r="BA16" s="1">
        <v>0</v>
      </c>
      <c r="BB16" s="643" t="s">
        <v>60</v>
      </c>
      <c r="BC16" s="615">
        <v>188.28813023670537</v>
      </c>
      <c r="BD16" s="3306">
        <v>1</v>
      </c>
      <c r="BE16" s="615" t="s">
        <v>153</v>
      </c>
      <c r="BF16" s="615">
        <v>92.901363458790428</v>
      </c>
      <c r="BG16" s="615" t="s">
        <v>153</v>
      </c>
      <c r="BH16" s="615">
        <v>92.901363458790428</v>
      </c>
      <c r="BI16" s="615">
        <v>1.506305041893643</v>
      </c>
      <c r="BJ16" s="615">
        <v>94.407668500684068</v>
      </c>
      <c r="BK16" s="615">
        <v>93.880461736021289</v>
      </c>
      <c r="BL16" s="615" t="s">
        <v>153</v>
      </c>
      <c r="BM16" s="615" t="s">
        <v>153</v>
      </c>
      <c r="BO16" s="643" t="s">
        <v>60</v>
      </c>
      <c r="BP16" s="615">
        <v>188.28813023670537</v>
      </c>
      <c r="BQ16" s="3309">
        <v>1</v>
      </c>
      <c r="BR16" s="3309" t="s">
        <v>153</v>
      </c>
      <c r="BS16" s="3309">
        <v>0.49340000000000001</v>
      </c>
      <c r="BT16" s="3309" t="s">
        <v>153</v>
      </c>
      <c r="BU16" s="3309">
        <v>0.49340000000000001</v>
      </c>
      <c r="BV16" s="3309">
        <v>8.0000000000000002E-3</v>
      </c>
      <c r="BW16" s="3309">
        <v>0.50139999999999996</v>
      </c>
      <c r="BX16" s="3309">
        <v>0.49859999999999993</v>
      </c>
      <c r="BY16" s="3309" t="s">
        <v>153</v>
      </c>
      <c r="BZ16" s="3309" t="s">
        <v>153</v>
      </c>
    </row>
    <row r="17" spans="1:78" ht="14.4" x14ac:dyDescent="0.3">
      <c r="A17" s="2512" t="s">
        <v>57</v>
      </c>
      <c r="B17" s="3006">
        <v>9178.9126293668141</v>
      </c>
      <c r="C17" s="3012">
        <v>0.17626621703432624</v>
      </c>
      <c r="D17" s="3013">
        <v>9178.9126293668141</v>
      </c>
      <c r="E17" s="3027">
        <v>0.17626621703432624</v>
      </c>
      <c r="F17" s="3164"/>
      <c r="G17" s="3023">
        <v>41465.540389696725</v>
      </c>
      <c r="H17" s="3024"/>
      <c r="I17" s="3023">
        <v>1429.6924627068281</v>
      </c>
      <c r="J17" s="3025"/>
      <c r="K17" s="3026">
        <v>42895.232852403555</v>
      </c>
      <c r="L17" s="3020">
        <v>52074.145481770363</v>
      </c>
      <c r="M17" s="3006">
        <v>5443.4127350145209</v>
      </c>
      <c r="N17" s="3031">
        <v>2055.3354887781666</v>
      </c>
      <c r="O17" s="3031" t="s">
        <v>153</v>
      </c>
      <c r="P17" s="3031">
        <v>1680.1644055741272</v>
      </c>
      <c r="Q17" s="3031" t="s">
        <v>153</v>
      </c>
      <c r="R17" s="3032" t="s">
        <v>153</v>
      </c>
      <c r="S17" s="3033" t="s">
        <v>153</v>
      </c>
      <c r="T17" s="3038" t="s">
        <v>153</v>
      </c>
      <c r="U17" s="3041" t="s">
        <v>153</v>
      </c>
      <c r="V17" s="3043">
        <v>7104.5151843702815</v>
      </c>
      <c r="W17" s="3041">
        <v>13180.282393194899</v>
      </c>
      <c r="X17" s="3041" t="s">
        <v>153</v>
      </c>
      <c r="Y17" s="3041">
        <v>4011.9727597685865</v>
      </c>
      <c r="Z17" s="3046">
        <v>13180.596511349169</v>
      </c>
      <c r="AA17" s="3046">
        <v>4202.1415284492696</v>
      </c>
      <c r="AB17" s="3048">
        <v>7104.5151843702815</v>
      </c>
      <c r="AC17" s="3049" t="s">
        <v>153</v>
      </c>
      <c r="AD17" s="3050">
        <v>17192.255152963484</v>
      </c>
      <c r="AE17" s="3051">
        <v>1482.9993613198505</v>
      </c>
      <c r="AF17" s="3052">
        <v>1412.8895195256223</v>
      </c>
      <c r="AG17" s="3054" t="s">
        <v>153</v>
      </c>
      <c r="AH17" s="3057">
        <v>5443.4127350145209</v>
      </c>
      <c r="AI17" s="3059">
        <v>2055.3354887781666</v>
      </c>
      <c r="AJ17" s="3006" t="s">
        <v>153</v>
      </c>
      <c r="AK17" s="3031">
        <v>7498.748223792687</v>
      </c>
      <c r="AL17" s="3061">
        <v>24487.253224168719</v>
      </c>
      <c r="AM17" s="3063">
        <v>31986.001447961404</v>
      </c>
      <c r="AN17" s="3065">
        <v>18675.254514283333</v>
      </c>
      <c r="AO17" s="3067" t="s">
        <v>153</v>
      </c>
      <c r="AP17" s="3051">
        <v>1412.8895195256223</v>
      </c>
      <c r="AQ17" s="3072">
        <v>0.1045319646564359</v>
      </c>
      <c r="AR17" s="3076">
        <v>3.9469404053834728E-2</v>
      </c>
      <c r="AS17" s="3078" t="s">
        <v>153</v>
      </c>
      <c r="AT17" s="3080">
        <v>0.14400136871027061</v>
      </c>
      <c r="AU17" s="3082">
        <v>0.47023821509929509</v>
      </c>
      <c r="AV17" s="3084">
        <v>0.61423958380956567</v>
      </c>
      <c r="AW17" s="3086">
        <v>0.35862815110083746</v>
      </c>
      <c r="AX17" s="3088" t="s">
        <v>153</v>
      </c>
      <c r="AY17" s="3090">
        <v>2.7132265089596787E-2</v>
      </c>
      <c r="AZ17" s="512">
        <v>0</v>
      </c>
      <c r="BA17" s="1">
        <v>0</v>
      </c>
      <c r="BB17" s="643" t="s">
        <v>57</v>
      </c>
      <c r="BC17" s="615">
        <v>52074.145481770363</v>
      </c>
      <c r="BD17" s="3306">
        <v>0.17626621703432624</v>
      </c>
      <c r="BE17" s="615">
        <v>5443.4127350145209</v>
      </c>
      <c r="BF17" s="615">
        <v>2055.3354887781666</v>
      </c>
      <c r="BG17" s="615" t="s">
        <v>153</v>
      </c>
      <c r="BH17" s="615">
        <v>7498.748223792687</v>
      </c>
      <c r="BI17" s="615">
        <v>24487.253224168719</v>
      </c>
      <c r="BJ17" s="615">
        <v>31986.001447961404</v>
      </c>
      <c r="BK17" s="615">
        <v>18675.254514283333</v>
      </c>
      <c r="BL17" s="615" t="s">
        <v>153</v>
      </c>
      <c r="BM17" s="615">
        <v>1412.8895195256223</v>
      </c>
      <c r="BO17" s="643" t="s">
        <v>57</v>
      </c>
      <c r="BP17" s="615">
        <v>52074.145481770363</v>
      </c>
      <c r="BQ17" s="3309">
        <v>0.17626621703432624</v>
      </c>
      <c r="BR17" s="3309">
        <v>0.1045319646564359</v>
      </c>
      <c r="BS17" s="3309">
        <v>3.9469404053834728E-2</v>
      </c>
      <c r="BT17" s="3309" t="s">
        <v>153</v>
      </c>
      <c r="BU17" s="3309">
        <v>0.14400136871027061</v>
      </c>
      <c r="BV17" s="3309">
        <v>0.47023821509929509</v>
      </c>
      <c r="BW17" s="3309">
        <v>0.61423958380956567</v>
      </c>
      <c r="BX17" s="3309">
        <v>0.35862815110083746</v>
      </c>
      <c r="BY17" s="3309" t="s">
        <v>153</v>
      </c>
      <c r="BZ17" s="3309">
        <v>2.7132265089596787E-2</v>
      </c>
    </row>
    <row r="18" spans="1:78" ht="14.4" x14ac:dyDescent="0.3">
      <c r="A18" s="2512" t="s">
        <v>35</v>
      </c>
      <c r="B18" s="3006">
        <v>523.94453239402935</v>
      </c>
      <c r="C18" s="3012">
        <v>1</v>
      </c>
      <c r="D18" s="3013">
        <v>505.55412999999999</v>
      </c>
      <c r="E18" s="3027">
        <v>0.96490009675261013</v>
      </c>
      <c r="F18" s="3164"/>
      <c r="G18" s="3023" t="s">
        <v>153</v>
      </c>
      <c r="H18" s="3024"/>
      <c r="I18" s="3023" t="s">
        <v>153</v>
      </c>
      <c r="J18" s="3025"/>
      <c r="K18" s="3026" t="s">
        <v>153</v>
      </c>
      <c r="L18" s="3020">
        <v>523.94453239402935</v>
      </c>
      <c r="M18" s="3006" t="s">
        <v>153</v>
      </c>
      <c r="N18" s="3031">
        <v>434.87396188704435</v>
      </c>
      <c r="O18" s="3031" t="s">
        <v>153</v>
      </c>
      <c r="P18" s="3031">
        <v>36.676117267582065</v>
      </c>
      <c r="Q18" s="3031">
        <v>52.394453239402942</v>
      </c>
      <c r="R18" s="3032" t="s">
        <v>153</v>
      </c>
      <c r="S18" s="3033" t="s">
        <v>153</v>
      </c>
      <c r="T18" s="3038" t="s">
        <v>153</v>
      </c>
      <c r="U18" s="3041" t="s">
        <v>153</v>
      </c>
      <c r="V18" s="3043" t="s">
        <v>153</v>
      </c>
      <c r="W18" s="3043">
        <v>0</v>
      </c>
      <c r="X18" s="3041" t="s">
        <v>153</v>
      </c>
      <c r="Y18" s="3041">
        <v>0</v>
      </c>
      <c r="Z18" s="3046" t="s">
        <v>153</v>
      </c>
      <c r="AA18" s="3046">
        <v>36.676117267582057</v>
      </c>
      <c r="AB18" s="3048" t="s">
        <v>153</v>
      </c>
      <c r="AC18" s="3049" t="s">
        <v>153</v>
      </c>
      <c r="AD18" s="3050">
        <v>52.394453239402942</v>
      </c>
      <c r="AE18" s="3051" t="s">
        <v>153</v>
      </c>
      <c r="AF18" s="3052" t="s">
        <v>153</v>
      </c>
      <c r="AG18" s="3054" t="s">
        <v>153</v>
      </c>
      <c r="AH18" s="3057" t="s">
        <v>153</v>
      </c>
      <c r="AI18" s="3059">
        <v>434.87396188704435</v>
      </c>
      <c r="AJ18" s="3006" t="s">
        <v>153</v>
      </c>
      <c r="AK18" s="3031">
        <v>434.87396188704435</v>
      </c>
      <c r="AL18" s="3061">
        <v>36.676117267582057</v>
      </c>
      <c r="AM18" s="3063">
        <v>471.55007915462642</v>
      </c>
      <c r="AN18" s="3065">
        <v>52.394453239402942</v>
      </c>
      <c r="AO18" s="3067" t="s">
        <v>153</v>
      </c>
      <c r="AP18" s="3051" t="s">
        <v>153</v>
      </c>
      <c r="AQ18" s="3072" t="s">
        <v>153</v>
      </c>
      <c r="AR18" s="3076">
        <v>0.83</v>
      </c>
      <c r="AS18" s="3078" t="s">
        <v>153</v>
      </c>
      <c r="AT18" s="3080">
        <v>0.83</v>
      </c>
      <c r="AU18" s="3082">
        <v>7.0000000000000007E-2</v>
      </c>
      <c r="AV18" s="3084">
        <v>0.9</v>
      </c>
      <c r="AW18" s="3086">
        <v>0.10000000000000002</v>
      </c>
      <c r="AX18" s="3088" t="s">
        <v>153</v>
      </c>
      <c r="AY18" s="3090" t="s">
        <v>153</v>
      </c>
      <c r="AZ18" s="512">
        <v>0</v>
      </c>
      <c r="BA18" s="1">
        <v>0</v>
      </c>
      <c r="BB18" s="643" t="s">
        <v>35</v>
      </c>
      <c r="BC18" s="615">
        <v>523.94453239402935</v>
      </c>
      <c r="BD18" s="3306">
        <v>1</v>
      </c>
      <c r="BE18" s="615" t="s">
        <v>153</v>
      </c>
      <c r="BF18" s="615">
        <v>434.87396188704435</v>
      </c>
      <c r="BG18" s="615" t="s">
        <v>153</v>
      </c>
      <c r="BH18" s="615">
        <v>434.87396188704435</v>
      </c>
      <c r="BI18" s="615">
        <v>36.676117267582057</v>
      </c>
      <c r="BJ18" s="615">
        <v>471.55007915462642</v>
      </c>
      <c r="BK18" s="615">
        <v>52.394453239402942</v>
      </c>
      <c r="BL18" s="615" t="s">
        <v>153</v>
      </c>
      <c r="BM18" s="615" t="s">
        <v>153</v>
      </c>
      <c r="BO18" s="643" t="s">
        <v>35</v>
      </c>
      <c r="BP18" s="615">
        <v>523.94453239402935</v>
      </c>
      <c r="BQ18" s="3309">
        <v>1</v>
      </c>
      <c r="BR18" s="3309" t="s">
        <v>153</v>
      </c>
      <c r="BS18" s="3309">
        <v>0.83</v>
      </c>
      <c r="BT18" s="3309" t="s">
        <v>153</v>
      </c>
      <c r="BU18" s="3309">
        <v>0.83</v>
      </c>
      <c r="BV18" s="3309">
        <v>7.0000000000000007E-2</v>
      </c>
      <c r="BW18" s="3309">
        <v>0.9</v>
      </c>
      <c r="BX18" s="3309">
        <v>0.10000000000000002</v>
      </c>
      <c r="BY18" s="3309" t="s">
        <v>153</v>
      </c>
      <c r="BZ18" s="3309" t="s">
        <v>153</v>
      </c>
    </row>
    <row r="19" spans="1:78" ht="14.4" x14ac:dyDescent="0.3">
      <c r="A19" s="2512" t="s">
        <v>67</v>
      </c>
      <c r="B19" s="3006">
        <v>219.51299999999998</v>
      </c>
      <c r="C19" s="3012">
        <v>1</v>
      </c>
      <c r="D19" s="3013">
        <v>219.51299999999998</v>
      </c>
      <c r="E19" s="3027">
        <v>1</v>
      </c>
      <c r="F19" s="3164"/>
      <c r="G19" s="3023" t="s">
        <v>153</v>
      </c>
      <c r="H19" s="3024"/>
      <c r="I19" s="3023" t="s">
        <v>153</v>
      </c>
      <c r="J19" s="3025"/>
      <c r="K19" s="3026" t="s">
        <v>153</v>
      </c>
      <c r="L19" s="3020">
        <v>219.51299999999998</v>
      </c>
      <c r="M19" s="3006">
        <v>28.141566600000001</v>
      </c>
      <c r="N19" s="3031">
        <v>97.463771999999992</v>
      </c>
      <c r="O19" s="3031" t="s">
        <v>153</v>
      </c>
      <c r="P19" s="3031">
        <v>93.907661399999995</v>
      </c>
      <c r="Q19" s="3031" t="s">
        <v>153</v>
      </c>
      <c r="R19" s="3032" t="s">
        <v>153</v>
      </c>
      <c r="S19" s="3033" t="s">
        <v>153</v>
      </c>
      <c r="T19" s="3038" t="s">
        <v>153</v>
      </c>
      <c r="U19" s="3041" t="s">
        <v>153</v>
      </c>
      <c r="V19" s="3043" t="s">
        <v>153</v>
      </c>
      <c r="W19" s="3043">
        <v>0</v>
      </c>
      <c r="X19" s="3041" t="s">
        <v>153</v>
      </c>
      <c r="Y19" s="3041">
        <v>0</v>
      </c>
      <c r="Z19" s="3046" t="s">
        <v>153</v>
      </c>
      <c r="AA19" s="3046">
        <v>93.907661399999995</v>
      </c>
      <c r="AB19" s="3048" t="s">
        <v>153</v>
      </c>
      <c r="AC19" s="3049" t="s">
        <v>153</v>
      </c>
      <c r="AD19" s="3050" t="s">
        <v>153</v>
      </c>
      <c r="AE19" s="3051" t="s">
        <v>153</v>
      </c>
      <c r="AF19" s="3052" t="s">
        <v>153</v>
      </c>
      <c r="AG19" s="3054" t="s">
        <v>153</v>
      </c>
      <c r="AH19" s="3057">
        <v>28.141566600000001</v>
      </c>
      <c r="AI19" s="3059">
        <v>97.463771999999992</v>
      </c>
      <c r="AJ19" s="3006" t="s">
        <v>153</v>
      </c>
      <c r="AK19" s="3031">
        <v>125.6053386</v>
      </c>
      <c r="AL19" s="3061">
        <v>93.907661399999995</v>
      </c>
      <c r="AM19" s="3063">
        <v>219.51299999999998</v>
      </c>
      <c r="AN19" s="3065">
        <v>0</v>
      </c>
      <c r="AO19" s="3067" t="s">
        <v>153</v>
      </c>
      <c r="AP19" s="3051" t="s">
        <v>153</v>
      </c>
      <c r="AQ19" s="3072">
        <v>0.12820000000000001</v>
      </c>
      <c r="AR19" s="3076">
        <v>0.44400000000000001</v>
      </c>
      <c r="AS19" s="3078" t="s">
        <v>153</v>
      </c>
      <c r="AT19" s="3080">
        <v>0.57220000000000004</v>
      </c>
      <c r="AU19" s="3082">
        <v>0.42780000000000001</v>
      </c>
      <c r="AV19" s="3084">
        <v>1</v>
      </c>
      <c r="AW19" s="3086">
        <v>0</v>
      </c>
      <c r="AX19" s="3088" t="s">
        <v>153</v>
      </c>
      <c r="AY19" s="3090" t="s">
        <v>153</v>
      </c>
      <c r="AZ19" s="512">
        <v>0</v>
      </c>
      <c r="BA19" s="1">
        <v>0</v>
      </c>
      <c r="BB19" s="643" t="s">
        <v>67</v>
      </c>
      <c r="BC19" s="615">
        <v>219.51299999999998</v>
      </c>
      <c r="BD19" s="3306">
        <v>1</v>
      </c>
      <c r="BE19" s="615">
        <v>28.141566600000001</v>
      </c>
      <c r="BF19" s="615">
        <v>97.463771999999992</v>
      </c>
      <c r="BG19" s="615" t="s">
        <v>153</v>
      </c>
      <c r="BH19" s="615">
        <v>125.6053386</v>
      </c>
      <c r="BI19" s="615">
        <v>93.907661399999995</v>
      </c>
      <c r="BJ19" s="615">
        <v>219.51299999999998</v>
      </c>
      <c r="BK19" s="615">
        <v>0</v>
      </c>
      <c r="BL19" s="615" t="s">
        <v>153</v>
      </c>
      <c r="BM19" s="615" t="s">
        <v>153</v>
      </c>
      <c r="BO19" s="643" t="s">
        <v>67</v>
      </c>
      <c r="BP19" s="615">
        <v>219.51299999999998</v>
      </c>
      <c r="BQ19" s="3309">
        <v>1</v>
      </c>
      <c r="BR19" s="3309">
        <v>0.12820000000000001</v>
      </c>
      <c r="BS19" s="3309">
        <v>0.44400000000000001</v>
      </c>
      <c r="BT19" s="3309" t="s">
        <v>153</v>
      </c>
      <c r="BU19" s="3309">
        <v>0.57220000000000004</v>
      </c>
      <c r="BV19" s="3309">
        <v>0.42780000000000001</v>
      </c>
      <c r="BW19" s="3309">
        <v>1</v>
      </c>
      <c r="BX19" s="3309">
        <v>0</v>
      </c>
      <c r="BY19" s="3309" t="s">
        <v>153</v>
      </c>
      <c r="BZ19" s="3309" t="s">
        <v>153</v>
      </c>
    </row>
    <row r="20" spans="1:78" ht="14.4" x14ac:dyDescent="0.3">
      <c r="A20" s="2512" t="s">
        <v>76</v>
      </c>
      <c r="B20" s="3006">
        <v>24031.095886817438</v>
      </c>
      <c r="C20" s="3012">
        <v>0.92469681570296258</v>
      </c>
      <c r="D20" s="3013">
        <v>24031.095886817438</v>
      </c>
      <c r="E20" s="3027">
        <v>0.92469681570296258</v>
      </c>
      <c r="F20" s="3164"/>
      <c r="G20" s="3023">
        <v>1956.9852644610924</v>
      </c>
      <c r="H20" s="3024"/>
      <c r="I20" s="3023" t="s">
        <v>153</v>
      </c>
      <c r="J20" s="3025"/>
      <c r="K20" s="3026">
        <v>1956.9852644610924</v>
      </c>
      <c r="L20" s="3020">
        <v>25988.081151278529</v>
      </c>
      <c r="M20" s="3006">
        <v>178.77157874181742</v>
      </c>
      <c r="N20" s="3031">
        <v>9033.85515532713</v>
      </c>
      <c r="O20" s="3031" t="s">
        <v>153</v>
      </c>
      <c r="P20" s="3031">
        <v>13466.687113998491</v>
      </c>
      <c r="Q20" s="3031">
        <v>1351.7820387500001</v>
      </c>
      <c r="R20" s="3032" t="s">
        <v>153</v>
      </c>
      <c r="S20" s="3033" t="s">
        <v>153</v>
      </c>
      <c r="T20" s="3038" t="s">
        <v>153</v>
      </c>
      <c r="U20" s="3041" t="s">
        <v>153</v>
      </c>
      <c r="V20" s="3043">
        <v>1051.8390578371864</v>
      </c>
      <c r="W20" s="3043">
        <v>0</v>
      </c>
      <c r="X20" s="3041" t="s">
        <v>153</v>
      </c>
      <c r="Y20" s="3041">
        <v>-1.1368683772161603E-13</v>
      </c>
      <c r="Z20" s="3046" t="s">
        <v>153</v>
      </c>
      <c r="AA20" s="3046">
        <v>14056.405432479978</v>
      </c>
      <c r="AB20" s="3048">
        <v>1051.8390578371864</v>
      </c>
      <c r="AC20" s="3049" t="s">
        <v>153</v>
      </c>
      <c r="AD20" s="3050">
        <v>1351.7820387499999</v>
      </c>
      <c r="AE20" s="3051" t="s">
        <v>153</v>
      </c>
      <c r="AF20" s="3052">
        <v>315.42788814241919</v>
      </c>
      <c r="AG20" s="3054" t="s">
        <v>153</v>
      </c>
      <c r="AH20" s="3057">
        <v>178.77157874181742</v>
      </c>
      <c r="AI20" s="3059">
        <v>9033.85515532713</v>
      </c>
      <c r="AJ20" s="3006" t="s">
        <v>153</v>
      </c>
      <c r="AK20" s="3031">
        <v>9212.6267340689483</v>
      </c>
      <c r="AL20" s="3061">
        <v>15108.244490317164</v>
      </c>
      <c r="AM20" s="3063">
        <v>24320.871224386112</v>
      </c>
      <c r="AN20" s="3065">
        <v>1351.7820387499999</v>
      </c>
      <c r="AO20" s="3067" t="s">
        <v>153</v>
      </c>
      <c r="AP20" s="3051">
        <v>315.42788814241919</v>
      </c>
      <c r="AQ20" s="3072">
        <v>6.8789833963182941E-3</v>
      </c>
      <c r="AR20" s="3076">
        <v>0.347615320374767</v>
      </c>
      <c r="AS20" s="3078" t="s">
        <v>153</v>
      </c>
      <c r="AT20" s="3080">
        <v>0.35449430377108532</v>
      </c>
      <c r="AU20" s="3082">
        <v>0.58135282872063399</v>
      </c>
      <c r="AV20" s="3084">
        <v>0.93584713249171936</v>
      </c>
      <c r="AW20" s="3086">
        <v>5.2015461660334876E-2</v>
      </c>
      <c r="AX20" s="3088" t="s">
        <v>153</v>
      </c>
      <c r="AY20" s="3090">
        <v>1.2137405847945844E-2</v>
      </c>
      <c r="AZ20" s="512">
        <v>0</v>
      </c>
      <c r="BA20" s="1">
        <v>0</v>
      </c>
      <c r="BB20" s="643" t="s">
        <v>76</v>
      </c>
      <c r="BC20" s="615">
        <v>25988.081151278529</v>
      </c>
      <c r="BD20" s="3306">
        <v>0.92469681570296258</v>
      </c>
      <c r="BE20" s="615">
        <v>178.77157874181742</v>
      </c>
      <c r="BF20" s="615">
        <v>9033.85515532713</v>
      </c>
      <c r="BG20" s="615" t="s">
        <v>153</v>
      </c>
      <c r="BH20" s="615">
        <v>9212.6267340689483</v>
      </c>
      <c r="BI20" s="615">
        <v>15108.244490317164</v>
      </c>
      <c r="BJ20" s="615">
        <v>24320.871224386112</v>
      </c>
      <c r="BK20" s="615">
        <v>1351.7820387499999</v>
      </c>
      <c r="BL20" s="615" t="s">
        <v>153</v>
      </c>
      <c r="BM20" s="615">
        <v>315.42788814241919</v>
      </c>
      <c r="BO20" s="643" t="s">
        <v>76</v>
      </c>
      <c r="BP20" s="615">
        <v>25988.081151278529</v>
      </c>
      <c r="BQ20" s="3309">
        <v>0.92469681570296258</v>
      </c>
      <c r="BR20" s="3309">
        <v>6.8789833963182941E-3</v>
      </c>
      <c r="BS20" s="3309">
        <v>0.347615320374767</v>
      </c>
      <c r="BT20" s="3309" t="s">
        <v>153</v>
      </c>
      <c r="BU20" s="3309">
        <v>0.35449430377108532</v>
      </c>
      <c r="BV20" s="3309">
        <v>0.58135282872063399</v>
      </c>
      <c r="BW20" s="3309">
        <v>0.93584713249171936</v>
      </c>
      <c r="BX20" s="3309">
        <v>5.2015461660334876E-2</v>
      </c>
      <c r="BY20" s="3309" t="s">
        <v>153</v>
      </c>
      <c r="BZ20" s="3309">
        <v>1.2137405847945844E-2</v>
      </c>
    </row>
    <row r="21" spans="1:78" ht="14.4" x14ac:dyDescent="0.3">
      <c r="A21" s="2512" t="s">
        <v>62</v>
      </c>
      <c r="B21" s="3006">
        <v>1319.3658740359651</v>
      </c>
      <c r="C21" s="3012">
        <v>1</v>
      </c>
      <c r="D21" s="3013">
        <v>1319.3658740359651</v>
      </c>
      <c r="E21" s="3027">
        <v>1</v>
      </c>
      <c r="F21" s="3164"/>
      <c r="G21" s="3023" t="s">
        <v>153</v>
      </c>
      <c r="H21" s="3024"/>
      <c r="I21" s="3023" t="s">
        <v>153</v>
      </c>
      <c r="J21" s="3025"/>
      <c r="K21" s="3026" t="s">
        <v>153</v>
      </c>
      <c r="L21" s="3020">
        <v>1319.3658740359651</v>
      </c>
      <c r="M21" s="3006" t="s">
        <v>153</v>
      </c>
      <c r="N21" s="3031">
        <v>54.488714724935093</v>
      </c>
      <c r="O21" s="3031" t="s">
        <v>153</v>
      </c>
      <c r="P21" s="3031">
        <v>1108.9018784421387</v>
      </c>
      <c r="Q21" s="3031">
        <v>13.638650000000002</v>
      </c>
      <c r="R21" s="3032">
        <v>142.33663086889123</v>
      </c>
      <c r="S21" s="3033" t="s">
        <v>153</v>
      </c>
      <c r="T21" s="3038" t="s">
        <v>153</v>
      </c>
      <c r="U21" s="3041" t="s">
        <v>153</v>
      </c>
      <c r="V21" s="3043" t="s">
        <v>153</v>
      </c>
      <c r="W21" s="3043">
        <v>0</v>
      </c>
      <c r="X21" s="3041" t="s">
        <v>153</v>
      </c>
      <c r="Y21" s="3041">
        <v>0</v>
      </c>
      <c r="Z21" s="3046" t="s">
        <v>153</v>
      </c>
      <c r="AA21" s="3046">
        <v>1108.9018784421387</v>
      </c>
      <c r="AB21" s="3048" t="s">
        <v>153</v>
      </c>
      <c r="AC21" s="3049" t="s">
        <v>153</v>
      </c>
      <c r="AD21" s="3050">
        <v>13.638650000000002</v>
      </c>
      <c r="AE21" s="3051" t="s">
        <v>153</v>
      </c>
      <c r="AF21" s="3052" t="s">
        <v>153</v>
      </c>
      <c r="AG21" s="3054">
        <v>142.33663086889123</v>
      </c>
      <c r="AH21" s="3057" t="s">
        <v>153</v>
      </c>
      <c r="AI21" s="3059">
        <v>54.488714724935093</v>
      </c>
      <c r="AJ21" s="3006" t="s">
        <v>153</v>
      </c>
      <c r="AK21" s="3031">
        <v>54.488714724935093</v>
      </c>
      <c r="AL21" s="3061">
        <v>1108.9018784421387</v>
      </c>
      <c r="AM21" s="3063">
        <v>1163.3905931670738</v>
      </c>
      <c r="AN21" s="3065">
        <v>13.638650000000002</v>
      </c>
      <c r="AO21" s="3067">
        <v>142.33663086889123</v>
      </c>
      <c r="AP21" s="3051" t="s">
        <v>153</v>
      </c>
      <c r="AQ21" s="3072" t="s">
        <v>153</v>
      </c>
      <c r="AR21" s="3076">
        <v>4.1299169394349335E-2</v>
      </c>
      <c r="AS21" s="3078" t="s">
        <v>153</v>
      </c>
      <c r="AT21" s="3080">
        <v>4.1299169394349335E-2</v>
      </c>
      <c r="AU21" s="3082">
        <v>0.84048094638827275</v>
      </c>
      <c r="AV21" s="3084">
        <v>0.88178011578262216</v>
      </c>
      <c r="AW21" s="3086">
        <v>1.0337276617803608E-2</v>
      </c>
      <c r="AX21" s="3088">
        <v>0.10788260759957417</v>
      </c>
      <c r="AY21" s="3090" t="s">
        <v>153</v>
      </c>
      <c r="AZ21" s="512">
        <v>0</v>
      </c>
      <c r="BA21" s="1">
        <v>0</v>
      </c>
      <c r="BB21" s="643" t="s">
        <v>62</v>
      </c>
      <c r="BC21" s="615">
        <v>1319.3658740359651</v>
      </c>
      <c r="BD21" s="3306">
        <v>1</v>
      </c>
      <c r="BE21" s="615" t="s">
        <v>153</v>
      </c>
      <c r="BF21" s="615">
        <v>54.488714724935093</v>
      </c>
      <c r="BG21" s="615" t="s">
        <v>153</v>
      </c>
      <c r="BH21" s="615">
        <v>54.488714724935093</v>
      </c>
      <c r="BI21" s="615">
        <v>1108.9018784421387</v>
      </c>
      <c r="BJ21" s="615">
        <v>1163.3905931670738</v>
      </c>
      <c r="BK21" s="615">
        <v>13.638650000000002</v>
      </c>
      <c r="BL21" s="615">
        <v>142.33663086889123</v>
      </c>
      <c r="BM21" s="615" t="s">
        <v>153</v>
      </c>
      <c r="BO21" s="643" t="s">
        <v>62</v>
      </c>
      <c r="BP21" s="615">
        <v>1319.3658740359651</v>
      </c>
      <c r="BQ21" s="3309">
        <v>1</v>
      </c>
      <c r="BR21" s="3309" t="s">
        <v>153</v>
      </c>
      <c r="BS21" s="3309">
        <v>4.1299169394349335E-2</v>
      </c>
      <c r="BT21" s="3309" t="s">
        <v>153</v>
      </c>
      <c r="BU21" s="3309">
        <v>4.1299169394349335E-2</v>
      </c>
      <c r="BV21" s="3309">
        <v>0.84048094638827275</v>
      </c>
      <c r="BW21" s="3309">
        <v>0.88178011578262216</v>
      </c>
      <c r="BX21" s="3309">
        <v>1.0337276617803608E-2</v>
      </c>
      <c r="BY21" s="3309">
        <v>0.10788260759957417</v>
      </c>
      <c r="BZ21" s="3309" t="s">
        <v>153</v>
      </c>
    </row>
    <row r="22" spans="1:78" ht="14.4" x14ac:dyDescent="0.3">
      <c r="A22" s="2512" t="s">
        <v>16</v>
      </c>
      <c r="B22" s="3006">
        <v>5783.9231200000004</v>
      </c>
      <c r="C22" s="3012">
        <v>0.19672188497015977</v>
      </c>
      <c r="D22" s="3013">
        <v>6298.2253864015911</v>
      </c>
      <c r="E22" s="3027">
        <v>0.21421425289965365</v>
      </c>
      <c r="F22" s="3164"/>
      <c r="G22" s="3023">
        <v>19738.032873359462</v>
      </c>
      <c r="H22" s="3024"/>
      <c r="I22" s="3023">
        <v>3879.5674867421467</v>
      </c>
      <c r="J22" s="3025"/>
      <c r="K22" s="3026">
        <v>23617.600360101609</v>
      </c>
      <c r="L22" s="3020">
        <v>29401.523480101609</v>
      </c>
      <c r="M22" s="3006" t="s">
        <v>153</v>
      </c>
      <c r="N22" s="3031">
        <v>5494.7269639999995</v>
      </c>
      <c r="O22" s="3031" t="s">
        <v>153</v>
      </c>
      <c r="P22" s="3031" t="s">
        <v>153</v>
      </c>
      <c r="Q22" s="3031">
        <v>289.19615599999997</v>
      </c>
      <c r="R22" s="3032" t="s">
        <v>153</v>
      </c>
      <c r="S22" s="3033">
        <v>514.30226640159037</v>
      </c>
      <c r="T22" s="3038" t="s">
        <v>153</v>
      </c>
      <c r="U22" s="3041" t="s">
        <v>153</v>
      </c>
      <c r="V22" s="3043">
        <v>3525.4919611254522</v>
      </c>
      <c r="W22" s="3041">
        <v>7105.3886937315747</v>
      </c>
      <c r="X22" s="3041" t="s">
        <v>153</v>
      </c>
      <c r="Y22" s="3041">
        <v>1577.506569351468</v>
      </c>
      <c r="Z22" s="3046">
        <v>7568.5188529903762</v>
      </c>
      <c r="AA22" s="3046">
        <v>1385.8950926166674</v>
      </c>
      <c r="AB22" s="3048">
        <v>3525.4919611254522</v>
      </c>
      <c r="AC22" s="3049" t="s">
        <v>153</v>
      </c>
      <c r="AD22" s="3050">
        <v>9435.0412064466418</v>
      </c>
      <c r="AE22" s="3051">
        <v>770.87021788253605</v>
      </c>
      <c r="AF22" s="3052">
        <v>706.67691863834443</v>
      </c>
      <c r="AG22" s="3054" t="s">
        <v>153</v>
      </c>
      <c r="AH22" s="3057" t="s">
        <v>153</v>
      </c>
      <c r="AI22" s="3059">
        <v>6009.0292304015902</v>
      </c>
      <c r="AJ22" s="3006" t="s">
        <v>153</v>
      </c>
      <c r="AK22" s="3031">
        <v>6009.0292304015902</v>
      </c>
      <c r="AL22" s="3061">
        <v>12479.905906732496</v>
      </c>
      <c r="AM22" s="3063">
        <v>18488.935137134085</v>
      </c>
      <c r="AN22" s="3065">
        <v>10205.911424329177</v>
      </c>
      <c r="AO22" s="3067" t="s">
        <v>153</v>
      </c>
      <c r="AP22" s="3051">
        <v>706.67691863834443</v>
      </c>
      <c r="AQ22" s="3072" t="s">
        <v>153</v>
      </c>
      <c r="AR22" s="3076">
        <v>0.20437815865114564</v>
      </c>
      <c r="AS22" s="3078" t="s">
        <v>153</v>
      </c>
      <c r="AT22" s="3080">
        <v>0.20437815865114564</v>
      </c>
      <c r="AU22" s="3082">
        <v>0.42446460011429882</v>
      </c>
      <c r="AV22" s="3084">
        <v>0.62884275876544438</v>
      </c>
      <c r="AW22" s="3086">
        <v>0.34712185683970914</v>
      </c>
      <c r="AX22" s="3088" t="s">
        <v>153</v>
      </c>
      <c r="AY22" s="3090">
        <v>2.4035384394846405E-2</v>
      </c>
      <c r="AZ22" s="512">
        <v>0</v>
      </c>
      <c r="BA22" s="1">
        <v>0</v>
      </c>
      <c r="BB22" s="643" t="s">
        <v>16</v>
      </c>
      <c r="BC22" s="615">
        <v>29401.523480101609</v>
      </c>
      <c r="BD22" s="3306">
        <v>0.19672188497015977</v>
      </c>
      <c r="BE22" s="615" t="s">
        <v>153</v>
      </c>
      <c r="BF22" s="615">
        <v>6009.0292304015902</v>
      </c>
      <c r="BG22" s="615" t="s">
        <v>153</v>
      </c>
      <c r="BH22" s="615">
        <v>6009.0292304015902</v>
      </c>
      <c r="BI22" s="615">
        <v>12479.905906732496</v>
      </c>
      <c r="BJ22" s="615">
        <v>18488.935137134085</v>
      </c>
      <c r="BK22" s="615">
        <v>10205.911424329177</v>
      </c>
      <c r="BL22" s="615" t="s">
        <v>153</v>
      </c>
      <c r="BM22" s="615">
        <v>706.67691863834443</v>
      </c>
      <c r="BO22" s="643" t="s">
        <v>16</v>
      </c>
      <c r="BP22" s="615">
        <v>29401.523480101609</v>
      </c>
      <c r="BQ22" s="3309">
        <v>0.19672188497015977</v>
      </c>
      <c r="BR22" s="3309" t="s">
        <v>153</v>
      </c>
      <c r="BS22" s="3309">
        <v>0.20437815865114564</v>
      </c>
      <c r="BT22" s="3309" t="s">
        <v>153</v>
      </c>
      <c r="BU22" s="3309">
        <v>0.20437815865114564</v>
      </c>
      <c r="BV22" s="3309">
        <v>0.42446460011429882</v>
      </c>
      <c r="BW22" s="3309">
        <v>0.62884275876544438</v>
      </c>
      <c r="BX22" s="3309">
        <v>0.34712185683970914</v>
      </c>
      <c r="BY22" s="3309" t="s">
        <v>153</v>
      </c>
      <c r="BZ22" s="3309">
        <v>2.4035384394846405E-2</v>
      </c>
    </row>
    <row r="23" spans="1:78" ht="14.4" x14ac:dyDescent="0.3">
      <c r="A23" s="2512" t="s">
        <v>95</v>
      </c>
      <c r="B23" s="3006" t="s">
        <v>153</v>
      </c>
      <c r="C23" s="3012">
        <v>0</v>
      </c>
      <c r="D23" s="3013" t="s">
        <v>153</v>
      </c>
      <c r="E23" s="3027">
        <v>0</v>
      </c>
      <c r="F23" s="3164"/>
      <c r="G23" s="3023" t="s">
        <v>153</v>
      </c>
      <c r="H23" s="3024"/>
      <c r="I23" s="3023" t="s">
        <v>153</v>
      </c>
      <c r="J23" s="3025"/>
      <c r="K23" s="3026" t="s">
        <v>153</v>
      </c>
      <c r="L23" s="3020"/>
      <c r="M23" s="3006" t="s">
        <v>153</v>
      </c>
      <c r="N23" s="3031" t="s">
        <v>153</v>
      </c>
      <c r="O23" s="3031" t="s">
        <v>153</v>
      </c>
      <c r="P23" s="3031" t="s">
        <v>153</v>
      </c>
      <c r="Q23" s="3031" t="s">
        <v>153</v>
      </c>
      <c r="R23" s="3032" t="s">
        <v>153</v>
      </c>
      <c r="S23" s="3033" t="s">
        <v>153</v>
      </c>
      <c r="T23" s="3038" t="s">
        <v>153</v>
      </c>
      <c r="U23" s="3041" t="s">
        <v>153</v>
      </c>
      <c r="V23" s="3043" t="s">
        <v>153</v>
      </c>
      <c r="W23" s="3043">
        <v>0</v>
      </c>
      <c r="X23" s="3041" t="s">
        <v>153</v>
      </c>
      <c r="Y23" s="3041">
        <v>0</v>
      </c>
      <c r="Z23" s="3046" t="s">
        <v>153</v>
      </c>
      <c r="AA23" s="3046" t="s">
        <v>153</v>
      </c>
      <c r="AB23" s="3048" t="s">
        <v>153</v>
      </c>
      <c r="AC23" s="3049" t="s">
        <v>153</v>
      </c>
      <c r="AD23" s="3050" t="s">
        <v>153</v>
      </c>
      <c r="AE23" s="3051" t="s">
        <v>153</v>
      </c>
      <c r="AF23" s="3052" t="s">
        <v>153</v>
      </c>
      <c r="AG23" s="3054" t="s">
        <v>153</v>
      </c>
      <c r="AH23" s="3057" t="s">
        <v>153</v>
      </c>
      <c r="AI23" s="3059">
        <v>0</v>
      </c>
      <c r="AJ23" s="3006" t="s">
        <v>153</v>
      </c>
      <c r="AK23" s="3031">
        <v>0</v>
      </c>
      <c r="AL23" s="3061">
        <v>0</v>
      </c>
      <c r="AM23" s="3063">
        <v>0</v>
      </c>
      <c r="AN23" s="3065">
        <v>0</v>
      </c>
      <c r="AO23" s="3067" t="s">
        <v>153</v>
      </c>
      <c r="AP23" s="3051" t="s">
        <v>153</v>
      </c>
      <c r="AQ23" s="3072" t="s">
        <v>153</v>
      </c>
      <c r="AR23" s="3076" t="s">
        <v>153</v>
      </c>
      <c r="AS23" s="3078" t="s">
        <v>153</v>
      </c>
      <c r="AT23" s="3080" t="s">
        <v>153</v>
      </c>
      <c r="AU23" s="3082" t="s">
        <v>153</v>
      </c>
      <c r="AV23" s="3084" t="s">
        <v>153</v>
      </c>
      <c r="AW23" s="3086" t="s">
        <v>153</v>
      </c>
      <c r="AX23" s="3088" t="s">
        <v>153</v>
      </c>
      <c r="AY23" s="3090" t="s">
        <v>153</v>
      </c>
      <c r="AZ23" s="512">
        <v>0</v>
      </c>
      <c r="BA23" s="1">
        <v>0</v>
      </c>
      <c r="BB23" s="643" t="s">
        <v>95</v>
      </c>
      <c r="BC23" s="615">
        <v>0</v>
      </c>
      <c r="BD23" s="3306">
        <v>0</v>
      </c>
      <c r="BE23" s="615" t="s">
        <v>153</v>
      </c>
      <c r="BF23" s="615">
        <v>0</v>
      </c>
      <c r="BG23" s="615" t="s">
        <v>153</v>
      </c>
      <c r="BH23" s="615">
        <v>0</v>
      </c>
      <c r="BI23" s="615">
        <v>0</v>
      </c>
      <c r="BJ23" s="615">
        <v>0</v>
      </c>
      <c r="BK23" s="615">
        <v>0</v>
      </c>
      <c r="BL23" s="615" t="s">
        <v>153</v>
      </c>
      <c r="BM23" s="615" t="s">
        <v>153</v>
      </c>
      <c r="BO23" s="643" t="s">
        <v>95</v>
      </c>
      <c r="BP23" s="615">
        <v>0</v>
      </c>
      <c r="BQ23" s="3309">
        <v>0</v>
      </c>
      <c r="BR23" s="3309" t="s">
        <v>153</v>
      </c>
      <c r="BS23" s="3309" t="s">
        <v>153</v>
      </c>
      <c r="BT23" s="3309" t="s">
        <v>153</v>
      </c>
      <c r="BU23" s="3309" t="s">
        <v>153</v>
      </c>
      <c r="BV23" s="3309" t="s">
        <v>153</v>
      </c>
      <c r="BW23" s="3309" t="s">
        <v>153</v>
      </c>
      <c r="BX23" s="3309" t="s">
        <v>153</v>
      </c>
      <c r="BY23" s="3309" t="s">
        <v>153</v>
      </c>
      <c r="BZ23" s="3309" t="s">
        <v>153</v>
      </c>
    </row>
    <row r="24" spans="1:78" ht="14.4" x14ac:dyDescent="0.3">
      <c r="A24" s="2512" t="s">
        <v>74</v>
      </c>
      <c r="B24" s="3006">
        <v>2.0602786142461498</v>
      </c>
      <c r="C24" s="3012">
        <v>1</v>
      </c>
      <c r="D24" s="3013">
        <v>2.0602786142461498</v>
      </c>
      <c r="E24" s="3027">
        <v>1</v>
      </c>
      <c r="F24" s="3164"/>
      <c r="G24" s="3023" t="s">
        <v>153</v>
      </c>
      <c r="H24" s="3024"/>
      <c r="I24" s="3023" t="s">
        <v>153</v>
      </c>
      <c r="J24" s="3025"/>
      <c r="K24" s="3026" t="s">
        <v>153</v>
      </c>
      <c r="L24" s="3020">
        <v>2.0602786142461498</v>
      </c>
      <c r="M24" s="3006" t="s">
        <v>153</v>
      </c>
      <c r="N24" s="3031">
        <v>0.33970332611767351</v>
      </c>
      <c r="O24" s="3031" t="s">
        <v>153</v>
      </c>
      <c r="P24" s="3031">
        <v>1.7205752881284764</v>
      </c>
      <c r="Q24" s="3031" t="s">
        <v>153</v>
      </c>
      <c r="R24" s="3032" t="s">
        <v>153</v>
      </c>
      <c r="S24" s="3033" t="s">
        <v>153</v>
      </c>
      <c r="T24" s="3038" t="s">
        <v>153</v>
      </c>
      <c r="U24" s="3041" t="s">
        <v>153</v>
      </c>
      <c r="V24" s="3043" t="s">
        <v>153</v>
      </c>
      <c r="W24" s="3041">
        <v>0</v>
      </c>
      <c r="X24" s="3041" t="s">
        <v>153</v>
      </c>
      <c r="Y24" s="3041">
        <v>0</v>
      </c>
      <c r="Z24" s="3046" t="s">
        <v>153</v>
      </c>
      <c r="AA24" s="3046">
        <v>1.7205752881284764</v>
      </c>
      <c r="AB24" s="3048" t="s">
        <v>153</v>
      </c>
      <c r="AC24" s="3049" t="s">
        <v>153</v>
      </c>
      <c r="AD24" s="3050" t="s">
        <v>153</v>
      </c>
      <c r="AE24" s="3051" t="s">
        <v>153</v>
      </c>
      <c r="AF24" s="3052" t="s">
        <v>153</v>
      </c>
      <c r="AG24" s="3054" t="s">
        <v>153</v>
      </c>
      <c r="AH24" s="3057" t="s">
        <v>153</v>
      </c>
      <c r="AI24" s="3059">
        <v>0.33970332611767351</v>
      </c>
      <c r="AJ24" s="3006" t="s">
        <v>153</v>
      </c>
      <c r="AK24" s="3031">
        <v>0.33970332611767351</v>
      </c>
      <c r="AL24" s="3061">
        <v>1.7205752881284764</v>
      </c>
      <c r="AM24" s="3063">
        <v>2.0602786142461498</v>
      </c>
      <c r="AN24" s="3065">
        <v>0</v>
      </c>
      <c r="AO24" s="3067" t="s">
        <v>153</v>
      </c>
      <c r="AP24" s="3051" t="s">
        <v>153</v>
      </c>
      <c r="AQ24" s="3072" t="s">
        <v>153</v>
      </c>
      <c r="AR24" s="3076">
        <v>0.16488222698072805</v>
      </c>
      <c r="AS24" s="3078" t="s">
        <v>153</v>
      </c>
      <c r="AT24" s="3080">
        <v>0.16488222698072805</v>
      </c>
      <c r="AU24" s="3082">
        <v>0.83511777301927204</v>
      </c>
      <c r="AV24" s="3084">
        <v>1</v>
      </c>
      <c r="AW24" s="3086">
        <v>0</v>
      </c>
      <c r="AX24" s="3088" t="s">
        <v>153</v>
      </c>
      <c r="AY24" s="3090" t="s">
        <v>153</v>
      </c>
      <c r="AZ24" s="512">
        <v>0</v>
      </c>
      <c r="BA24" s="1">
        <v>0</v>
      </c>
      <c r="BB24" s="643" t="s">
        <v>74</v>
      </c>
      <c r="BC24" s="615">
        <v>2.0602786142461498</v>
      </c>
      <c r="BD24" s="3306">
        <v>1</v>
      </c>
      <c r="BE24" s="615" t="s">
        <v>153</v>
      </c>
      <c r="BF24" s="615">
        <v>0.33970332611767351</v>
      </c>
      <c r="BG24" s="615" t="s">
        <v>153</v>
      </c>
      <c r="BH24" s="615">
        <v>0.33970332611767351</v>
      </c>
      <c r="BI24" s="615">
        <v>1.7205752881284764</v>
      </c>
      <c r="BJ24" s="615">
        <v>2.0602786142461498</v>
      </c>
      <c r="BK24" s="615">
        <v>0</v>
      </c>
      <c r="BL24" s="615" t="s">
        <v>153</v>
      </c>
      <c r="BM24" s="615" t="s">
        <v>153</v>
      </c>
      <c r="BO24" s="643" t="s">
        <v>74</v>
      </c>
      <c r="BP24" s="615">
        <v>2.0602786142461498</v>
      </c>
      <c r="BQ24" s="3309">
        <v>1</v>
      </c>
      <c r="BR24" s="3309" t="s">
        <v>153</v>
      </c>
      <c r="BS24" s="3309">
        <v>0.16488222698072805</v>
      </c>
      <c r="BT24" s="3309" t="s">
        <v>153</v>
      </c>
      <c r="BU24" s="3309">
        <v>0.16488222698072805</v>
      </c>
      <c r="BV24" s="3309">
        <v>0.83511777301927204</v>
      </c>
      <c r="BW24" s="3309">
        <v>1</v>
      </c>
      <c r="BX24" s="3309">
        <v>0</v>
      </c>
      <c r="BY24" s="3309" t="s">
        <v>153</v>
      </c>
      <c r="BZ24" s="3309" t="s">
        <v>153</v>
      </c>
    </row>
    <row r="25" spans="1:78" ht="14.4" x14ac:dyDescent="0.3">
      <c r="A25" s="2512" t="s">
        <v>73</v>
      </c>
      <c r="B25" s="3006">
        <v>229.61099999999999</v>
      </c>
      <c r="C25" s="3012">
        <v>0.31538500806150266</v>
      </c>
      <c r="D25" s="3013">
        <v>229.61099999999999</v>
      </c>
      <c r="E25" s="3027">
        <v>0.31538500806150266</v>
      </c>
      <c r="F25" s="3164"/>
      <c r="G25" s="3023">
        <v>369.10405536855939</v>
      </c>
      <c r="H25" s="3024"/>
      <c r="I25" s="3023">
        <v>129.31891622473819</v>
      </c>
      <c r="J25" s="3025"/>
      <c r="K25" s="3026">
        <v>498.42297159329763</v>
      </c>
      <c r="L25" s="3020">
        <v>728.03397159329768</v>
      </c>
      <c r="M25" s="3006" t="s">
        <v>153</v>
      </c>
      <c r="N25" s="3031">
        <v>157.283535</v>
      </c>
      <c r="O25" s="3031" t="s">
        <v>153</v>
      </c>
      <c r="P25" s="3031">
        <v>72.097853999999998</v>
      </c>
      <c r="Q25" s="3031">
        <v>0.22961100000000001</v>
      </c>
      <c r="R25" s="3032" t="s">
        <v>153</v>
      </c>
      <c r="S25" s="3033" t="s">
        <v>153</v>
      </c>
      <c r="T25" s="3038" t="s">
        <v>153</v>
      </c>
      <c r="U25" s="3041" t="s">
        <v>153</v>
      </c>
      <c r="V25" s="3043" t="s">
        <v>153</v>
      </c>
      <c r="W25" s="3043">
        <v>0</v>
      </c>
      <c r="X25" s="3041">
        <v>12.20175729829149</v>
      </c>
      <c r="Y25" s="3041">
        <v>272.82001052072792</v>
      </c>
      <c r="Z25" s="3046">
        <v>39.707642068855989</v>
      </c>
      <c r="AA25" s="3046">
        <v>182.24271482972949</v>
      </c>
      <c r="AB25" s="3048">
        <v>12.20175729829149</v>
      </c>
      <c r="AC25" s="3049" t="s">
        <v>153</v>
      </c>
      <c r="AD25" s="3050">
        <v>273.0496215207279</v>
      </c>
      <c r="AE25" s="3051">
        <v>7.3570365598603846</v>
      </c>
      <c r="AF25" s="3052">
        <v>56.191664315832391</v>
      </c>
      <c r="AG25" s="3054" t="s">
        <v>153</v>
      </c>
      <c r="AH25" s="3057" t="s">
        <v>153</v>
      </c>
      <c r="AI25" s="3059">
        <v>157.283535</v>
      </c>
      <c r="AJ25" s="3006" t="s">
        <v>153</v>
      </c>
      <c r="AK25" s="3031">
        <v>157.283535</v>
      </c>
      <c r="AL25" s="3061">
        <v>234.15211419687697</v>
      </c>
      <c r="AM25" s="3063">
        <v>391.43564919687697</v>
      </c>
      <c r="AN25" s="3065">
        <v>280.40665808058827</v>
      </c>
      <c r="AO25" s="3067" t="s">
        <v>153</v>
      </c>
      <c r="AP25" s="3051">
        <v>56.191664315832391</v>
      </c>
      <c r="AQ25" s="3072" t="s">
        <v>153</v>
      </c>
      <c r="AR25" s="3076">
        <v>0.21603873052212932</v>
      </c>
      <c r="AS25" s="3078" t="s">
        <v>153</v>
      </c>
      <c r="AT25" s="3080">
        <v>0.21603873052212932</v>
      </c>
      <c r="AU25" s="3082">
        <v>0.32162251121940993</v>
      </c>
      <c r="AV25" s="3084">
        <v>0.53766124174153929</v>
      </c>
      <c r="AW25" s="3086">
        <v>0.38515600785347981</v>
      </c>
      <c r="AX25" s="3088" t="s">
        <v>153</v>
      </c>
      <c r="AY25" s="3090">
        <v>7.7182750404980821E-2</v>
      </c>
      <c r="AZ25" s="512">
        <v>0</v>
      </c>
      <c r="BA25" s="1">
        <v>0</v>
      </c>
      <c r="BB25" s="643" t="s">
        <v>73</v>
      </c>
      <c r="BC25" s="615">
        <v>728.03397159329768</v>
      </c>
      <c r="BD25" s="3306">
        <v>0.31538500806150266</v>
      </c>
      <c r="BE25" s="615" t="s">
        <v>153</v>
      </c>
      <c r="BF25" s="615">
        <v>157.283535</v>
      </c>
      <c r="BG25" s="615" t="s">
        <v>153</v>
      </c>
      <c r="BH25" s="615">
        <v>157.283535</v>
      </c>
      <c r="BI25" s="615">
        <v>234.15211419687697</v>
      </c>
      <c r="BJ25" s="615">
        <v>391.43564919687697</v>
      </c>
      <c r="BK25" s="615">
        <v>280.40665808058827</v>
      </c>
      <c r="BL25" s="615" t="s">
        <v>153</v>
      </c>
      <c r="BM25" s="615">
        <v>56.191664315832391</v>
      </c>
      <c r="BO25" s="643" t="s">
        <v>73</v>
      </c>
      <c r="BP25" s="615">
        <v>728.03397159329768</v>
      </c>
      <c r="BQ25" s="3309">
        <v>0.31538500806150266</v>
      </c>
      <c r="BR25" s="3309" t="s">
        <v>153</v>
      </c>
      <c r="BS25" s="3309">
        <v>0.21603873052212932</v>
      </c>
      <c r="BT25" s="3309" t="s">
        <v>153</v>
      </c>
      <c r="BU25" s="3309">
        <v>0.21603873052212932</v>
      </c>
      <c r="BV25" s="3309">
        <v>0.32162251121940993</v>
      </c>
      <c r="BW25" s="3309">
        <v>0.53766124174153929</v>
      </c>
      <c r="BX25" s="3309">
        <v>0.38515600785347981</v>
      </c>
      <c r="BY25" s="3309" t="s">
        <v>153</v>
      </c>
      <c r="BZ25" s="3309">
        <v>7.7182750404980821E-2</v>
      </c>
    </row>
    <row r="26" spans="1:78" ht="14.4" x14ac:dyDescent="0.3">
      <c r="A26" s="2512" t="s">
        <v>44</v>
      </c>
      <c r="B26" s="3006">
        <v>169.67104900000001</v>
      </c>
      <c r="C26" s="3012">
        <v>0.86927775044885014</v>
      </c>
      <c r="D26" s="3013">
        <v>169.67104900000001</v>
      </c>
      <c r="E26" s="3027">
        <v>0.86927775044885014</v>
      </c>
      <c r="F26" s="3164"/>
      <c r="G26" s="3023">
        <v>25.515183377845432</v>
      </c>
      <c r="H26" s="3024"/>
      <c r="I26" s="3023" t="s">
        <v>153</v>
      </c>
      <c r="J26" s="3025"/>
      <c r="K26" s="3026">
        <v>25.515183377845432</v>
      </c>
      <c r="L26" s="3020">
        <v>195.18623237784544</v>
      </c>
      <c r="M26" s="3006" t="s">
        <v>153</v>
      </c>
      <c r="N26" s="3031">
        <v>158.40458112601675</v>
      </c>
      <c r="O26" s="3031" t="s">
        <v>153</v>
      </c>
      <c r="P26" s="3031" t="s">
        <v>153</v>
      </c>
      <c r="Q26" s="3031">
        <v>11.26646787398327</v>
      </c>
      <c r="R26" s="3032" t="s">
        <v>153</v>
      </c>
      <c r="S26" s="3033" t="s">
        <v>153</v>
      </c>
      <c r="T26" s="3038" t="s">
        <v>153</v>
      </c>
      <c r="U26" s="3041" t="s">
        <v>153</v>
      </c>
      <c r="V26" s="3043" t="s">
        <v>153</v>
      </c>
      <c r="W26" s="3043">
        <v>0</v>
      </c>
      <c r="X26" s="3041" t="s">
        <v>153</v>
      </c>
      <c r="Y26" s="3041">
        <v>13.983314658063458</v>
      </c>
      <c r="Z26" s="3046" t="s">
        <v>153</v>
      </c>
      <c r="AA26" s="3046">
        <v>7.4647888415378096</v>
      </c>
      <c r="AB26" s="3048" t="s">
        <v>153</v>
      </c>
      <c r="AC26" s="3049" t="s">
        <v>153</v>
      </c>
      <c r="AD26" s="3050">
        <v>25.249782532046726</v>
      </c>
      <c r="AE26" s="3051">
        <v>7.4321800492021084E-2</v>
      </c>
      <c r="AF26" s="3052">
        <v>3.9927580777521414</v>
      </c>
      <c r="AG26" s="3054" t="s">
        <v>153</v>
      </c>
      <c r="AH26" s="3057" t="s">
        <v>153</v>
      </c>
      <c r="AI26" s="3059">
        <v>158.40458112601675</v>
      </c>
      <c r="AJ26" s="3006" t="s">
        <v>153</v>
      </c>
      <c r="AK26" s="3031">
        <v>158.40458112601675</v>
      </c>
      <c r="AL26" s="3061">
        <v>7.4647888415378096</v>
      </c>
      <c r="AM26" s="3063">
        <v>165.86936996755455</v>
      </c>
      <c r="AN26" s="3065">
        <v>25.324104332538749</v>
      </c>
      <c r="AO26" s="3067" t="s">
        <v>153</v>
      </c>
      <c r="AP26" s="3051">
        <v>3.9927580777521414</v>
      </c>
      <c r="AQ26" s="3072" t="s">
        <v>153</v>
      </c>
      <c r="AR26" s="3076">
        <v>0.81155611846318121</v>
      </c>
      <c r="AS26" s="3078" t="s">
        <v>153</v>
      </c>
      <c r="AT26" s="3080">
        <v>0.81155611846318121</v>
      </c>
      <c r="AU26" s="3082">
        <v>3.8244443527591231E-2</v>
      </c>
      <c r="AV26" s="3084">
        <v>0.84980056199077236</v>
      </c>
      <c r="AW26" s="3086">
        <v>0.12974329195266107</v>
      </c>
      <c r="AX26" s="3088" t="s">
        <v>153</v>
      </c>
      <c r="AY26" s="3090">
        <v>2.0456146056566531E-2</v>
      </c>
      <c r="AZ26" s="512">
        <v>0</v>
      </c>
      <c r="BA26" s="1">
        <v>0</v>
      </c>
      <c r="BB26" s="643" t="s">
        <v>44</v>
      </c>
      <c r="BC26" s="615">
        <v>195.18623237784544</v>
      </c>
      <c r="BD26" s="3306">
        <v>0.86927775044885014</v>
      </c>
      <c r="BE26" s="615" t="s">
        <v>153</v>
      </c>
      <c r="BF26" s="615">
        <v>158.40458112601675</v>
      </c>
      <c r="BG26" s="615" t="s">
        <v>153</v>
      </c>
      <c r="BH26" s="615">
        <v>158.40458112601675</v>
      </c>
      <c r="BI26" s="615">
        <v>7.4647888415378096</v>
      </c>
      <c r="BJ26" s="615">
        <v>165.86936996755455</v>
      </c>
      <c r="BK26" s="615">
        <v>25.324104332538749</v>
      </c>
      <c r="BL26" s="615" t="s">
        <v>153</v>
      </c>
      <c r="BM26" s="615">
        <v>3.9927580777521414</v>
      </c>
      <c r="BO26" s="643" t="s">
        <v>44</v>
      </c>
      <c r="BP26" s="615">
        <v>195.18623237784544</v>
      </c>
      <c r="BQ26" s="3309">
        <v>0.86927775044885014</v>
      </c>
      <c r="BR26" s="3309" t="s">
        <v>153</v>
      </c>
      <c r="BS26" s="3309">
        <v>0.81155611846318121</v>
      </c>
      <c r="BT26" s="3309" t="s">
        <v>153</v>
      </c>
      <c r="BU26" s="3309">
        <v>0.81155611846318121</v>
      </c>
      <c r="BV26" s="3309">
        <v>3.8244443527591231E-2</v>
      </c>
      <c r="BW26" s="3309">
        <v>0.84980056199077236</v>
      </c>
      <c r="BX26" s="3309">
        <v>0.12974329195266107</v>
      </c>
      <c r="BY26" s="3309" t="s">
        <v>153</v>
      </c>
      <c r="BZ26" s="3309">
        <v>2.0456146056566531E-2</v>
      </c>
    </row>
    <row r="27" spans="1:78" ht="14.4" x14ac:dyDescent="0.3">
      <c r="A27" s="2512" t="s">
        <v>119</v>
      </c>
      <c r="B27" s="3006" t="s">
        <v>153</v>
      </c>
      <c r="C27" s="3012">
        <v>0</v>
      </c>
      <c r="D27" s="3013" t="s">
        <v>153</v>
      </c>
      <c r="E27" s="3027">
        <v>0</v>
      </c>
      <c r="F27" s="3164"/>
      <c r="G27" s="3023">
        <v>76388.448595412745</v>
      </c>
      <c r="H27" s="3024"/>
      <c r="I27" s="3023">
        <v>6588.0803432269413</v>
      </c>
      <c r="J27" s="3025"/>
      <c r="K27" s="3026">
        <v>82976.528938639691</v>
      </c>
      <c r="L27" s="3020">
        <v>82976.528938639691</v>
      </c>
      <c r="M27" s="3006" t="s">
        <v>153</v>
      </c>
      <c r="N27" s="3031" t="s">
        <v>153</v>
      </c>
      <c r="O27" s="3031" t="s">
        <v>153</v>
      </c>
      <c r="P27" s="3031" t="s">
        <v>153</v>
      </c>
      <c r="Q27" s="3031" t="s">
        <v>153</v>
      </c>
      <c r="R27" s="3032" t="s">
        <v>153</v>
      </c>
      <c r="S27" s="3033" t="s">
        <v>153</v>
      </c>
      <c r="T27" s="3038">
        <v>3823.5961277602437</v>
      </c>
      <c r="U27" s="3041">
        <v>621.06446013461755</v>
      </c>
      <c r="V27" s="3044">
        <v>7485.9884022613078</v>
      </c>
      <c r="W27" s="3044">
        <v>8574.518663719602</v>
      </c>
      <c r="X27" s="3041">
        <v>2924.1242856897634</v>
      </c>
      <c r="Y27" s="3041">
        <v>22356.079692218653</v>
      </c>
      <c r="Z27" s="3046">
        <v>24399.19161699</v>
      </c>
      <c r="AA27" s="3046">
        <v>4344.3281927757735</v>
      </c>
      <c r="AB27" s="3048">
        <v>14233.708815711314</v>
      </c>
      <c r="AC27" s="3049" t="s">
        <v>153</v>
      </c>
      <c r="AD27" s="3050">
        <v>32615.837879578765</v>
      </c>
      <c r="AE27" s="3051">
        <v>5033.3269591302032</v>
      </c>
      <c r="AF27" s="3052">
        <v>2350.1354744536366</v>
      </c>
      <c r="AG27" s="3054" t="s">
        <v>153</v>
      </c>
      <c r="AH27" s="3057" t="s">
        <v>153</v>
      </c>
      <c r="AI27" s="3059">
        <v>0</v>
      </c>
      <c r="AJ27" s="3006" t="s">
        <v>153</v>
      </c>
      <c r="AK27" s="3031">
        <v>0</v>
      </c>
      <c r="AL27" s="3061">
        <v>42977.228625477088</v>
      </c>
      <c r="AM27" s="3063">
        <v>42977.228625477088</v>
      </c>
      <c r="AN27" s="3065">
        <v>37649.164838708966</v>
      </c>
      <c r="AO27" s="3067" t="s">
        <v>153</v>
      </c>
      <c r="AP27" s="3051">
        <v>2350.1354744536366</v>
      </c>
      <c r="AQ27" s="3072" t="s">
        <v>153</v>
      </c>
      <c r="AR27" s="3076">
        <v>0</v>
      </c>
      <c r="AS27" s="3078" t="s">
        <v>153</v>
      </c>
      <c r="AT27" s="3080">
        <v>0</v>
      </c>
      <c r="AU27" s="3082">
        <v>0.51794440156997068</v>
      </c>
      <c r="AV27" s="3084">
        <v>0.51794440156997068</v>
      </c>
      <c r="AW27" s="3086">
        <v>0.45373270393788279</v>
      </c>
      <c r="AX27" s="3088" t="s">
        <v>153</v>
      </c>
      <c r="AY27" s="3090">
        <v>2.8322894492146547E-2</v>
      </c>
      <c r="AZ27" s="512">
        <v>0</v>
      </c>
      <c r="BA27" s="1">
        <v>0</v>
      </c>
      <c r="BB27" s="643" t="s">
        <v>119</v>
      </c>
      <c r="BC27" s="615">
        <v>82976.528938639691</v>
      </c>
      <c r="BD27" s="3306">
        <v>0</v>
      </c>
      <c r="BE27" s="615" t="s">
        <v>153</v>
      </c>
      <c r="BF27" s="615">
        <v>0</v>
      </c>
      <c r="BG27" s="615" t="s">
        <v>153</v>
      </c>
      <c r="BH27" s="615">
        <v>0</v>
      </c>
      <c r="BI27" s="615">
        <v>42977.228625477088</v>
      </c>
      <c r="BJ27" s="615">
        <v>42977.228625477088</v>
      </c>
      <c r="BK27" s="615">
        <v>37649.164838708966</v>
      </c>
      <c r="BL27" s="615" t="s">
        <v>153</v>
      </c>
      <c r="BM27" s="615">
        <v>2350.1354744536366</v>
      </c>
      <c r="BO27" s="643" t="s">
        <v>119</v>
      </c>
      <c r="BP27" s="615">
        <v>82976.528938639691</v>
      </c>
      <c r="BQ27" s="3309">
        <v>0</v>
      </c>
      <c r="BR27" s="3309" t="s">
        <v>153</v>
      </c>
      <c r="BS27" s="3309">
        <v>0</v>
      </c>
      <c r="BT27" s="3309" t="s">
        <v>153</v>
      </c>
      <c r="BU27" s="3309">
        <v>0</v>
      </c>
      <c r="BV27" s="3309">
        <v>0.51794440156997068</v>
      </c>
      <c r="BW27" s="3309">
        <v>0.51794440156997068</v>
      </c>
      <c r="BX27" s="3309">
        <v>0.45373270393788279</v>
      </c>
      <c r="BY27" s="3309" t="s">
        <v>153</v>
      </c>
      <c r="BZ27" s="3309">
        <v>2.8322894492146547E-2</v>
      </c>
    </row>
    <row r="28" spans="1:78" ht="14.4" x14ac:dyDescent="0.3">
      <c r="A28" s="3338" t="s">
        <v>82</v>
      </c>
      <c r="B28" s="3006">
        <v>116092.54111707245</v>
      </c>
      <c r="C28" s="3012">
        <v>0.93900411037693332</v>
      </c>
      <c r="D28" s="3013">
        <v>116092.54111707245</v>
      </c>
      <c r="E28" s="3027">
        <v>0.93900411037693332</v>
      </c>
      <c r="F28" s="3164"/>
      <c r="G28" s="3023">
        <v>7447.7497856543359</v>
      </c>
      <c r="H28" s="3024"/>
      <c r="I28" s="3023">
        <v>93.396995051199823</v>
      </c>
      <c r="J28" s="3025"/>
      <c r="K28" s="3026">
        <v>7541.146780705536</v>
      </c>
      <c r="L28" s="3020">
        <v>123633.687897778</v>
      </c>
      <c r="M28" s="3006" t="s">
        <v>153</v>
      </c>
      <c r="N28" s="3031">
        <v>90552.182071316522</v>
      </c>
      <c r="O28" s="3031" t="s">
        <v>153</v>
      </c>
      <c r="P28" s="3031" t="s">
        <v>153</v>
      </c>
      <c r="Q28" s="3031">
        <v>25540.35904575594</v>
      </c>
      <c r="R28" s="3032" t="s">
        <v>153</v>
      </c>
      <c r="S28" s="3033" t="s">
        <v>153</v>
      </c>
      <c r="T28" s="3038" t="s">
        <v>153</v>
      </c>
      <c r="U28" s="3041" t="s">
        <v>153</v>
      </c>
      <c r="V28" s="3043" t="s">
        <v>153</v>
      </c>
      <c r="W28" s="3043">
        <v>0</v>
      </c>
      <c r="X28" s="3041">
        <v>363.01769991405723</v>
      </c>
      <c r="Y28" s="3041">
        <v>3930.4869872454051</v>
      </c>
      <c r="Z28" s="3046">
        <v>1181.3525331195622</v>
      </c>
      <c r="AA28" s="3046">
        <v>1232.0295211900029</v>
      </c>
      <c r="AB28" s="3048">
        <v>363.01769991405723</v>
      </c>
      <c r="AC28" s="3049" t="s">
        <v>153</v>
      </c>
      <c r="AD28" s="3050">
        <v>29470.846033001348</v>
      </c>
      <c r="AE28" s="3051">
        <v>168.73269108288187</v>
      </c>
      <c r="AF28" s="3052">
        <v>665.52734815362612</v>
      </c>
      <c r="AG28" s="3054" t="s">
        <v>153</v>
      </c>
      <c r="AH28" s="3057" t="s">
        <v>153</v>
      </c>
      <c r="AI28" s="3059">
        <v>90552.182071316522</v>
      </c>
      <c r="AJ28" s="3006" t="s">
        <v>153</v>
      </c>
      <c r="AK28" s="3031">
        <v>90552.182071316522</v>
      </c>
      <c r="AL28" s="3061">
        <v>2776.3997542236225</v>
      </c>
      <c r="AM28" s="3063">
        <v>93328.581825540139</v>
      </c>
      <c r="AN28" s="3065">
        <v>29639.578724084229</v>
      </c>
      <c r="AO28" s="3067" t="s">
        <v>153</v>
      </c>
      <c r="AP28" s="3051">
        <v>665.52734815362612</v>
      </c>
      <c r="AQ28" s="3072" t="s">
        <v>153</v>
      </c>
      <c r="AR28" s="3076">
        <v>0.73242320609400802</v>
      </c>
      <c r="AS28" s="3078" t="s">
        <v>153</v>
      </c>
      <c r="AT28" s="3080">
        <v>0.73242320609400802</v>
      </c>
      <c r="AU28" s="3082">
        <v>2.2456660489810733E-2</v>
      </c>
      <c r="AV28" s="3084">
        <v>0.75487986658381867</v>
      </c>
      <c r="AW28" s="3086">
        <v>0.23973707512947953</v>
      </c>
      <c r="AX28" s="3088" t="s">
        <v>153</v>
      </c>
      <c r="AY28" s="3090">
        <v>5.3830582867017045E-3</v>
      </c>
      <c r="AZ28" s="512">
        <v>0</v>
      </c>
      <c r="BA28" s="1">
        <v>0</v>
      </c>
      <c r="BB28" s="3305" t="s">
        <v>1473</v>
      </c>
      <c r="BC28" s="3307">
        <v>1003740.9918898644</v>
      </c>
      <c r="BD28" s="3308">
        <v>0.44988249099700539</v>
      </c>
      <c r="BE28" s="3307">
        <v>5670.9330602242389</v>
      </c>
      <c r="BF28" s="3307">
        <v>324932.52212985291</v>
      </c>
      <c r="BG28" s="3307">
        <v>80446.600759126886</v>
      </c>
      <c r="BH28" s="3307">
        <v>411050.05594920402</v>
      </c>
      <c r="BI28" s="3307">
        <v>294386.59843886166</v>
      </c>
      <c r="BJ28" s="3307">
        <v>705436.65438806568</v>
      </c>
      <c r="BK28" s="3307">
        <v>199550.86820324714</v>
      </c>
      <c r="BL28" s="3307">
        <v>78355.202468695905</v>
      </c>
      <c r="BM28" s="3307">
        <v>20398.266829691038</v>
      </c>
      <c r="BO28" s="3305" t="s">
        <v>1473</v>
      </c>
      <c r="BP28" s="3307">
        <v>1003740.9918898644</v>
      </c>
      <c r="BQ28" s="3310">
        <v>0.44988249099700539</v>
      </c>
      <c r="BR28" s="3310">
        <v>5.6497972146647996E-3</v>
      </c>
      <c r="BS28" s="3310">
        <v>0.32372148268854017</v>
      </c>
      <c r="BT28" s="3310">
        <v>8.0146772333827221E-2</v>
      </c>
      <c r="BU28" s="3310">
        <v>0.40951805223703219</v>
      </c>
      <c r="BV28" s="3310">
        <v>0.29328940515280189</v>
      </c>
      <c r="BW28" s="3310">
        <v>0.70280745738983408</v>
      </c>
      <c r="BX28" s="3310">
        <v>0.19880713233354017</v>
      </c>
      <c r="BY28" s="3310">
        <v>7.8063168787365259E-2</v>
      </c>
      <c r="BZ28" s="3310">
        <v>2.0322241489096463E-2</v>
      </c>
    </row>
    <row r="29" spans="1:78" ht="14.4" x14ac:dyDescent="0.3">
      <c r="A29" s="2572" t="s">
        <v>20</v>
      </c>
      <c r="B29" s="3006">
        <v>15659.205762488407</v>
      </c>
      <c r="C29" s="3012">
        <v>0.35076754068601224</v>
      </c>
      <c r="D29" s="3013">
        <v>15659.205762488407</v>
      </c>
      <c r="E29" s="3027">
        <v>0.35076754068601224</v>
      </c>
      <c r="F29" s="3164"/>
      <c r="G29" s="3023">
        <v>25586.898587408643</v>
      </c>
      <c r="H29" s="3024"/>
      <c r="I29" s="3023">
        <v>3396.583316877869</v>
      </c>
      <c r="J29" s="3025"/>
      <c r="K29" s="3026">
        <v>28983.481904286513</v>
      </c>
      <c r="L29" s="3020">
        <v>44642.687666774917</v>
      </c>
      <c r="M29" s="3006" t="s">
        <v>153</v>
      </c>
      <c r="N29" s="3031" t="s">
        <v>153</v>
      </c>
      <c r="O29" s="3031">
        <v>14017.932420509913</v>
      </c>
      <c r="P29" s="3031">
        <v>1248.6660478000001</v>
      </c>
      <c r="Q29" s="3031">
        <v>392.60729417849433</v>
      </c>
      <c r="R29" s="3032" t="s">
        <v>153</v>
      </c>
      <c r="S29" s="3033" t="s">
        <v>153</v>
      </c>
      <c r="T29" s="3038">
        <v>3544.0402579243469</v>
      </c>
      <c r="U29" s="3041">
        <v>575.65636535270346</v>
      </c>
      <c r="V29" s="3043">
        <v>1559.8469716310474</v>
      </c>
      <c r="W29" s="3043">
        <v>0</v>
      </c>
      <c r="X29" s="3041" t="s">
        <v>153</v>
      </c>
      <c r="Y29" s="3041">
        <v>2828.3677519767066</v>
      </c>
      <c r="Z29" s="3046">
        <v>10076.985501837678</v>
      </c>
      <c r="AA29" s="3046">
        <v>2108.2967999028524</v>
      </c>
      <c r="AB29" s="3048">
        <v>5103.8872295553938</v>
      </c>
      <c r="AC29" s="3049" t="s">
        <v>153</v>
      </c>
      <c r="AD29" s="3050">
        <v>3796.6314115079044</v>
      </c>
      <c r="AE29" s="3051">
        <v>1107.2543074692762</v>
      </c>
      <c r="AF29" s="3052">
        <v>507.58464501679964</v>
      </c>
      <c r="AG29" s="3054">
        <v>7924.1153509750993</v>
      </c>
      <c r="AH29" s="3057" t="s">
        <v>153</v>
      </c>
      <c r="AI29" s="3059">
        <v>0</v>
      </c>
      <c r="AJ29" s="3006">
        <v>14017.932420509913</v>
      </c>
      <c r="AK29" s="3031">
        <v>14017.932420509913</v>
      </c>
      <c r="AL29" s="3061">
        <v>17289.169531295927</v>
      </c>
      <c r="AM29" s="3063">
        <v>31307.101951805838</v>
      </c>
      <c r="AN29" s="3065">
        <v>4903.8857189771807</v>
      </c>
      <c r="AO29" s="3067">
        <v>7924.1153509750993</v>
      </c>
      <c r="AP29" s="3051">
        <v>507.58464501679964</v>
      </c>
      <c r="AQ29" s="3072" t="s">
        <v>153</v>
      </c>
      <c r="AR29" s="3076">
        <v>0</v>
      </c>
      <c r="AS29" s="3078">
        <v>0.31400287825732059</v>
      </c>
      <c r="AT29" s="3080">
        <v>0.31400287825732059</v>
      </c>
      <c r="AU29" s="3082">
        <v>0.38727886771394593</v>
      </c>
      <c r="AV29" s="3084">
        <v>0.70128174597126647</v>
      </c>
      <c r="AW29" s="3086">
        <v>0.10984745711506236</v>
      </c>
      <c r="AX29" s="3088">
        <v>0.17750085770200122</v>
      </c>
      <c r="AY29" s="3090">
        <v>1.1369939211669974E-2</v>
      </c>
      <c r="AZ29" s="512">
        <v>0</v>
      </c>
      <c r="BA29" s="1">
        <v>0</v>
      </c>
      <c r="BB29" s="643" t="s">
        <v>39</v>
      </c>
      <c r="BC29" s="615">
        <v>123633.687897778</v>
      </c>
      <c r="BD29" s="3306">
        <v>0.93900411037693332</v>
      </c>
      <c r="BE29" s="615">
        <v>0</v>
      </c>
      <c r="BF29" s="615">
        <v>90552.182071316522</v>
      </c>
      <c r="BG29" s="615">
        <v>0</v>
      </c>
      <c r="BH29" s="615">
        <v>90552.182071316522</v>
      </c>
      <c r="BI29" s="615">
        <v>2776.3997542236225</v>
      </c>
      <c r="BJ29" s="615">
        <v>93328.581825540139</v>
      </c>
      <c r="BK29" s="615">
        <v>29639.578724084229</v>
      </c>
      <c r="BL29" s="615">
        <v>0</v>
      </c>
      <c r="BM29" s="615">
        <v>665.52734815362612</v>
      </c>
      <c r="BO29" s="643" t="s">
        <v>39</v>
      </c>
      <c r="BP29" s="615">
        <v>123633.687897778</v>
      </c>
      <c r="BQ29" s="3309">
        <v>0.93900411037693332</v>
      </c>
      <c r="BR29" s="3309">
        <v>0</v>
      </c>
      <c r="BS29" s="3309">
        <v>9.0214689648992999E-2</v>
      </c>
      <c r="BT29" s="3309">
        <v>0</v>
      </c>
      <c r="BU29" s="3309">
        <v>9.0214689648992999E-2</v>
      </c>
      <c r="BV29" s="3309">
        <v>2.7660519762136636E-3</v>
      </c>
      <c r="BW29" s="3309">
        <v>9.2980741625206656E-2</v>
      </c>
      <c r="BX29" s="3309">
        <v>2.9529110560960765E-2</v>
      </c>
      <c r="BY29" s="3309">
        <v>0</v>
      </c>
      <c r="BZ29" s="3309">
        <v>6.6304689509647039E-4</v>
      </c>
    </row>
    <row r="30" spans="1:78" ht="14.4" x14ac:dyDescent="0.3">
      <c r="A30" s="2572" t="s">
        <v>24</v>
      </c>
      <c r="B30" s="3006">
        <v>67816.579275816592</v>
      </c>
      <c r="C30" s="3012">
        <v>0.25402930501026194</v>
      </c>
      <c r="D30" s="3013">
        <v>67816.579275816592</v>
      </c>
      <c r="E30" s="3027">
        <v>0.25402930501026194</v>
      </c>
      <c r="F30" s="3164"/>
      <c r="G30" s="3023">
        <v>178792.03568476113</v>
      </c>
      <c r="H30" s="3024"/>
      <c r="I30" s="3023">
        <v>20354.990963065717</v>
      </c>
      <c r="J30" s="3025"/>
      <c r="K30" s="3026">
        <v>199147.02664782683</v>
      </c>
      <c r="L30" s="3020">
        <v>266963.60592364345</v>
      </c>
      <c r="M30" s="3006" t="s">
        <v>153</v>
      </c>
      <c r="N30" s="3031" t="s">
        <v>153</v>
      </c>
      <c r="O30" s="3031">
        <v>66428.668338616975</v>
      </c>
      <c r="P30" s="3031">
        <v>999.70859253333333</v>
      </c>
      <c r="Q30" s="3031">
        <v>388.20234466628301</v>
      </c>
      <c r="R30" s="3032" t="s">
        <v>153</v>
      </c>
      <c r="S30" s="3033" t="s">
        <v>153</v>
      </c>
      <c r="T30" s="3038">
        <v>19816.717149674671</v>
      </c>
      <c r="U30" s="3041">
        <v>18599.277659335916</v>
      </c>
      <c r="V30" s="3043">
        <v>7488.7302480724347</v>
      </c>
      <c r="W30" s="3043">
        <v>0</v>
      </c>
      <c r="X30" s="3041" t="s">
        <v>153</v>
      </c>
      <c r="Y30" s="3041">
        <v>2763.769954568259</v>
      </c>
      <c r="Z30" s="3046">
        <v>47179.016874343579</v>
      </c>
      <c r="AA30" s="3046">
        <v>18049.712081246129</v>
      </c>
      <c r="AB30" s="3048">
        <v>27305.447397747106</v>
      </c>
      <c r="AC30" s="3049" t="s">
        <v>153</v>
      </c>
      <c r="AD30" s="3050">
        <v>21751.249958570457</v>
      </c>
      <c r="AE30" s="3051">
        <v>7206.5868777493106</v>
      </c>
      <c r="AF30" s="3052">
        <v>8940.6070179196013</v>
      </c>
      <c r="AG30" s="3054">
        <v>70102.317377450279</v>
      </c>
      <c r="AH30" s="3057" t="s">
        <v>153</v>
      </c>
      <c r="AI30" s="3059">
        <v>0</v>
      </c>
      <c r="AJ30" s="3006">
        <v>66428.668338616975</v>
      </c>
      <c r="AK30" s="3031">
        <v>66428.668338616975</v>
      </c>
      <c r="AL30" s="3061">
        <v>92534.176353336807</v>
      </c>
      <c r="AM30" s="3063">
        <v>158962.8446919538</v>
      </c>
      <c r="AN30" s="3065">
        <v>28957.836836319766</v>
      </c>
      <c r="AO30" s="3067">
        <v>70102.317377450279</v>
      </c>
      <c r="AP30" s="3051">
        <v>8940.6070179196013</v>
      </c>
      <c r="AQ30" s="3072" t="s">
        <v>153</v>
      </c>
      <c r="AR30" s="3076">
        <v>0</v>
      </c>
      <c r="AS30" s="3078">
        <v>0.24883042806073277</v>
      </c>
      <c r="AT30" s="3080">
        <v>0.24883042806073277</v>
      </c>
      <c r="AU30" s="3082">
        <v>0.3466171953783217</v>
      </c>
      <c r="AV30" s="3084">
        <v>0.59544762343905455</v>
      </c>
      <c r="AW30" s="3086">
        <v>0.1084711031532974</v>
      </c>
      <c r="AX30" s="3088">
        <v>0.26259128893209827</v>
      </c>
      <c r="AY30" s="3090">
        <v>3.3489984475549753E-2</v>
      </c>
      <c r="AZ30" s="3531">
        <v>0</v>
      </c>
      <c r="BA30" s="3532">
        <v>0</v>
      </c>
      <c r="BB30" s="643" t="s">
        <v>1474</v>
      </c>
      <c r="BC30" s="615">
        <v>1127374.6797876423</v>
      </c>
      <c r="BD30" s="3306">
        <v>0.50352207570531604</v>
      </c>
      <c r="BE30" s="615">
        <v>5670.9330602242389</v>
      </c>
      <c r="BF30" s="615">
        <v>415484.70420133398</v>
      </c>
      <c r="BG30" s="615">
        <v>80446.600759126886</v>
      </c>
      <c r="BH30" s="615">
        <v>501602.23802068509</v>
      </c>
      <c r="BI30" s="615">
        <v>297162.99819308531</v>
      </c>
      <c r="BJ30" s="615">
        <v>798765.23621377046</v>
      </c>
      <c r="BK30" s="615">
        <v>229190.44692733139</v>
      </c>
      <c r="BL30" s="615">
        <v>78355.202468695905</v>
      </c>
      <c r="BM30" s="615">
        <v>21063.794177844662</v>
      </c>
      <c r="BO30" s="643" t="s">
        <v>1474</v>
      </c>
      <c r="BP30" s="615">
        <v>1127374.6797876423</v>
      </c>
      <c r="BQ30" s="3309">
        <v>0.50352207570531604</v>
      </c>
      <c r="BR30" s="3309">
        <v>5.0302114832776294E-3</v>
      </c>
      <c r="BS30" s="3309">
        <v>0.36854180925865448</v>
      </c>
      <c r="BT30" s="3309">
        <v>7.1357466334333666E-2</v>
      </c>
      <c r="BU30" s="3309">
        <v>0.44492948707626578</v>
      </c>
      <c r="BV30" s="3309">
        <v>0.26358849770252102</v>
      </c>
      <c r="BW30" s="3309">
        <v>0.7085179847787868</v>
      </c>
      <c r="BX30" s="3309">
        <v>0.20329571972514301</v>
      </c>
      <c r="BY30" s="3309">
        <v>6.950236143626648E-2</v>
      </c>
      <c r="BZ30" s="3309">
        <v>1.8683934059803738E-2</v>
      </c>
    </row>
    <row r="31" spans="1:78" s="1907" customFormat="1" ht="14.4" x14ac:dyDescent="0.3">
      <c r="A31" s="2572" t="s">
        <v>238</v>
      </c>
      <c r="B31" s="3006">
        <v>53302.591949999995</v>
      </c>
      <c r="C31" s="3012">
        <v>0.94801144756059608</v>
      </c>
      <c r="D31" s="3013" t="s">
        <v>153</v>
      </c>
      <c r="E31" s="3027">
        <v>0</v>
      </c>
      <c r="F31" s="3164"/>
      <c r="G31" s="3023">
        <v>2923.0919140051756</v>
      </c>
      <c r="H31" s="3024"/>
      <c r="I31" s="3023" t="s">
        <v>153</v>
      </c>
      <c r="J31" s="3025"/>
      <c r="K31" s="3026">
        <v>2923.0919140051756</v>
      </c>
      <c r="L31" s="3020">
        <v>56225.683864005172</v>
      </c>
      <c r="M31" s="3006" t="s">
        <v>153</v>
      </c>
      <c r="N31" s="3031">
        <v>50637.462352499992</v>
      </c>
      <c r="O31" s="3031" t="s">
        <v>153</v>
      </c>
      <c r="P31" s="3031">
        <v>2665.1295974999998</v>
      </c>
      <c r="Q31" s="3031" t="s">
        <v>153</v>
      </c>
      <c r="R31" s="3032" t="s">
        <v>153</v>
      </c>
      <c r="S31" s="3033" t="s">
        <v>153</v>
      </c>
      <c r="T31" s="3038" t="s">
        <v>153</v>
      </c>
      <c r="U31" s="3041" t="s">
        <v>153</v>
      </c>
      <c r="V31" s="3043" t="s">
        <v>153</v>
      </c>
      <c r="W31" s="3043">
        <v>0</v>
      </c>
      <c r="X31" s="3041" t="s">
        <v>153</v>
      </c>
      <c r="Y31" s="3041">
        <v>1571.1013775289614</v>
      </c>
      <c r="Z31" s="3046" t="s">
        <v>153</v>
      </c>
      <c r="AA31" s="3046">
        <v>3545.9746808014611</v>
      </c>
      <c r="AB31" s="3048" t="s">
        <v>153</v>
      </c>
      <c r="AC31" s="3049" t="s">
        <v>153</v>
      </c>
      <c r="AD31" s="3050">
        <v>1571.1013775289614</v>
      </c>
      <c r="AE31" s="3051" t="s">
        <v>153</v>
      </c>
      <c r="AF31" s="3052">
        <v>471.14545317475267</v>
      </c>
      <c r="AG31" s="3054" t="s">
        <v>153</v>
      </c>
      <c r="AH31" s="3057" t="s">
        <v>153</v>
      </c>
      <c r="AI31" s="3059">
        <v>50637.462352499992</v>
      </c>
      <c r="AJ31" s="3006" t="s">
        <v>153</v>
      </c>
      <c r="AK31" s="3031">
        <v>50637.462352499992</v>
      </c>
      <c r="AL31" s="3061">
        <v>3545.9746808014611</v>
      </c>
      <c r="AM31" s="3063">
        <v>54183.437033301452</v>
      </c>
      <c r="AN31" s="3065">
        <v>1571.1013775289614</v>
      </c>
      <c r="AO31" s="3067" t="s">
        <v>153</v>
      </c>
      <c r="AP31" s="3051">
        <v>471.14545317475267</v>
      </c>
      <c r="AQ31" s="3072" t="s">
        <v>153</v>
      </c>
      <c r="AR31" s="3076">
        <v>0.90061087518256622</v>
      </c>
      <c r="AS31" s="3078" t="s">
        <v>153</v>
      </c>
      <c r="AT31" s="3080">
        <v>0.90061087518256622</v>
      </c>
      <c r="AU31" s="3082">
        <v>6.3066812835540095E-2</v>
      </c>
      <c r="AV31" s="3084">
        <v>0.96367768801810638</v>
      </c>
      <c r="AW31" s="3086">
        <v>2.7942770448626888E-2</v>
      </c>
      <c r="AX31" s="3088" t="s">
        <v>153</v>
      </c>
      <c r="AY31" s="3090">
        <v>8.3795415332666642E-3</v>
      </c>
      <c r="AZ31" s="3531">
        <v>0</v>
      </c>
      <c r="BA31" s="3532">
        <v>0</v>
      </c>
    </row>
    <row r="32" spans="1:78" s="1907" customFormat="1" ht="14.4" x14ac:dyDescent="0.3">
      <c r="A32" s="2572" t="s">
        <v>239</v>
      </c>
      <c r="B32" s="3006" t="s">
        <v>153</v>
      </c>
      <c r="C32" s="3012">
        <v>0</v>
      </c>
      <c r="D32" s="3013" t="s">
        <v>153</v>
      </c>
      <c r="E32" s="3027">
        <v>0</v>
      </c>
      <c r="F32" s="3164"/>
      <c r="G32" s="3023" t="s">
        <v>153</v>
      </c>
      <c r="H32" s="3024"/>
      <c r="I32" s="3023" t="s">
        <v>153</v>
      </c>
      <c r="J32" s="3025"/>
      <c r="K32" s="3026" t="s">
        <v>153</v>
      </c>
      <c r="L32" s="3020" t="s">
        <v>153</v>
      </c>
      <c r="M32" s="3006" t="s">
        <v>153</v>
      </c>
      <c r="N32" s="3031" t="s">
        <v>153</v>
      </c>
      <c r="O32" s="3031" t="s">
        <v>153</v>
      </c>
      <c r="P32" s="3031" t="s">
        <v>153</v>
      </c>
      <c r="Q32" s="3031" t="s">
        <v>153</v>
      </c>
      <c r="R32" s="3032" t="s">
        <v>153</v>
      </c>
      <c r="S32" s="3033" t="s">
        <v>153</v>
      </c>
      <c r="T32" s="3038" t="s">
        <v>153</v>
      </c>
      <c r="U32" s="3041" t="s">
        <v>153</v>
      </c>
      <c r="V32" s="3043" t="s">
        <v>153</v>
      </c>
      <c r="W32" s="3043">
        <v>0</v>
      </c>
      <c r="X32" s="3041" t="s">
        <v>153</v>
      </c>
      <c r="Y32" s="3041">
        <v>0</v>
      </c>
      <c r="Z32" s="3046" t="s">
        <v>153</v>
      </c>
      <c r="AA32" s="3046" t="s">
        <v>153</v>
      </c>
      <c r="AB32" s="3048" t="s">
        <v>153</v>
      </c>
      <c r="AC32" s="3049" t="s">
        <v>153</v>
      </c>
      <c r="AD32" s="3050" t="s">
        <v>153</v>
      </c>
      <c r="AE32" s="3051" t="s">
        <v>153</v>
      </c>
      <c r="AF32" s="3052" t="s">
        <v>153</v>
      </c>
      <c r="AG32" s="3054" t="s">
        <v>153</v>
      </c>
      <c r="AH32" s="3057" t="s">
        <v>153</v>
      </c>
      <c r="AI32" s="3059">
        <v>0</v>
      </c>
      <c r="AJ32" s="3006" t="s">
        <v>153</v>
      </c>
      <c r="AK32" s="3031">
        <v>0</v>
      </c>
      <c r="AL32" s="3061">
        <v>0</v>
      </c>
      <c r="AM32" s="3063">
        <v>0</v>
      </c>
      <c r="AN32" s="3065">
        <v>0</v>
      </c>
      <c r="AO32" s="3067" t="s">
        <v>153</v>
      </c>
      <c r="AP32" s="3051" t="s">
        <v>153</v>
      </c>
      <c r="AQ32" s="3072" t="s">
        <v>153</v>
      </c>
      <c r="AR32" s="3076" t="s">
        <v>153</v>
      </c>
      <c r="AS32" s="3078" t="s">
        <v>153</v>
      </c>
      <c r="AT32" s="3080" t="s">
        <v>153</v>
      </c>
      <c r="AU32" s="3082" t="s">
        <v>153</v>
      </c>
      <c r="AV32" s="3084" t="s">
        <v>153</v>
      </c>
      <c r="AW32" s="3086" t="s">
        <v>153</v>
      </c>
      <c r="AX32" s="3088" t="s">
        <v>153</v>
      </c>
      <c r="AY32" s="3090" t="s">
        <v>153</v>
      </c>
      <c r="AZ32" s="3531"/>
      <c r="BA32" s="3532"/>
    </row>
    <row r="33" spans="1:53" s="1907" customFormat="1" ht="27" x14ac:dyDescent="0.3">
      <c r="A33" s="2572" t="s">
        <v>240</v>
      </c>
      <c r="B33" s="3006" t="s">
        <v>153</v>
      </c>
      <c r="C33" s="3012">
        <v>0</v>
      </c>
      <c r="D33" s="3013" t="s">
        <v>153</v>
      </c>
      <c r="E33" s="3027">
        <v>0</v>
      </c>
      <c r="F33" s="3164"/>
      <c r="G33" s="3023" t="s">
        <v>153</v>
      </c>
      <c r="H33" s="3024"/>
      <c r="I33" s="3023" t="s">
        <v>153</v>
      </c>
      <c r="J33" s="3025"/>
      <c r="K33" s="3026" t="s">
        <v>153</v>
      </c>
      <c r="L33" s="3020" t="s">
        <v>153</v>
      </c>
      <c r="M33" s="3006" t="s">
        <v>153</v>
      </c>
      <c r="N33" s="3031" t="s">
        <v>153</v>
      </c>
      <c r="O33" s="3031" t="s">
        <v>153</v>
      </c>
      <c r="P33" s="3031" t="s">
        <v>153</v>
      </c>
      <c r="Q33" s="3031" t="s">
        <v>153</v>
      </c>
      <c r="R33" s="3032" t="s">
        <v>153</v>
      </c>
      <c r="S33" s="3033" t="s">
        <v>153</v>
      </c>
      <c r="T33" s="3038" t="s">
        <v>153</v>
      </c>
      <c r="U33" s="3041" t="s">
        <v>153</v>
      </c>
      <c r="V33" s="3043" t="s">
        <v>153</v>
      </c>
      <c r="W33" s="3043">
        <v>0</v>
      </c>
      <c r="X33" s="3041" t="s">
        <v>153</v>
      </c>
      <c r="Y33" s="3041">
        <v>0</v>
      </c>
      <c r="Z33" s="3046" t="s">
        <v>153</v>
      </c>
      <c r="AA33" s="3046" t="s">
        <v>153</v>
      </c>
      <c r="AB33" s="3048" t="s">
        <v>153</v>
      </c>
      <c r="AC33" s="3049" t="s">
        <v>153</v>
      </c>
      <c r="AD33" s="3050" t="s">
        <v>153</v>
      </c>
      <c r="AE33" s="3051" t="s">
        <v>153</v>
      </c>
      <c r="AF33" s="3052" t="s">
        <v>153</v>
      </c>
      <c r="AG33" s="3054" t="s">
        <v>153</v>
      </c>
      <c r="AH33" s="3057" t="s">
        <v>153</v>
      </c>
      <c r="AI33" s="3059">
        <v>0</v>
      </c>
      <c r="AJ33" s="3006" t="s">
        <v>153</v>
      </c>
      <c r="AK33" s="3031">
        <v>0</v>
      </c>
      <c r="AL33" s="3061">
        <v>0</v>
      </c>
      <c r="AM33" s="3063">
        <v>0</v>
      </c>
      <c r="AN33" s="3065">
        <v>0</v>
      </c>
      <c r="AO33" s="3067" t="s">
        <v>153</v>
      </c>
      <c r="AP33" s="3051" t="s">
        <v>153</v>
      </c>
      <c r="AQ33" s="3072" t="s">
        <v>153</v>
      </c>
      <c r="AR33" s="3076" t="s">
        <v>153</v>
      </c>
      <c r="AS33" s="3078" t="s">
        <v>153</v>
      </c>
      <c r="AT33" s="3080" t="s">
        <v>153</v>
      </c>
      <c r="AU33" s="3082" t="s">
        <v>153</v>
      </c>
      <c r="AV33" s="3084" t="s">
        <v>153</v>
      </c>
      <c r="AW33" s="3086" t="s">
        <v>153</v>
      </c>
      <c r="AX33" s="3088" t="s">
        <v>153</v>
      </c>
      <c r="AY33" s="3090" t="s">
        <v>153</v>
      </c>
      <c r="AZ33" s="3531"/>
      <c r="BA33" s="3532"/>
    </row>
    <row r="34" spans="1:53" s="1907" customFormat="1" ht="14.4" x14ac:dyDescent="0.3">
      <c r="A34" s="2572" t="s">
        <v>241</v>
      </c>
      <c r="B34" s="3006">
        <v>9470.6323057785175</v>
      </c>
      <c r="C34" s="3012">
        <v>0.4432095601561416</v>
      </c>
      <c r="D34" s="3013">
        <v>12821.120876071753</v>
      </c>
      <c r="E34" s="3027">
        <v>0.60000675358553801</v>
      </c>
      <c r="F34" s="3164"/>
      <c r="G34" s="3023">
        <v>10978.060784626536</v>
      </c>
      <c r="H34" s="3024"/>
      <c r="I34" s="3023">
        <v>919.60118204258288</v>
      </c>
      <c r="J34" s="3025"/>
      <c r="K34" s="3026">
        <v>11897.661966669119</v>
      </c>
      <c r="L34" s="3020">
        <v>21368.294272447638</v>
      </c>
      <c r="M34" s="3006" t="s">
        <v>153</v>
      </c>
      <c r="N34" s="3031">
        <v>7208.4597679999997</v>
      </c>
      <c r="O34" s="3031" t="s">
        <v>153</v>
      </c>
      <c r="P34" s="3031" t="s">
        <v>153</v>
      </c>
      <c r="Q34" s="3031">
        <v>2262.1725377785169</v>
      </c>
      <c r="R34" s="3032" t="s">
        <v>153</v>
      </c>
      <c r="S34" s="3033">
        <v>2665.8885702932357</v>
      </c>
      <c r="T34" s="3038" t="s">
        <v>153</v>
      </c>
      <c r="U34" s="3041" t="s">
        <v>153</v>
      </c>
      <c r="V34" s="3043">
        <v>252.98926680850832</v>
      </c>
      <c r="W34" s="3041">
        <v>0</v>
      </c>
      <c r="X34" s="3041">
        <v>381.48185173514293</v>
      </c>
      <c r="Y34" s="3041">
        <v>3957.1230692527351</v>
      </c>
      <c r="Z34" s="3046" t="s">
        <v>153</v>
      </c>
      <c r="AA34" s="3046" t="s">
        <v>153</v>
      </c>
      <c r="AB34" s="3048">
        <v>252.98926680850832</v>
      </c>
      <c r="AC34" s="3049">
        <v>2169.1813797050777</v>
      </c>
      <c r="AD34" s="3050">
        <v>6600.7774587663962</v>
      </c>
      <c r="AE34" s="3051">
        <v>421.28448057313369</v>
      </c>
      <c r="AF34" s="3052">
        <v>710.74894641983701</v>
      </c>
      <c r="AG34" s="3054" t="s">
        <v>153</v>
      </c>
      <c r="AH34" s="3057" t="s">
        <v>153</v>
      </c>
      <c r="AI34" s="3059">
        <v>11213.312740174686</v>
      </c>
      <c r="AJ34" s="3006" t="s">
        <v>153</v>
      </c>
      <c r="AK34" s="3031">
        <v>11213.312740174686</v>
      </c>
      <c r="AL34" s="3061">
        <v>252.98926680850832</v>
      </c>
      <c r="AM34" s="3063">
        <v>11466.302006983195</v>
      </c>
      <c r="AN34" s="3065">
        <v>9191.2433190446063</v>
      </c>
      <c r="AO34" s="3067" t="s">
        <v>153</v>
      </c>
      <c r="AP34" s="3051">
        <v>710.74894641983701</v>
      </c>
      <c r="AQ34" s="3072" t="s">
        <v>153</v>
      </c>
      <c r="AR34" s="3076">
        <v>0.52476405450074581</v>
      </c>
      <c r="AS34" s="3078" t="s">
        <v>153</v>
      </c>
      <c r="AT34" s="3080">
        <v>0.52476405450074581</v>
      </c>
      <c r="AU34" s="3082">
        <v>1.1839469429935438E-2</v>
      </c>
      <c r="AV34" s="3084">
        <v>0.53660352393068123</v>
      </c>
      <c r="AW34" s="3086">
        <v>0.43013462852277506</v>
      </c>
      <c r="AX34" s="3088" t="s">
        <v>153</v>
      </c>
      <c r="AY34" s="3090">
        <v>3.3261847546543738E-2</v>
      </c>
      <c r="AZ34" s="3531">
        <v>0</v>
      </c>
      <c r="BA34" s="3532">
        <v>0</v>
      </c>
    </row>
    <row r="35" spans="1:53" s="1907" customFormat="1" ht="14.4" x14ac:dyDescent="0.3">
      <c r="A35" s="2572" t="s">
        <v>149</v>
      </c>
      <c r="B35" s="3006">
        <v>35623.126290691085</v>
      </c>
      <c r="C35" s="3012">
        <v>0.33143847987914071</v>
      </c>
      <c r="D35" s="3013">
        <v>37210.206290691087</v>
      </c>
      <c r="E35" s="3027">
        <v>0.34620471286931048</v>
      </c>
      <c r="F35" s="3164"/>
      <c r="G35" s="3023">
        <v>85423.397297386226</v>
      </c>
      <c r="H35" s="3024"/>
      <c r="I35" s="3023">
        <v>2717.4960000000001</v>
      </c>
      <c r="J35" s="3025"/>
      <c r="K35" s="3026">
        <v>71857.231161108371</v>
      </c>
      <c r="L35" s="3020">
        <v>107480.35745179946</v>
      </c>
      <c r="M35" s="3006" t="s">
        <v>153</v>
      </c>
      <c r="N35" s="3031">
        <v>28734.868071153371</v>
      </c>
      <c r="O35" s="3031" t="s">
        <v>153</v>
      </c>
      <c r="P35" s="3031">
        <v>3260.1342542751863</v>
      </c>
      <c r="Q35" s="3031">
        <v>3628.1239652625295</v>
      </c>
      <c r="R35" s="3032" t="s">
        <v>153</v>
      </c>
      <c r="S35" s="3033">
        <v>1587.08</v>
      </c>
      <c r="T35" s="3038" t="s">
        <v>153</v>
      </c>
      <c r="U35" s="3041" t="s">
        <v>153</v>
      </c>
      <c r="V35" s="3043">
        <v>9706.1361640275154</v>
      </c>
      <c r="W35" s="3044">
        <v>18655.163012270648</v>
      </c>
      <c r="X35" s="3041" t="s">
        <v>153</v>
      </c>
      <c r="Y35" s="3041">
        <v>8735.7844298321652</v>
      </c>
      <c r="Z35" s="3046">
        <v>21536.067662770358</v>
      </c>
      <c r="AA35" s="3046">
        <v>7184.057553014708</v>
      </c>
      <c r="AB35" s="3048">
        <v>9706.1361640275154</v>
      </c>
      <c r="AC35" s="3049" t="s">
        <v>153</v>
      </c>
      <c r="AD35" s="3050">
        <v>33899.462813277169</v>
      </c>
      <c r="AE35" s="3051">
        <v>2665.3869066378738</v>
      </c>
      <c r="AF35" s="3052">
        <v>2167.2982809184568</v>
      </c>
      <c r="AG35" s="3054" t="s">
        <v>153</v>
      </c>
      <c r="AH35" s="3057" t="s">
        <v>153</v>
      </c>
      <c r="AI35" s="3059">
        <v>30321.948071153369</v>
      </c>
      <c r="AJ35" s="3006" t="s">
        <v>153</v>
      </c>
      <c r="AK35" s="3031">
        <v>30321.948071153369</v>
      </c>
      <c r="AL35" s="3061">
        <v>38426.261379812582</v>
      </c>
      <c r="AM35" s="3063">
        <v>68748.209450965951</v>
      </c>
      <c r="AN35" s="3065">
        <v>36564.849719915044</v>
      </c>
      <c r="AO35" s="3067" t="s">
        <v>153</v>
      </c>
      <c r="AP35" s="3051">
        <v>2167.2982809184568</v>
      </c>
      <c r="AQ35" s="3072" t="s">
        <v>153</v>
      </c>
      <c r="AR35" s="3076">
        <v>0.28211618187771215</v>
      </c>
      <c r="AS35" s="3078" t="s">
        <v>153</v>
      </c>
      <c r="AT35" s="3080">
        <v>0.28211618187771215</v>
      </c>
      <c r="AU35" s="3082">
        <v>0.35751892058086232</v>
      </c>
      <c r="AV35" s="3084">
        <v>0.63963510245857447</v>
      </c>
      <c r="AW35" s="3086">
        <v>0.34020029879704189</v>
      </c>
      <c r="AX35" s="3088" t="s">
        <v>153</v>
      </c>
      <c r="AY35" s="3090">
        <v>2.0164598744383609E-2</v>
      </c>
      <c r="AZ35" s="3531">
        <v>0</v>
      </c>
      <c r="BA35" s="3532">
        <v>0</v>
      </c>
    </row>
    <row r="36" spans="1:53" s="1907" customFormat="1" ht="14.4" x14ac:dyDescent="0.3">
      <c r="A36" s="2572" t="s">
        <v>242</v>
      </c>
      <c r="B36" s="3006">
        <v>207889.75804108859</v>
      </c>
      <c r="C36" s="3012">
        <v>0.6319368263682027</v>
      </c>
      <c r="D36" s="3013">
        <v>229125.29548674833</v>
      </c>
      <c r="E36" s="3027">
        <v>0.69648795320621182</v>
      </c>
      <c r="F36" s="3164"/>
      <c r="G36" s="3023">
        <v>100426.33809888185</v>
      </c>
      <c r="H36" s="3024"/>
      <c r="I36" s="3023">
        <v>20656.277943447971</v>
      </c>
      <c r="J36" s="3025"/>
      <c r="K36" s="3026">
        <v>121082.61604232983</v>
      </c>
      <c r="L36" s="3020">
        <v>328972.3740834184</v>
      </c>
      <c r="M36" s="3006" t="s">
        <v>153</v>
      </c>
      <c r="N36" s="3031">
        <v>184647.3487129097</v>
      </c>
      <c r="O36" s="3031" t="s">
        <v>153</v>
      </c>
      <c r="P36" s="3031">
        <v>3293.6220278574324</v>
      </c>
      <c r="Q36" s="3031">
        <v>19762.354190919839</v>
      </c>
      <c r="R36" s="3032">
        <v>186.43310940162405</v>
      </c>
      <c r="S36" s="3033">
        <v>6333.0178719963415</v>
      </c>
      <c r="T36" s="3038">
        <v>5930.7957864662867</v>
      </c>
      <c r="U36" s="3041">
        <v>963.33565581048504</v>
      </c>
      <c r="V36" s="3043">
        <v>9526.9617280300299</v>
      </c>
      <c r="W36" s="3041">
        <v>14152.411725253087</v>
      </c>
      <c r="X36" s="3041">
        <v>1834.7159583740709</v>
      </c>
      <c r="Y36" s="3041">
        <v>30245.092847652773</v>
      </c>
      <c r="Z36" s="3046">
        <v>25930.610423991173</v>
      </c>
      <c r="AA36" s="3046">
        <v>11579.546511136514</v>
      </c>
      <c r="AB36" s="3048">
        <v>17292.473472870384</v>
      </c>
      <c r="AC36" s="3049">
        <v>5970.635441448796</v>
      </c>
      <c r="AD36" s="3050">
        <v>68132.755341571392</v>
      </c>
      <c r="AE36" s="3051">
        <v>4591.501671184853</v>
      </c>
      <c r="AF36" s="3052">
        <v>4308.0515269076323</v>
      </c>
      <c r="AG36" s="3054">
        <v>186.43310940162405</v>
      </c>
      <c r="AH36" s="3057" t="s">
        <v>153</v>
      </c>
      <c r="AI36" s="3059">
        <v>190980.36658490603</v>
      </c>
      <c r="AJ36" s="3006" t="s">
        <v>153</v>
      </c>
      <c r="AK36" s="3031">
        <v>190980.36658490603</v>
      </c>
      <c r="AL36" s="3061">
        <v>54802.630407998069</v>
      </c>
      <c r="AM36" s="3063">
        <v>245782.99699290411</v>
      </c>
      <c r="AN36" s="3065">
        <v>78694.892454205052</v>
      </c>
      <c r="AO36" s="3067">
        <v>186.43310940162405</v>
      </c>
      <c r="AP36" s="3051">
        <v>4308.0515269076323</v>
      </c>
      <c r="AQ36" s="3072" t="s">
        <v>153</v>
      </c>
      <c r="AR36" s="3076">
        <v>0.58053618367504212</v>
      </c>
      <c r="AS36" s="3078" t="s">
        <v>153</v>
      </c>
      <c r="AT36" s="3080">
        <v>0.58053618367504212</v>
      </c>
      <c r="AU36" s="3082">
        <v>0.16658733293544467</v>
      </c>
      <c r="AV36" s="3084">
        <v>0.74712351661048682</v>
      </c>
      <c r="AW36" s="3086">
        <v>0.23921428865710825</v>
      </c>
      <c r="AX36" s="3088">
        <v>5.6671357259424377E-4</v>
      </c>
      <c r="AY36" s="3090">
        <v>1.3095481159810787E-2</v>
      </c>
      <c r="AZ36" s="3531">
        <v>0</v>
      </c>
      <c r="BA36" s="3532">
        <v>0</v>
      </c>
    </row>
    <row r="37" spans="1:53" s="1907" customFormat="1" ht="14.4" x14ac:dyDescent="0.3">
      <c r="A37" s="2572" t="s">
        <v>174</v>
      </c>
      <c r="B37" s="3006">
        <v>29839.203170691086</v>
      </c>
      <c r="C37" s="3012">
        <v>0.37924940340871838</v>
      </c>
      <c r="D37" s="3013">
        <v>30911.980904289496</v>
      </c>
      <c r="E37" s="3027">
        <v>0.39288416145269234</v>
      </c>
      <c r="F37" s="3164"/>
      <c r="G37" s="3023">
        <v>48840.427970437624</v>
      </c>
      <c r="H37" s="3024"/>
      <c r="I37" s="3023" t="s">
        <v>153</v>
      </c>
      <c r="J37" s="3025"/>
      <c r="K37" s="3026">
        <v>48840.427970437624</v>
      </c>
      <c r="L37" s="3020">
        <v>78679.631141128717</v>
      </c>
      <c r="M37" s="3006" t="s">
        <v>153</v>
      </c>
      <c r="N37" s="3031">
        <v>23240.141107153373</v>
      </c>
      <c r="O37" s="3031" t="s">
        <v>153</v>
      </c>
      <c r="P37" s="3031">
        <v>3260.1342542751863</v>
      </c>
      <c r="Q37" s="3031">
        <v>3338.9278092625295</v>
      </c>
      <c r="R37" s="3032" t="s">
        <v>153</v>
      </c>
      <c r="S37" s="3033">
        <v>1072.7777335984094</v>
      </c>
      <c r="T37" s="3038" t="s">
        <v>153</v>
      </c>
      <c r="U37" s="3041" t="s">
        <v>153</v>
      </c>
      <c r="V37" s="3043">
        <v>6180.6442029020636</v>
      </c>
      <c r="W37" s="3041">
        <v>11549.774318539074</v>
      </c>
      <c r="X37" s="3041" t="s">
        <v>153</v>
      </c>
      <c r="Y37" s="3041">
        <v>7698.99531296847</v>
      </c>
      <c r="Z37" s="3046">
        <v>13967.548809779983</v>
      </c>
      <c r="AA37" s="3046">
        <v>5798.1624603980408</v>
      </c>
      <c r="AB37" s="3048">
        <v>6180.6442029020636</v>
      </c>
      <c r="AC37" s="3049" t="s">
        <v>153</v>
      </c>
      <c r="AD37" s="3050">
        <v>25005.139059318302</v>
      </c>
      <c r="AE37" s="3051">
        <v>1954.5964056984235</v>
      </c>
      <c r="AF37" s="3052">
        <v>1460.6213622801122</v>
      </c>
      <c r="AG37" s="3054" t="s">
        <v>153</v>
      </c>
      <c r="AH37" s="3057" t="s">
        <v>153</v>
      </c>
      <c r="AI37" s="3059">
        <v>24312.918840751783</v>
      </c>
      <c r="AJ37" s="3006" t="s">
        <v>153</v>
      </c>
      <c r="AK37" s="3031">
        <v>24312.918840751783</v>
      </c>
      <c r="AL37" s="3061">
        <v>25946.35547308009</v>
      </c>
      <c r="AM37" s="3063">
        <v>50259.274313831876</v>
      </c>
      <c r="AN37" s="3065">
        <v>26959.735465016725</v>
      </c>
      <c r="AO37" s="3067" t="s">
        <v>153</v>
      </c>
      <c r="AP37" s="3051">
        <v>1460.6213622801122</v>
      </c>
      <c r="AQ37" s="3072" t="s">
        <v>153</v>
      </c>
      <c r="AR37" s="3076">
        <v>0.30901160170846981</v>
      </c>
      <c r="AS37" s="3078" t="s">
        <v>153</v>
      </c>
      <c r="AT37" s="3080">
        <v>0.30901160170846981</v>
      </c>
      <c r="AU37" s="3082">
        <v>0.3297722052933848</v>
      </c>
      <c r="AV37" s="3084">
        <v>0.63878380700185466</v>
      </c>
      <c r="AW37" s="3086">
        <v>0.34265203171401099</v>
      </c>
      <c r="AX37" s="3088" t="s">
        <v>153</v>
      </c>
      <c r="AY37" s="3090">
        <v>1.856416128413434E-2</v>
      </c>
      <c r="AZ37" s="3531">
        <v>0</v>
      </c>
      <c r="BA37" s="3532">
        <v>0</v>
      </c>
    </row>
    <row r="38" spans="1:53" s="1907" customFormat="1" ht="14.4" x14ac:dyDescent="0.3">
      <c r="A38" s="2572" t="s">
        <v>243</v>
      </c>
      <c r="B38" s="3006">
        <v>33141.19092002746</v>
      </c>
      <c r="C38" s="3012">
        <v>0.90720153350886534</v>
      </c>
      <c r="D38" s="3013">
        <v>33141.19092002746</v>
      </c>
      <c r="E38" s="3027">
        <v>0.90720153350886534</v>
      </c>
      <c r="F38" s="3164"/>
      <c r="G38" s="3023">
        <v>3390.0424343125378</v>
      </c>
      <c r="H38" s="3024"/>
      <c r="I38" s="3023" t="s">
        <v>153</v>
      </c>
      <c r="J38" s="3025"/>
      <c r="K38" s="3026">
        <v>3390.0424343125378</v>
      </c>
      <c r="L38" s="3020">
        <v>36531.233354340002</v>
      </c>
      <c r="M38" s="3006" t="s">
        <v>153</v>
      </c>
      <c r="N38" s="3031">
        <v>28832.83610042389</v>
      </c>
      <c r="O38" s="3031" t="s">
        <v>153</v>
      </c>
      <c r="P38" s="3031" t="s">
        <v>153</v>
      </c>
      <c r="Q38" s="3031">
        <v>4308.3548196035699</v>
      </c>
      <c r="R38" s="3032" t="s">
        <v>153</v>
      </c>
      <c r="S38" s="3033" t="s">
        <v>153</v>
      </c>
      <c r="T38" s="3038" t="s">
        <v>153</v>
      </c>
      <c r="U38" s="3041" t="s">
        <v>153</v>
      </c>
      <c r="V38" s="3043">
        <v>166.07472488930031</v>
      </c>
      <c r="W38" s="3041">
        <v>791.06726970262969</v>
      </c>
      <c r="X38" s="3041" t="s">
        <v>153</v>
      </c>
      <c r="Y38" s="3041">
        <v>994.46440019296904</v>
      </c>
      <c r="Z38" s="3046">
        <v>850.77575565162715</v>
      </c>
      <c r="AA38" s="3046">
        <v>257.53521503305439</v>
      </c>
      <c r="AB38" s="3048">
        <v>166.07472488930031</v>
      </c>
      <c r="AC38" s="3049" t="s">
        <v>153</v>
      </c>
      <c r="AD38" s="3050">
        <v>6153.5746998779496</v>
      </c>
      <c r="AE38" s="3051">
        <v>126.4077905384566</v>
      </c>
      <c r="AF38" s="3052">
        <v>144.02906792571972</v>
      </c>
      <c r="AG38" s="3054" t="s">
        <v>153</v>
      </c>
      <c r="AH38" s="3057" t="s">
        <v>153</v>
      </c>
      <c r="AI38" s="3059">
        <v>28832.83610042389</v>
      </c>
      <c r="AJ38" s="3006" t="s">
        <v>153</v>
      </c>
      <c r="AK38" s="3031">
        <v>28832.83610042389</v>
      </c>
      <c r="AL38" s="3061">
        <v>1274.3856955739818</v>
      </c>
      <c r="AM38" s="3063">
        <v>30107.221795997873</v>
      </c>
      <c r="AN38" s="3065">
        <v>6279.9824904164061</v>
      </c>
      <c r="AO38" s="3067" t="s">
        <v>153</v>
      </c>
      <c r="AP38" s="3051">
        <v>144.02906792571972</v>
      </c>
      <c r="AQ38" s="3072" t="s">
        <v>153</v>
      </c>
      <c r="AR38" s="3076">
        <v>0.78926533415271283</v>
      </c>
      <c r="AS38" s="3078" t="s">
        <v>153</v>
      </c>
      <c r="AT38" s="3080">
        <v>0.78926533415271283</v>
      </c>
      <c r="AU38" s="3082">
        <v>3.4884825355139058E-2</v>
      </c>
      <c r="AV38" s="3084">
        <v>0.82415015950785198</v>
      </c>
      <c r="AW38" s="3086">
        <v>0.17190721237092665</v>
      </c>
      <c r="AX38" s="3088" t="s">
        <v>153</v>
      </c>
      <c r="AY38" s="3090">
        <v>3.942628121221336E-3</v>
      </c>
      <c r="AZ38" s="3531">
        <v>0</v>
      </c>
      <c r="BA38" s="3532">
        <v>0</v>
      </c>
    </row>
    <row r="39" spans="1:53" s="1907" customFormat="1" ht="14.4" x14ac:dyDescent="0.3">
      <c r="A39" s="2572" t="s">
        <v>244</v>
      </c>
      <c r="B39" s="3006">
        <v>5676.4258219314197</v>
      </c>
      <c r="C39" s="3012">
        <v>0.51351036892358359</v>
      </c>
      <c r="D39" s="3013">
        <v>8267.047261944419</v>
      </c>
      <c r="E39" s="3027">
        <v>0.74786751779402871</v>
      </c>
      <c r="F39" s="3164"/>
      <c r="G39" s="3023">
        <v>5377.7342602306981</v>
      </c>
      <c r="H39" s="3024"/>
      <c r="I39" s="3023" t="s">
        <v>153</v>
      </c>
      <c r="J39" s="3025"/>
      <c r="K39" s="3026">
        <v>5377.7342602306981</v>
      </c>
      <c r="L39" s="3020">
        <v>11054.160082162118</v>
      </c>
      <c r="M39" s="3006" t="s">
        <v>153</v>
      </c>
      <c r="N39" s="3031">
        <v>3986.6800000000003</v>
      </c>
      <c r="O39" s="3031" t="s">
        <v>153</v>
      </c>
      <c r="P39" s="3031" t="s">
        <v>153</v>
      </c>
      <c r="Q39" s="3031">
        <v>1689.7458219314206</v>
      </c>
      <c r="R39" s="3032" t="s">
        <v>153</v>
      </c>
      <c r="S39" s="3033">
        <v>2590.6214400129984</v>
      </c>
      <c r="T39" s="3038" t="s">
        <v>153</v>
      </c>
      <c r="U39" s="3041" t="s">
        <v>153</v>
      </c>
      <c r="V39" s="3043">
        <v>21.930682270797433</v>
      </c>
      <c r="W39" s="3041">
        <v>0</v>
      </c>
      <c r="X39" s="3041" t="s">
        <v>153</v>
      </c>
      <c r="Y39" s="3041">
        <v>812.19721907779012</v>
      </c>
      <c r="Z39" s="3046" t="s">
        <v>153</v>
      </c>
      <c r="AA39" s="3046" t="s">
        <v>153</v>
      </c>
      <c r="AB39" s="3048">
        <v>21.930682270797433</v>
      </c>
      <c r="AC39" s="3049">
        <v>581.87169671612639</v>
      </c>
      <c r="AD39" s="3050">
        <v>2501.9430410092104</v>
      </c>
      <c r="AE39" s="3051">
        <v>198.14909388681892</v>
      </c>
      <c r="AF39" s="3052">
        <v>411.55566642931109</v>
      </c>
      <c r="AG39" s="3054" t="s">
        <v>153</v>
      </c>
      <c r="AH39" s="3057" t="s">
        <v>153</v>
      </c>
      <c r="AI39" s="3059">
        <v>7338.7099018498529</v>
      </c>
      <c r="AJ39" s="3006" t="s">
        <v>153</v>
      </c>
      <c r="AK39" s="3031">
        <v>7338.7099018498529</v>
      </c>
      <c r="AL39" s="3061">
        <v>21.930682270797433</v>
      </c>
      <c r="AM39" s="3063">
        <v>7360.6405841206506</v>
      </c>
      <c r="AN39" s="3065">
        <v>3281.9638316121554</v>
      </c>
      <c r="AO39" s="3067" t="s">
        <v>153</v>
      </c>
      <c r="AP39" s="3051">
        <v>411.55566642931109</v>
      </c>
      <c r="AQ39" s="3072" t="s">
        <v>153</v>
      </c>
      <c r="AR39" s="3076">
        <v>0.6638867039470675</v>
      </c>
      <c r="AS39" s="3078" t="s">
        <v>153</v>
      </c>
      <c r="AT39" s="3080">
        <v>0.6638867039470675</v>
      </c>
      <c r="AU39" s="3082">
        <v>1.9839302224496048E-3</v>
      </c>
      <c r="AV39" s="3084">
        <v>0.66587063416951708</v>
      </c>
      <c r="AW39" s="3086">
        <v>0.29689852573314879</v>
      </c>
      <c r="AX39" s="3088" t="s">
        <v>153</v>
      </c>
      <c r="AY39" s="3090">
        <v>3.7230840097334073E-2</v>
      </c>
      <c r="AZ39" s="3531">
        <v>0</v>
      </c>
      <c r="BA39" s="3532">
        <v>0</v>
      </c>
    </row>
    <row r="40" spans="1:53" s="1907" customFormat="1" ht="14.4" x14ac:dyDescent="0.3">
      <c r="A40" s="2572" t="s">
        <v>245</v>
      </c>
      <c r="B40" s="3006">
        <v>1405.1530438470968</v>
      </c>
      <c r="C40" s="3012">
        <v>0.42882651653647963</v>
      </c>
      <c r="D40" s="3013">
        <v>1681.4597143572196</v>
      </c>
      <c r="E40" s="3027">
        <v>0.51315016194256835</v>
      </c>
      <c r="F40" s="3164"/>
      <c r="G40" s="3023">
        <v>1871.58705887825</v>
      </c>
      <c r="H40" s="3024"/>
      <c r="I40" s="3023" t="s">
        <v>153</v>
      </c>
      <c r="J40" s="3025"/>
      <c r="K40" s="3026">
        <v>1871.58705887825</v>
      </c>
      <c r="L40" s="3020">
        <v>3276.7401027253468</v>
      </c>
      <c r="M40" s="3006" t="s">
        <v>153</v>
      </c>
      <c r="N40" s="3031">
        <v>952.17899999999986</v>
      </c>
      <c r="O40" s="3031" t="s">
        <v>153</v>
      </c>
      <c r="P40" s="3031" t="s">
        <v>153</v>
      </c>
      <c r="Q40" s="3031">
        <v>452.97404384709665</v>
      </c>
      <c r="R40" s="3032" t="s">
        <v>153</v>
      </c>
      <c r="S40" s="3033">
        <v>276.30667051012284</v>
      </c>
      <c r="T40" s="3038" t="s">
        <v>153</v>
      </c>
      <c r="U40" s="3041" t="s">
        <v>153</v>
      </c>
      <c r="V40" s="3043">
        <v>231.05858453771089</v>
      </c>
      <c r="W40" s="3041">
        <v>0</v>
      </c>
      <c r="X40" s="3041" t="s">
        <v>153</v>
      </c>
      <c r="Y40" s="3041">
        <v>646.83539410047479</v>
      </c>
      <c r="Z40" s="3046" t="s">
        <v>153</v>
      </c>
      <c r="AA40" s="3046" t="s">
        <v>153</v>
      </c>
      <c r="AB40" s="3048">
        <v>231.05858453771089</v>
      </c>
      <c r="AC40" s="3049">
        <v>345.87007276293429</v>
      </c>
      <c r="AD40" s="3050">
        <v>1099.8094379475715</v>
      </c>
      <c r="AE40" s="3051">
        <v>71.067519025660843</v>
      </c>
      <c r="AF40" s="3052">
        <v>106.36430806136343</v>
      </c>
      <c r="AG40" s="3054" t="s">
        <v>153</v>
      </c>
      <c r="AH40" s="3057" t="s">
        <v>153</v>
      </c>
      <c r="AI40" s="3059">
        <v>1422.5701803901059</v>
      </c>
      <c r="AJ40" s="3006" t="s">
        <v>153</v>
      </c>
      <c r="AK40" s="3031">
        <v>1422.5701803901059</v>
      </c>
      <c r="AL40" s="3061">
        <v>231.05858453771089</v>
      </c>
      <c r="AM40" s="3063">
        <v>1653.6287649278167</v>
      </c>
      <c r="AN40" s="3065">
        <v>1516.7470297361667</v>
      </c>
      <c r="AO40" s="3067" t="s">
        <v>153</v>
      </c>
      <c r="AP40" s="3051">
        <v>106.36430806136343</v>
      </c>
      <c r="AQ40" s="3072" t="s">
        <v>153</v>
      </c>
      <c r="AR40" s="3076">
        <v>0.43414190194911051</v>
      </c>
      <c r="AS40" s="3078" t="s">
        <v>153</v>
      </c>
      <c r="AT40" s="3080">
        <v>0.43414190194911051</v>
      </c>
      <c r="AU40" s="3082">
        <v>7.0514773004283646E-2</v>
      </c>
      <c r="AV40" s="3084">
        <v>0.50465667495339417</v>
      </c>
      <c r="AW40" s="3086">
        <v>0.46288292088672223</v>
      </c>
      <c r="AX40" s="3088" t="s">
        <v>153</v>
      </c>
      <c r="AY40" s="3090">
        <v>3.2460404159883653E-2</v>
      </c>
      <c r="AZ40" s="3531">
        <v>0</v>
      </c>
      <c r="BA40" s="3532">
        <v>0</v>
      </c>
    </row>
    <row r="41" spans="1:53" s="1907" customFormat="1" ht="14.4" x14ac:dyDescent="0.3">
      <c r="A41" s="2572" t="s">
        <v>246</v>
      </c>
      <c r="B41" s="3006">
        <v>63193.125980438199</v>
      </c>
      <c r="C41" s="3012">
        <v>0.74054354641104769</v>
      </c>
      <c r="D41" s="3013">
        <v>70724.039962917188</v>
      </c>
      <c r="E41" s="3027">
        <v>0.82879633754576576</v>
      </c>
      <c r="F41" s="3164"/>
      <c r="G41" s="3023">
        <v>16894.53714750152</v>
      </c>
      <c r="H41" s="3024"/>
      <c r="I41" s="3023">
        <v>5245.77376</v>
      </c>
      <c r="J41" s="3025"/>
      <c r="K41" s="3026">
        <v>22140.31090750152</v>
      </c>
      <c r="L41" s="3020">
        <v>85333.436887939723</v>
      </c>
      <c r="M41" s="3006" t="s">
        <v>153</v>
      </c>
      <c r="N41" s="3031">
        <v>58271.245872613625</v>
      </c>
      <c r="O41" s="3031" t="s">
        <v>153</v>
      </c>
      <c r="P41" s="3031">
        <v>2.5616695734597164</v>
      </c>
      <c r="Q41" s="3031">
        <v>4919.3184382511154</v>
      </c>
      <c r="R41" s="3032" t="s">
        <v>153</v>
      </c>
      <c r="S41" s="3033">
        <v>1422.6282182488144</v>
      </c>
      <c r="T41" s="3038">
        <v>5930.7957864662867</v>
      </c>
      <c r="U41" s="3041">
        <v>963.33565581048504</v>
      </c>
      <c r="V41" s="3043" t="s">
        <v>153</v>
      </c>
      <c r="W41" s="3041">
        <v>0</v>
      </c>
      <c r="X41" s="3041" t="s">
        <v>153</v>
      </c>
      <c r="Y41" s="3041">
        <v>4839.2755472189492</v>
      </c>
      <c r="Z41" s="3046">
        <v>6425.7909589915553</v>
      </c>
      <c r="AA41" s="3046">
        <v>1047.632107388753</v>
      </c>
      <c r="AB41" s="3048">
        <v>5930.7957864662867</v>
      </c>
      <c r="AC41" s="3049" t="s">
        <v>153</v>
      </c>
      <c r="AD41" s="3050">
        <v>10721.929641280549</v>
      </c>
      <c r="AE41" s="3051">
        <v>907.00440603874631</v>
      </c>
      <c r="AF41" s="3052">
        <v>606.40989691139021</v>
      </c>
      <c r="AG41" s="3054" t="s">
        <v>153</v>
      </c>
      <c r="AH41" s="3057" t="s">
        <v>153</v>
      </c>
      <c r="AI41" s="3059">
        <v>59693.874090862439</v>
      </c>
      <c r="AJ41" s="3006" t="s">
        <v>153</v>
      </c>
      <c r="AK41" s="3031">
        <v>59693.874090862439</v>
      </c>
      <c r="AL41" s="3061">
        <v>13404.218852846596</v>
      </c>
      <c r="AM41" s="3063">
        <v>73098.092943709038</v>
      </c>
      <c r="AN41" s="3065">
        <v>11628.934047319295</v>
      </c>
      <c r="AO41" s="3067" t="s">
        <v>153</v>
      </c>
      <c r="AP41" s="3051">
        <v>606.40989691139021</v>
      </c>
      <c r="AQ41" s="3072" t="s">
        <v>153</v>
      </c>
      <c r="AR41" s="3076">
        <v>0.69953673809309613</v>
      </c>
      <c r="AS41" s="3078" t="s">
        <v>153</v>
      </c>
      <c r="AT41" s="3080">
        <v>0.69953673809309613</v>
      </c>
      <c r="AU41" s="3082">
        <v>0.15708049905981264</v>
      </c>
      <c r="AV41" s="3084">
        <v>0.85661723715290883</v>
      </c>
      <c r="AW41" s="3086">
        <v>0.13627640549144254</v>
      </c>
      <c r="AX41" s="3088" t="s">
        <v>153</v>
      </c>
      <c r="AY41" s="3090">
        <v>7.1063573556486492E-3</v>
      </c>
      <c r="AZ41" s="3531">
        <v>0</v>
      </c>
      <c r="BA41" s="3532">
        <v>0</v>
      </c>
    </row>
    <row r="42" spans="1:53" s="1907" customFormat="1" ht="14.4" x14ac:dyDescent="0.3">
      <c r="A42" s="2572" t="s">
        <v>247</v>
      </c>
      <c r="B42" s="3006">
        <v>7081.5788657785179</v>
      </c>
      <c r="C42" s="3012">
        <v>0.49414752558575065</v>
      </c>
      <c r="D42" s="3013">
        <v>9948.5069763016381</v>
      </c>
      <c r="E42" s="3027">
        <v>0.69419972562454624</v>
      </c>
      <c r="F42" s="3164"/>
      <c r="G42" s="3023">
        <v>7249.321319108949</v>
      </c>
      <c r="H42" s="3024"/>
      <c r="I42" s="3023" t="s">
        <v>153</v>
      </c>
      <c r="J42" s="3025"/>
      <c r="K42" s="3026">
        <v>7249.321319108949</v>
      </c>
      <c r="L42" s="3020">
        <v>14330.900184887467</v>
      </c>
      <c r="M42" s="3006" t="s">
        <v>153</v>
      </c>
      <c r="N42" s="3031">
        <v>4938.8590000000004</v>
      </c>
      <c r="O42" s="3031" t="s">
        <v>153</v>
      </c>
      <c r="P42" s="3031" t="s">
        <v>153</v>
      </c>
      <c r="Q42" s="3031">
        <v>2142.719865778517</v>
      </c>
      <c r="R42" s="3032" t="s">
        <v>153</v>
      </c>
      <c r="S42" s="3033">
        <v>2866.9281105231212</v>
      </c>
      <c r="T42" s="3038" t="s">
        <v>153</v>
      </c>
      <c r="U42" s="3041" t="s">
        <v>153</v>
      </c>
      <c r="V42" s="3043">
        <v>252.98926680850832</v>
      </c>
      <c r="W42" s="3041">
        <v>0</v>
      </c>
      <c r="X42" s="3041" t="s">
        <v>153</v>
      </c>
      <c r="Y42" s="3041">
        <v>1459.0326131782649</v>
      </c>
      <c r="Z42" s="3046" t="s">
        <v>153</v>
      </c>
      <c r="AA42" s="3046" t="s">
        <v>153</v>
      </c>
      <c r="AB42" s="3048">
        <v>252.98926680850832</v>
      </c>
      <c r="AC42" s="3049">
        <v>927.74176947906062</v>
      </c>
      <c r="AD42" s="3050">
        <v>3601.7524789567824</v>
      </c>
      <c r="AE42" s="3051">
        <v>269.21661291247977</v>
      </c>
      <c r="AF42" s="3052">
        <v>517.91997449067446</v>
      </c>
      <c r="AG42" s="3054" t="s">
        <v>153</v>
      </c>
      <c r="AH42" s="3057" t="s">
        <v>153</v>
      </c>
      <c r="AI42" s="3059">
        <v>8761.2800822399586</v>
      </c>
      <c r="AJ42" s="3006" t="s">
        <v>153</v>
      </c>
      <c r="AK42" s="3031">
        <v>8761.2800822399586</v>
      </c>
      <c r="AL42" s="3061">
        <v>252.98926680850832</v>
      </c>
      <c r="AM42" s="3063">
        <v>9014.2693490484671</v>
      </c>
      <c r="AN42" s="3065">
        <v>4798.7108613483233</v>
      </c>
      <c r="AO42" s="3067" t="s">
        <v>153</v>
      </c>
      <c r="AP42" s="3051">
        <v>517.91997449067446</v>
      </c>
      <c r="AQ42" s="3072" t="s">
        <v>153</v>
      </c>
      <c r="AR42" s="3076">
        <v>0.61135587919864898</v>
      </c>
      <c r="AS42" s="3078" t="s">
        <v>153</v>
      </c>
      <c r="AT42" s="3080">
        <v>0.61135587919864898</v>
      </c>
      <c r="AU42" s="3082">
        <v>1.7653410710047095E-2</v>
      </c>
      <c r="AV42" s="3084">
        <v>0.62900928990869609</v>
      </c>
      <c r="AW42" s="3086">
        <v>0.33485062343876798</v>
      </c>
      <c r="AX42" s="3088" t="s">
        <v>153</v>
      </c>
      <c r="AY42" s="3090">
        <v>3.6140086652535805E-2</v>
      </c>
      <c r="AZ42" s="3531">
        <v>0</v>
      </c>
      <c r="BA42" s="3532">
        <v>0</v>
      </c>
    </row>
    <row r="43" spans="1:53" s="1907" customFormat="1" ht="14.4" x14ac:dyDescent="0.3">
      <c r="A43" s="2572" t="s">
        <v>178</v>
      </c>
      <c r="B43" s="3006" t="s">
        <v>153</v>
      </c>
      <c r="C43" s="3012">
        <v>0</v>
      </c>
      <c r="D43" s="3013" t="s">
        <v>153</v>
      </c>
      <c r="E43" s="3027">
        <v>0</v>
      </c>
      <c r="F43" s="3164"/>
      <c r="G43" s="3023">
        <v>29.728720196808457</v>
      </c>
      <c r="H43" s="3024"/>
      <c r="I43" s="3023" t="s">
        <v>153</v>
      </c>
      <c r="J43" s="3025"/>
      <c r="K43" s="3026">
        <v>29.728720196808457</v>
      </c>
      <c r="L43" s="3020">
        <v>29.728720196808457</v>
      </c>
      <c r="M43" s="3006" t="s">
        <v>153</v>
      </c>
      <c r="N43" s="3031" t="s">
        <v>153</v>
      </c>
      <c r="O43" s="3031" t="s">
        <v>153</v>
      </c>
      <c r="P43" s="3031" t="s">
        <v>153</v>
      </c>
      <c r="Q43" s="3031" t="s">
        <v>153</v>
      </c>
      <c r="R43" s="3032" t="s">
        <v>153</v>
      </c>
      <c r="S43" s="3033" t="s">
        <v>153</v>
      </c>
      <c r="T43" s="3038" t="s">
        <v>153</v>
      </c>
      <c r="U43" s="3041" t="s">
        <v>153</v>
      </c>
      <c r="V43" s="3043" t="s">
        <v>153</v>
      </c>
      <c r="W43" s="3043">
        <v>0</v>
      </c>
      <c r="X43" s="3041" t="s">
        <v>153</v>
      </c>
      <c r="Y43" s="3041">
        <v>26.755848177127614</v>
      </c>
      <c r="Z43" s="3046" t="s">
        <v>153</v>
      </c>
      <c r="AA43" s="3046" t="s">
        <v>153</v>
      </c>
      <c r="AB43" s="3048" t="s">
        <v>153</v>
      </c>
      <c r="AC43" s="3049" t="s">
        <v>153</v>
      </c>
      <c r="AD43" s="3050">
        <v>26.755848177127614</v>
      </c>
      <c r="AE43" s="3051">
        <v>2.9728720196808425</v>
      </c>
      <c r="AF43" s="3052" t="s">
        <v>153</v>
      </c>
      <c r="AG43" s="3054" t="s">
        <v>153</v>
      </c>
      <c r="AH43" s="3057" t="s">
        <v>153</v>
      </c>
      <c r="AI43" s="3059">
        <v>0</v>
      </c>
      <c r="AJ43" s="3006" t="s">
        <v>153</v>
      </c>
      <c r="AK43" s="3031">
        <v>0</v>
      </c>
      <c r="AL43" s="3061">
        <v>0</v>
      </c>
      <c r="AM43" s="3063">
        <v>0</v>
      </c>
      <c r="AN43" s="3065">
        <v>29.728720196808457</v>
      </c>
      <c r="AO43" s="3067" t="s">
        <v>153</v>
      </c>
      <c r="AP43" s="3051" t="s">
        <v>153</v>
      </c>
      <c r="AQ43" s="3072" t="s">
        <v>153</v>
      </c>
      <c r="AR43" s="3076">
        <v>0</v>
      </c>
      <c r="AS43" s="3078" t="s">
        <v>153</v>
      </c>
      <c r="AT43" s="3080">
        <v>0</v>
      </c>
      <c r="AU43" s="3082">
        <v>0</v>
      </c>
      <c r="AV43" s="3084">
        <v>0</v>
      </c>
      <c r="AW43" s="3086">
        <v>1</v>
      </c>
      <c r="AX43" s="3088" t="s">
        <v>153</v>
      </c>
      <c r="AY43" s="3090" t="s">
        <v>153</v>
      </c>
      <c r="AZ43" s="3531">
        <v>0</v>
      </c>
      <c r="BA43" s="3532">
        <v>0</v>
      </c>
    </row>
    <row r="44" spans="1:53" s="1907" customFormat="1" ht="15" thickBot="1" x14ac:dyDescent="0.35">
      <c r="A44" s="2572" t="s">
        <v>65</v>
      </c>
      <c r="B44" s="3006" t="s">
        <v>153</v>
      </c>
      <c r="C44" s="3012">
        <v>0</v>
      </c>
      <c r="D44" s="3013" t="s">
        <v>153</v>
      </c>
      <c r="E44" s="3027">
        <v>0</v>
      </c>
      <c r="F44" s="3164"/>
      <c r="G44" s="3023">
        <v>314.60396023615027</v>
      </c>
      <c r="H44" s="3024"/>
      <c r="I44" s="3023" t="s">
        <v>153</v>
      </c>
      <c r="J44" s="3025"/>
      <c r="K44" s="3026">
        <v>314.60396023615027</v>
      </c>
      <c r="L44" s="3022">
        <v>314.60396023615027</v>
      </c>
      <c r="M44" s="3017" t="s">
        <v>153</v>
      </c>
      <c r="N44" s="3315" t="s">
        <v>153</v>
      </c>
      <c r="O44" s="3315" t="s">
        <v>153</v>
      </c>
      <c r="P44" s="3315" t="s">
        <v>153</v>
      </c>
      <c r="Q44" s="3315" t="s">
        <v>153</v>
      </c>
      <c r="R44" s="3348" t="s">
        <v>153</v>
      </c>
      <c r="S44" s="3033" t="s">
        <v>153</v>
      </c>
      <c r="T44" s="3038" t="s">
        <v>153</v>
      </c>
      <c r="U44" s="3041" t="s">
        <v>153</v>
      </c>
      <c r="V44" s="3043" t="s">
        <v>153</v>
      </c>
      <c r="W44" s="3043">
        <v>0</v>
      </c>
      <c r="X44" s="3041" t="s">
        <v>153</v>
      </c>
      <c r="Y44" s="3041">
        <v>169.09311436116789</v>
      </c>
      <c r="Z44" s="3046" t="s">
        <v>153</v>
      </c>
      <c r="AA44" s="3046">
        <v>94.802818287530172</v>
      </c>
      <c r="AB44" s="3048" t="s">
        <v>153</v>
      </c>
      <c r="AC44" s="3049" t="s">
        <v>153</v>
      </c>
      <c r="AD44" s="3050">
        <v>169.09311436116789</v>
      </c>
      <c r="AE44" s="3051" t="s">
        <v>153</v>
      </c>
      <c r="AF44" s="3052">
        <v>50.7080275874522</v>
      </c>
      <c r="AG44" s="3054" t="s">
        <v>153</v>
      </c>
      <c r="AH44" s="3364" t="s">
        <v>153</v>
      </c>
      <c r="AI44" s="3361">
        <v>0</v>
      </c>
      <c r="AJ44" s="3017" t="s">
        <v>153</v>
      </c>
      <c r="AK44" s="3315">
        <v>0</v>
      </c>
      <c r="AL44" s="3316">
        <v>94.802818287530172</v>
      </c>
      <c r="AM44" s="3320">
        <v>94.802818287530172</v>
      </c>
      <c r="AN44" s="3321">
        <v>169.09311436116789</v>
      </c>
      <c r="AO44" s="3322" t="s">
        <v>153</v>
      </c>
      <c r="AP44" s="3069">
        <v>50.7080275874522</v>
      </c>
      <c r="AQ44" s="3365" t="s">
        <v>153</v>
      </c>
      <c r="AR44" s="3366">
        <v>0</v>
      </c>
      <c r="AS44" s="3323" t="s">
        <v>153</v>
      </c>
      <c r="AT44" s="3324">
        <v>0</v>
      </c>
      <c r="AU44" s="3325">
        <v>0.3013401936083977</v>
      </c>
      <c r="AV44" s="3326">
        <v>0.3013401936083977</v>
      </c>
      <c r="AW44" s="3327">
        <v>0.53747929375791081</v>
      </c>
      <c r="AX44" s="3328" t="s">
        <v>153</v>
      </c>
      <c r="AY44" s="3367">
        <v>0.16118051263369151</v>
      </c>
      <c r="AZ44" s="3531">
        <v>0</v>
      </c>
      <c r="BA44" s="3532">
        <v>0</v>
      </c>
    </row>
    <row r="45" spans="1:53" x14ac:dyDescent="0.25">
      <c r="AZ45" s="3532"/>
      <c r="BA45" s="3532"/>
    </row>
    <row r="46" spans="1:53" x14ac:dyDescent="0.25">
      <c r="AG46" s="515" t="s">
        <v>301</v>
      </c>
      <c r="AH46" s="516">
        <v>5.6497972146647996E-3</v>
      </c>
      <c r="AI46" s="516">
        <v>0.32372148268854017</v>
      </c>
      <c r="AJ46" s="516">
        <v>8.0146772333827221E-2</v>
      </c>
      <c r="AK46" s="516"/>
      <c r="AL46" s="516">
        <v>0.29328940515280189</v>
      </c>
      <c r="AM46" s="516"/>
      <c r="AN46" s="516">
        <v>0.19880713233354017</v>
      </c>
      <c r="AO46" s="516">
        <v>7.8063168787365259E-2</v>
      </c>
      <c r="AP46" s="516">
        <v>2.0322241489096463E-2</v>
      </c>
      <c r="AQ46" s="3073">
        <v>5.6287401434380434E-9</v>
      </c>
      <c r="AZ46" s="3532"/>
      <c r="BA46" s="3532"/>
    </row>
    <row r="47" spans="1:53" x14ac:dyDescent="0.25">
      <c r="AG47" s="515" t="s">
        <v>236</v>
      </c>
      <c r="AH47" s="517">
        <v>5.0302114832776294E-3</v>
      </c>
      <c r="AI47" s="517">
        <v>0.36854180925865448</v>
      </c>
      <c r="AJ47" s="517">
        <v>7.1357466334333666E-2</v>
      </c>
      <c r="AK47" s="517"/>
      <c r="AL47" s="517">
        <v>0.26358849770252102</v>
      </c>
      <c r="AM47" s="517"/>
      <c r="AN47" s="517">
        <v>0.20329571972514301</v>
      </c>
      <c r="AO47" s="517">
        <v>6.950236143626648E-2</v>
      </c>
      <c r="AP47" s="517">
        <v>1.8683934059803738E-2</v>
      </c>
      <c r="AQ47" s="517">
        <v>4.4618808400283962E-9</v>
      </c>
      <c r="AZ47" s="3532"/>
      <c r="BA47" s="3532"/>
    </row>
    <row r="49" spans="1:52" x14ac:dyDescent="0.25">
      <c r="A49" s="1" t="s">
        <v>1470</v>
      </c>
      <c r="B49" s="512">
        <v>0</v>
      </c>
      <c r="C49" s="512">
        <v>-0.33690820944161859</v>
      </c>
      <c r="D49" s="512">
        <v>0</v>
      </c>
      <c r="E49" s="512">
        <v>-0.33690820944161859</v>
      </c>
      <c r="F49" s="512">
        <v>0</v>
      </c>
      <c r="G49" s="512">
        <v>0</v>
      </c>
      <c r="H49" s="512">
        <v>0</v>
      </c>
      <c r="I49" s="512">
        <v>0</v>
      </c>
      <c r="J49" s="512">
        <v>0</v>
      </c>
      <c r="K49" s="512">
        <v>0</v>
      </c>
      <c r="L49" s="512">
        <v>0</v>
      </c>
      <c r="M49" s="512" t="e">
        <v>#VALUE!</v>
      </c>
      <c r="N49" s="512" t="e">
        <v>#VALUE!</v>
      </c>
      <c r="O49" s="512">
        <v>0</v>
      </c>
      <c r="P49" s="512">
        <v>0</v>
      </c>
      <c r="Q49" s="512">
        <v>0</v>
      </c>
      <c r="R49" s="512" t="e">
        <v>#VALUE!</v>
      </c>
      <c r="S49" s="512" t="e">
        <v>#VALUE!</v>
      </c>
      <c r="T49" s="512">
        <v>0</v>
      </c>
      <c r="U49" s="512">
        <v>0</v>
      </c>
      <c r="V49" s="512">
        <v>0</v>
      </c>
      <c r="W49" s="512">
        <v>0</v>
      </c>
      <c r="X49" s="512" t="e">
        <v>#VALUE!</v>
      </c>
      <c r="Y49" s="512">
        <v>5.0022208597511053E-12</v>
      </c>
      <c r="Z49" s="512">
        <v>0</v>
      </c>
      <c r="AA49" s="512">
        <v>0</v>
      </c>
      <c r="AB49" s="512">
        <v>0</v>
      </c>
      <c r="AC49" s="512" t="e">
        <v>#VALUE!</v>
      </c>
      <c r="AD49" s="512">
        <v>0</v>
      </c>
      <c r="AE49" s="512">
        <v>0</v>
      </c>
      <c r="AF49" s="512">
        <v>0</v>
      </c>
      <c r="AG49" s="512">
        <v>0</v>
      </c>
      <c r="AH49" s="512" t="e">
        <v>#VALUE!</v>
      </c>
      <c r="AI49" s="512">
        <v>0</v>
      </c>
      <c r="AJ49" s="512">
        <v>0</v>
      </c>
      <c r="AK49" s="512">
        <v>0</v>
      </c>
      <c r="AL49" s="512">
        <v>0</v>
      </c>
      <c r="AM49" s="512">
        <v>0</v>
      </c>
      <c r="AN49" s="512">
        <v>0</v>
      </c>
      <c r="AO49" s="512">
        <v>0</v>
      </c>
      <c r="AP49" s="512">
        <v>0</v>
      </c>
      <c r="AQ49" s="512" t="e">
        <v>#VALUE!</v>
      </c>
      <c r="AR49" s="512">
        <v>0</v>
      </c>
      <c r="AS49" s="512">
        <v>-0.30466586100686355</v>
      </c>
      <c r="AT49" s="512">
        <v>-0.30466586100686355</v>
      </c>
      <c r="AU49" s="512">
        <v>-0.38145341946265343</v>
      </c>
      <c r="AV49" s="512">
        <v>-0.68611928046951709</v>
      </c>
      <c r="AW49" s="512">
        <v>-0.10965027194487201</v>
      </c>
      <c r="AX49" s="512">
        <v>-0.18969145084139863</v>
      </c>
      <c r="AY49" s="512">
        <v>-1.4538996744212294E-2</v>
      </c>
      <c r="AZ49" s="512">
        <v>0</v>
      </c>
    </row>
    <row r="56" spans="1:52" x14ac:dyDescent="0.25">
      <c r="B56" s="512"/>
      <c r="C56" s="2582"/>
      <c r="D56" s="512"/>
      <c r="E56" s="512"/>
      <c r="F56" s="512"/>
      <c r="G56" s="512"/>
      <c r="H56" s="512"/>
      <c r="I56" s="512"/>
      <c r="J56" s="512"/>
      <c r="K56" s="512"/>
      <c r="L56" s="512"/>
      <c r="M56" s="512"/>
      <c r="N56" s="512"/>
      <c r="O56" s="512"/>
      <c r="P56" s="512"/>
      <c r="Q56" s="512"/>
      <c r="R56" s="512"/>
      <c r="S56" s="512"/>
      <c r="T56" s="512"/>
      <c r="U56" s="512"/>
      <c r="V56" s="512"/>
      <c r="W56" s="512"/>
      <c r="X56" s="512"/>
      <c r="Y56" s="512"/>
      <c r="Z56" s="512"/>
      <c r="AA56" s="512"/>
      <c r="AB56" s="512"/>
      <c r="AC56" s="512"/>
      <c r="AD56" s="512"/>
      <c r="AE56" s="512"/>
      <c r="AF56" s="512"/>
      <c r="AG56" s="512"/>
      <c r="AH56" s="512"/>
      <c r="AI56" s="512"/>
      <c r="AJ56" s="512"/>
      <c r="AK56" s="512"/>
      <c r="AL56" s="512"/>
      <c r="AM56" s="512"/>
      <c r="AN56" s="512"/>
      <c r="AO56" s="512"/>
      <c r="AP56" s="512"/>
      <c r="AQ56" s="512"/>
      <c r="AR56" s="512"/>
      <c r="AS56" s="512"/>
      <c r="AT56" s="512"/>
      <c r="AU56" s="512"/>
      <c r="AV56" s="512"/>
      <c r="AW56" s="512"/>
      <c r="AX56" s="512"/>
      <c r="AY56" s="512"/>
      <c r="AZ56" s="512"/>
    </row>
    <row r="57" spans="1:52" x14ac:dyDescent="0.25">
      <c r="B57" s="512"/>
      <c r="C57" s="2582"/>
      <c r="D57" s="512"/>
      <c r="E57" s="512"/>
      <c r="F57" s="512"/>
      <c r="G57" s="512"/>
      <c r="H57" s="512"/>
      <c r="I57" s="512"/>
      <c r="J57" s="512"/>
      <c r="K57" s="512"/>
      <c r="L57" s="512"/>
      <c r="M57" s="512"/>
      <c r="N57" s="512"/>
      <c r="O57" s="512"/>
      <c r="P57" s="512"/>
      <c r="Q57" s="512"/>
      <c r="R57" s="512"/>
      <c r="S57" s="512"/>
      <c r="T57" s="512"/>
      <c r="U57" s="512"/>
      <c r="V57" s="512"/>
      <c r="W57" s="512"/>
      <c r="X57" s="512"/>
      <c r="Y57" s="512"/>
      <c r="Z57" s="512"/>
      <c r="AA57" s="512"/>
      <c r="AB57" s="512"/>
      <c r="AC57" s="512"/>
      <c r="AD57" s="512"/>
      <c r="AE57" s="512"/>
      <c r="AF57" s="512"/>
      <c r="AG57" s="512"/>
      <c r="AH57" s="512"/>
      <c r="AI57" s="512"/>
      <c r="AJ57" s="512"/>
      <c r="AK57" s="512"/>
      <c r="AL57" s="512"/>
      <c r="AM57" s="512"/>
      <c r="AN57" s="512"/>
      <c r="AO57" s="512"/>
      <c r="AP57" s="512"/>
      <c r="AQ57" s="512"/>
      <c r="AR57" s="512"/>
      <c r="AS57" s="512"/>
      <c r="AT57" s="512"/>
      <c r="AU57" s="512"/>
      <c r="AV57" s="512"/>
      <c r="AW57" s="512"/>
      <c r="AX57" s="512"/>
      <c r="AY57" s="512"/>
      <c r="AZ57" s="512"/>
    </row>
  </sheetData>
  <mergeCells count="3">
    <mergeCell ref="M3:R3"/>
    <mergeCell ref="AH3:AP3"/>
    <mergeCell ref="AQ3:AY3"/>
  </mergeCells>
  <pageMargins left="0.7" right="0.7" top="0.75" bottom="0.75" header="0.3" footer="0.3"/>
  <pageSetup paperSize="9" orientation="portrait" r:id="rId1"/>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54"/>
  <dimension ref="A2:J125"/>
  <sheetViews>
    <sheetView workbookViewId="0"/>
  </sheetViews>
  <sheetFormatPr baseColWidth="10" defaultColWidth="11.44140625" defaultRowHeight="13.8" x14ac:dyDescent="0.3"/>
  <cols>
    <col min="1" max="1" width="3" style="1045" customWidth="1"/>
    <col min="2" max="2" width="50.5546875" style="1045" customWidth="1"/>
    <col min="3" max="3" width="22.88671875" style="1045" customWidth="1"/>
    <col min="4" max="9" width="21.44140625" style="1045" customWidth="1"/>
    <col min="10" max="256" width="11.44140625" style="1045" customWidth="1"/>
    <col min="257" max="257" width="3" style="1045" customWidth="1"/>
    <col min="258" max="258" width="50.5546875" style="1045" customWidth="1"/>
    <col min="259" max="259" width="22.88671875" style="1045" customWidth="1"/>
    <col min="260" max="265" width="21.44140625" style="1045" customWidth="1"/>
    <col min="266" max="512" width="11.44140625" style="1045" customWidth="1"/>
    <col min="513" max="513" width="3" style="1045" customWidth="1"/>
    <col min="514" max="514" width="50.5546875" style="1045" customWidth="1"/>
    <col min="515" max="515" width="22.88671875" style="1045" customWidth="1"/>
    <col min="516" max="521" width="21.44140625" style="1045" customWidth="1"/>
    <col min="522" max="768" width="11.44140625" style="1045" customWidth="1"/>
    <col min="769" max="769" width="3" style="1045" customWidth="1"/>
    <col min="770" max="770" width="50.5546875" style="1045" customWidth="1"/>
    <col min="771" max="771" width="22.88671875" style="1045" customWidth="1"/>
    <col min="772" max="777" width="21.44140625" style="1045" customWidth="1"/>
    <col min="778" max="1024" width="11.44140625" style="1045" customWidth="1"/>
    <col min="1025" max="1025" width="3" style="1045" customWidth="1"/>
    <col min="1026" max="1026" width="50.5546875" style="1045" customWidth="1"/>
    <col min="1027" max="1027" width="22.88671875" style="1045" customWidth="1"/>
    <col min="1028" max="1033" width="21.44140625" style="1045" customWidth="1"/>
    <col min="1034" max="1280" width="11.44140625" style="1045" customWidth="1"/>
    <col min="1281" max="1281" width="3" style="1045" customWidth="1"/>
    <col min="1282" max="1282" width="50.5546875" style="1045" customWidth="1"/>
    <col min="1283" max="1283" width="22.88671875" style="1045" customWidth="1"/>
    <col min="1284" max="1289" width="21.44140625" style="1045" customWidth="1"/>
    <col min="1290" max="1536" width="11.44140625" style="1045" customWidth="1"/>
    <col min="1537" max="1537" width="3" style="1045" customWidth="1"/>
    <col min="1538" max="1538" width="50.5546875" style="1045" customWidth="1"/>
    <col min="1539" max="1539" width="22.88671875" style="1045" customWidth="1"/>
    <col min="1540" max="1545" width="21.44140625" style="1045" customWidth="1"/>
    <col min="1546" max="1792" width="11.44140625" style="1045" customWidth="1"/>
    <col min="1793" max="1793" width="3" style="1045" customWidth="1"/>
    <col min="1794" max="1794" width="50.5546875" style="1045" customWidth="1"/>
    <col min="1795" max="1795" width="22.88671875" style="1045" customWidth="1"/>
    <col min="1796" max="1801" width="21.44140625" style="1045" customWidth="1"/>
    <col min="1802" max="2048" width="11.44140625" style="1045" customWidth="1"/>
    <col min="2049" max="2049" width="3" style="1045" customWidth="1"/>
    <col min="2050" max="2050" width="50.5546875" style="1045" customWidth="1"/>
    <col min="2051" max="2051" width="22.88671875" style="1045" customWidth="1"/>
    <col min="2052" max="2057" width="21.44140625" style="1045" customWidth="1"/>
    <col min="2058" max="2304" width="11.44140625" style="1045" customWidth="1"/>
    <col min="2305" max="2305" width="3" style="1045" customWidth="1"/>
    <col min="2306" max="2306" width="50.5546875" style="1045" customWidth="1"/>
    <col min="2307" max="2307" width="22.88671875" style="1045" customWidth="1"/>
    <col min="2308" max="2313" width="21.44140625" style="1045" customWidth="1"/>
    <col min="2314" max="2560" width="11.44140625" style="1045" customWidth="1"/>
    <col min="2561" max="2561" width="3" style="1045" customWidth="1"/>
    <col min="2562" max="2562" width="50.5546875" style="1045" customWidth="1"/>
    <col min="2563" max="2563" width="22.88671875" style="1045" customWidth="1"/>
    <col min="2564" max="2569" width="21.44140625" style="1045" customWidth="1"/>
    <col min="2570" max="2816" width="11.44140625" style="1045" customWidth="1"/>
    <col min="2817" max="2817" width="3" style="1045" customWidth="1"/>
    <col min="2818" max="2818" width="50.5546875" style="1045" customWidth="1"/>
    <col min="2819" max="2819" width="22.88671875" style="1045" customWidth="1"/>
    <col min="2820" max="2825" width="21.44140625" style="1045" customWidth="1"/>
    <col min="2826" max="3072" width="11.44140625" style="1045" customWidth="1"/>
    <col min="3073" max="3073" width="3" style="1045" customWidth="1"/>
    <col min="3074" max="3074" width="50.5546875" style="1045" customWidth="1"/>
    <col min="3075" max="3075" width="22.88671875" style="1045" customWidth="1"/>
    <col min="3076" max="3081" width="21.44140625" style="1045" customWidth="1"/>
    <col min="3082" max="3328" width="11.44140625" style="1045" customWidth="1"/>
    <col min="3329" max="3329" width="3" style="1045" customWidth="1"/>
    <col min="3330" max="3330" width="50.5546875" style="1045" customWidth="1"/>
    <col min="3331" max="3331" width="22.88671875" style="1045" customWidth="1"/>
    <col min="3332" max="3337" width="21.44140625" style="1045" customWidth="1"/>
    <col min="3338" max="3584" width="11.44140625" style="1045" customWidth="1"/>
    <col min="3585" max="3585" width="3" style="1045" customWidth="1"/>
    <col min="3586" max="3586" width="50.5546875" style="1045" customWidth="1"/>
    <col min="3587" max="3587" width="22.88671875" style="1045" customWidth="1"/>
    <col min="3588" max="3593" width="21.44140625" style="1045" customWidth="1"/>
    <col min="3594" max="3840" width="11.44140625" style="1045" customWidth="1"/>
    <col min="3841" max="3841" width="3" style="1045" customWidth="1"/>
    <col min="3842" max="3842" width="50.5546875" style="1045" customWidth="1"/>
    <col min="3843" max="3843" width="22.88671875" style="1045" customWidth="1"/>
    <col min="3844" max="3849" width="21.44140625" style="1045" customWidth="1"/>
    <col min="3850" max="4096" width="11.44140625" style="1045" customWidth="1"/>
    <col min="4097" max="4097" width="3" style="1045" customWidth="1"/>
    <col min="4098" max="4098" width="50.5546875" style="1045" customWidth="1"/>
    <col min="4099" max="4099" width="22.88671875" style="1045" customWidth="1"/>
    <col min="4100" max="4105" width="21.44140625" style="1045" customWidth="1"/>
    <col min="4106" max="4352" width="11.44140625" style="1045" customWidth="1"/>
    <col min="4353" max="4353" width="3" style="1045" customWidth="1"/>
    <col min="4354" max="4354" width="50.5546875" style="1045" customWidth="1"/>
    <col min="4355" max="4355" width="22.88671875" style="1045" customWidth="1"/>
    <col min="4356" max="4361" width="21.44140625" style="1045" customWidth="1"/>
    <col min="4362" max="4608" width="11.44140625" style="1045" customWidth="1"/>
    <col min="4609" max="4609" width="3" style="1045" customWidth="1"/>
    <col min="4610" max="4610" width="50.5546875" style="1045" customWidth="1"/>
    <col min="4611" max="4611" width="22.88671875" style="1045" customWidth="1"/>
    <col min="4612" max="4617" width="21.44140625" style="1045" customWidth="1"/>
    <col min="4618" max="4864" width="11.44140625" style="1045" customWidth="1"/>
    <col min="4865" max="4865" width="3" style="1045" customWidth="1"/>
    <col min="4866" max="4866" width="50.5546875" style="1045" customWidth="1"/>
    <col min="4867" max="4867" width="22.88671875" style="1045" customWidth="1"/>
    <col min="4868" max="4873" width="21.44140625" style="1045" customWidth="1"/>
    <col min="4874" max="5120" width="11.44140625" style="1045" customWidth="1"/>
    <col min="5121" max="5121" width="3" style="1045" customWidth="1"/>
    <col min="5122" max="5122" width="50.5546875" style="1045" customWidth="1"/>
    <col min="5123" max="5123" width="22.88671875" style="1045" customWidth="1"/>
    <col min="5124" max="5129" width="21.44140625" style="1045" customWidth="1"/>
    <col min="5130" max="5376" width="11.44140625" style="1045" customWidth="1"/>
    <col min="5377" max="5377" width="3" style="1045" customWidth="1"/>
    <col min="5378" max="5378" width="50.5546875" style="1045" customWidth="1"/>
    <col min="5379" max="5379" width="22.88671875" style="1045" customWidth="1"/>
    <col min="5380" max="5385" width="21.44140625" style="1045" customWidth="1"/>
    <col min="5386" max="5632" width="11.44140625" style="1045" customWidth="1"/>
    <col min="5633" max="5633" width="3" style="1045" customWidth="1"/>
    <col min="5634" max="5634" width="50.5546875" style="1045" customWidth="1"/>
    <col min="5635" max="5635" width="22.88671875" style="1045" customWidth="1"/>
    <col min="5636" max="5641" width="21.44140625" style="1045" customWidth="1"/>
    <col min="5642" max="5888" width="11.44140625" style="1045" customWidth="1"/>
    <col min="5889" max="5889" width="3" style="1045" customWidth="1"/>
    <col min="5890" max="5890" width="50.5546875" style="1045" customWidth="1"/>
    <col min="5891" max="5891" width="22.88671875" style="1045" customWidth="1"/>
    <col min="5892" max="5897" width="21.44140625" style="1045" customWidth="1"/>
    <col min="5898" max="6144" width="11.44140625" style="1045" customWidth="1"/>
    <col min="6145" max="6145" width="3" style="1045" customWidth="1"/>
    <col min="6146" max="6146" width="50.5546875" style="1045" customWidth="1"/>
    <col min="6147" max="6147" width="22.88671875" style="1045" customWidth="1"/>
    <col min="6148" max="6153" width="21.44140625" style="1045" customWidth="1"/>
    <col min="6154" max="6400" width="11.44140625" style="1045" customWidth="1"/>
    <col min="6401" max="6401" width="3" style="1045" customWidth="1"/>
    <col min="6402" max="6402" width="50.5546875" style="1045" customWidth="1"/>
    <col min="6403" max="6403" width="22.88671875" style="1045" customWidth="1"/>
    <col min="6404" max="6409" width="21.44140625" style="1045" customWidth="1"/>
    <col min="6410" max="6656" width="11.44140625" style="1045" customWidth="1"/>
    <col min="6657" max="6657" width="3" style="1045" customWidth="1"/>
    <col min="6658" max="6658" width="50.5546875" style="1045" customWidth="1"/>
    <col min="6659" max="6659" width="22.88671875" style="1045" customWidth="1"/>
    <col min="6660" max="6665" width="21.44140625" style="1045" customWidth="1"/>
    <col min="6666" max="6912" width="11.44140625" style="1045" customWidth="1"/>
    <col min="6913" max="6913" width="3" style="1045" customWidth="1"/>
    <col min="6914" max="6914" width="50.5546875" style="1045" customWidth="1"/>
    <col min="6915" max="6915" width="22.88671875" style="1045" customWidth="1"/>
    <col min="6916" max="6921" width="21.44140625" style="1045" customWidth="1"/>
    <col min="6922" max="7168" width="11.44140625" style="1045" customWidth="1"/>
    <col min="7169" max="7169" width="3" style="1045" customWidth="1"/>
    <col min="7170" max="7170" width="50.5546875" style="1045" customWidth="1"/>
    <col min="7171" max="7171" width="22.88671875" style="1045" customWidth="1"/>
    <col min="7172" max="7177" width="21.44140625" style="1045" customWidth="1"/>
    <col min="7178" max="7424" width="11.44140625" style="1045" customWidth="1"/>
    <col min="7425" max="7425" width="3" style="1045" customWidth="1"/>
    <col min="7426" max="7426" width="50.5546875" style="1045" customWidth="1"/>
    <col min="7427" max="7427" width="22.88671875" style="1045" customWidth="1"/>
    <col min="7428" max="7433" width="21.44140625" style="1045" customWidth="1"/>
    <col min="7434" max="7680" width="11.44140625" style="1045" customWidth="1"/>
    <col min="7681" max="7681" width="3" style="1045" customWidth="1"/>
    <col min="7682" max="7682" width="50.5546875" style="1045" customWidth="1"/>
    <col min="7683" max="7683" width="22.88671875" style="1045" customWidth="1"/>
    <col min="7684" max="7689" width="21.44140625" style="1045" customWidth="1"/>
    <col min="7690" max="7936" width="11.44140625" style="1045" customWidth="1"/>
    <col min="7937" max="7937" width="3" style="1045" customWidth="1"/>
    <col min="7938" max="7938" width="50.5546875" style="1045" customWidth="1"/>
    <col min="7939" max="7939" width="22.88671875" style="1045" customWidth="1"/>
    <col min="7940" max="7945" width="21.44140625" style="1045" customWidth="1"/>
    <col min="7946" max="8192" width="11.44140625" style="1045" customWidth="1"/>
    <col min="8193" max="8193" width="3" style="1045" customWidth="1"/>
    <col min="8194" max="8194" width="50.5546875" style="1045" customWidth="1"/>
    <col min="8195" max="8195" width="22.88671875" style="1045" customWidth="1"/>
    <col min="8196" max="8201" width="21.44140625" style="1045" customWidth="1"/>
    <col min="8202" max="8448" width="11.44140625" style="1045" customWidth="1"/>
    <col min="8449" max="8449" width="3" style="1045" customWidth="1"/>
    <col min="8450" max="8450" width="50.5546875" style="1045" customWidth="1"/>
    <col min="8451" max="8451" width="22.88671875" style="1045" customWidth="1"/>
    <col min="8452" max="8457" width="21.44140625" style="1045" customWidth="1"/>
    <col min="8458" max="8704" width="11.44140625" style="1045" customWidth="1"/>
    <col min="8705" max="8705" width="3" style="1045" customWidth="1"/>
    <col min="8706" max="8706" width="50.5546875" style="1045" customWidth="1"/>
    <col min="8707" max="8707" width="22.88671875" style="1045" customWidth="1"/>
    <col min="8708" max="8713" width="21.44140625" style="1045" customWidth="1"/>
    <col min="8714" max="8960" width="11.44140625" style="1045" customWidth="1"/>
    <col min="8961" max="8961" width="3" style="1045" customWidth="1"/>
    <col min="8962" max="8962" width="50.5546875" style="1045" customWidth="1"/>
    <col min="8963" max="8963" width="22.88671875" style="1045" customWidth="1"/>
    <col min="8964" max="8969" width="21.44140625" style="1045" customWidth="1"/>
    <col min="8970" max="9216" width="11.44140625" style="1045" customWidth="1"/>
    <col min="9217" max="9217" width="3" style="1045" customWidth="1"/>
    <col min="9218" max="9218" width="50.5546875" style="1045" customWidth="1"/>
    <col min="9219" max="9219" width="22.88671875" style="1045" customWidth="1"/>
    <col min="9220" max="9225" width="21.44140625" style="1045" customWidth="1"/>
    <col min="9226" max="9472" width="11.44140625" style="1045" customWidth="1"/>
    <col min="9473" max="9473" width="3" style="1045" customWidth="1"/>
    <col min="9474" max="9474" width="50.5546875" style="1045" customWidth="1"/>
    <col min="9475" max="9475" width="22.88671875" style="1045" customWidth="1"/>
    <col min="9476" max="9481" width="21.44140625" style="1045" customWidth="1"/>
    <col min="9482" max="9728" width="11.44140625" style="1045" customWidth="1"/>
    <col min="9729" max="9729" width="3" style="1045" customWidth="1"/>
    <col min="9730" max="9730" width="50.5546875" style="1045" customWidth="1"/>
    <col min="9731" max="9731" width="22.88671875" style="1045" customWidth="1"/>
    <col min="9732" max="9737" width="21.44140625" style="1045" customWidth="1"/>
    <col min="9738" max="9984" width="11.44140625" style="1045" customWidth="1"/>
    <col min="9985" max="9985" width="3" style="1045" customWidth="1"/>
    <col min="9986" max="9986" width="50.5546875" style="1045" customWidth="1"/>
    <col min="9987" max="9987" width="22.88671875" style="1045" customWidth="1"/>
    <col min="9988" max="9993" width="21.44140625" style="1045" customWidth="1"/>
    <col min="9994" max="10240" width="11.44140625" style="1045" customWidth="1"/>
    <col min="10241" max="10241" width="3" style="1045" customWidth="1"/>
    <col min="10242" max="10242" width="50.5546875" style="1045" customWidth="1"/>
    <col min="10243" max="10243" width="22.88671875" style="1045" customWidth="1"/>
    <col min="10244" max="10249" width="21.44140625" style="1045" customWidth="1"/>
    <col min="10250" max="10496" width="11.44140625" style="1045" customWidth="1"/>
    <col min="10497" max="10497" width="3" style="1045" customWidth="1"/>
    <col min="10498" max="10498" width="50.5546875" style="1045" customWidth="1"/>
    <col min="10499" max="10499" width="22.88671875" style="1045" customWidth="1"/>
    <col min="10500" max="10505" width="21.44140625" style="1045" customWidth="1"/>
    <col min="10506" max="10752" width="11.44140625" style="1045" customWidth="1"/>
    <col min="10753" max="10753" width="3" style="1045" customWidth="1"/>
    <col min="10754" max="10754" width="50.5546875" style="1045" customWidth="1"/>
    <col min="10755" max="10755" width="22.88671875" style="1045" customWidth="1"/>
    <col min="10756" max="10761" width="21.44140625" style="1045" customWidth="1"/>
    <col min="10762" max="11008" width="11.44140625" style="1045" customWidth="1"/>
    <col min="11009" max="11009" width="3" style="1045" customWidth="1"/>
    <col min="11010" max="11010" width="50.5546875" style="1045" customWidth="1"/>
    <col min="11011" max="11011" width="22.88671875" style="1045" customWidth="1"/>
    <col min="11012" max="11017" width="21.44140625" style="1045" customWidth="1"/>
    <col min="11018" max="11264" width="11.44140625" style="1045" customWidth="1"/>
    <col min="11265" max="11265" width="3" style="1045" customWidth="1"/>
    <col min="11266" max="11266" width="50.5546875" style="1045" customWidth="1"/>
    <col min="11267" max="11267" width="22.88671875" style="1045" customWidth="1"/>
    <col min="11268" max="11273" width="21.44140625" style="1045" customWidth="1"/>
    <col min="11274" max="11520" width="11.44140625" style="1045" customWidth="1"/>
    <col min="11521" max="11521" width="3" style="1045" customWidth="1"/>
    <col min="11522" max="11522" width="50.5546875" style="1045" customWidth="1"/>
    <col min="11523" max="11523" width="22.88671875" style="1045" customWidth="1"/>
    <col min="11524" max="11529" width="21.44140625" style="1045" customWidth="1"/>
    <col min="11530" max="11776" width="11.44140625" style="1045" customWidth="1"/>
    <col min="11777" max="11777" width="3" style="1045" customWidth="1"/>
    <col min="11778" max="11778" width="50.5546875" style="1045" customWidth="1"/>
    <col min="11779" max="11779" width="22.88671875" style="1045" customWidth="1"/>
    <col min="11780" max="11785" width="21.44140625" style="1045" customWidth="1"/>
    <col min="11786" max="12032" width="11.44140625" style="1045" customWidth="1"/>
    <col min="12033" max="12033" width="3" style="1045" customWidth="1"/>
    <col min="12034" max="12034" width="50.5546875" style="1045" customWidth="1"/>
    <col min="12035" max="12035" width="22.88671875" style="1045" customWidth="1"/>
    <col min="12036" max="12041" width="21.44140625" style="1045" customWidth="1"/>
    <col min="12042" max="12288" width="11.44140625" style="1045" customWidth="1"/>
    <col min="12289" max="12289" width="3" style="1045" customWidth="1"/>
    <col min="12290" max="12290" width="50.5546875" style="1045" customWidth="1"/>
    <col min="12291" max="12291" width="22.88671875" style="1045" customWidth="1"/>
    <col min="12292" max="12297" width="21.44140625" style="1045" customWidth="1"/>
    <col min="12298" max="12544" width="11.44140625" style="1045" customWidth="1"/>
    <col min="12545" max="12545" width="3" style="1045" customWidth="1"/>
    <col min="12546" max="12546" width="50.5546875" style="1045" customWidth="1"/>
    <col min="12547" max="12547" width="22.88671875" style="1045" customWidth="1"/>
    <col min="12548" max="12553" width="21.44140625" style="1045" customWidth="1"/>
    <col min="12554" max="12800" width="11.44140625" style="1045" customWidth="1"/>
    <col min="12801" max="12801" width="3" style="1045" customWidth="1"/>
    <col min="12802" max="12802" width="50.5546875" style="1045" customWidth="1"/>
    <col min="12803" max="12803" width="22.88671875" style="1045" customWidth="1"/>
    <col min="12804" max="12809" width="21.44140625" style="1045" customWidth="1"/>
    <col min="12810" max="13056" width="11.44140625" style="1045" customWidth="1"/>
    <col min="13057" max="13057" width="3" style="1045" customWidth="1"/>
    <col min="13058" max="13058" width="50.5546875" style="1045" customWidth="1"/>
    <col min="13059" max="13059" width="22.88671875" style="1045" customWidth="1"/>
    <col min="13060" max="13065" width="21.44140625" style="1045" customWidth="1"/>
    <col min="13066" max="13312" width="11.44140625" style="1045" customWidth="1"/>
    <col min="13313" max="13313" width="3" style="1045" customWidth="1"/>
    <col min="13314" max="13314" width="50.5546875" style="1045" customWidth="1"/>
    <col min="13315" max="13315" width="22.88671875" style="1045" customWidth="1"/>
    <col min="13316" max="13321" width="21.44140625" style="1045" customWidth="1"/>
    <col min="13322" max="13568" width="11.44140625" style="1045" customWidth="1"/>
    <col min="13569" max="13569" width="3" style="1045" customWidth="1"/>
    <col min="13570" max="13570" width="50.5546875" style="1045" customWidth="1"/>
    <col min="13571" max="13571" width="22.88671875" style="1045" customWidth="1"/>
    <col min="13572" max="13577" width="21.44140625" style="1045" customWidth="1"/>
    <col min="13578" max="13824" width="11.44140625" style="1045" customWidth="1"/>
    <col min="13825" max="13825" width="3" style="1045" customWidth="1"/>
    <col min="13826" max="13826" width="50.5546875" style="1045" customWidth="1"/>
    <col min="13827" max="13827" width="22.88671875" style="1045" customWidth="1"/>
    <col min="13828" max="13833" width="21.44140625" style="1045" customWidth="1"/>
    <col min="13834" max="14080" width="11.44140625" style="1045" customWidth="1"/>
    <col min="14081" max="14081" width="3" style="1045" customWidth="1"/>
    <col min="14082" max="14082" width="50.5546875" style="1045" customWidth="1"/>
    <col min="14083" max="14083" width="22.88671875" style="1045" customWidth="1"/>
    <col min="14084" max="14089" width="21.44140625" style="1045" customWidth="1"/>
    <col min="14090" max="14336" width="11.44140625" style="1045" customWidth="1"/>
    <col min="14337" max="14337" width="3" style="1045" customWidth="1"/>
    <col min="14338" max="14338" width="50.5546875" style="1045" customWidth="1"/>
    <col min="14339" max="14339" width="22.88671875" style="1045" customWidth="1"/>
    <col min="14340" max="14345" width="21.44140625" style="1045" customWidth="1"/>
    <col min="14346" max="14592" width="11.44140625" style="1045" customWidth="1"/>
    <col min="14593" max="14593" width="3" style="1045" customWidth="1"/>
    <col min="14594" max="14594" width="50.5546875" style="1045" customWidth="1"/>
    <col min="14595" max="14595" width="22.88671875" style="1045" customWidth="1"/>
    <col min="14596" max="14601" width="21.44140625" style="1045" customWidth="1"/>
    <col min="14602" max="14848" width="11.44140625" style="1045" customWidth="1"/>
    <col min="14849" max="14849" width="3" style="1045" customWidth="1"/>
    <col min="14850" max="14850" width="50.5546875" style="1045" customWidth="1"/>
    <col min="14851" max="14851" width="22.88671875" style="1045" customWidth="1"/>
    <col min="14852" max="14857" width="21.44140625" style="1045" customWidth="1"/>
    <col min="14858" max="15104" width="11.44140625" style="1045" customWidth="1"/>
    <col min="15105" max="15105" width="3" style="1045" customWidth="1"/>
    <col min="15106" max="15106" width="50.5546875" style="1045" customWidth="1"/>
    <col min="15107" max="15107" width="22.88671875" style="1045" customWidth="1"/>
    <col min="15108" max="15113" width="21.44140625" style="1045" customWidth="1"/>
    <col min="15114" max="15360" width="11.44140625" style="1045" customWidth="1"/>
    <col min="15361" max="15361" width="3" style="1045" customWidth="1"/>
    <col min="15362" max="15362" width="50.5546875" style="1045" customWidth="1"/>
    <col min="15363" max="15363" width="22.88671875" style="1045" customWidth="1"/>
    <col min="15364" max="15369" width="21.44140625" style="1045" customWidth="1"/>
    <col min="15370" max="15616" width="11.44140625" style="1045" customWidth="1"/>
    <col min="15617" max="15617" width="3" style="1045" customWidth="1"/>
    <col min="15618" max="15618" width="50.5546875" style="1045" customWidth="1"/>
    <col min="15619" max="15619" width="22.88671875" style="1045" customWidth="1"/>
    <col min="15620" max="15625" width="21.44140625" style="1045" customWidth="1"/>
    <col min="15626" max="15872" width="11.44140625" style="1045" customWidth="1"/>
    <col min="15873" max="15873" width="3" style="1045" customWidth="1"/>
    <col min="15874" max="15874" width="50.5546875" style="1045" customWidth="1"/>
    <col min="15875" max="15875" width="22.88671875" style="1045" customWidth="1"/>
    <col min="15876" max="15881" width="21.44140625" style="1045" customWidth="1"/>
    <col min="15882" max="16128" width="11.44140625" style="1045" customWidth="1"/>
    <col min="16129" max="16129" width="3" style="1045" customWidth="1"/>
    <col min="16130" max="16130" width="50.5546875" style="1045" customWidth="1"/>
    <col min="16131" max="16131" width="22.88671875" style="1045" customWidth="1"/>
    <col min="16132" max="16137" width="21.44140625" style="1045" customWidth="1"/>
    <col min="16138" max="16384" width="11.44140625" style="1045" customWidth="1"/>
  </cols>
  <sheetData>
    <row r="2" spans="1:10" ht="15" customHeight="1" x14ac:dyDescent="0.3">
      <c r="B2" s="1046" t="s">
        <v>692</v>
      </c>
    </row>
    <row r="3" spans="1:10" ht="8.25" customHeight="1" thickBot="1" x14ac:dyDescent="0.35">
      <c r="B3" s="1047"/>
      <c r="C3" s="1047"/>
    </row>
    <row r="4" spans="1:10" ht="21" customHeight="1" thickBot="1" x14ac:dyDescent="0.35">
      <c r="A4" s="1048"/>
      <c r="B4" s="1049" t="s">
        <v>693</v>
      </c>
      <c r="C4" s="1049" t="s">
        <v>694</v>
      </c>
    </row>
    <row r="5" spans="1:10" ht="3.75" customHeight="1" thickBot="1" x14ac:dyDescent="0.35">
      <c r="A5" s="1048"/>
      <c r="B5" s="3969"/>
      <c r="C5" s="3969"/>
      <c r="D5" s="1050"/>
    </row>
    <row r="6" spans="1:10" ht="15.75" customHeight="1" thickBot="1" x14ac:dyDescent="0.35">
      <c r="A6" s="1048"/>
      <c r="B6" s="3970" t="s">
        <v>4</v>
      </c>
      <c r="C6" s="3970"/>
      <c r="D6" s="1051"/>
    </row>
    <row r="7" spans="1:10" ht="15.75" customHeight="1" thickBot="1" x14ac:dyDescent="0.35">
      <c r="A7" s="1048"/>
      <c r="B7" s="3971" t="s">
        <v>7</v>
      </c>
      <c r="C7" s="3971"/>
      <c r="D7" s="1051"/>
    </row>
    <row r="8" spans="1:10" ht="15.75" customHeight="1" thickBot="1" x14ac:dyDescent="0.35">
      <c r="A8" s="1048"/>
      <c r="B8" s="1052" t="s">
        <v>10</v>
      </c>
      <c r="C8" s="1053">
        <v>284941.45339496568</v>
      </c>
      <c r="G8" s="1054"/>
    </row>
    <row r="9" spans="1:10" ht="15.75" customHeight="1" thickBot="1" x14ac:dyDescent="0.35">
      <c r="A9" s="1048"/>
      <c r="B9" s="1052" t="s">
        <v>15</v>
      </c>
      <c r="C9" s="1053">
        <v>163243.6854554672</v>
      </c>
    </row>
    <row r="10" spans="1:10" ht="15.75" customHeight="1" thickBot="1" x14ac:dyDescent="0.35">
      <c r="A10" s="1048"/>
      <c r="B10" s="1055" t="s">
        <v>5</v>
      </c>
      <c r="C10" s="1056">
        <v>11387.498</v>
      </c>
    </row>
    <row r="11" spans="1:10" ht="15.75" customHeight="1" thickBot="1" x14ac:dyDescent="0.35">
      <c r="A11" s="1048"/>
      <c r="B11" s="1057" t="s">
        <v>118</v>
      </c>
      <c r="C11" s="1058">
        <v>3976.7989999999995</v>
      </c>
    </row>
    <row r="12" spans="1:10" ht="15.75" customHeight="1" thickBot="1" x14ac:dyDescent="0.35">
      <c r="A12" s="1048"/>
      <c r="B12" s="1057" t="s">
        <v>147</v>
      </c>
      <c r="C12" s="1058">
        <v>7410.6989999999996</v>
      </c>
    </row>
    <row r="13" spans="1:10" ht="15.75" customHeight="1" thickBot="1" x14ac:dyDescent="0.35">
      <c r="A13" s="1048"/>
      <c r="B13" s="1055" t="s">
        <v>28</v>
      </c>
      <c r="C13" s="1056">
        <v>21524.533889999999</v>
      </c>
      <c r="E13" s="1059"/>
      <c r="F13" s="1059"/>
      <c r="H13" s="1059"/>
    </row>
    <row r="14" spans="1:10" ht="15.75" customHeight="1" thickBot="1" x14ac:dyDescent="0.35">
      <c r="A14" s="1048"/>
      <c r="B14" s="1055" t="s">
        <v>12</v>
      </c>
      <c r="C14" s="1056">
        <v>13849.056000000002</v>
      </c>
      <c r="D14" s="1059"/>
    </row>
    <row r="15" spans="1:10" ht="15.75" customHeight="1" thickBot="1" x14ac:dyDescent="0.35">
      <c r="A15" s="1048"/>
      <c r="B15" s="1055" t="s">
        <v>14</v>
      </c>
      <c r="C15" s="1056">
        <v>17503.468173000001</v>
      </c>
      <c r="J15" s="1054"/>
    </row>
    <row r="16" spans="1:10" ht="15.75" customHeight="1" thickBot="1" x14ac:dyDescent="0.35">
      <c r="A16" s="1048"/>
      <c r="B16" s="1055" t="s">
        <v>16</v>
      </c>
      <c r="C16" s="1056">
        <v>970.8472499999998</v>
      </c>
      <c r="G16" s="1054"/>
      <c r="I16" s="1059"/>
    </row>
    <row r="17" spans="1:10" ht="15.75" customHeight="1" thickBot="1" x14ac:dyDescent="0.35">
      <c r="A17" s="1048"/>
      <c r="B17" s="1055" t="s">
        <v>17</v>
      </c>
      <c r="C17" s="1056">
        <v>425.94299999999998</v>
      </c>
      <c r="G17" s="1054"/>
    </row>
    <row r="18" spans="1:10" ht="15.75" customHeight="1" thickBot="1" x14ac:dyDescent="0.35">
      <c r="A18" s="1048"/>
      <c r="B18" s="1055" t="s">
        <v>21</v>
      </c>
      <c r="C18" s="1056">
        <v>683.01459999999997</v>
      </c>
    </row>
    <row r="19" spans="1:10" ht="15.75" customHeight="1" thickBot="1" x14ac:dyDescent="0.35">
      <c r="A19" s="1048"/>
      <c r="B19" s="1057" t="s">
        <v>41</v>
      </c>
      <c r="C19" s="1058">
        <v>43.386600000000001</v>
      </c>
    </row>
    <row r="20" spans="1:10" ht="15.75" customHeight="1" thickBot="1" x14ac:dyDescent="0.35">
      <c r="A20" s="1048"/>
      <c r="B20" s="1057" t="s">
        <v>44</v>
      </c>
      <c r="C20" s="1058">
        <v>155.06400000000002</v>
      </c>
    </row>
    <row r="21" spans="1:10" ht="15.75" customHeight="1" thickBot="1" x14ac:dyDescent="0.35">
      <c r="A21" s="1048"/>
      <c r="B21" s="1057" t="s">
        <v>695</v>
      </c>
      <c r="C21" s="1058">
        <v>109.27</v>
      </c>
      <c r="J21" s="1054"/>
    </row>
    <row r="22" spans="1:10" ht="15.75" customHeight="1" thickBot="1" x14ac:dyDescent="0.35">
      <c r="A22" s="1048"/>
      <c r="B22" s="1057" t="s">
        <v>50</v>
      </c>
      <c r="C22" s="1058">
        <v>36.343999999999994</v>
      </c>
      <c r="J22" s="1054"/>
    </row>
    <row r="23" spans="1:10" ht="15.75" customHeight="1" thickBot="1" x14ac:dyDescent="0.35">
      <c r="A23" s="1048"/>
      <c r="B23" s="1057" t="s">
        <v>102</v>
      </c>
      <c r="C23" s="1058">
        <v>279.74399999999997</v>
      </c>
      <c r="J23" s="1054"/>
    </row>
    <row r="24" spans="1:10" ht="15.75" customHeight="1" thickBot="1" x14ac:dyDescent="0.35">
      <c r="A24" s="1048"/>
      <c r="B24" s="1057" t="s">
        <v>53</v>
      </c>
      <c r="C24" s="1058">
        <v>0</v>
      </c>
      <c r="J24" s="1054"/>
    </row>
    <row r="25" spans="1:10" ht="15.75" customHeight="1" thickBot="1" x14ac:dyDescent="0.35">
      <c r="A25" s="1048"/>
      <c r="B25" s="1057" t="s">
        <v>54</v>
      </c>
      <c r="C25" s="1058">
        <v>59.206000000000003</v>
      </c>
    </row>
    <row r="26" spans="1:10" ht="15.75" customHeight="1" thickBot="1" x14ac:dyDescent="0.35">
      <c r="A26" s="1048"/>
      <c r="B26" s="1055" t="s">
        <v>55</v>
      </c>
      <c r="C26" s="1056">
        <v>15219.433091732586</v>
      </c>
    </row>
    <row r="27" spans="1:10" ht="15.75" customHeight="1" thickBot="1" x14ac:dyDescent="0.35">
      <c r="A27" s="1048"/>
      <c r="B27" s="1057" t="s">
        <v>25</v>
      </c>
      <c r="C27" s="1058">
        <v>4504.9413030100004</v>
      </c>
    </row>
    <row r="28" spans="1:10" ht="15.75" customHeight="1" thickBot="1" x14ac:dyDescent="0.35">
      <c r="A28" s="1048"/>
      <c r="B28" s="1057" t="s">
        <v>29</v>
      </c>
      <c r="C28" s="1058">
        <v>9690.4674000000014</v>
      </c>
    </row>
    <row r="29" spans="1:10" ht="15.75" customHeight="1" thickBot="1" x14ac:dyDescent="0.35">
      <c r="A29" s="1048"/>
      <c r="B29" s="1057" t="s">
        <v>60</v>
      </c>
      <c r="C29" s="1058">
        <v>173.54640000000001</v>
      </c>
    </row>
    <row r="30" spans="1:10" ht="14.4" thickBot="1" x14ac:dyDescent="0.35">
      <c r="A30" s="1048"/>
      <c r="B30" s="1057" t="s">
        <v>33</v>
      </c>
      <c r="C30" s="1058">
        <v>686.15773180258554</v>
      </c>
    </row>
    <row r="31" spans="1:10" ht="14.4" thickBot="1" x14ac:dyDescent="0.35">
      <c r="A31" s="1048"/>
      <c r="B31" s="1057" t="s">
        <v>696</v>
      </c>
      <c r="C31" s="1058">
        <v>3.9550000000000001</v>
      </c>
    </row>
    <row r="32" spans="1:10" ht="14.4" thickBot="1" x14ac:dyDescent="0.35">
      <c r="A32" s="1048"/>
      <c r="B32" s="1057" t="s">
        <v>65</v>
      </c>
      <c r="C32" s="1058">
        <v>0</v>
      </c>
    </row>
    <row r="33" spans="1:10" ht="14.4" thickBot="1" x14ac:dyDescent="0.35">
      <c r="A33" s="1048"/>
      <c r="B33" s="1057" t="s">
        <v>66</v>
      </c>
      <c r="C33" s="1058">
        <v>0</v>
      </c>
    </row>
    <row r="34" spans="1:10" ht="14.4" thickBot="1" x14ac:dyDescent="0.35">
      <c r="A34" s="1048"/>
      <c r="B34" s="1057" t="s">
        <v>68</v>
      </c>
      <c r="C34" s="1058">
        <v>0</v>
      </c>
    </row>
    <row r="35" spans="1:10" ht="14.4" thickBot="1" x14ac:dyDescent="0.35">
      <c r="A35" s="1048"/>
      <c r="B35" s="1057" t="s">
        <v>70</v>
      </c>
      <c r="C35" s="1058">
        <v>18.240000000000002</v>
      </c>
    </row>
    <row r="36" spans="1:10" ht="14.4" thickBot="1" x14ac:dyDescent="0.35">
      <c r="A36" s="1048"/>
      <c r="B36" s="1057" t="s">
        <v>71</v>
      </c>
      <c r="C36" s="1058">
        <v>4.0680000000000005</v>
      </c>
    </row>
    <row r="37" spans="1:10" ht="15.75" customHeight="1" thickBot="1" x14ac:dyDescent="0.35">
      <c r="A37" s="1048"/>
      <c r="B37" s="1057" t="s">
        <v>73</v>
      </c>
      <c r="C37" s="1058">
        <v>137.07325691999998</v>
      </c>
      <c r="J37" s="1054"/>
    </row>
    <row r="38" spans="1:10" ht="15.75" customHeight="1" thickBot="1" x14ac:dyDescent="0.35">
      <c r="A38" s="1048"/>
      <c r="B38" s="1057" t="s">
        <v>74</v>
      </c>
      <c r="C38" s="1058">
        <v>0.98399999999999999</v>
      </c>
      <c r="J38" s="1054"/>
    </row>
    <row r="39" spans="1:10" ht="14.4" thickBot="1" x14ac:dyDescent="0.35">
      <c r="A39" s="1048"/>
      <c r="B39" s="1057" t="s">
        <v>103</v>
      </c>
      <c r="C39" s="1058">
        <v>0</v>
      </c>
    </row>
    <row r="40" spans="1:10" ht="14.4" thickBot="1" x14ac:dyDescent="0.35">
      <c r="A40" s="1048"/>
      <c r="B40" s="1055" t="s">
        <v>76</v>
      </c>
      <c r="C40" s="1056">
        <v>17083.602450734608</v>
      </c>
    </row>
    <row r="41" spans="1:10" ht="14.4" thickBot="1" x14ac:dyDescent="0.35">
      <c r="A41" s="1048"/>
      <c r="B41" s="1057" t="s">
        <v>81</v>
      </c>
      <c r="C41" s="1058">
        <v>14181.785090734607</v>
      </c>
    </row>
    <row r="42" spans="1:10" ht="14.4" thickBot="1" x14ac:dyDescent="0.35">
      <c r="A42" s="1048"/>
      <c r="B42" s="1057" t="s">
        <v>104</v>
      </c>
      <c r="C42" s="1058">
        <v>884.88661999999999</v>
      </c>
    </row>
    <row r="43" spans="1:10" ht="14.4" thickBot="1" x14ac:dyDescent="0.35">
      <c r="A43" s="1048"/>
      <c r="B43" s="1057" t="s">
        <v>315</v>
      </c>
      <c r="C43" s="1058">
        <v>2016.93074</v>
      </c>
    </row>
    <row r="44" spans="1:10" ht="14.4" thickBot="1" x14ac:dyDescent="0.35">
      <c r="A44" s="1048"/>
      <c r="B44" s="1060" t="s">
        <v>697</v>
      </c>
      <c r="C44" s="1056">
        <v>64596.289000000004</v>
      </c>
    </row>
    <row r="45" spans="1:10" ht="14.4" thickBot="1" x14ac:dyDescent="0.35">
      <c r="A45" s="1048"/>
      <c r="B45" s="1057" t="s">
        <v>83</v>
      </c>
      <c r="C45" s="1058">
        <v>21076.533000000003</v>
      </c>
    </row>
    <row r="46" spans="1:10" ht="14.4" thickBot="1" x14ac:dyDescent="0.35">
      <c r="A46" s="1048"/>
      <c r="B46" s="1057" t="s">
        <v>84</v>
      </c>
      <c r="C46" s="1058">
        <v>43519.756000000001</v>
      </c>
    </row>
    <row r="47" spans="1:10" ht="14.4" thickBot="1" x14ac:dyDescent="0.35">
      <c r="A47" s="1048"/>
      <c r="B47" s="1061" t="s">
        <v>85</v>
      </c>
      <c r="C47" s="1062">
        <f>C8+C9</f>
        <v>448185.13885043288</v>
      </c>
      <c r="E47" s="1063"/>
    </row>
    <row r="48" spans="1:10" ht="14.4" thickBot="1" x14ac:dyDescent="0.35">
      <c r="A48" s="1048"/>
      <c r="B48" s="3971" t="s">
        <v>86</v>
      </c>
      <c r="C48" s="3971"/>
      <c r="D48" s="1063"/>
    </row>
    <row r="49" spans="1:7" ht="14.4" thickBot="1" x14ac:dyDescent="0.35">
      <c r="A49" s="1048"/>
      <c r="B49" s="1052" t="s">
        <v>10</v>
      </c>
      <c r="C49" s="1053">
        <v>11973.675297665905</v>
      </c>
      <c r="G49" s="1054"/>
    </row>
    <row r="50" spans="1:7" ht="14.4" thickBot="1" x14ac:dyDescent="0.35">
      <c r="A50" s="1048"/>
      <c r="B50" s="1055" t="s">
        <v>88</v>
      </c>
      <c r="C50" s="1056">
        <v>5593.643</v>
      </c>
    </row>
    <row r="51" spans="1:7" ht="14.4" thickBot="1" x14ac:dyDescent="0.35">
      <c r="A51" s="1048"/>
      <c r="B51" s="1055" t="s">
        <v>95</v>
      </c>
      <c r="C51" s="1056">
        <v>48</v>
      </c>
    </row>
    <row r="52" spans="1:7" ht="14.4" thickBot="1" x14ac:dyDescent="0.35">
      <c r="A52" s="1048"/>
      <c r="B52" s="1055" t="s">
        <v>89</v>
      </c>
      <c r="C52" s="1056">
        <v>6332.0322976659045</v>
      </c>
    </row>
    <row r="53" spans="1:7" ht="14.4" thickBot="1" x14ac:dyDescent="0.35">
      <c r="A53" s="1048"/>
      <c r="B53" s="1052" t="s">
        <v>15</v>
      </c>
      <c r="C53" s="1053">
        <v>25275.439055999999</v>
      </c>
    </row>
    <row r="54" spans="1:7" ht="14.4" thickBot="1" x14ac:dyDescent="0.35">
      <c r="A54" s="1048"/>
      <c r="B54" s="1055" t="s">
        <v>5</v>
      </c>
      <c r="C54" s="1056">
        <v>450.84000000000003</v>
      </c>
    </row>
    <row r="55" spans="1:7" ht="14.4" thickBot="1" x14ac:dyDescent="0.35">
      <c r="A55" s="1048"/>
      <c r="B55" s="1057" t="s">
        <v>118</v>
      </c>
      <c r="C55" s="1058">
        <v>450.84000000000003</v>
      </c>
    </row>
    <row r="56" spans="1:7" ht="14.4" thickBot="1" x14ac:dyDescent="0.35">
      <c r="A56" s="1048"/>
      <c r="B56" s="1055" t="s">
        <v>14</v>
      </c>
      <c r="C56" s="1056">
        <v>972.41489850000005</v>
      </c>
    </row>
    <row r="57" spans="1:7" ht="14.4" thickBot="1" x14ac:dyDescent="0.35">
      <c r="A57" s="1048"/>
      <c r="B57" s="1055" t="s">
        <v>28</v>
      </c>
      <c r="C57" s="1056">
        <v>1793.7111574999999</v>
      </c>
    </row>
    <row r="58" spans="1:7" ht="14.4" thickBot="1" x14ac:dyDescent="0.35">
      <c r="A58" s="1048"/>
      <c r="B58" s="1055" t="s">
        <v>12</v>
      </c>
      <c r="C58" s="1056">
        <v>1065.3120000000001</v>
      </c>
    </row>
    <row r="59" spans="1:7" ht="14.4" thickBot="1" x14ac:dyDescent="0.35">
      <c r="A59" s="1048"/>
      <c r="B59" s="1060" t="s">
        <v>698</v>
      </c>
      <c r="C59" s="1056">
        <v>20993.161</v>
      </c>
    </row>
    <row r="60" spans="1:7" ht="14.4" thickBot="1" x14ac:dyDescent="0.35">
      <c r="A60" s="1048"/>
      <c r="B60" s="1057" t="s">
        <v>83</v>
      </c>
      <c r="C60" s="1058">
        <v>2341.8370000000004</v>
      </c>
    </row>
    <row r="61" spans="1:7" ht="14.4" thickBot="1" x14ac:dyDescent="0.35">
      <c r="A61" s="1048"/>
      <c r="B61" s="1057" t="s">
        <v>84</v>
      </c>
      <c r="C61" s="1058">
        <v>18651.324000000001</v>
      </c>
    </row>
    <row r="62" spans="1:7" ht="14.4" thickBot="1" x14ac:dyDescent="0.35">
      <c r="A62" s="1048"/>
      <c r="B62" s="1061" t="s">
        <v>96</v>
      </c>
      <c r="C62" s="1062">
        <v>37249.114353665907</v>
      </c>
      <c r="E62" s="1063"/>
    </row>
    <row r="63" spans="1:7" ht="14.4" thickBot="1" x14ac:dyDescent="0.35">
      <c r="A63" s="1048"/>
      <c r="B63" s="1064" t="s">
        <v>97</v>
      </c>
      <c r="C63" s="1065">
        <f>C47+C62</f>
        <v>485434.25320409879</v>
      </c>
      <c r="D63" s="1063"/>
      <c r="E63" s="1063"/>
    </row>
    <row r="64" spans="1:7" ht="3.75" customHeight="1" thickBot="1" x14ac:dyDescent="0.35">
      <c r="A64" s="1048"/>
      <c r="B64" s="3969"/>
      <c r="C64" s="3969"/>
      <c r="D64" s="1063"/>
    </row>
    <row r="65" spans="1:5" ht="14.4" thickBot="1" x14ac:dyDescent="0.35">
      <c r="A65" s="1048"/>
      <c r="B65" s="3970" t="s">
        <v>98</v>
      </c>
      <c r="C65" s="3970"/>
    </row>
    <row r="66" spans="1:5" ht="14.4" thickBot="1" x14ac:dyDescent="0.35">
      <c r="A66" s="1048"/>
      <c r="B66" s="1052" t="s">
        <v>10</v>
      </c>
      <c r="C66" s="1066">
        <v>50027.351190663619</v>
      </c>
      <c r="E66" s="1067"/>
    </row>
    <row r="67" spans="1:5" ht="14.4" thickBot="1" x14ac:dyDescent="0.35">
      <c r="A67" s="1048"/>
      <c r="B67" s="1055" t="s">
        <v>89</v>
      </c>
      <c r="C67" s="1068">
        <v>50027.351190663619</v>
      </c>
      <c r="D67" s="1067"/>
    </row>
    <row r="68" spans="1:5" ht="14.4" thickBot="1" x14ac:dyDescent="0.35">
      <c r="A68" s="1048"/>
      <c r="B68" s="1052" t="s">
        <v>15</v>
      </c>
      <c r="C68" s="1066">
        <v>112702.10165100002</v>
      </c>
    </row>
    <row r="69" spans="1:5" ht="14.4" thickBot="1" x14ac:dyDescent="0.35">
      <c r="A69" s="1048"/>
      <c r="B69" s="1055" t="s">
        <v>5</v>
      </c>
      <c r="C69" s="1068">
        <v>1154.183</v>
      </c>
    </row>
    <row r="70" spans="1:5" ht="14.4" thickBot="1" x14ac:dyDescent="0.35">
      <c r="A70" s="1048"/>
      <c r="B70" s="1057" t="s">
        <v>147</v>
      </c>
      <c r="C70" s="1069">
        <v>0</v>
      </c>
    </row>
    <row r="71" spans="1:5" ht="14.4" thickBot="1" x14ac:dyDescent="0.35">
      <c r="A71" s="1048"/>
      <c r="B71" s="1057" t="s">
        <v>699</v>
      </c>
      <c r="C71" s="1069">
        <v>0</v>
      </c>
    </row>
    <row r="72" spans="1:5" ht="14.4" thickBot="1" x14ac:dyDescent="0.35">
      <c r="A72" s="1048"/>
      <c r="B72" s="1057" t="s">
        <v>100</v>
      </c>
      <c r="C72" s="1069">
        <v>1154.183</v>
      </c>
    </row>
    <row r="73" spans="1:5" ht="14.4" thickBot="1" x14ac:dyDescent="0.35">
      <c r="A73" s="1048"/>
      <c r="B73" s="1055" t="s">
        <v>28</v>
      </c>
      <c r="C73" s="1068">
        <v>72643.856302500004</v>
      </c>
    </row>
    <row r="74" spans="1:5" ht="14.4" thickBot="1" x14ac:dyDescent="0.35">
      <c r="A74" s="1048"/>
      <c r="B74" s="1055" t="s">
        <v>12</v>
      </c>
      <c r="C74" s="1068">
        <v>12411.712000000001</v>
      </c>
    </row>
    <row r="75" spans="1:5" ht="14.4" thickBot="1" x14ac:dyDescent="0.35">
      <c r="A75" s="1048"/>
      <c r="B75" s="1055" t="s">
        <v>14</v>
      </c>
      <c r="C75" s="1068">
        <v>972.41489850000005</v>
      </c>
    </row>
    <row r="76" spans="1:5" ht="14.4" thickBot="1" x14ac:dyDescent="0.35">
      <c r="A76" s="1048"/>
      <c r="B76" s="1055" t="s">
        <v>16</v>
      </c>
      <c r="C76" s="1068">
        <v>909.80574999999988</v>
      </c>
    </row>
    <row r="77" spans="1:5" ht="14.4" thickBot="1" x14ac:dyDescent="0.35">
      <c r="A77" s="1048"/>
      <c r="B77" s="1055" t="s">
        <v>17</v>
      </c>
      <c r="C77" s="1068">
        <v>63.787999999999997</v>
      </c>
    </row>
    <row r="78" spans="1:5" ht="14.4" thickBot="1" x14ac:dyDescent="0.35">
      <c r="A78" s="1048"/>
      <c r="B78" s="1055" t="s">
        <v>58</v>
      </c>
      <c r="C78" s="1068">
        <v>40.234000000000002</v>
      </c>
    </row>
    <row r="79" spans="1:5" ht="14.4" thickBot="1" x14ac:dyDescent="0.35">
      <c r="A79" s="1048"/>
      <c r="B79" s="1057" t="s">
        <v>102</v>
      </c>
      <c r="C79" s="1069">
        <v>40.082000000000001</v>
      </c>
    </row>
    <row r="80" spans="1:5" ht="14.4" thickBot="1" x14ac:dyDescent="0.35">
      <c r="A80" s="1048"/>
      <c r="B80" s="1057" t="s">
        <v>44</v>
      </c>
      <c r="C80" s="1069">
        <v>0.152</v>
      </c>
    </row>
    <row r="81" spans="1:5" ht="14.4" thickBot="1" x14ac:dyDescent="0.35">
      <c r="A81" s="1048"/>
      <c r="B81" s="1057" t="s">
        <v>41</v>
      </c>
      <c r="C81" s="1069">
        <v>0</v>
      </c>
    </row>
    <row r="82" spans="1:5" ht="14.4" thickBot="1" x14ac:dyDescent="0.35">
      <c r="A82" s="1048"/>
      <c r="B82" s="1057" t="s">
        <v>54</v>
      </c>
      <c r="C82" s="1069">
        <v>0</v>
      </c>
    </row>
    <row r="83" spans="1:5" ht="14.4" thickBot="1" x14ac:dyDescent="0.35">
      <c r="A83" s="1048"/>
      <c r="B83" s="1055" t="s">
        <v>55</v>
      </c>
      <c r="C83" s="1068">
        <v>23133.635600000001</v>
      </c>
    </row>
    <row r="84" spans="1:5" ht="14.4" thickBot="1" x14ac:dyDescent="0.35">
      <c r="A84" s="1048"/>
      <c r="B84" s="1057" t="s">
        <v>25</v>
      </c>
      <c r="C84" s="1069">
        <v>400</v>
      </c>
    </row>
    <row r="85" spans="1:5" ht="14.4" thickBot="1" x14ac:dyDescent="0.35">
      <c r="A85" s="1048"/>
      <c r="B85" s="1057" t="s">
        <v>29</v>
      </c>
      <c r="C85" s="1069">
        <v>16287.2156</v>
      </c>
    </row>
    <row r="86" spans="1:5" ht="14.4" thickBot="1" x14ac:dyDescent="0.35">
      <c r="A86" s="1048"/>
      <c r="B86" s="1057" t="s">
        <v>66</v>
      </c>
      <c r="C86" s="1069">
        <v>6046.42</v>
      </c>
    </row>
    <row r="87" spans="1:5" ht="14.4" thickBot="1" x14ac:dyDescent="0.35">
      <c r="A87" s="1048"/>
      <c r="B87" s="1057" t="s">
        <v>33</v>
      </c>
      <c r="C87" s="1069">
        <v>0</v>
      </c>
    </row>
    <row r="88" spans="1:5" ht="14.4" thickBot="1" x14ac:dyDescent="0.35">
      <c r="A88" s="1048"/>
      <c r="B88" s="1057" t="s">
        <v>103</v>
      </c>
      <c r="C88" s="1069">
        <v>400</v>
      </c>
    </row>
    <row r="89" spans="1:5" ht="14.4" thickBot="1" x14ac:dyDescent="0.35">
      <c r="A89" s="1048"/>
      <c r="B89" s="1055" t="s">
        <v>76</v>
      </c>
      <c r="C89" s="1068">
        <v>1372.4721</v>
      </c>
    </row>
    <row r="90" spans="1:5" ht="14.4" thickBot="1" x14ac:dyDescent="0.35">
      <c r="A90" s="1048"/>
      <c r="B90" s="1057" t="s">
        <v>81</v>
      </c>
      <c r="C90" s="1069">
        <v>1326.7166</v>
      </c>
    </row>
    <row r="91" spans="1:5" ht="14.4" thickBot="1" x14ac:dyDescent="0.35">
      <c r="A91" s="1048"/>
      <c r="B91" s="1057" t="s">
        <v>104</v>
      </c>
      <c r="C91" s="1069">
        <v>9.1511000000000013</v>
      </c>
    </row>
    <row r="92" spans="1:5" ht="14.4" thickBot="1" x14ac:dyDescent="0.35">
      <c r="A92" s="1048"/>
      <c r="B92" s="1057" t="s">
        <v>315</v>
      </c>
      <c r="C92" s="1069">
        <v>36.604400000000005</v>
      </c>
    </row>
    <row r="93" spans="1:5" ht="14.4" thickBot="1" x14ac:dyDescent="0.35">
      <c r="A93" s="1048"/>
      <c r="B93" s="1064" t="s">
        <v>108</v>
      </c>
      <c r="C93" s="1065">
        <f>+C66+C68</f>
        <v>162729.45284166365</v>
      </c>
      <c r="E93" s="1063"/>
    </row>
    <row r="94" spans="1:5" ht="3.75" customHeight="1" thickBot="1" x14ac:dyDescent="0.35">
      <c r="A94" s="1048"/>
      <c r="B94" s="3969"/>
      <c r="C94" s="3969"/>
      <c r="D94" s="1063"/>
    </row>
    <row r="95" spans="1:5" ht="14.4" thickBot="1" x14ac:dyDescent="0.35">
      <c r="A95" s="1048"/>
      <c r="B95" s="3970" t="s">
        <v>109</v>
      </c>
      <c r="C95" s="3970"/>
    </row>
    <row r="96" spans="1:5" ht="14.4" thickBot="1" x14ac:dyDescent="0.35">
      <c r="A96" s="1048"/>
      <c r="B96" s="1052" t="s">
        <v>69</v>
      </c>
      <c r="C96" s="1066">
        <v>1490838</v>
      </c>
    </row>
    <row r="97" spans="1:5" ht="14.4" thickBot="1" x14ac:dyDescent="0.35">
      <c r="A97" s="1048"/>
      <c r="B97" s="1052" t="s">
        <v>110</v>
      </c>
      <c r="C97" s="1066">
        <f>C8+C49+C66</f>
        <v>346942.47988329525</v>
      </c>
    </row>
    <row r="98" spans="1:5" ht="14.4" thickBot="1" x14ac:dyDescent="0.35">
      <c r="A98" s="1048"/>
      <c r="B98" s="1064" t="s">
        <v>111</v>
      </c>
      <c r="C98" s="1065">
        <f>+C63+C93</f>
        <v>648163.7060457624</v>
      </c>
      <c r="E98" s="1063"/>
    </row>
    <row r="99" spans="1:5" x14ac:dyDescent="0.3">
      <c r="B99" s="1070"/>
      <c r="C99" s="1071"/>
      <c r="D99" s="1063"/>
    </row>
    <row r="100" spans="1:5" x14ac:dyDescent="0.3">
      <c r="B100" s="1046" t="s">
        <v>700</v>
      </c>
    </row>
    <row r="101" spans="1:5" ht="8.25" customHeight="1" thickBot="1" x14ac:dyDescent="0.35">
      <c r="B101" s="1047"/>
      <c r="C101" s="1047"/>
    </row>
    <row r="102" spans="1:5" ht="42" thickBot="1" x14ac:dyDescent="0.35">
      <c r="A102" s="1048"/>
      <c r="B102" s="1049" t="s">
        <v>693</v>
      </c>
      <c r="C102" s="1049" t="s">
        <v>701</v>
      </c>
    </row>
    <row r="103" spans="1:5" ht="14.4" thickBot="1" x14ac:dyDescent="0.35">
      <c r="A103" s="1048"/>
      <c r="B103" s="1055" t="s">
        <v>702</v>
      </c>
      <c r="C103" s="1072">
        <v>1152651</v>
      </c>
    </row>
    <row r="104" spans="1:5" ht="14.4" thickBot="1" x14ac:dyDescent="0.35">
      <c r="A104" s="1048"/>
      <c r="B104" s="1055" t="s">
        <v>703</v>
      </c>
      <c r="C104" s="1072">
        <f>C98</f>
        <v>648163.7060457624</v>
      </c>
    </row>
    <row r="105" spans="1:5" ht="14.4" thickBot="1" x14ac:dyDescent="0.35">
      <c r="A105" s="1048"/>
      <c r="B105" s="1055" t="s">
        <v>704</v>
      </c>
      <c r="C105" s="1072">
        <f>C63</f>
        <v>485434.25320409879</v>
      </c>
    </row>
    <row r="106" spans="1:5" ht="14.4" thickBot="1" x14ac:dyDescent="0.35">
      <c r="A106" s="1048"/>
      <c r="B106" s="1055" t="s">
        <v>705</v>
      </c>
      <c r="C106" s="1072">
        <f>C93</f>
        <v>162729.45284166365</v>
      </c>
    </row>
    <row r="107" spans="1:5" ht="14.4" thickBot="1" x14ac:dyDescent="0.35">
      <c r="A107" s="1048"/>
      <c r="B107" s="1055" t="s">
        <v>706</v>
      </c>
      <c r="C107" s="1072">
        <f>C97</f>
        <v>346942.47988329525</v>
      </c>
    </row>
    <row r="108" spans="1:5" ht="14.4" thickBot="1" x14ac:dyDescent="0.35">
      <c r="A108" s="1048"/>
      <c r="B108" s="1055" t="s">
        <v>707</v>
      </c>
      <c r="C108" s="1072">
        <f>C96</f>
        <v>1490838</v>
      </c>
    </row>
    <row r="109" spans="1:5" ht="14.4" thickBot="1" x14ac:dyDescent="0.35">
      <c r="A109" s="1048"/>
      <c r="B109" s="1055" t="s">
        <v>708</v>
      </c>
      <c r="C109" s="1073">
        <f>C105/C104</f>
        <v>0.74893772773174316</v>
      </c>
    </row>
    <row r="110" spans="1:5" ht="14.4" thickBot="1" x14ac:dyDescent="0.35">
      <c r="A110" s="1048"/>
      <c r="B110" s="1055" t="s">
        <v>709</v>
      </c>
      <c r="C110" s="1073">
        <f>C106/C104</f>
        <v>0.25106227226825695</v>
      </c>
    </row>
    <row r="111" spans="1:5" ht="14.4" thickBot="1" x14ac:dyDescent="0.35">
      <c r="A111" s="1048"/>
      <c r="B111" s="1052" t="s">
        <v>710</v>
      </c>
      <c r="C111" s="1074">
        <f>C96/C98</f>
        <v>2.3000948465552344</v>
      </c>
    </row>
    <row r="112" spans="1:5" ht="14.4" thickBot="1" x14ac:dyDescent="0.35">
      <c r="A112" s="1048"/>
      <c r="B112" s="1052" t="s">
        <v>711</v>
      </c>
      <c r="C112" s="1074">
        <f>(C9+C53)/C63</f>
        <v>0.38835150850429406</v>
      </c>
    </row>
    <row r="113" spans="1:4" ht="14.4" thickBot="1" x14ac:dyDescent="0.35">
      <c r="A113" s="1048"/>
      <c r="B113" s="1052" t="s">
        <v>712</v>
      </c>
      <c r="C113" s="1074">
        <f>C68/C93</f>
        <v>0.69257346892611737</v>
      </c>
    </row>
    <row r="114" spans="1:4" ht="14.4" thickBot="1" x14ac:dyDescent="0.35">
      <c r="A114" s="1048"/>
      <c r="B114" s="1055" t="s">
        <v>713</v>
      </c>
      <c r="C114" s="1075">
        <f>C98/C$103*1000</f>
        <v>562.32433411827378</v>
      </c>
    </row>
    <row r="115" spans="1:4" ht="14.4" thickBot="1" x14ac:dyDescent="0.35">
      <c r="A115" s="1048"/>
      <c r="B115" s="1055" t="s">
        <v>714</v>
      </c>
      <c r="C115" s="1075">
        <f>(C15+C56+C75)/C$103*1000</f>
        <v>16.87266828380837</v>
      </c>
    </row>
    <row r="116" spans="1:4" ht="14.4" thickBot="1" x14ac:dyDescent="0.35">
      <c r="A116" s="1048"/>
      <c r="B116" s="1055" t="s">
        <v>715</v>
      </c>
      <c r="C116" s="1075">
        <f>(C14+C58+C74)/C$103*1000</f>
        <v>23.707158541483938</v>
      </c>
    </row>
    <row r="117" spans="1:4" ht="14.4" thickBot="1" x14ac:dyDescent="0.35">
      <c r="A117" s="1048"/>
      <c r="B117" s="1055" t="s">
        <v>716</v>
      </c>
      <c r="C117" s="1075">
        <f>(C13+C57+C73)/C$103*1000</f>
        <v>83.253388362999743</v>
      </c>
    </row>
    <row r="118" spans="1:4" s="1076" customFormat="1" x14ac:dyDescent="0.3">
      <c r="B118" s="1077"/>
      <c r="C118" s="1077"/>
      <c r="D118" s="1045"/>
    </row>
    <row r="119" spans="1:4" s="1076" customFormat="1" x14ac:dyDescent="0.3"/>
    <row r="120" spans="1:4" s="1078" customFormat="1" x14ac:dyDescent="0.3">
      <c r="C120" s="1079"/>
    </row>
    <row r="121" spans="1:4" s="1078" customFormat="1" x14ac:dyDescent="0.3">
      <c r="C121" s="1079"/>
      <c r="D121" s="1079"/>
    </row>
    <row r="122" spans="1:4" s="1078" customFormat="1" x14ac:dyDescent="0.3">
      <c r="C122" s="1079"/>
    </row>
    <row r="123" spans="1:4" s="1076" customFormat="1" x14ac:dyDescent="0.3"/>
    <row r="124" spans="1:4" s="1076" customFormat="1" x14ac:dyDescent="0.3"/>
    <row r="125" spans="1:4" s="1076" customFormat="1" x14ac:dyDescent="0.3"/>
  </sheetData>
  <mergeCells count="8">
    <mergeCell ref="B94:C94"/>
    <mergeCell ref="B95:C95"/>
    <mergeCell ref="B5:C5"/>
    <mergeCell ref="B6:C6"/>
    <mergeCell ref="B7:C7"/>
    <mergeCell ref="B48:C48"/>
    <mergeCell ref="B64:C64"/>
    <mergeCell ref="B65:C65"/>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55"/>
  <dimension ref="A1:G129"/>
  <sheetViews>
    <sheetView workbookViewId="0"/>
  </sheetViews>
  <sheetFormatPr baseColWidth="10" defaultColWidth="11.44140625" defaultRowHeight="13.2" x14ac:dyDescent="0.25"/>
  <cols>
    <col min="1" max="1" width="60.5546875" style="1" customWidth="1"/>
    <col min="2" max="2" width="19.88671875" style="1081" customWidth="1"/>
    <col min="3" max="3" width="8.6640625" style="1081" customWidth="1"/>
    <col min="4" max="4" width="15.88671875" style="1081" customWidth="1"/>
    <col min="5" max="5" width="12" style="1081" customWidth="1"/>
    <col min="6" max="6" width="11.44140625" style="1081"/>
    <col min="7" max="256" width="11.44140625" style="1"/>
    <col min="257" max="257" width="58.5546875" style="1" customWidth="1"/>
    <col min="258" max="258" width="14.33203125" style="1" bestFit="1" customWidth="1"/>
    <col min="259" max="259" width="11.44140625" style="1"/>
    <col min="260" max="260" width="14.33203125" style="1" bestFit="1" customWidth="1"/>
    <col min="261" max="512" width="11.44140625" style="1"/>
    <col min="513" max="513" width="58.5546875" style="1" customWidth="1"/>
    <col min="514" max="514" width="14.33203125" style="1" bestFit="1" customWidth="1"/>
    <col min="515" max="515" width="11.44140625" style="1"/>
    <col min="516" max="516" width="14.33203125" style="1" bestFit="1" customWidth="1"/>
    <col min="517" max="768" width="11.44140625" style="1"/>
    <col min="769" max="769" width="58.5546875" style="1" customWidth="1"/>
    <col min="770" max="770" width="14.33203125" style="1" bestFit="1" customWidth="1"/>
    <col min="771" max="771" width="11.44140625" style="1"/>
    <col min="772" max="772" width="14.33203125" style="1" bestFit="1" customWidth="1"/>
    <col min="773" max="1024" width="11.44140625" style="1"/>
    <col min="1025" max="1025" width="58.5546875" style="1" customWidth="1"/>
    <col min="1026" max="1026" width="14.33203125" style="1" bestFit="1" customWidth="1"/>
    <col min="1027" max="1027" width="11.44140625" style="1"/>
    <col min="1028" max="1028" width="14.33203125" style="1" bestFit="1" customWidth="1"/>
    <col min="1029" max="1280" width="11.44140625" style="1"/>
    <col min="1281" max="1281" width="58.5546875" style="1" customWidth="1"/>
    <col min="1282" max="1282" width="14.33203125" style="1" bestFit="1" customWidth="1"/>
    <col min="1283" max="1283" width="11.44140625" style="1"/>
    <col min="1284" max="1284" width="14.33203125" style="1" bestFit="1" customWidth="1"/>
    <col min="1285" max="1536" width="11.44140625" style="1"/>
    <col min="1537" max="1537" width="58.5546875" style="1" customWidth="1"/>
    <col min="1538" max="1538" width="14.33203125" style="1" bestFit="1" customWidth="1"/>
    <col min="1539" max="1539" width="11.44140625" style="1"/>
    <col min="1540" max="1540" width="14.33203125" style="1" bestFit="1" customWidth="1"/>
    <col min="1541" max="1792" width="11.44140625" style="1"/>
    <col min="1793" max="1793" width="58.5546875" style="1" customWidth="1"/>
    <col min="1794" max="1794" width="14.33203125" style="1" bestFit="1" customWidth="1"/>
    <col min="1795" max="1795" width="11.44140625" style="1"/>
    <col min="1796" max="1796" width="14.33203125" style="1" bestFit="1" customWidth="1"/>
    <col min="1797" max="2048" width="11.44140625" style="1"/>
    <col min="2049" max="2049" width="58.5546875" style="1" customWidth="1"/>
    <col min="2050" max="2050" width="14.33203125" style="1" bestFit="1" customWidth="1"/>
    <col min="2051" max="2051" width="11.44140625" style="1"/>
    <col min="2052" max="2052" width="14.33203125" style="1" bestFit="1" customWidth="1"/>
    <col min="2053" max="2304" width="11.44140625" style="1"/>
    <col min="2305" max="2305" width="58.5546875" style="1" customWidth="1"/>
    <col min="2306" max="2306" width="14.33203125" style="1" bestFit="1" customWidth="1"/>
    <col min="2307" max="2307" width="11.44140625" style="1"/>
    <col min="2308" max="2308" width="14.33203125" style="1" bestFit="1" customWidth="1"/>
    <col min="2309" max="2560" width="11.44140625" style="1"/>
    <col min="2561" max="2561" width="58.5546875" style="1" customWidth="1"/>
    <col min="2562" max="2562" width="14.33203125" style="1" bestFit="1" customWidth="1"/>
    <col min="2563" max="2563" width="11.44140625" style="1"/>
    <col min="2564" max="2564" width="14.33203125" style="1" bestFit="1" customWidth="1"/>
    <col min="2565" max="2816" width="11.44140625" style="1"/>
    <col min="2817" max="2817" width="58.5546875" style="1" customWidth="1"/>
    <col min="2818" max="2818" width="14.33203125" style="1" bestFit="1" customWidth="1"/>
    <col min="2819" max="2819" width="11.44140625" style="1"/>
    <col min="2820" max="2820" width="14.33203125" style="1" bestFit="1" customWidth="1"/>
    <col min="2821" max="3072" width="11.44140625" style="1"/>
    <col min="3073" max="3073" width="58.5546875" style="1" customWidth="1"/>
    <col min="3074" max="3074" width="14.33203125" style="1" bestFit="1" customWidth="1"/>
    <col min="3075" max="3075" width="11.44140625" style="1"/>
    <col min="3076" max="3076" width="14.33203125" style="1" bestFit="1" customWidth="1"/>
    <col min="3077" max="3328" width="11.44140625" style="1"/>
    <col min="3329" max="3329" width="58.5546875" style="1" customWidth="1"/>
    <col min="3330" max="3330" width="14.33203125" style="1" bestFit="1" customWidth="1"/>
    <col min="3331" max="3331" width="11.44140625" style="1"/>
    <col min="3332" max="3332" width="14.33203125" style="1" bestFit="1" customWidth="1"/>
    <col min="3333" max="3584" width="11.44140625" style="1"/>
    <col min="3585" max="3585" width="58.5546875" style="1" customWidth="1"/>
    <col min="3586" max="3586" width="14.33203125" style="1" bestFit="1" customWidth="1"/>
    <col min="3587" max="3587" width="11.44140625" style="1"/>
    <col min="3588" max="3588" width="14.33203125" style="1" bestFit="1" customWidth="1"/>
    <col min="3589" max="3840" width="11.44140625" style="1"/>
    <col min="3841" max="3841" width="58.5546875" style="1" customWidth="1"/>
    <col min="3842" max="3842" width="14.33203125" style="1" bestFit="1" customWidth="1"/>
    <col min="3843" max="3843" width="11.44140625" style="1"/>
    <col min="3844" max="3844" width="14.33203125" style="1" bestFit="1" customWidth="1"/>
    <col min="3845" max="4096" width="11.44140625" style="1"/>
    <col min="4097" max="4097" width="58.5546875" style="1" customWidth="1"/>
    <col min="4098" max="4098" width="14.33203125" style="1" bestFit="1" customWidth="1"/>
    <col min="4099" max="4099" width="11.44140625" style="1"/>
    <col min="4100" max="4100" width="14.33203125" style="1" bestFit="1" customWidth="1"/>
    <col min="4101" max="4352" width="11.44140625" style="1"/>
    <col min="4353" max="4353" width="58.5546875" style="1" customWidth="1"/>
    <col min="4354" max="4354" width="14.33203125" style="1" bestFit="1" customWidth="1"/>
    <col min="4355" max="4355" width="11.44140625" style="1"/>
    <col min="4356" max="4356" width="14.33203125" style="1" bestFit="1" customWidth="1"/>
    <col min="4357" max="4608" width="11.44140625" style="1"/>
    <col min="4609" max="4609" width="58.5546875" style="1" customWidth="1"/>
    <col min="4610" max="4610" width="14.33203125" style="1" bestFit="1" customWidth="1"/>
    <col min="4611" max="4611" width="11.44140625" style="1"/>
    <col min="4612" max="4612" width="14.33203125" style="1" bestFit="1" customWidth="1"/>
    <col min="4613" max="4864" width="11.44140625" style="1"/>
    <col min="4865" max="4865" width="58.5546875" style="1" customWidth="1"/>
    <col min="4866" max="4866" width="14.33203125" style="1" bestFit="1" customWidth="1"/>
    <col min="4867" max="4867" width="11.44140625" style="1"/>
    <col min="4868" max="4868" width="14.33203125" style="1" bestFit="1" customWidth="1"/>
    <col min="4869" max="5120" width="11.44140625" style="1"/>
    <col min="5121" max="5121" width="58.5546875" style="1" customWidth="1"/>
    <col min="5122" max="5122" width="14.33203125" style="1" bestFit="1" customWidth="1"/>
    <col min="5123" max="5123" width="11.44140625" style="1"/>
    <col min="5124" max="5124" width="14.33203125" style="1" bestFit="1" customWidth="1"/>
    <col min="5125" max="5376" width="11.44140625" style="1"/>
    <col min="5377" max="5377" width="58.5546875" style="1" customWidth="1"/>
    <col min="5378" max="5378" width="14.33203125" style="1" bestFit="1" customWidth="1"/>
    <col min="5379" max="5379" width="11.44140625" style="1"/>
    <col min="5380" max="5380" width="14.33203125" style="1" bestFit="1" customWidth="1"/>
    <col min="5381" max="5632" width="11.44140625" style="1"/>
    <col min="5633" max="5633" width="58.5546875" style="1" customWidth="1"/>
    <col min="5634" max="5634" width="14.33203125" style="1" bestFit="1" customWidth="1"/>
    <col min="5635" max="5635" width="11.44140625" style="1"/>
    <col min="5636" max="5636" width="14.33203125" style="1" bestFit="1" customWidth="1"/>
    <col min="5637" max="5888" width="11.44140625" style="1"/>
    <col min="5889" max="5889" width="58.5546875" style="1" customWidth="1"/>
    <col min="5890" max="5890" width="14.33203125" style="1" bestFit="1" customWidth="1"/>
    <col min="5891" max="5891" width="11.44140625" style="1"/>
    <col min="5892" max="5892" width="14.33203125" style="1" bestFit="1" customWidth="1"/>
    <col min="5893" max="6144" width="11.44140625" style="1"/>
    <col min="6145" max="6145" width="58.5546875" style="1" customWidth="1"/>
    <col min="6146" max="6146" width="14.33203125" style="1" bestFit="1" customWidth="1"/>
    <col min="6147" max="6147" width="11.44140625" style="1"/>
    <col min="6148" max="6148" width="14.33203125" style="1" bestFit="1" customWidth="1"/>
    <col min="6149" max="6400" width="11.44140625" style="1"/>
    <col min="6401" max="6401" width="58.5546875" style="1" customWidth="1"/>
    <col min="6402" max="6402" width="14.33203125" style="1" bestFit="1" customWidth="1"/>
    <col min="6403" max="6403" width="11.44140625" style="1"/>
    <col min="6404" max="6404" width="14.33203125" style="1" bestFit="1" customWidth="1"/>
    <col min="6405" max="6656" width="11.44140625" style="1"/>
    <col min="6657" max="6657" width="58.5546875" style="1" customWidth="1"/>
    <col min="6658" max="6658" width="14.33203125" style="1" bestFit="1" customWidth="1"/>
    <col min="6659" max="6659" width="11.44140625" style="1"/>
    <col min="6660" max="6660" width="14.33203125" style="1" bestFit="1" customWidth="1"/>
    <col min="6661" max="6912" width="11.44140625" style="1"/>
    <col min="6913" max="6913" width="58.5546875" style="1" customWidth="1"/>
    <col min="6914" max="6914" width="14.33203125" style="1" bestFit="1" customWidth="1"/>
    <col min="6915" max="6915" width="11.44140625" style="1"/>
    <col min="6916" max="6916" width="14.33203125" style="1" bestFit="1" customWidth="1"/>
    <col min="6917" max="7168" width="11.44140625" style="1"/>
    <col min="7169" max="7169" width="58.5546875" style="1" customWidth="1"/>
    <col min="7170" max="7170" width="14.33203125" style="1" bestFit="1" customWidth="1"/>
    <col min="7171" max="7171" width="11.44140625" style="1"/>
    <col min="7172" max="7172" width="14.33203125" style="1" bestFit="1" customWidth="1"/>
    <col min="7173" max="7424" width="11.44140625" style="1"/>
    <col min="7425" max="7425" width="58.5546875" style="1" customWidth="1"/>
    <col min="7426" max="7426" width="14.33203125" style="1" bestFit="1" customWidth="1"/>
    <col min="7427" max="7427" width="11.44140625" style="1"/>
    <col min="7428" max="7428" width="14.33203125" style="1" bestFit="1" customWidth="1"/>
    <col min="7429" max="7680" width="11.44140625" style="1"/>
    <col min="7681" max="7681" width="58.5546875" style="1" customWidth="1"/>
    <col min="7682" max="7682" width="14.33203125" style="1" bestFit="1" customWidth="1"/>
    <col min="7683" max="7683" width="11.44140625" style="1"/>
    <col min="7684" max="7684" width="14.33203125" style="1" bestFit="1" customWidth="1"/>
    <col min="7685" max="7936" width="11.44140625" style="1"/>
    <col min="7937" max="7937" width="58.5546875" style="1" customWidth="1"/>
    <col min="7938" max="7938" width="14.33203125" style="1" bestFit="1" customWidth="1"/>
    <col min="7939" max="7939" width="11.44140625" style="1"/>
    <col min="7940" max="7940" width="14.33203125" style="1" bestFit="1" customWidth="1"/>
    <col min="7941" max="8192" width="11.44140625" style="1"/>
    <col min="8193" max="8193" width="58.5546875" style="1" customWidth="1"/>
    <col min="8194" max="8194" width="14.33203125" style="1" bestFit="1" customWidth="1"/>
    <col min="8195" max="8195" width="11.44140625" style="1"/>
    <col min="8196" max="8196" width="14.33203125" style="1" bestFit="1" customWidth="1"/>
    <col min="8197" max="8448" width="11.44140625" style="1"/>
    <col min="8449" max="8449" width="58.5546875" style="1" customWidth="1"/>
    <col min="8450" max="8450" width="14.33203125" style="1" bestFit="1" customWidth="1"/>
    <col min="8451" max="8451" width="11.44140625" style="1"/>
    <col min="8452" max="8452" width="14.33203125" style="1" bestFit="1" customWidth="1"/>
    <col min="8453" max="8704" width="11.44140625" style="1"/>
    <col min="8705" max="8705" width="58.5546875" style="1" customWidth="1"/>
    <col min="8706" max="8706" width="14.33203125" style="1" bestFit="1" customWidth="1"/>
    <col min="8707" max="8707" width="11.44140625" style="1"/>
    <col min="8708" max="8708" width="14.33203125" style="1" bestFit="1" customWidth="1"/>
    <col min="8709" max="8960" width="11.44140625" style="1"/>
    <col min="8961" max="8961" width="58.5546875" style="1" customWidth="1"/>
    <col min="8962" max="8962" width="14.33203125" style="1" bestFit="1" customWidth="1"/>
    <col min="8963" max="8963" width="11.44140625" style="1"/>
    <col min="8964" max="8964" width="14.33203125" style="1" bestFit="1" customWidth="1"/>
    <col min="8965" max="9216" width="11.44140625" style="1"/>
    <col min="9217" max="9217" width="58.5546875" style="1" customWidth="1"/>
    <col min="9218" max="9218" width="14.33203125" style="1" bestFit="1" customWidth="1"/>
    <col min="9219" max="9219" width="11.44140625" style="1"/>
    <col min="9220" max="9220" width="14.33203125" style="1" bestFit="1" customWidth="1"/>
    <col min="9221" max="9472" width="11.44140625" style="1"/>
    <col min="9473" max="9473" width="58.5546875" style="1" customWidth="1"/>
    <col min="9474" max="9474" width="14.33203125" style="1" bestFit="1" customWidth="1"/>
    <col min="9475" max="9475" width="11.44140625" style="1"/>
    <col min="9476" max="9476" width="14.33203125" style="1" bestFit="1" customWidth="1"/>
    <col min="9477" max="9728" width="11.44140625" style="1"/>
    <col min="9729" max="9729" width="58.5546875" style="1" customWidth="1"/>
    <col min="9730" max="9730" width="14.33203125" style="1" bestFit="1" customWidth="1"/>
    <col min="9731" max="9731" width="11.44140625" style="1"/>
    <col min="9732" max="9732" width="14.33203125" style="1" bestFit="1" customWidth="1"/>
    <col min="9733" max="9984" width="11.44140625" style="1"/>
    <col min="9985" max="9985" width="58.5546875" style="1" customWidth="1"/>
    <col min="9986" max="9986" width="14.33203125" style="1" bestFit="1" customWidth="1"/>
    <col min="9987" max="9987" width="11.44140625" style="1"/>
    <col min="9988" max="9988" width="14.33203125" style="1" bestFit="1" customWidth="1"/>
    <col min="9989" max="10240" width="11.44140625" style="1"/>
    <col min="10241" max="10241" width="58.5546875" style="1" customWidth="1"/>
    <col min="10242" max="10242" width="14.33203125" style="1" bestFit="1" customWidth="1"/>
    <col min="10243" max="10243" width="11.44140625" style="1"/>
    <col min="10244" max="10244" width="14.33203125" style="1" bestFit="1" customWidth="1"/>
    <col min="10245" max="10496" width="11.44140625" style="1"/>
    <col min="10497" max="10497" width="58.5546875" style="1" customWidth="1"/>
    <col min="10498" max="10498" width="14.33203125" style="1" bestFit="1" customWidth="1"/>
    <col min="10499" max="10499" width="11.44140625" style="1"/>
    <col min="10500" max="10500" width="14.33203125" style="1" bestFit="1" customWidth="1"/>
    <col min="10501" max="10752" width="11.44140625" style="1"/>
    <col min="10753" max="10753" width="58.5546875" style="1" customWidth="1"/>
    <col min="10754" max="10754" width="14.33203125" style="1" bestFit="1" customWidth="1"/>
    <col min="10755" max="10755" width="11.44140625" style="1"/>
    <col min="10756" max="10756" width="14.33203125" style="1" bestFit="1" customWidth="1"/>
    <col min="10757" max="11008" width="11.44140625" style="1"/>
    <col min="11009" max="11009" width="58.5546875" style="1" customWidth="1"/>
    <col min="11010" max="11010" width="14.33203125" style="1" bestFit="1" customWidth="1"/>
    <col min="11011" max="11011" width="11.44140625" style="1"/>
    <col min="11012" max="11012" width="14.33203125" style="1" bestFit="1" customWidth="1"/>
    <col min="11013" max="11264" width="11.44140625" style="1"/>
    <col min="11265" max="11265" width="58.5546875" style="1" customWidth="1"/>
    <col min="11266" max="11266" width="14.33203125" style="1" bestFit="1" customWidth="1"/>
    <col min="11267" max="11267" width="11.44140625" style="1"/>
    <col min="11268" max="11268" width="14.33203125" style="1" bestFit="1" customWidth="1"/>
    <col min="11269" max="11520" width="11.44140625" style="1"/>
    <col min="11521" max="11521" width="58.5546875" style="1" customWidth="1"/>
    <col min="11522" max="11522" width="14.33203125" style="1" bestFit="1" customWidth="1"/>
    <col min="11523" max="11523" width="11.44140625" style="1"/>
    <col min="11524" max="11524" width="14.33203125" style="1" bestFit="1" customWidth="1"/>
    <col min="11525" max="11776" width="11.44140625" style="1"/>
    <col min="11777" max="11777" width="58.5546875" style="1" customWidth="1"/>
    <col min="11778" max="11778" width="14.33203125" style="1" bestFit="1" customWidth="1"/>
    <col min="11779" max="11779" width="11.44140625" style="1"/>
    <col min="11780" max="11780" width="14.33203125" style="1" bestFit="1" customWidth="1"/>
    <col min="11781" max="12032" width="11.44140625" style="1"/>
    <col min="12033" max="12033" width="58.5546875" style="1" customWidth="1"/>
    <col min="12034" max="12034" width="14.33203125" style="1" bestFit="1" customWidth="1"/>
    <col min="12035" max="12035" width="11.44140625" style="1"/>
    <col min="12036" max="12036" width="14.33203125" style="1" bestFit="1" customWidth="1"/>
    <col min="12037" max="12288" width="11.44140625" style="1"/>
    <col min="12289" max="12289" width="58.5546875" style="1" customWidth="1"/>
    <col min="12290" max="12290" width="14.33203125" style="1" bestFit="1" customWidth="1"/>
    <col min="12291" max="12291" width="11.44140625" style="1"/>
    <col min="12292" max="12292" width="14.33203125" style="1" bestFit="1" customWidth="1"/>
    <col min="12293" max="12544" width="11.44140625" style="1"/>
    <col min="12545" max="12545" width="58.5546875" style="1" customWidth="1"/>
    <col min="12546" max="12546" width="14.33203125" style="1" bestFit="1" customWidth="1"/>
    <col min="12547" max="12547" width="11.44140625" style="1"/>
    <col min="12548" max="12548" width="14.33203125" style="1" bestFit="1" customWidth="1"/>
    <col min="12549" max="12800" width="11.44140625" style="1"/>
    <col min="12801" max="12801" width="58.5546875" style="1" customWidth="1"/>
    <col min="12802" max="12802" width="14.33203125" style="1" bestFit="1" customWidth="1"/>
    <col min="12803" max="12803" width="11.44140625" style="1"/>
    <col min="12804" max="12804" width="14.33203125" style="1" bestFit="1" customWidth="1"/>
    <col min="12805" max="13056" width="11.44140625" style="1"/>
    <col min="13057" max="13057" width="58.5546875" style="1" customWidth="1"/>
    <col min="13058" max="13058" width="14.33203125" style="1" bestFit="1" customWidth="1"/>
    <col min="13059" max="13059" width="11.44140625" style="1"/>
    <col min="13060" max="13060" width="14.33203125" style="1" bestFit="1" customWidth="1"/>
    <col min="13061" max="13312" width="11.44140625" style="1"/>
    <col min="13313" max="13313" width="58.5546875" style="1" customWidth="1"/>
    <col min="13314" max="13314" width="14.33203125" style="1" bestFit="1" customWidth="1"/>
    <col min="13315" max="13315" width="11.44140625" style="1"/>
    <col min="13316" max="13316" width="14.33203125" style="1" bestFit="1" customWidth="1"/>
    <col min="13317" max="13568" width="11.44140625" style="1"/>
    <col min="13569" max="13569" width="58.5546875" style="1" customWidth="1"/>
    <col min="13570" max="13570" width="14.33203125" style="1" bestFit="1" customWidth="1"/>
    <col min="13571" max="13571" width="11.44140625" style="1"/>
    <col min="13572" max="13572" width="14.33203125" style="1" bestFit="1" customWidth="1"/>
    <col min="13573" max="13824" width="11.44140625" style="1"/>
    <col min="13825" max="13825" width="58.5546875" style="1" customWidth="1"/>
    <col min="13826" max="13826" width="14.33203125" style="1" bestFit="1" customWidth="1"/>
    <col min="13827" max="13827" width="11.44140625" style="1"/>
    <col min="13828" max="13828" width="14.33203125" style="1" bestFit="1" customWidth="1"/>
    <col min="13829" max="14080" width="11.44140625" style="1"/>
    <col min="14081" max="14081" width="58.5546875" style="1" customWidth="1"/>
    <col min="14082" max="14082" width="14.33203125" style="1" bestFit="1" customWidth="1"/>
    <col min="14083" max="14083" width="11.44140625" style="1"/>
    <col min="14084" max="14084" width="14.33203125" style="1" bestFit="1" customWidth="1"/>
    <col min="14085" max="14336" width="11.44140625" style="1"/>
    <col min="14337" max="14337" width="58.5546875" style="1" customWidth="1"/>
    <col min="14338" max="14338" width="14.33203125" style="1" bestFit="1" customWidth="1"/>
    <col min="14339" max="14339" width="11.44140625" style="1"/>
    <col min="14340" max="14340" width="14.33203125" style="1" bestFit="1" customWidth="1"/>
    <col min="14341" max="14592" width="11.44140625" style="1"/>
    <col min="14593" max="14593" width="58.5546875" style="1" customWidth="1"/>
    <col min="14594" max="14594" width="14.33203125" style="1" bestFit="1" customWidth="1"/>
    <col min="14595" max="14595" width="11.44140625" style="1"/>
    <col min="14596" max="14596" width="14.33203125" style="1" bestFit="1" customWidth="1"/>
    <col min="14597" max="14848" width="11.44140625" style="1"/>
    <col min="14849" max="14849" width="58.5546875" style="1" customWidth="1"/>
    <col min="14850" max="14850" width="14.33203125" style="1" bestFit="1" customWidth="1"/>
    <col min="14851" max="14851" width="11.44140625" style="1"/>
    <col min="14852" max="14852" width="14.33203125" style="1" bestFit="1" customWidth="1"/>
    <col min="14853" max="15104" width="11.44140625" style="1"/>
    <col min="15105" max="15105" width="58.5546875" style="1" customWidth="1"/>
    <col min="15106" max="15106" width="14.33203125" style="1" bestFit="1" customWidth="1"/>
    <col min="15107" max="15107" width="11.44140625" style="1"/>
    <col min="15108" max="15108" width="14.33203125" style="1" bestFit="1" customWidth="1"/>
    <col min="15109" max="15360" width="11.44140625" style="1"/>
    <col min="15361" max="15361" width="58.5546875" style="1" customWidth="1"/>
    <col min="15362" max="15362" width="14.33203125" style="1" bestFit="1" customWidth="1"/>
    <col min="15363" max="15363" width="11.44140625" style="1"/>
    <col min="15364" max="15364" width="14.33203125" style="1" bestFit="1" customWidth="1"/>
    <col min="15365" max="15616" width="11.44140625" style="1"/>
    <col min="15617" max="15617" width="58.5546875" style="1" customWidth="1"/>
    <col min="15618" max="15618" width="14.33203125" style="1" bestFit="1" customWidth="1"/>
    <col min="15619" max="15619" width="11.44140625" style="1"/>
    <col min="15620" max="15620" width="14.33203125" style="1" bestFit="1" customWidth="1"/>
    <col min="15621" max="15872" width="11.44140625" style="1"/>
    <col min="15873" max="15873" width="58.5546875" style="1" customWidth="1"/>
    <col min="15874" max="15874" width="14.33203125" style="1" bestFit="1" customWidth="1"/>
    <col min="15875" max="15875" width="11.44140625" style="1"/>
    <col min="15876" max="15876" width="14.33203125" style="1" bestFit="1" customWidth="1"/>
    <col min="15877" max="16128" width="11.44140625" style="1"/>
    <col min="16129" max="16129" width="58.5546875" style="1" customWidth="1"/>
    <col min="16130" max="16130" width="14.33203125" style="1" bestFit="1" customWidth="1"/>
    <col min="16131" max="16131" width="11.44140625" style="1"/>
    <col min="16132" max="16132" width="14.33203125" style="1" bestFit="1" customWidth="1"/>
    <col min="16133" max="16384" width="11.44140625" style="1"/>
  </cols>
  <sheetData>
    <row r="1" spans="1:6" ht="26.4" x14ac:dyDescent="0.25">
      <c r="B1" s="1080" t="s">
        <v>717</v>
      </c>
      <c r="D1" s="1082" t="s">
        <v>718</v>
      </c>
      <c r="E1" s="1083" t="s">
        <v>719</v>
      </c>
      <c r="F1" s="1083" t="s">
        <v>720</v>
      </c>
    </row>
    <row r="2" spans="1:6" ht="22.8" x14ac:dyDescent="0.25">
      <c r="A2" s="1084" t="s">
        <v>0</v>
      </c>
      <c r="B2" s="1085" t="s">
        <v>184</v>
      </c>
      <c r="C2" s="1086"/>
      <c r="D2" s="1085" t="s">
        <v>721</v>
      </c>
      <c r="E2" s="1085"/>
      <c r="F2" s="1085"/>
    </row>
    <row r="3" spans="1:6" x14ac:dyDescent="0.25">
      <c r="A3" s="1087" t="s">
        <v>722</v>
      </c>
      <c r="B3" s="1088">
        <f>+D3-E3-F3</f>
        <v>723576</v>
      </c>
      <c r="C3" s="1089"/>
      <c r="D3" s="1090">
        <v>740624</v>
      </c>
      <c r="E3" s="1091">
        <v>15890</v>
      </c>
      <c r="F3" s="1091">
        <v>1158</v>
      </c>
    </row>
    <row r="4" spans="1:6" x14ac:dyDescent="0.25">
      <c r="A4" s="1092" t="s">
        <v>723</v>
      </c>
      <c r="B4" s="1093"/>
      <c r="C4" s="1094"/>
      <c r="D4" s="1095"/>
      <c r="E4" s="1096"/>
      <c r="F4" s="1096"/>
    </row>
    <row r="5" spans="1:6" x14ac:dyDescent="0.25">
      <c r="A5" s="1097" t="s">
        <v>724</v>
      </c>
      <c r="B5" s="1098"/>
      <c r="C5" s="1099"/>
      <c r="D5" s="1100" t="s">
        <v>153</v>
      </c>
      <c r="E5" s="1101" t="s">
        <v>153</v>
      </c>
      <c r="F5" s="1101" t="s">
        <v>153</v>
      </c>
    </row>
    <row r="6" spans="1:6" x14ac:dyDescent="0.25">
      <c r="A6" s="1097" t="s">
        <v>725</v>
      </c>
      <c r="B6" s="1098">
        <f>+D6-E6-F6</f>
        <v>3527.3057099999996</v>
      </c>
      <c r="C6" s="1099"/>
      <c r="D6" s="1100">
        <v>3566.02045</v>
      </c>
      <c r="E6" s="1101">
        <v>4.7039999999999997</v>
      </c>
      <c r="F6" s="1101">
        <v>34.010740000000006</v>
      </c>
    </row>
    <row r="7" spans="1:6" x14ac:dyDescent="0.25">
      <c r="A7" s="1102" t="s">
        <v>726</v>
      </c>
      <c r="B7" s="1103">
        <f>+D7-E7-F7</f>
        <v>188962.64</v>
      </c>
      <c r="C7" s="1104"/>
      <c r="D7" s="1105">
        <v>191036.64</v>
      </c>
      <c r="E7" s="1106">
        <v>252</v>
      </c>
      <c r="F7" s="1106">
        <v>1822</v>
      </c>
    </row>
    <row r="8" spans="1:6" x14ac:dyDescent="0.25">
      <c r="A8" s="1102" t="s">
        <v>727</v>
      </c>
      <c r="B8" s="1103">
        <f>+D8</f>
        <v>80</v>
      </c>
      <c r="C8" s="1104"/>
      <c r="D8" s="1105">
        <v>80</v>
      </c>
      <c r="E8" s="1106">
        <v>80</v>
      </c>
      <c r="F8" s="1106">
        <v>80</v>
      </c>
    </row>
    <row r="9" spans="1:6" x14ac:dyDescent="0.25">
      <c r="A9" s="1102" t="s">
        <v>728</v>
      </c>
      <c r="B9" s="1103">
        <f>+D9</f>
        <v>2.8</v>
      </c>
      <c r="C9" s="1104"/>
      <c r="D9" s="1105">
        <v>2.8</v>
      </c>
      <c r="E9" s="1106">
        <v>2.8</v>
      </c>
      <c r="F9" s="1106">
        <v>2.8</v>
      </c>
    </row>
    <row r="10" spans="1:6" x14ac:dyDescent="0.25">
      <c r="A10" s="1107" t="s">
        <v>729</v>
      </c>
      <c r="B10" s="1108"/>
      <c r="C10" s="1099"/>
      <c r="D10" s="1109"/>
      <c r="E10" s="1110" t="s">
        <v>153</v>
      </c>
      <c r="F10" s="1110" t="s">
        <v>153</v>
      </c>
    </row>
    <row r="11" spans="1:6" x14ac:dyDescent="0.25">
      <c r="A11" s="1107" t="s">
        <v>730</v>
      </c>
      <c r="B11" s="1108"/>
      <c r="C11" s="1099"/>
      <c r="D11" s="1109"/>
      <c r="E11" s="1110" t="s">
        <v>153</v>
      </c>
      <c r="F11" s="1110" t="s">
        <v>153</v>
      </c>
    </row>
    <row r="12" spans="1:6" x14ac:dyDescent="0.25">
      <c r="A12" s="1111" t="s">
        <v>731</v>
      </c>
      <c r="B12" s="1112">
        <f t="shared" ref="B12:B19" si="0">+D12-E12-F12</f>
        <v>5493.16</v>
      </c>
      <c r="C12" s="1113"/>
      <c r="D12" s="1114">
        <v>5493.16</v>
      </c>
      <c r="E12" s="1115">
        <v>0</v>
      </c>
      <c r="F12" s="1115">
        <v>0</v>
      </c>
    </row>
    <row r="13" spans="1:6" x14ac:dyDescent="0.25">
      <c r="A13" s="1111" t="s">
        <v>732</v>
      </c>
      <c r="B13" s="1112">
        <f>+D13-E13-F13</f>
        <v>36024.991030000005</v>
      </c>
      <c r="C13" s="1113"/>
      <c r="D13" s="1114">
        <v>36826.239030000004</v>
      </c>
      <c r="E13" s="1115">
        <v>746.94</v>
      </c>
      <c r="F13" s="1115">
        <v>54.308</v>
      </c>
    </row>
    <row r="14" spans="1:6" x14ac:dyDescent="0.25">
      <c r="A14" s="1111" t="s">
        <v>733</v>
      </c>
      <c r="B14" s="1112">
        <f t="shared" si="0"/>
        <v>386.65512000000001</v>
      </c>
      <c r="C14" s="1113"/>
      <c r="D14" s="1114">
        <v>386.65512000000001</v>
      </c>
      <c r="E14" s="1115">
        <v>0</v>
      </c>
      <c r="F14" s="1115">
        <v>0</v>
      </c>
    </row>
    <row r="15" spans="1:6" x14ac:dyDescent="0.25">
      <c r="A15" s="1111" t="s">
        <v>734</v>
      </c>
      <c r="B15" s="1112">
        <f>+D15-E15-F15</f>
        <v>3906.3783000000008</v>
      </c>
      <c r="C15" s="1113"/>
      <c r="D15" s="1114">
        <v>3906.3783000000008</v>
      </c>
      <c r="E15" s="1115">
        <v>0</v>
      </c>
      <c r="F15" s="1115">
        <v>0</v>
      </c>
    </row>
    <row r="16" spans="1:6" x14ac:dyDescent="0.25">
      <c r="A16" s="1111" t="s">
        <v>735</v>
      </c>
      <c r="B16" s="1112">
        <f t="shared" si="0"/>
        <v>1708.7192399999999</v>
      </c>
      <c r="C16" s="1113"/>
      <c r="D16" s="1114">
        <v>1757.0492399999998</v>
      </c>
      <c r="E16" s="1115">
        <v>0</v>
      </c>
      <c r="F16" s="1115">
        <v>48.33</v>
      </c>
    </row>
    <row r="17" spans="1:6" x14ac:dyDescent="0.25">
      <c r="A17" s="1111" t="s">
        <v>736</v>
      </c>
      <c r="B17" s="1112">
        <f t="shared" si="0"/>
        <v>0</v>
      </c>
      <c r="C17" s="1113"/>
      <c r="D17" s="1114">
        <v>0</v>
      </c>
      <c r="E17" s="1115">
        <v>0</v>
      </c>
      <c r="F17" s="1115">
        <v>0</v>
      </c>
    </row>
    <row r="18" spans="1:6" x14ac:dyDescent="0.25">
      <c r="A18" s="1111" t="s">
        <v>737</v>
      </c>
      <c r="B18" s="1112">
        <f t="shared" si="0"/>
        <v>1136.6054700000002</v>
      </c>
      <c r="C18" s="1113"/>
      <c r="D18" s="1114">
        <v>1136.6054700000002</v>
      </c>
      <c r="E18" s="1115">
        <v>0</v>
      </c>
      <c r="F18" s="1115">
        <v>0</v>
      </c>
    </row>
    <row r="19" spans="1:6" x14ac:dyDescent="0.25">
      <c r="A19" s="1097" t="s">
        <v>738</v>
      </c>
      <c r="B19" s="1098">
        <f t="shared" si="0"/>
        <v>48656.509159999994</v>
      </c>
      <c r="C19" s="1099"/>
      <c r="D19" s="1100">
        <v>49506.087159999995</v>
      </c>
      <c r="E19" s="1101">
        <v>746.94</v>
      </c>
      <c r="F19" s="1101">
        <v>102.63800000000001</v>
      </c>
    </row>
    <row r="20" spans="1:6" x14ac:dyDescent="0.25">
      <c r="A20" s="1116" t="s">
        <v>739</v>
      </c>
      <c r="B20" s="1117"/>
      <c r="C20" s="1118"/>
      <c r="D20" s="1119"/>
      <c r="E20" s="1120" t="s">
        <v>153</v>
      </c>
      <c r="F20" s="1120" t="s">
        <v>153</v>
      </c>
    </row>
    <row r="21" spans="1:6" x14ac:dyDescent="0.25">
      <c r="A21" s="1121" t="s">
        <v>740</v>
      </c>
      <c r="B21" s="1122">
        <f>+D21-E21-F21</f>
        <v>3413.7208900000001</v>
      </c>
      <c r="C21" s="1123"/>
      <c r="D21" s="1124">
        <v>3480.8238900000001</v>
      </c>
      <c r="E21" s="1125">
        <v>62.454999999999998</v>
      </c>
      <c r="F21" s="1125">
        <v>4.6479999999999997</v>
      </c>
    </row>
    <row r="22" spans="1:6" x14ac:dyDescent="0.25">
      <c r="A22" s="1126" t="s">
        <v>741</v>
      </c>
      <c r="B22" s="1122">
        <f>+D22-E22-F22</f>
        <v>4593.1870799999997</v>
      </c>
      <c r="C22" s="1123"/>
      <c r="D22" s="1124">
        <v>4593.1870799999997</v>
      </c>
      <c r="E22" s="1125">
        <v>0</v>
      </c>
      <c r="F22" s="1125">
        <v>0</v>
      </c>
    </row>
    <row r="23" spans="1:6" x14ac:dyDescent="0.25">
      <c r="A23" s="1097" t="s">
        <v>742</v>
      </c>
      <c r="B23" s="1098">
        <f>+D23-E23-F23</f>
        <v>8006.9079699999993</v>
      </c>
      <c r="C23" s="1099"/>
      <c r="D23" s="1100">
        <v>8074.0109699999994</v>
      </c>
      <c r="E23" s="1101">
        <v>62.454999999999998</v>
      </c>
      <c r="F23" s="1101">
        <v>4.6479999999999997</v>
      </c>
    </row>
    <row r="24" spans="1:6" x14ac:dyDescent="0.25">
      <c r="A24" s="1127" t="s">
        <v>743</v>
      </c>
      <c r="B24" s="1128">
        <f>+D24-E24-F24</f>
        <v>56663.417130000009</v>
      </c>
      <c r="C24" s="1099"/>
      <c r="D24" s="1129">
        <v>57580.098130000006</v>
      </c>
      <c r="E24" s="1130">
        <v>809.39499999999998</v>
      </c>
      <c r="F24" s="1130">
        <v>107.286</v>
      </c>
    </row>
    <row r="25" spans="1:6" x14ac:dyDescent="0.25">
      <c r="A25" s="1131" t="s">
        <v>744</v>
      </c>
      <c r="B25" s="1132">
        <f>+D25-E25-F25</f>
        <v>60190.722839999995</v>
      </c>
      <c r="C25" s="1133"/>
      <c r="D25" s="1134">
        <v>61146.118579999995</v>
      </c>
      <c r="E25" s="1135">
        <v>814.09900000000005</v>
      </c>
      <c r="F25" s="1135">
        <v>141.29674</v>
      </c>
    </row>
    <row r="26" spans="1:6" x14ac:dyDescent="0.25">
      <c r="A26" s="1136" t="s">
        <v>745</v>
      </c>
      <c r="B26" s="1137"/>
      <c r="C26" s="1099"/>
      <c r="D26" s="1138"/>
      <c r="E26" s="1139" t="s">
        <v>153</v>
      </c>
      <c r="F26" s="1139" t="s">
        <v>153</v>
      </c>
    </row>
    <row r="27" spans="1:6" x14ac:dyDescent="0.25">
      <c r="A27" s="1140" t="s">
        <v>746</v>
      </c>
      <c r="B27" s="1141">
        <f t="shared" ref="B27:B36" si="1">+D27-E27-F27</f>
        <v>1935.01</v>
      </c>
      <c r="C27" s="1104"/>
      <c r="D27" s="1142">
        <v>1935.01</v>
      </c>
      <c r="E27" s="1143">
        <v>0</v>
      </c>
      <c r="F27" s="1143">
        <v>0</v>
      </c>
    </row>
    <row r="28" spans="1:6" x14ac:dyDescent="0.25">
      <c r="A28" s="1140" t="s">
        <v>747</v>
      </c>
      <c r="B28" s="1141">
        <f t="shared" si="1"/>
        <v>23888.838599999995</v>
      </c>
      <c r="C28" s="1104"/>
      <c r="D28" s="1142">
        <v>24250.019599999996</v>
      </c>
      <c r="E28" s="1143">
        <v>345.55900000000003</v>
      </c>
      <c r="F28" s="1143">
        <v>15.622</v>
      </c>
    </row>
    <row r="29" spans="1:6" x14ac:dyDescent="0.25">
      <c r="A29" s="1140" t="s">
        <v>748</v>
      </c>
      <c r="B29" s="1141">
        <f t="shared" si="1"/>
        <v>235.49976000000004</v>
      </c>
      <c r="C29" s="1104"/>
      <c r="D29" s="1142">
        <v>254.42976000000004</v>
      </c>
      <c r="E29" s="1143">
        <v>0</v>
      </c>
      <c r="F29" s="1143">
        <v>18.93</v>
      </c>
    </row>
    <row r="30" spans="1:6" x14ac:dyDescent="0.25">
      <c r="A30" s="1140" t="s">
        <v>749</v>
      </c>
      <c r="B30" s="1141">
        <f t="shared" si="1"/>
        <v>732.64600000000007</v>
      </c>
      <c r="C30" s="1104"/>
      <c r="D30" s="1142">
        <v>881.10699999999997</v>
      </c>
      <c r="E30" s="1143">
        <v>145.94499999999999</v>
      </c>
      <c r="F30" s="1143">
        <v>2.516</v>
      </c>
    </row>
    <row r="31" spans="1:6" x14ac:dyDescent="0.25">
      <c r="A31" s="1140" t="s">
        <v>750</v>
      </c>
      <c r="B31" s="1141">
        <f t="shared" si="1"/>
        <v>5798.2901700000002</v>
      </c>
      <c r="C31" s="1104"/>
      <c r="D31" s="1142">
        <v>5798.2901700000002</v>
      </c>
      <c r="E31" s="1143">
        <v>0</v>
      </c>
      <c r="F31" s="1143">
        <v>0</v>
      </c>
    </row>
    <row r="32" spans="1:6" x14ac:dyDescent="0.25">
      <c r="A32" s="1140" t="s">
        <v>751</v>
      </c>
      <c r="B32" s="1141">
        <f t="shared" si="1"/>
        <v>960.26</v>
      </c>
      <c r="C32" s="1104"/>
      <c r="D32" s="1142">
        <v>960.26</v>
      </c>
      <c r="E32" s="1143">
        <v>0</v>
      </c>
      <c r="F32" s="1143">
        <v>0</v>
      </c>
    </row>
    <row r="33" spans="1:6" x14ac:dyDescent="0.25">
      <c r="A33" s="1140" t="s">
        <v>752</v>
      </c>
      <c r="B33" s="1141">
        <f t="shared" si="1"/>
        <v>1132.0819999999999</v>
      </c>
      <c r="C33" s="1104"/>
      <c r="D33" s="1142">
        <v>1444.309</v>
      </c>
      <c r="E33" s="1143">
        <v>69.045000000000002</v>
      </c>
      <c r="F33" s="1143">
        <v>243.18199999999999</v>
      </c>
    </row>
    <row r="34" spans="1:6" x14ac:dyDescent="0.25">
      <c r="A34" s="1140" t="s">
        <v>753</v>
      </c>
      <c r="B34" s="1141">
        <f t="shared" si="1"/>
        <v>2013.47857</v>
      </c>
      <c r="C34" s="1104"/>
      <c r="D34" s="1142">
        <v>2013.47857</v>
      </c>
      <c r="E34" s="1143">
        <v>0</v>
      </c>
      <c r="F34" s="1143">
        <v>0</v>
      </c>
    </row>
    <row r="35" spans="1:6" x14ac:dyDescent="0.25">
      <c r="A35" s="1136" t="s">
        <v>754</v>
      </c>
      <c r="B35" s="1137">
        <f t="shared" si="1"/>
        <v>7532.9661600000009</v>
      </c>
      <c r="C35" s="1099"/>
      <c r="D35" s="1138">
        <v>7623.9141600000003</v>
      </c>
      <c r="E35" s="1139">
        <v>32.914000000000001</v>
      </c>
      <c r="F35" s="1139">
        <v>58.033999999999999</v>
      </c>
    </row>
    <row r="36" spans="1:6" x14ac:dyDescent="0.25">
      <c r="A36" s="1144" t="s">
        <v>755</v>
      </c>
      <c r="B36" s="1145">
        <f t="shared" si="1"/>
        <v>44229.071259999997</v>
      </c>
      <c r="C36" s="1133"/>
      <c r="D36" s="1146">
        <v>45160.81826</v>
      </c>
      <c r="E36" s="1147">
        <v>593.46299999999997</v>
      </c>
      <c r="F36" s="1147">
        <v>338.28399999999999</v>
      </c>
    </row>
    <row r="37" spans="1:6" x14ac:dyDescent="0.25">
      <c r="A37" s="1148" t="s">
        <v>756</v>
      </c>
      <c r="B37" s="1149"/>
      <c r="C37" s="1089"/>
      <c r="D37" s="1150"/>
      <c r="E37" s="1151" t="s">
        <v>153</v>
      </c>
      <c r="F37" s="1151" t="s">
        <v>153</v>
      </c>
    </row>
    <row r="38" spans="1:6" x14ac:dyDescent="0.25">
      <c r="A38" s="1152" t="s">
        <v>757</v>
      </c>
      <c r="B38" s="1153">
        <f t="shared" ref="B38:B44" si="2">+D38-E38-F38</f>
        <v>2370.9504400000001</v>
      </c>
      <c r="C38" s="1113"/>
      <c r="D38" s="1154">
        <v>2370.9504400000001</v>
      </c>
      <c r="E38" s="1155">
        <v>0</v>
      </c>
      <c r="F38" s="1155">
        <v>0</v>
      </c>
    </row>
    <row r="39" spans="1:6" x14ac:dyDescent="0.25">
      <c r="A39" s="1152" t="s">
        <v>758</v>
      </c>
      <c r="B39" s="1153">
        <f t="shared" si="2"/>
        <v>906.45</v>
      </c>
      <c r="C39" s="1113"/>
      <c r="D39" s="1154">
        <v>906.45</v>
      </c>
      <c r="E39" s="1155">
        <v>0</v>
      </c>
      <c r="F39" s="1155">
        <v>0</v>
      </c>
    </row>
    <row r="40" spans="1:6" x14ac:dyDescent="0.25">
      <c r="A40" s="1152" t="s">
        <v>759</v>
      </c>
      <c r="B40" s="1153">
        <f t="shared" si="2"/>
        <v>20078.3436</v>
      </c>
      <c r="C40" s="1113"/>
      <c r="D40" s="1154">
        <v>20409.845600000001</v>
      </c>
      <c r="E40" s="1155">
        <v>299.62799999999999</v>
      </c>
      <c r="F40" s="1155">
        <v>31.873999999999999</v>
      </c>
    </row>
    <row r="41" spans="1:6" x14ac:dyDescent="0.25">
      <c r="A41" s="1152" t="s">
        <v>748</v>
      </c>
      <c r="B41" s="1153">
        <f t="shared" si="2"/>
        <v>276.76014000000004</v>
      </c>
      <c r="C41" s="1113"/>
      <c r="D41" s="1154">
        <v>276.76014000000004</v>
      </c>
      <c r="E41" s="1155">
        <v>0</v>
      </c>
      <c r="F41" s="1155">
        <v>0</v>
      </c>
    </row>
    <row r="42" spans="1:6" x14ac:dyDescent="0.25">
      <c r="A42" s="1152" t="s">
        <v>760</v>
      </c>
      <c r="B42" s="1153">
        <f t="shared" si="2"/>
        <v>0</v>
      </c>
      <c r="C42" s="1113"/>
      <c r="D42" s="1154">
        <v>0</v>
      </c>
      <c r="E42" s="1155">
        <v>0</v>
      </c>
      <c r="F42" s="1155">
        <v>0</v>
      </c>
    </row>
    <row r="43" spans="1:6" x14ac:dyDescent="0.25">
      <c r="A43" s="1156" t="s">
        <v>754</v>
      </c>
      <c r="B43" s="1157">
        <f t="shared" si="2"/>
        <v>501.18842999999993</v>
      </c>
      <c r="C43" s="1094"/>
      <c r="D43" s="1158">
        <v>501.18842999999993</v>
      </c>
      <c r="E43" s="1159">
        <v>0</v>
      </c>
      <c r="F43" s="1159">
        <v>0</v>
      </c>
    </row>
    <row r="44" spans="1:6" x14ac:dyDescent="0.25">
      <c r="A44" s="1148" t="s">
        <v>761</v>
      </c>
      <c r="B44" s="1149">
        <f t="shared" si="2"/>
        <v>24133.692609999998</v>
      </c>
      <c r="C44" s="1089"/>
      <c r="D44" s="1150">
        <v>24465.194609999999</v>
      </c>
      <c r="E44" s="1151">
        <v>299.62799999999999</v>
      </c>
      <c r="F44" s="1151">
        <v>31.873999999999999</v>
      </c>
    </row>
    <row r="45" spans="1:6" x14ac:dyDescent="0.25">
      <c r="A45" s="1160" t="s">
        <v>762</v>
      </c>
      <c r="B45" s="1161"/>
      <c r="C45" s="1089"/>
      <c r="D45" s="1162"/>
      <c r="E45" s="1163" t="s">
        <v>153</v>
      </c>
      <c r="F45" s="1163" t="s">
        <v>153</v>
      </c>
    </row>
    <row r="46" spans="1:6" x14ac:dyDescent="0.25">
      <c r="A46" s="1164" t="s">
        <v>747</v>
      </c>
      <c r="B46" s="1165">
        <f t="shared" ref="B46:B109" si="3">+D46-E46-F46</f>
        <v>24760.773009999997</v>
      </c>
      <c r="C46" s="1113"/>
      <c r="D46" s="1166">
        <v>25182.913009999997</v>
      </c>
      <c r="E46" s="1167">
        <v>373.71199999999999</v>
      </c>
      <c r="F46" s="1167">
        <v>48.427999999999997</v>
      </c>
    </row>
    <row r="47" spans="1:6" x14ac:dyDescent="0.25">
      <c r="A47" s="1164" t="s">
        <v>763</v>
      </c>
      <c r="B47" s="1165">
        <f t="shared" si="3"/>
        <v>2251.16</v>
      </c>
      <c r="C47" s="1113"/>
      <c r="D47" s="1166">
        <v>2251.16</v>
      </c>
      <c r="E47" s="1167">
        <v>0</v>
      </c>
      <c r="F47" s="1167">
        <v>0</v>
      </c>
    </row>
    <row r="48" spans="1:6" x14ac:dyDescent="0.25">
      <c r="A48" s="1164" t="s">
        <v>764</v>
      </c>
      <c r="B48" s="1165">
        <f t="shared" si="3"/>
        <v>184.07499999999999</v>
      </c>
      <c r="C48" s="1113"/>
      <c r="D48" s="1166">
        <v>184.07499999999999</v>
      </c>
      <c r="E48" s="1167">
        <v>0</v>
      </c>
      <c r="F48" s="1167">
        <v>0</v>
      </c>
    </row>
    <row r="49" spans="1:6" x14ac:dyDescent="0.25">
      <c r="A49" s="1168" t="s">
        <v>765</v>
      </c>
      <c r="B49" s="1169">
        <f t="shared" si="3"/>
        <v>27196.008009999998</v>
      </c>
      <c r="C49" s="1170"/>
      <c r="D49" s="1171">
        <v>27618.148009999997</v>
      </c>
      <c r="E49" s="1172">
        <v>373.71199999999999</v>
      </c>
      <c r="F49" s="1172">
        <v>48.427999999999997</v>
      </c>
    </row>
    <row r="50" spans="1:6" x14ac:dyDescent="0.25">
      <c r="A50" s="1173" t="s">
        <v>766</v>
      </c>
      <c r="B50" s="1174">
        <f t="shared" si="3"/>
        <v>43.238</v>
      </c>
      <c r="C50" s="1170"/>
      <c r="D50" s="1175">
        <v>43.238</v>
      </c>
      <c r="E50" s="1176">
        <v>0</v>
      </c>
      <c r="F50" s="1176">
        <v>0</v>
      </c>
    </row>
    <row r="51" spans="1:6" x14ac:dyDescent="0.25">
      <c r="A51" s="1173" t="s">
        <v>767</v>
      </c>
      <c r="B51" s="1174">
        <f t="shared" si="3"/>
        <v>43.238</v>
      </c>
      <c r="C51" s="1170"/>
      <c r="D51" s="1175">
        <v>43.238</v>
      </c>
      <c r="E51" s="1176">
        <v>0</v>
      </c>
      <c r="F51" s="1176">
        <v>0</v>
      </c>
    </row>
    <row r="52" spans="1:6" x14ac:dyDescent="0.25">
      <c r="A52" s="1177" t="s">
        <v>768</v>
      </c>
      <c r="B52" s="1178"/>
      <c r="C52" s="1089"/>
      <c r="D52" s="1179"/>
      <c r="E52" s="1180" t="s">
        <v>153</v>
      </c>
      <c r="F52" s="1180" t="s">
        <v>153</v>
      </c>
    </row>
    <row r="53" spans="1:6" x14ac:dyDescent="0.25">
      <c r="A53" s="1181" t="s">
        <v>769</v>
      </c>
      <c r="B53" s="1182">
        <f t="shared" si="3"/>
        <v>5145.5677837309822</v>
      </c>
      <c r="C53" s="1113">
        <v>1000</v>
      </c>
      <c r="D53" s="1183">
        <v>5203.7710588365799</v>
      </c>
      <c r="E53" s="1184">
        <v>54.169008926004004</v>
      </c>
      <c r="F53" s="1184">
        <v>4.0342661795940007</v>
      </c>
    </row>
    <row r="54" spans="1:6" x14ac:dyDescent="0.25">
      <c r="A54" s="1181" t="s">
        <v>770</v>
      </c>
      <c r="B54" s="1182">
        <f t="shared" si="3"/>
        <v>25.36</v>
      </c>
      <c r="C54" s="1113"/>
      <c r="D54" s="1183">
        <v>25.36</v>
      </c>
      <c r="E54" s="1184">
        <v>0</v>
      </c>
      <c r="F54" s="1184">
        <v>0</v>
      </c>
    </row>
    <row r="55" spans="1:6" x14ac:dyDescent="0.25">
      <c r="A55" s="1185" t="s">
        <v>771</v>
      </c>
      <c r="B55" s="1186">
        <f>+D55-E55-F55</f>
        <v>1503.9379293635802</v>
      </c>
      <c r="C55" s="1187"/>
      <c r="D55" s="1188">
        <v>1543.5095611634201</v>
      </c>
      <c r="E55" s="1189">
        <v>39.571631799840006</v>
      </c>
      <c r="F55" s="1189">
        <v>0</v>
      </c>
    </row>
    <row r="56" spans="1:6" x14ac:dyDescent="0.25">
      <c r="A56" s="1181" t="s">
        <v>772</v>
      </c>
      <c r="B56" s="1190">
        <f>+D56-E56-F56</f>
        <v>6674.8657130945621</v>
      </c>
      <c r="C56" s="1094"/>
      <c r="D56" s="1191">
        <v>6772.6406200000001</v>
      </c>
      <c r="E56" s="1192">
        <v>93.740640725844003</v>
      </c>
      <c r="F56" s="1192">
        <v>4.0342661795940007</v>
      </c>
    </row>
    <row r="57" spans="1:6" x14ac:dyDescent="0.25">
      <c r="A57" s="1193" t="s">
        <v>773</v>
      </c>
      <c r="B57" s="1194"/>
      <c r="C57" s="1089"/>
      <c r="D57" s="1195"/>
      <c r="E57" s="1196" t="s">
        <v>153</v>
      </c>
      <c r="F57" s="1196" t="s">
        <v>153</v>
      </c>
    </row>
    <row r="58" spans="1:6" x14ac:dyDescent="0.25">
      <c r="A58" s="1111" t="s">
        <v>774</v>
      </c>
      <c r="B58" s="1112">
        <f t="shared" si="3"/>
        <v>10479.295809999998</v>
      </c>
      <c r="C58" s="1113"/>
      <c r="D58" s="1114">
        <v>10724.100809999998</v>
      </c>
      <c r="E58" s="1115">
        <v>98.768000000000001</v>
      </c>
      <c r="F58" s="1115">
        <v>146.03700000000001</v>
      </c>
    </row>
    <row r="59" spans="1:6" x14ac:dyDescent="0.25">
      <c r="A59" s="1111" t="s">
        <v>775</v>
      </c>
      <c r="B59" s="1112">
        <f t="shared" si="3"/>
        <v>701.55599999999993</v>
      </c>
      <c r="C59" s="1113"/>
      <c r="D59" s="1114">
        <v>745.36</v>
      </c>
      <c r="E59" s="1115">
        <v>40.801000000000002</v>
      </c>
      <c r="F59" s="1115">
        <v>3.0030000000000001</v>
      </c>
    </row>
    <row r="60" spans="1:6" x14ac:dyDescent="0.25">
      <c r="A60" s="1111" t="s">
        <v>776</v>
      </c>
      <c r="B60" s="1112">
        <f t="shared" si="3"/>
        <v>349.875</v>
      </c>
      <c r="C60" s="1113"/>
      <c r="D60" s="1114">
        <v>349.875</v>
      </c>
      <c r="E60" s="1115">
        <v>0</v>
      </c>
      <c r="F60" s="1115">
        <v>0</v>
      </c>
    </row>
    <row r="61" spans="1:6" x14ac:dyDescent="0.25">
      <c r="A61" s="1111" t="s">
        <v>777</v>
      </c>
      <c r="B61" s="1112">
        <f t="shared" si="3"/>
        <v>8042.8498</v>
      </c>
      <c r="C61" s="1113"/>
      <c r="D61" s="1114">
        <v>8201.4297999999999</v>
      </c>
      <c r="E61" s="1115">
        <v>158.58000000000001</v>
      </c>
      <c r="F61" s="1115">
        <v>0</v>
      </c>
    </row>
    <row r="62" spans="1:6" x14ac:dyDescent="0.25">
      <c r="A62" s="1197" t="s">
        <v>778</v>
      </c>
      <c r="B62" s="1198">
        <f t="shared" si="3"/>
        <v>19573.576609999993</v>
      </c>
      <c r="C62" s="1094"/>
      <c r="D62" s="1199">
        <v>20020.765609999995</v>
      </c>
      <c r="E62" s="1200">
        <v>298.149</v>
      </c>
      <c r="F62" s="1200">
        <v>149.04</v>
      </c>
    </row>
    <row r="63" spans="1:6" x14ac:dyDescent="0.25">
      <c r="A63" s="1201" t="s">
        <v>779</v>
      </c>
      <c r="B63" s="1202"/>
      <c r="C63" s="1089"/>
      <c r="D63" s="1203"/>
      <c r="E63" s="1204" t="s">
        <v>153</v>
      </c>
      <c r="F63" s="1204" t="s">
        <v>153</v>
      </c>
    </row>
    <row r="64" spans="1:6" x14ac:dyDescent="0.25">
      <c r="A64" s="1205" t="s">
        <v>780</v>
      </c>
      <c r="B64" s="1206">
        <f t="shared" si="3"/>
        <v>3524.68111</v>
      </c>
      <c r="C64" s="1187"/>
      <c r="D64" s="1207">
        <v>3590.4281100000003</v>
      </c>
      <c r="E64" s="1208">
        <v>62.197000000000003</v>
      </c>
      <c r="F64" s="1208">
        <v>3.55</v>
      </c>
    </row>
    <row r="65" spans="1:6" x14ac:dyDescent="0.25">
      <c r="A65" s="1209" t="s">
        <v>781</v>
      </c>
      <c r="B65" s="1206">
        <f t="shared" si="3"/>
        <v>141.38027000000002</v>
      </c>
      <c r="C65" s="1187"/>
      <c r="D65" s="1207">
        <v>141.38027000000002</v>
      </c>
      <c r="E65" s="1208">
        <v>0</v>
      </c>
      <c r="F65" s="1208">
        <v>0</v>
      </c>
    </row>
    <row r="66" spans="1:6" x14ac:dyDescent="0.25">
      <c r="A66" s="1210" t="s">
        <v>782</v>
      </c>
      <c r="B66" s="1211">
        <f t="shared" si="3"/>
        <v>3666.0613800000006</v>
      </c>
      <c r="C66" s="1094"/>
      <c r="D66" s="1212">
        <v>3731.8083800000009</v>
      </c>
      <c r="E66" s="1213">
        <v>62.197000000000003</v>
      </c>
      <c r="F66" s="1213">
        <v>3.55</v>
      </c>
    </row>
    <row r="67" spans="1:6" x14ac:dyDescent="0.25">
      <c r="A67" s="1214" t="s">
        <v>783</v>
      </c>
      <c r="B67" s="1215"/>
      <c r="C67" s="1089"/>
      <c r="D67" s="1216"/>
      <c r="E67" s="1217" t="s">
        <v>153</v>
      </c>
      <c r="F67" s="1217" t="s">
        <v>153</v>
      </c>
    </row>
    <row r="68" spans="1:6" x14ac:dyDescent="0.25">
      <c r="A68" s="1218" t="s">
        <v>784</v>
      </c>
      <c r="B68" s="1219">
        <f t="shared" si="3"/>
        <v>443.76477999999997</v>
      </c>
      <c r="C68" s="1187"/>
      <c r="D68" s="1220">
        <v>457.21078</v>
      </c>
      <c r="E68" s="1221">
        <v>12.848000000000001</v>
      </c>
      <c r="F68" s="1221">
        <v>0.59799999999999998</v>
      </c>
    </row>
    <row r="69" spans="1:6" x14ac:dyDescent="0.25">
      <c r="A69" s="1222" t="s">
        <v>785</v>
      </c>
      <c r="B69" s="1219">
        <f t="shared" si="3"/>
        <v>5.7290000000000001</v>
      </c>
      <c r="C69" s="1187"/>
      <c r="D69" s="1220">
        <v>5.7290000000000001</v>
      </c>
      <c r="E69" s="1221">
        <v>0</v>
      </c>
      <c r="F69" s="1221">
        <v>0</v>
      </c>
    </row>
    <row r="70" spans="1:6" x14ac:dyDescent="0.25">
      <c r="A70" s="1222" t="s">
        <v>786</v>
      </c>
      <c r="B70" s="1219">
        <f t="shared" si="3"/>
        <v>3.77854</v>
      </c>
      <c r="C70" s="1187"/>
      <c r="D70" s="1220">
        <v>3.77854</v>
      </c>
      <c r="E70" s="1221">
        <v>0</v>
      </c>
      <c r="F70" s="1221">
        <v>0</v>
      </c>
    </row>
    <row r="71" spans="1:6" x14ac:dyDescent="0.25">
      <c r="A71" s="1223" t="s">
        <v>787</v>
      </c>
      <c r="B71" s="1224">
        <f t="shared" si="3"/>
        <v>453.27231999999998</v>
      </c>
      <c r="C71" s="1094"/>
      <c r="D71" s="1225">
        <v>466.71832000000001</v>
      </c>
      <c r="E71" s="1226">
        <v>12.848000000000001</v>
      </c>
      <c r="F71" s="1226">
        <v>0.59799999999999998</v>
      </c>
    </row>
    <row r="72" spans="1:6" x14ac:dyDescent="0.25">
      <c r="A72" s="1227" t="s">
        <v>788</v>
      </c>
      <c r="B72" s="1228"/>
      <c r="C72" s="1089"/>
      <c r="D72" s="1229"/>
      <c r="E72" s="1230" t="s">
        <v>153</v>
      </c>
      <c r="F72" s="1230" t="s">
        <v>153</v>
      </c>
    </row>
    <row r="73" spans="1:6" x14ac:dyDescent="0.25">
      <c r="A73" s="1231" t="s">
        <v>789</v>
      </c>
      <c r="B73" s="1232">
        <f t="shared" si="3"/>
        <v>49.730049999999999</v>
      </c>
      <c r="C73" s="1113"/>
      <c r="D73" s="1233">
        <v>51.173050000000003</v>
      </c>
      <c r="E73" s="1234">
        <v>1.343</v>
      </c>
      <c r="F73" s="1234">
        <v>0.1</v>
      </c>
    </row>
    <row r="74" spans="1:6" x14ac:dyDescent="0.25">
      <c r="A74" s="1231" t="s">
        <v>790</v>
      </c>
      <c r="B74" s="1232">
        <f t="shared" si="3"/>
        <v>46.117440000000002</v>
      </c>
      <c r="C74" s="1113"/>
      <c r="D74" s="1233">
        <v>46.117440000000002</v>
      </c>
      <c r="E74" s="1234">
        <v>0</v>
      </c>
      <c r="F74" s="1234">
        <v>0</v>
      </c>
    </row>
    <row r="75" spans="1:6" x14ac:dyDescent="0.25">
      <c r="A75" s="1235" t="s">
        <v>791</v>
      </c>
      <c r="B75" s="1236">
        <f t="shared" si="3"/>
        <v>95.847490000000022</v>
      </c>
      <c r="C75" s="1094"/>
      <c r="D75" s="1237">
        <v>97.29049000000002</v>
      </c>
      <c r="E75" s="1238">
        <v>1.343</v>
      </c>
      <c r="F75" s="1238">
        <v>0.1</v>
      </c>
    </row>
    <row r="76" spans="1:6" x14ac:dyDescent="0.25">
      <c r="A76" s="1239" t="s">
        <v>792</v>
      </c>
      <c r="B76" s="1240"/>
      <c r="C76" s="1089"/>
      <c r="D76" s="1241"/>
      <c r="E76" s="1242" t="s">
        <v>153</v>
      </c>
      <c r="F76" s="1242" t="s">
        <v>153</v>
      </c>
    </row>
    <row r="77" spans="1:6" x14ac:dyDescent="0.25">
      <c r="A77" s="1243" t="s">
        <v>793</v>
      </c>
      <c r="B77" s="1244">
        <f t="shared" si="3"/>
        <v>113.34737</v>
      </c>
      <c r="C77" s="1113"/>
      <c r="D77" s="1245">
        <v>120.68536999999999</v>
      </c>
      <c r="E77" s="1246">
        <v>6.83</v>
      </c>
      <c r="F77" s="1246">
        <v>0.50800000000000001</v>
      </c>
    </row>
    <row r="78" spans="1:6" x14ac:dyDescent="0.25">
      <c r="A78" s="1243" t="s">
        <v>794</v>
      </c>
      <c r="B78" s="1244">
        <f t="shared" si="3"/>
        <v>2136.5460699999999</v>
      </c>
      <c r="C78" s="1113"/>
      <c r="D78" s="1245">
        <v>2148.4030699999998</v>
      </c>
      <c r="E78" s="1246">
        <v>11.856999999999999</v>
      </c>
      <c r="F78" s="1246">
        <v>0</v>
      </c>
    </row>
    <row r="79" spans="1:6" x14ac:dyDescent="0.25">
      <c r="A79" s="1243" t="s">
        <v>795</v>
      </c>
      <c r="B79" s="1244">
        <f t="shared" si="3"/>
        <v>25.6</v>
      </c>
      <c r="C79" s="1113"/>
      <c r="D79" s="1245">
        <v>25.6</v>
      </c>
      <c r="E79" s="1246">
        <v>0</v>
      </c>
      <c r="F79" s="1246">
        <v>0</v>
      </c>
    </row>
    <row r="80" spans="1:6" x14ac:dyDescent="0.25">
      <c r="A80" s="1247" t="s">
        <v>796</v>
      </c>
      <c r="B80" s="1248">
        <f t="shared" si="3"/>
        <v>2275.4934399999997</v>
      </c>
      <c r="C80" s="1094"/>
      <c r="D80" s="1249">
        <v>2294.6884399999994</v>
      </c>
      <c r="E80" s="1250">
        <v>18.687000000000001</v>
      </c>
      <c r="F80" s="1250">
        <v>0.50800000000000001</v>
      </c>
    </row>
    <row r="81" spans="1:6" x14ac:dyDescent="0.25">
      <c r="A81" s="1251" t="s">
        <v>797</v>
      </c>
      <c r="B81" s="1252"/>
      <c r="C81" s="1089"/>
      <c r="D81" s="1253"/>
      <c r="E81" s="1254" t="s">
        <v>153</v>
      </c>
      <c r="F81" s="1254" t="s">
        <v>153</v>
      </c>
    </row>
    <row r="82" spans="1:6" x14ac:dyDescent="0.25">
      <c r="A82" s="1255" t="s">
        <v>798</v>
      </c>
      <c r="B82" s="1256">
        <f t="shared" si="3"/>
        <v>289.90348</v>
      </c>
      <c r="C82" s="1113"/>
      <c r="D82" s="1257">
        <v>292.50148000000002</v>
      </c>
      <c r="E82" s="1258">
        <v>2.5979999999999999</v>
      </c>
      <c r="F82" s="1258">
        <v>0</v>
      </c>
    </row>
    <row r="83" spans="1:6" x14ac:dyDescent="0.25">
      <c r="A83" s="1255" t="s">
        <v>799</v>
      </c>
      <c r="B83" s="1256">
        <f t="shared" si="3"/>
        <v>16.384</v>
      </c>
      <c r="C83" s="1113"/>
      <c r="D83" s="1257">
        <v>16.384</v>
      </c>
      <c r="E83" s="1258">
        <v>0</v>
      </c>
      <c r="F83" s="1258">
        <v>0</v>
      </c>
    </row>
    <row r="84" spans="1:6" x14ac:dyDescent="0.25">
      <c r="A84" s="1259" t="s">
        <v>800</v>
      </c>
      <c r="B84" s="1260">
        <f t="shared" si="3"/>
        <v>306.28748000000002</v>
      </c>
      <c r="C84" s="1094"/>
      <c r="D84" s="1261">
        <v>308.88548000000003</v>
      </c>
      <c r="E84" s="1262">
        <v>2.5979999999999999</v>
      </c>
      <c r="F84" s="1262">
        <v>0</v>
      </c>
    </row>
    <row r="85" spans="1:6" x14ac:dyDescent="0.25">
      <c r="A85" s="1263" t="s">
        <v>801</v>
      </c>
      <c r="B85" s="1264"/>
      <c r="C85" s="1089"/>
      <c r="D85" s="1265"/>
      <c r="E85" s="1266" t="s">
        <v>153</v>
      </c>
      <c r="F85" s="1266" t="s">
        <v>153</v>
      </c>
    </row>
    <row r="86" spans="1:6" x14ac:dyDescent="0.25">
      <c r="A86" s="1267" t="s">
        <v>802</v>
      </c>
      <c r="B86" s="1268">
        <f>+D86-E86-F86</f>
        <v>1653.3683600000002</v>
      </c>
      <c r="C86" s="1113"/>
      <c r="D86" s="1269">
        <v>1703.04936</v>
      </c>
      <c r="E86" s="1270">
        <v>28.302</v>
      </c>
      <c r="F86" s="1270">
        <v>21.379000000000001</v>
      </c>
    </row>
    <row r="87" spans="1:6" x14ac:dyDescent="0.25">
      <c r="A87" s="1267" t="s">
        <v>803</v>
      </c>
      <c r="B87" s="1268">
        <f t="shared" si="3"/>
        <v>1011.70791</v>
      </c>
      <c r="C87" s="1113"/>
      <c r="D87" s="1269">
        <v>1011.70791</v>
      </c>
      <c r="E87" s="1270">
        <v>0</v>
      </c>
      <c r="F87" s="1270">
        <v>0</v>
      </c>
    </row>
    <row r="88" spans="1:6" x14ac:dyDescent="0.25">
      <c r="A88" s="1263" t="s">
        <v>804</v>
      </c>
      <c r="B88" s="1264">
        <f t="shared" si="3"/>
        <v>2665.0762699999996</v>
      </c>
      <c r="C88" s="1089"/>
      <c r="D88" s="1265">
        <v>2714.7572699999996</v>
      </c>
      <c r="E88" s="1266">
        <v>28.302</v>
      </c>
      <c r="F88" s="1266">
        <v>21.379000000000001</v>
      </c>
    </row>
    <row r="89" spans="1:6" x14ac:dyDescent="0.25">
      <c r="A89" s="1227" t="s">
        <v>805</v>
      </c>
      <c r="B89" s="1228"/>
      <c r="C89" s="1089"/>
      <c r="D89" s="1229"/>
      <c r="E89" s="1230" t="s">
        <v>153</v>
      </c>
      <c r="F89" s="1230" t="s">
        <v>153</v>
      </c>
    </row>
    <row r="90" spans="1:6" x14ac:dyDescent="0.25">
      <c r="A90" s="1271" t="s">
        <v>806</v>
      </c>
      <c r="B90" s="1272">
        <f t="shared" si="3"/>
        <v>0</v>
      </c>
      <c r="C90" s="1187"/>
      <c r="D90" s="1273">
        <v>0</v>
      </c>
      <c r="E90" s="1274">
        <v>0</v>
      </c>
      <c r="F90" s="1274">
        <v>0</v>
      </c>
    </row>
    <row r="91" spans="1:6" x14ac:dyDescent="0.25">
      <c r="A91" s="1231" t="s">
        <v>807</v>
      </c>
      <c r="B91" s="1272">
        <f t="shared" si="3"/>
        <v>1307.6317799999997</v>
      </c>
      <c r="C91" s="1187"/>
      <c r="D91" s="1273">
        <v>1307.6317799999997</v>
      </c>
      <c r="E91" s="1274">
        <v>0</v>
      </c>
      <c r="F91" s="1274">
        <v>0</v>
      </c>
    </row>
    <row r="92" spans="1:6" x14ac:dyDescent="0.25">
      <c r="A92" s="1235" t="s">
        <v>808</v>
      </c>
      <c r="B92" s="1236">
        <f t="shared" si="3"/>
        <v>1307.6317799999997</v>
      </c>
      <c r="C92" s="1094"/>
      <c r="D92" s="1237">
        <v>1307.6317799999997</v>
      </c>
      <c r="E92" s="1238">
        <v>0</v>
      </c>
      <c r="F92" s="1238">
        <v>0</v>
      </c>
    </row>
    <row r="93" spans="1:6" x14ac:dyDescent="0.25">
      <c r="A93" s="1148" t="s">
        <v>809</v>
      </c>
      <c r="B93" s="1149"/>
      <c r="C93" s="1089"/>
      <c r="D93" s="1150"/>
      <c r="E93" s="1151" t="s">
        <v>153</v>
      </c>
      <c r="F93" s="1151" t="s">
        <v>153</v>
      </c>
    </row>
    <row r="94" spans="1:6" x14ac:dyDescent="0.25">
      <c r="A94" s="1275" t="s">
        <v>810</v>
      </c>
      <c r="B94" s="1276">
        <f t="shared" si="3"/>
        <v>89.321079999999995</v>
      </c>
      <c r="C94" s="1187"/>
      <c r="D94" s="1277">
        <v>89.321079999999995</v>
      </c>
      <c r="E94" s="1278">
        <v>0</v>
      </c>
      <c r="F94" s="1278">
        <v>0</v>
      </c>
    </row>
    <row r="95" spans="1:6" x14ac:dyDescent="0.25">
      <c r="A95" s="1275" t="s">
        <v>811</v>
      </c>
      <c r="B95" s="1276">
        <f t="shared" si="3"/>
        <v>31.876999999999999</v>
      </c>
      <c r="C95" s="1187"/>
      <c r="D95" s="1277">
        <v>31.876999999999999</v>
      </c>
      <c r="E95" s="1278">
        <v>0</v>
      </c>
      <c r="F95" s="1278">
        <v>0</v>
      </c>
    </row>
    <row r="96" spans="1:6" x14ac:dyDescent="0.25">
      <c r="A96" s="1156" t="s">
        <v>812</v>
      </c>
      <c r="B96" s="1157">
        <f t="shared" si="3"/>
        <v>121.19808</v>
      </c>
      <c r="C96" s="1094"/>
      <c r="D96" s="1158">
        <v>121.19808</v>
      </c>
      <c r="E96" s="1159">
        <v>0</v>
      </c>
      <c r="F96" s="1159">
        <v>0</v>
      </c>
    </row>
    <row r="97" spans="1:6" x14ac:dyDescent="0.25">
      <c r="A97" s="1279" t="s">
        <v>813</v>
      </c>
      <c r="B97" s="1280"/>
      <c r="C97" s="1089"/>
      <c r="D97" s="1281"/>
      <c r="E97" s="1282" t="s">
        <v>153</v>
      </c>
      <c r="F97" s="1282" t="s">
        <v>153</v>
      </c>
    </row>
    <row r="98" spans="1:6" x14ac:dyDescent="0.25">
      <c r="A98" s="1283" t="s">
        <v>814</v>
      </c>
      <c r="B98" s="1284">
        <f t="shared" si="3"/>
        <v>6.5401700000000007</v>
      </c>
      <c r="C98" s="1187"/>
      <c r="D98" s="1285">
        <v>6.5401700000000007</v>
      </c>
      <c r="E98" s="1286">
        <v>0</v>
      </c>
      <c r="F98" s="1286">
        <v>0</v>
      </c>
    </row>
    <row r="99" spans="1:6" x14ac:dyDescent="0.25">
      <c r="A99" s="1287" t="s">
        <v>815</v>
      </c>
      <c r="B99" s="1288">
        <f t="shared" si="3"/>
        <v>6.5401700000000007</v>
      </c>
      <c r="C99" s="1094"/>
      <c r="D99" s="1289">
        <v>6.5401700000000007</v>
      </c>
      <c r="E99" s="1290">
        <v>0</v>
      </c>
      <c r="F99" s="1290">
        <v>0</v>
      </c>
    </row>
    <row r="100" spans="1:6" x14ac:dyDescent="0.25">
      <c r="A100" s="1210" t="s">
        <v>816</v>
      </c>
      <c r="B100" s="1211">
        <f t="shared" si="3"/>
        <v>189411.27774309457</v>
      </c>
      <c r="C100" s="1094"/>
      <c r="D100" s="1212">
        <v>192710.42165</v>
      </c>
      <c r="E100" s="1213">
        <v>2594.0626407258442</v>
      </c>
      <c r="F100" s="1213">
        <v>705.08126617959397</v>
      </c>
    </row>
    <row r="101" spans="1:6" x14ac:dyDescent="0.25">
      <c r="A101" s="1210" t="s">
        <v>817</v>
      </c>
      <c r="B101" s="1211">
        <f t="shared" si="3"/>
        <v>192938.58345309456</v>
      </c>
      <c r="C101" s="1094"/>
      <c r="D101" s="1212">
        <v>196276.44209999999</v>
      </c>
      <c r="E101" s="1213">
        <v>2598.7666407258439</v>
      </c>
      <c r="F101" s="1213">
        <v>739.09200617959402</v>
      </c>
    </row>
    <row r="102" spans="1:6" x14ac:dyDescent="0.25">
      <c r="A102" s="1291" t="s">
        <v>818</v>
      </c>
      <c r="B102" s="1292"/>
      <c r="C102" s="1089"/>
      <c r="D102" s="1293"/>
      <c r="E102" s="1294" t="s">
        <v>153</v>
      </c>
      <c r="F102" s="1294" t="s">
        <v>153</v>
      </c>
    </row>
    <row r="103" spans="1:6" x14ac:dyDescent="0.25">
      <c r="A103" s="1295" t="s">
        <v>819</v>
      </c>
      <c r="B103" s="1296">
        <f t="shared" si="3"/>
        <v>3522.5279700000006</v>
      </c>
      <c r="C103" s="1113"/>
      <c r="D103" s="1297">
        <v>3522.5279700000006</v>
      </c>
      <c r="E103" s="1298">
        <v>0</v>
      </c>
      <c r="F103" s="1298">
        <v>0</v>
      </c>
    </row>
    <row r="104" spans="1:6" x14ac:dyDescent="0.25">
      <c r="A104" s="1295" t="s">
        <v>820</v>
      </c>
      <c r="B104" s="1296">
        <f t="shared" si="3"/>
        <v>108456.31327000001</v>
      </c>
      <c r="C104" s="1113">
        <f>D104+D103+D105+D106+D111+D113+D114</f>
        <v>119762.04061</v>
      </c>
      <c r="D104" s="1297">
        <v>111382.71827000001</v>
      </c>
      <c r="E104" s="1298">
        <v>2843.9870000000001</v>
      </c>
      <c r="F104" s="1298">
        <v>82.418000000000006</v>
      </c>
    </row>
    <row r="105" spans="1:6" x14ac:dyDescent="0.25">
      <c r="A105" s="1295" t="s">
        <v>821</v>
      </c>
      <c r="B105" s="1296">
        <f t="shared" si="3"/>
        <v>628.69553000000008</v>
      </c>
      <c r="C105" s="1113"/>
      <c r="D105" s="1297">
        <v>628.69553000000008</v>
      </c>
      <c r="E105" s="1298">
        <v>0</v>
      </c>
      <c r="F105" s="1298">
        <v>0</v>
      </c>
    </row>
    <row r="106" spans="1:6" x14ac:dyDescent="0.25">
      <c r="A106" s="1295" t="s">
        <v>822</v>
      </c>
      <c r="B106" s="1296">
        <f t="shared" si="3"/>
        <v>877.88900000000012</v>
      </c>
      <c r="C106" s="1113"/>
      <c r="D106" s="1297">
        <v>1070.893</v>
      </c>
      <c r="E106" s="1298">
        <v>36.262</v>
      </c>
      <c r="F106" s="1298">
        <v>156.74199999999999</v>
      </c>
    </row>
    <row r="107" spans="1:6" x14ac:dyDescent="0.25">
      <c r="A107" s="1295" t="s">
        <v>823</v>
      </c>
      <c r="B107" s="1296">
        <f t="shared" si="3"/>
        <v>2212.1141500000003</v>
      </c>
      <c r="C107" s="1113"/>
      <c r="D107" s="1299">
        <v>2270.9291499999999</v>
      </c>
      <c r="E107" s="1298">
        <v>21.795999999999999</v>
      </c>
      <c r="F107" s="1298">
        <v>37.018999999999998</v>
      </c>
    </row>
    <row r="108" spans="1:6" x14ac:dyDescent="0.25">
      <c r="A108" s="1295" t="s">
        <v>824</v>
      </c>
      <c r="B108" s="1296">
        <f t="shared" si="3"/>
        <v>10230.718460000002</v>
      </c>
      <c r="C108" s="1113"/>
      <c r="D108" s="1299">
        <v>10875.150460000001</v>
      </c>
      <c r="E108" s="1298">
        <v>259.92500000000001</v>
      </c>
      <c r="F108" s="1298">
        <v>384.50700000000001</v>
      </c>
    </row>
    <row r="109" spans="1:6" x14ac:dyDescent="0.25">
      <c r="A109" s="1295" t="s">
        <v>825</v>
      </c>
      <c r="B109" s="1296">
        <f t="shared" si="3"/>
        <v>3898.6536799999999</v>
      </c>
      <c r="C109" s="1113"/>
      <c r="D109" s="1299">
        <v>3973.01368</v>
      </c>
      <c r="E109" s="1298">
        <v>74.36</v>
      </c>
      <c r="F109" s="1298">
        <v>0</v>
      </c>
    </row>
    <row r="110" spans="1:6" x14ac:dyDescent="0.25">
      <c r="A110" s="1295" t="s">
        <v>826</v>
      </c>
      <c r="B110" s="1296">
        <f t="shared" ref="B110:B126" si="4">+D110-E110-F110</f>
        <v>1092.4540300000001</v>
      </c>
      <c r="C110" s="1113"/>
      <c r="D110" s="1299">
        <v>1092.4540300000001</v>
      </c>
      <c r="E110" s="1298">
        <v>0</v>
      </c>
      <c r="F110" s="1298">
        <v>0</v>
      </c>
    </row>
    <row r="111" spans="1:6" x14ac:dyDescent="0.25">
      <c r="A111" s="1295" t="s">
        <v>827</v>
      </c>
      <c r="B111" s="1296">
        <f t="shared" si="4"/>
        <v>1841.9241799999998</v>
      </c>
      <c r="C111" s="1113"/>
      <c r="D111" s="1297">
        <v>1841.9241799999998</v>
      </c>
      <c r="E111" s="1298">
        <v>0</v>
      </c>
      <c r="F111" s="1298">
        <v>0</v>
      </c>
    </row>
    <row r="112" spans="1:6" x14ac:dyDescent="0.25">
      <c r="A112" s="1295" t="s">
        <v>828</v>
      </c>
      <c r="B112" s="1296">
        <f t="shared" si="4"/>
        <v>0</v>
      </c>
      <c r="C112" s="1113"/>
      <c r="D112" s="1299">
        <v>0</v>
      </c>
      <c r="E112" s="1298">
        <v>0</v>
      </c>
      <c r="F112" s="1298">
        <v>0</v>
      </c>
    </row>
    <row r="113" spans="1:7" x14ac:dyDescent="0.25">
      <c r="A113" s="1295" t="s">
        <v>829</v>
      </c>
      <c r="B113" s="1296">
        <f t="shared" si="4"/>
        <v>8.14</v>
      </c>
      <c r="C113" s="1113"/>
      <c r="D113" s="1297">
        <v>8.14</v>
      </c>
      <c r="E113" s="1298">
        <v>0</v>
      </c>
      <c r="F113" s="1298">
        <v>0</v>
      </c>
    </row>
    <row r="114" spans="1:7" x14ac:dyDescent="0.25">
      <c r="A114" s="1295" t="s">
        <v>830</v>
      </c>
      <c r="B114" s="1296">
        <f t="shared" si="4"/>
        <v>1235.9836599999999</v>
      </c>
      <c r="C114" s="1113"/>
      <c r="D114" s="1297">
        <v>1307.14166</v>
      </c>
      <c r="E114" s="1298">
        <v>59.094000000000001</v>
      </c>
      <c r="F114" s="1298">
        <v>12.064</v>
      </c>
    </row>
    <row r="115" spans="1:7" x14ac:dyDescent="0.25">
      <c r="A115" s="1300" t="s">
        <v>831</v>
      </c>
      <c r="B115" s="1301">
        <f t="shared" si="4"/>
        <v>116.9</v>
      </c>
      <c r="C115" s="1302"/>
      <c r="D115" s="1303">
        <v>116.9</v>
      </c>
      <c r="E115" s="1304">
        <v>0</v>
      </c>
      <c r="F115" s="1304">
        <v>0</v>
      </c>
    </row>
    <row r="116" spans="1:7" x14ac:dyDescent="0.25">
      <c r="A116" s="1305" t="s">
        <v>832</v>
      </c>
      <c r="B116" s="1306">
        <f t="shared" si="4"/>
        <v>134122.31393</v>
      </c>
      <c r="C116" s="1094"/>
      <c r="D116" s="1307">
        <v>138090.48793</v>
      </c>
      <c r="E116" s="1305">
        <v>3295.424</v>
      </c>
      <c r="F116" s="1305">
        <v>672.75</v>
      </c>
    </row>
    <row r="117" spans="1:7" ht="26.4" x14ac:dyDescent="0.25">
      <c r="A117" s="1308" t="s">
        <v>833</v>
      </c>
      <c r="B117" s="1309">
        <f t="shared" si="4"/>
        <v>323533.59167309449</v>
      </c>
      <c r="C117" s="1310"/>
      <c r="D117" s="1311">
        <v>330800.90957999998</v>
      </c>
      <c r="E117" s="1312">
        <v>5889.4866407258432</v>
      </c>
      <c r="F117" s="1312">
        <v>1377.831266179594</v>
      </c>
    </row>
    <row r="118" spans="1:7" ht="39.6" x14ac:dyDescent="0.25">
      <c r="A118" s="1308" t="s">
        <v>834</v>
      </c>
      <c r="B118" s="1309">
        <f t="shared" si="4"/>
        <v>327060.89738309453</v>
      </c>
      <c r="C118" s="1310"/>
      <c r="D118" s="1311">
        <v>334366.93002999999</v>
      </c>
      <c r="E118" s="1312">
        <v>5894.1906407258439</v>
      </c>
      <c r="F118" s="1312">
        <v>1411.8420061795939</v>
      </c>
    </row>
    <row r="119" spans="1:7" ht="14.4" x14ac:dyDescent="0.3">
      <c r="A119" s="1313" t="s">
        <v>835</v>
      </c>
      <c r="B119" s="1314">
        <f>+B100/B117</f>
        <v>0.58544547650705747</v>
      </c>
      <c r="C119" s="1094"/>
      <c r="D119" s="1212">
        <v>0.58255710933405236</v>
      </c>
      <c r="E119" s="1315">
        <v>0.44508819386051668</v>
      </c>
      <c r="F119" s="1315">
        <v>0.51434466749142349</v>
      </c>
      <c r="G119" s="1316"/>
    </row>
    <row r="120" spans="1:7" x14ac:dyDescent="0.25">
      <c r="A120" s="1214" t="s">
        <v>836</v>
      </c>
      <c r="B120" s="1215"/>
      <c r="C120" s="1089"/>
      <c r="D120" s="1216"/>
      <c r="E120" s="1217" t="s">
        <v>153</v>
      </c>
      <c r="F120" s="1217" t="s">
        <v>153</v>
      </c>
    </row>
    <row r="121" spans="1:7" x14ac:dyDescent="0.25">
      <c r="A121" s="1317" t="s">
        <v>837</v>
      </c>
      <c r="B121" s="1219">
        <f t="shared" si="4"/>
        <v>16927.047639999993</v>
      </c>
      <c r="C121" s="1187"/>
      <c r="D121" s="1220">
        <v>17205.127639999995</v>
      </c>
      <c r="E121" s="1221">
        <v>278.08</v>
      </c>
      <c r="F121" s="1221">
        <v>0</v>
      </c>
    </row>
    <row r="122" spans="1:7" x14ac:dyDescent="0.25">
      <c r="A122" s="1317" t="s">
        <v>838</v>
      </c>
      <c r="B122" s="1219">
        <f t="shared" si="4"/>
        <v>0</v>
      </c>
      <c r="C122" s="1187"/>
      <c r="D122" s="1220">
        <v>0</v>
      </c>
      <c r="E122" s="1221">
        <v>0</v>
      </c>
      <c r="F122" s="1221">
        <v>0</v>
      </c>
    </row>
    <row r="123" spans="1:7" x14ac:dyDescent="0.25">
      <c r="A123" s="1214" t="s">
        <v>839</v>
      </c>
      <c r="B123" s="1215">
        <f t="shared" si="4"/>
        <v>16927.047639999993</v>
      </c>
      <c r="C123" s="1089"/>
      <c r="D123" s="1216">
        <v>17205.127639999995</v>
      </c>
      <c r="E123" s="1217">
        <v>278.08</v>
      </c>
      <c r="F123" s="1217">
        <v>0</v>
      </c>
    </row>
    <row r="124" spans="1:7" x14ac:dyDescent="0.25">
      <c r="A124" s="1214" t="s">
        <v>840</v>
      </c>
      <c r="B124" s="1215"/>
      <c r="C124" s="1089"/>
      <c r="D124" s="1216">
        <v>0</v>
      </c>
      <c r="E124" s="1217" t="s">
        <v>153</v>
      </c>
      <c r="F124" s="1217" t="s">
        <v>153</v>
      </c>
    </row>
    <row r="125" spans="1:7" x14ac:dyDescent="0.25">
      <c r="A125" s="1317" t="s">
        <v>841</v>
      </c>
      <c r="B125" s="1219">
        <f t="shared" si="4"/>
        <v>1783.37</v>
      </c>
      <c r="C125" s="1187"/>
      <c r="D125" s="1220">
        <v>2061.4499999999998</v>
      </c>
      <c r="E125" s="1221">
        <v>278.08</v>
      </c>
      <c r="F125" s="1221">
        <v>0</v>
      </c>
    </row>
    <row r="126" spans="1:7" x14ac:dyDescent="0.25">
      <c r="A126" s="1317" t="s">
        <v>842</v>
      </c>
      <c r="B126" s="1219">
        <f t="shared" si="4"/>
        <v>2995.86</v>
      </c>
      <c r="C126" s="1187"/>
      <c r="D126" s="1220">
        <v>2995.86</v>
      </c>
      <c r="E126" s="1221">
        <v>0</v>
      </c>
      <c r="F126" s="1221">
        <v>0</v>
      </c>
    </row>
    <row r="127" spans="1:7" x14ac:dyDescent="0.25">
      <c r="A127" s="1214" t="s">
        <v>843</v>
      </c>
      <c r="B127" s="1215">
        <f>+B125/B123</f>
        <v>0.10535623446735928</v>
      </c>
      <c r="C127" s="1089"/>
      <c r="D127" s="1216">
        <v>0.11981602479991833</v>
      </c>
      <c r="E127" s="1217">
        <v>1</v>
      </c>
      <c r="F127" s="1217">
        <v>0</v>
      </c>
    </row>
    <row r="128" spans="1:7" ht="39.6" x14ac:dyDescent="0.25">
      <c r="A128" s="1318" t="s">
        <v>844</v>
      </c>
    </row>
    <row r="129" spans="1:1" ht="52.8" x14ac:dyDescent="0.25">
      <c r="A129" s="1318" t="s">
        <v>845</v>
      </c>
    </row>
  </sheetData>
  <autoFilter ref="A1:F129" xr:uid="{00000000-0009-0000-0000-00003A000000}"/>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56">
    <tabColor rgb="FF92D050"/>
  </sheetPr>
  <dimension ref="A1:CR189"/>
  <sheetViews>
    <sheetView workbookViewId="0"/>
  </sheetViews>
  <sheetFormatPr baseColWidth="10" defaultColWidth="11.44140625" defaultRowHeight="13.2" x14ac:dyDescent="0.25"/>
  <cols>
    <col min="1" max="1" width="125.109375" style="1324" customWidth="1"/>
    <col min="2" max="2" width="12.88671875" style="1324" hidden="1" customWidth="1"/>
    <col min="3" max="3" width="6.5546875" style="1324" hidden="1" customWidth="1"/>
    <col min="4" max="4" width="12.88671875" style="1324" hidden="1" customWidth="1"/>
    <col min="5" max="5" width="6.5546875" style="1324" hidden="1" customWidth="1"/>
    <col min="6" max="6" width="13.88671875" style="1324" hidden="1" customWidth="1"/>
    <col min="7" max="7" width="6.5546875" style="1324" hidden="1" customWidth="1"/>
    <col min="8" max="8" width="12.88671875" style="1324" hidden="1" customWidth="1"/>
    <col min="9" max="9" width="10.44140625" style="1324" hidden="1" customWidth="1"/>
    <col min="10" max="10" width="13.88671875" style="1324" hidden="1" customWidth="1"/>
    <col min="11" max="11" width="6.5546875" style="1324" hidden="1" customWidth="1"/>
    <col min="12" max="12" width="12.88671875" style="1324" hidden="1" customWidth="1"/>
    <col min="13" max="13" width="6.5546875" style="1324" hidden="1" customWidth="1"/>
    <col min="14" max="14" width="12.88671875" style="1324" hidden="1" customWidth="1"/>
    <col min="15" max="15" width="6.5546875" style="1324" hidden="1" customWidth="1"/>
    <col min="16" max="16" width="12.88671875" style="1324" hidden="1" customWidth="1"/>
    <col min="17" max="17" width="6.5546875" style="1324" hidden="1" customWidth="1"/>
    <col min="18" max="18" width="11.109375" style="1546" customWidth="1"/>
    <col min="19" max="19" width="15" style="1546" customWidth="1"/>
    <col min="20" max="20" width="7.44140625" style="1546" customWidth="1"/>
    <col min="21" max="21" width="14.88671875" style="1323" customWidth="1"/>
    <col min="22" max="257" width="11.44140625" style="1324"/>
    <col min="258" max="258" width="88.109375" style="1324" customWidth="1"/>
    <col min="259" max="259" width="13.88671875" style="1324" customWidth="1"/>
    <col min="260" max="260" width="7.88671875" style="1324" customWidth="1"/>
    <col min="261" max="261" width="12.88671875" style="1324" customWidth="1"/>
    <col min="262" max="262" width="6.5546875" style="1324" customWidth="1"/>
    <col min="263" max="263" width="13.88671875" style="1324" customWidth="1"/>
    <col min="264" max="264" width="8.109375" style="1324" customWidth="1"/>
    <col min="265" max="265" width="14" style="1324" customWidth="1"/>
    <col min="266" max="266" width="7.88671875" style="1324" customWidth="1"/>
    <col min="267" max="267" width="12.88671875" style="1324" customWidth="1"/>
    <col min="268" max="268" width="7.88671875" style="1324" customWidth="1"/>
    <col min="269" max="269" width="12.88671875" style="1324" customWidth="1"/>
    <col min="270" max="270" width="7.88671875" style="1324" customWidth="1"/>
    <col min="271" max="271" width="13.109375" style="1324" customWidth="1"/>
    <col min="272" max="272" width="10.88671875" style="1324" customWidth="1"/>
    <col min="273" max="273" width="12.88671875" style="1324" customWidth="1"/>
    <col min="274" max="274" width="7.88671875" style="1324" customWidth="1"/>
    <col min="275" max="275" width="15" style="1324" customWidth="1"/>
    <col min="276" max="276" width="9.109375" style="1324" customWidth="1"/>
    <col min="277" max="277" width="14.88671875" style="1324" customWidth="1"/>
    <col min="278" max="513" width="11.44140625" style="1324"/>
    <col min="514" max="514" width="88.109375" style="1324" customWidth="1"/>
    <col min="515" max="515" width="13.88671875" style="1324" customWidth="1"/>
    <col min="516" max="516" width="7.88671875" style="1324" customWidth="1"/>
    <col min="517" max="517" width="12.88671875" style="1324" customWidth="1"/>
    <col min="518" max="518" width="6.5546875" style="1324" customWidth="1"/>
    <col min="519" max="519" width="13.88671875" style="1324" customWidth="1"/>
    <col min="520" max="520" width="8.109375" style="1324" customWidth="1"/>
    <col min="521" max="521" width="14" style="1324" customWidth="1"/>
    <col min="522" max="522" width="7.88671875" style="1324" customWidth="1"/>
    <col min="523" max="523" width="12.88671875" style="1324" customWidth="1"/>
    <col min="524" max="524" width="7.88671875" style="1324" customWidth="1"/>
    <col min="525" max="525" width="12.88671875" style="1324" customWidth="1"/>
    <col min="526" max="526" width="7.88671875" style="1324" customWidth="1"/>
    <col min="527" max="527" width="13.109375" style="1324" customWidth="1"/>
    <col min="528" max="528" width="10.88671875" style="1324" customWidth="1"/>
    <col min="529" max="529" width="12.88671875" style="1324" customWidth="1"/>
    <col min="530" max="530" width="7.88671875" style="1324" customWidth="1"/>
    <col min="531" max="531" width="15" style="1324" customWidth="1"/>
    <col min="532" max="532" width="9.109375" style="1324" customWidth="1"/>
    <col min="533" max="533" width="14.88671875" style="1324" customWidth="1"/>
    <col min="534" max="769" width="11.44140625" style="1324"/>
    <col min="770" max="770" width="88.109375" style="1324" customWidth="1"/>
    <col min="771" max="771" width="13.88671875" style="1324" customWidth="1"/>
    <col min="772" max="772" width="7.88671875" style="1324" customWidth="1"/>
    <col min="773" max="773" width="12.88671875" style="1324" customWidth="1"/>
    <col min="774" max="774" width="6.5546875" style="1324" customWidth="1"/>
    <col min="775" max="775" width="13.88671875" style="1324" customWidth="1"/>
    <col min="776" max="776" width="8.109375" style="1324" customWidth="1"/>
    <col min="777" max="777" width="14" style="1324" customWidth="1"/>
    <col min="778" max="778" width="7.88671875" style="1324" customWidth="1"/>
    <col min="779" max="779" width="12.88671875" style="1324" customWidth="1"/>
    <col min="780" max="780" width="7.88671875" style="1324" customWidth="1"/>
    <col min="781" max="781" width="12.88671875" style="1324" customWidth="1"/>
    <col min="782" max="782" width="7.88671875" style="1324" customWidth="1"/>
    <col min="783" max="783" width="13.109375" style="1324" customWidth="1"/>
    <col min="784" max="784" width="10.88671875" style="1324" customWidth="1"/>
    <col min="785" max="785" width="12.88671875" style="1324" customWidth="1"/>
    <col min="786" max="786" width="7.88671875" style="1324" customWidth="1"/>
    <col min="787" max="787" width="15" style="1324" customWidth="1"/>
    <col min="788" max="788" width="9.109375" style="1324" customWidth="1"/>
    <col min="789" max="789" width="14.88671875" style="1324" customWidth="1"/>
    <col min="790" max="1025" width="11.44140625" style="1324"/>
    <col min="1026" max="1026" width="88.109375" style="1324" customWidth="1"/>
    <col min="1027" max="1027" width="13.88671875" style="1324" customWidth="1"/>
    <col min="1028" max="1028" width="7.88671875" style="1324" customWidth="1"/>
    <col min="1029" max="1029" width="12.88671875" style="1324" customWidth="1"/>
    <col min="1030" max="1030" width="6.5546875" style="1324" customWidth="1"/>
    <col min="1031" max="1031" width="13.88671875" style="1324" customWidth="1"/>
    <col min="1032" max="1032" width="8.109375" style="1324" customWidth="1"/>
    <col min="1033" max="1033" width="14" style="1324" customWidth="1"/>
    <col min="1034" max="1034" width="7.88671875" style="1324" customWidth="1"/>
    <col min="1035" max="1035" width="12.88671875" style="1324" customWidth="1"/>
    <col min="1036" max="1036" width="7.88671875" style="1324" customWidth="1"/>
    <col min="1037" max="1037" width="12.88671875" style="1324" customWidth="1"/>
    <col min="1038" max="1038" width="7.88671875" style="1324" customWidth="1"/>
    <col min="1039" max="1039" width="13.109375" style="1324" customWidth="1"/>
    <col min="1040" max="1040" width="10.88671875" style="1324" customWidth="1"/>
    <col min="1041" max="1041" width="12.88671875" style="1324" customWidth="1"/>
    <col min="1042" max="1042" width="7.88671875" style="1324" customWidth="1"/>
    <col min="1043" max="1043" width="15" style="1324" customWidth="1"/>
    <col min="1044" max="1044" width="9.109375" style="1324" customWidth="1"/>
    <col min="1045" max="1045" width="14.88671875" style="1324" customWidth="1"/>
    <col min="1046" max="1281" width="11.44140625" style="1324"/>
    <col min="1282" max="1282" width="88.109375" style="1324" customWidth="1"/>
    <col min="1283" max="1283" width="13.88671875" style="1324" customWidth="1"/>
    <col min="1284" max="1284" width="7.88671875" style="1324" customWidth="1"/>
    <col min="1285" max="1285" width="12.88671875" style="1324" customWidth="1"/>
    <col min="1286" max="1286" width="6.5546875" style="1324" customWidth="1"/>
    <col min="1287" max="1287" width="13.88671875" style="1324" customWidth="1"/>
    <col min="1288" max="1288" width="8.109375" style="1324" customWidth="1"/>
    <col min="1289" max="1289" width="14" style="1324" customWidth="1"/>
    <col min="1290" max="1290" width="7.88671875" style="1324" customWidth="1"/>
    <col min="1291" max="1291" width="12.88671875" style="1324" customWidth="1"/>
    <col min="1292" max="1292" width="7.88671875" style="1324" customWidth="1"/>
    <col min="1293" max="1293" width="12.88671875" style="1324" customWidth="1"/>
    <col min="1294" max="1294" width="7.88671875" style="1324" customWidth="1"/>
    <col min="1295" max="1295" width="13.109375" style="1324" customWidth="1"/>
    <col min="1296" max="1296" width="10.88671875" style="1324" customWidth="1"/>
    <col min="1297" max="1297" width="12.88671875" style="1324" customWidth="1"/>
    <col min="1298" max="1298" width="7.88671875" style="1324" customWidth="1"/>
    <col min="1299" max="1299" width="15" style="1324" customWidth="1"/>
    <col min="1300" max="1300" width="9.109375" style="1324" customWidth="1"/>
    <col min="1301" max="1301" width="14.88671875" style="1324" customWidth="1"/>
    <col min="1302" max="1537" width="11.44140625" style="1324"/>
    <col min="1538" max="1538" width="88.109375" style="1324" customWidth="1"/>
    <col min="1539" max="1539" width="13.88671875" style="1324" customWidth="1"/>
    <col min="1540" max="1540" width="7.88671875" style="1324" customWidth="1"/>
    <col min="1541" max="1541" width="12.88671875" style="1324" customWidth="1"/>
    <col min="1542" max="1542" width="6.5546875" style="1324" customWidth="1"/>
    <col min="1543" max="1543" width="13.88671875" style="1324" customWidth="1"/>
    <col min="1544" max="1544" width="8.109375" style="1324" customWidth="1"/>
    <col min="1545" max="1545" width="14" style="1324" customWidth="1"/>
    <col min="1546" max="1546" width="7.88671875" style="1324" customWidth="1"/>
    <col min="1547" max="1547" width="12.88671875" style="1324" customWidth="1"/>
    <col min="1548" max="1548" width="7.88671875" style="1324" customWidth="1"/>
    <col min="1549" max="1549" width="12.88671875" style="1324" customWidth="1"/>
    <col min="1550" max="1550" width="7.88671875" style="1324" customWidth="1"/>
    <col min="1551" max="1551" width="13.109375" style="1324" customWidth="1"/>
    <col min="1552" max="1552" width="10.88671875" style="1324" customWidth="1"/>
    <col min="1553" max="1553" width="12.88671875" style="1324" customWidth="1"/>
    <col min="1554" max="1554" width="7.88671875" style="1324" customWidth="1"/>
    <col min="1555" max="1555" width="15" style="1324" customWidth="1"/>
    <col min="1556" max="1556" width="9.109375" style="1324" customWidth="1"/>
    <col min="1557" max="1557" width="14.88671875" style="1324" customWidth="1"/>
    <col min="1558" max="1793" width="11.44140625" style="1324"/>
    <col min="1794" max="1794" width="88.109375" style="1324" customWidth="1"/>
    <col min="1795" max="1795" width="13.88671875" style="1324" customWidth="1"/>
    <col min="1796" max="1796" width="7.88671875" style="1324" customWidth="1"/>
    <col min="1797" max="1797" width="12.88671875" style="1324" customWidth="1"/>
    <col min="1798" max="1798" width="6.5546875" style="1324" customWidth="1"/>
    <col min="1799" max="1799" width="13.88671875" style="1324" customWidth="1"/>
    <col min="1800" max="1800" width="8.109375" style="1324" customWidth="1"/>
    <col min="1801" max="1801" width="14" style="1324" customWidth="1"/>
    <col min="1802" max="1802" width="7.88671875" style="1324" customWidth="1"/>
    <col min="1803" max="1803" width="12.88671875" style="1324" customWidth="1"/>
    <col min="1804" max="1804" width="7.88671875" style="1324" customWidth="1"/>
    <col min="1805" max="1805" width="12.88671875" style="1324" customWidth="1"/>
    <col min="1806" max="1806" width="7.88671875" style="1324" customWidth="1"/>
    <col min="1807" max="1807" width="13.109375" style="1324" customWidth="1"/>
    <col min="1808" max="1808" width="10.88671875" style="1324" customWidth="1"/>
    <col min="1809" max="1809" width="12.88671875" style="1324" customWidth="1"/>
    <col min="1810" max="1810" width="7.88671875" style="1324" customWidth="1"/>
    <col min="1811" max="1811" width="15" style="1324" customWidth="1"/>
    <col min="1812" max="1812" width="9.109375" style="1324" customWidth="1"/>
    <col min="1813" max="1813" width="14.88671875" style="1324" customWidth="1"/>
    <col min="1814" max="2049" width="11.44140625" style="1324"/>
    <col min="2050" max="2050" width="88.109375" style="1324" customWidth="1"/>
    <col min="2051" max="2051" width="13.88671875" style="1324" customWidth="1"/>
    <col min="2052" max="2052" width="7.88671875" style="1324" customWidth="1"/>
    <col min="2053" max="2053" width="12.88671875" style="1324" customWidth="1"/>
    <col min="2054" max="2054" width="6.5546875" style="1324" customWidth="1"/>
    <col min="2055" max="2055" width="13.88671875" style="1324" customWidth="1"/>
    <col min="2056" max="2056" width="8.109375" style="1324" customWidth="1"/>
    <col min="2057" max="2057" width="14" style="1324" customWidth="1"/>
    <col min="2058" max="2058" width="7.88671875" style="1324" customWidth="1"/>
    <col min="2059" max="2059" width="12.88671875" style="1324" customWidth="1"/>
    <col min="2060" max="2060" width="7.88671875" style="1324" customWidth="1"/>
    <col min="2061" max="2061" width="12.88671875" style="1324" customWidth="1"/>
    <col min="2062" max="2062" width="7.88671875" style="1324" customWidth="1"/>
    <col min="2063" max="2063" width="13.109375" style="1324" customWidth="1"/>
    <col min="2064" max="2064" width="10.88671875" style="1324" customWidth="1"/>
    <col min="2065" max="2065" width="12.88671875" style="1324" customWidth="1"/>
    <col min="2066" max="2066" width="7.88671875" style="1324" customWidth="1"/>
    <col min="2067" max="2067" width="15" style="1324" customWidth="1"/>
    <col min="2068" max="2068" width="9.109375" style="1324" customWidth="1"/>
    <col min="2069" max="2069" width="14.88671875" style="1324" customWidth="1"/>
    <col min="2070" max="2305" width="11.44140625" style="1324"/>
    <col min="2306" max="2306" width="88.109375" style="1324" customWidth="1"/>
    <col min="2307" max="2307" width="13.88671875" style="1324" customWidth="1"/>
    <col min="2308" max="2308" width="7.88671875" style="1324" customWidth="1"/>
    <col min="2309" max="2309" width="12.88671875" style="1324" customWidth="1"/>
    <col min="2310" max="2310" width="6.5546875" style="1324" customWidth="1"/>
    <col min="2311" max="2311" width="13.88671875" style="1324" customWidth="1"/>
    <col min="2312" max="2312" width="8.109375" style="1324" customWidth="1"/>
    <col min="2313" max="2313" width="14" style="1324" customWidth="1"/>
    <col min="2314" max="2314" width="7.88671875" style="1324" customWidth="1"/>
    <col min="2315" max="2315" width="12.88671875" style="1324" customWidth="1"/>
    <col min="2316" max="2316" width="7.88671875" style="1324" customWidth="1"/>
    <col min="2317" max="2317" width="12.88671875" style="1324" customWidth="1"/>
    <col min="2318" max="2318" width="7.88671875" style="1324" customWidth="1"/>
    <col min="2319" max="2319" width="13.109375" style="1324" customWidth="1"/>
    <col min="2320" max="2320" width="10.88671875" style="1324" customWidth="1"/>
    <col min="2321" max="2321" width="12.88671875" style="1324" customWidth="1"/>
    <col min="2322" max="2322" width="7.88671875" style="1324" customWidth="1"/>
    <col min="2323" max="2323" width="15" style="1324" customWidth="1"/>
    <col min="2324" max="2324" width="9.109375" style="1324" customWidth="1"/>
    <col min="2325" max="2325" width="14.88671875" style="1324" customWidth="1"/>
    <col min="2326" max="2561" width="11.44140625" style="1324"/>
    <col min="2562" max="2562" width="88.109375" style="1324" customWidth="1"/>
    <col min="2563" max="2563" width="13.88671875" style="1324" customWidth="1"/>
    <col min="2564" max="2564" width="7.88671875" style="1324" customWidth="1"/>
    <col min="2565" max="2565" width="12.88671875" style="1324" customWidth="1"/>
    <col min="2566" max="2566" width="6.5546875" style="1324" customWidth="1"/>
    <col min="2567" max="2567" width="13.88671875" style="1324" customWidth="1"/>
    <col min="2568" max="2568" width="8.109375" style="1324" customWidth="1"/>
    <col min="2569" max="2569" width="14" style="1324" customWidth="1"/>
    <col min="2570" max="2570" width="7.88671875" style="1324" customWidth="1"/>
    <col min="2571" max="2571" width="12.88671875" style="1324" customWidth="1"/>
    <col min="2572" max="2572" width="7.88671875" style="1324" customWidth="1"/>
    <col min="2573" max="2573" width="12.88671875" style="1324" customWidth="1"/>
    <col min="2574" max="2574" width="7.88671875" style="1324" customWidth="1"/>
    <col min="2575" max="2575" width="13.109375" style="1324" customWidth="1"/>
    <col min="2576" max="2576" width="10.88671875" style="1324" customWidth="1"/>
    <col min="2577" max="2577" width="12.88671875" style="1324" customWidth="1"/>
    <col min="2578" max="2578" width="7.88671875" style="1324" customWidth="1"/>
    <col min="2579" max="2579" width="15" style="1324" customWidth="1"/>
    <col min="2580" max="2580" width="9.109375" style="1324" customWidth="1"/>
    <col min="2581" max="2581" width="14.88671875" style="1324" customWidth="1"/>
    <col min="2582" max="2817" width="11.44140625" style="1324"/>
    <col min="2818" max="2818" width="88.109375" style="1324" customWidth="1"/>
    <col min="2819" max="2819" width="13.88671875" style="1324" customWidth="1"/>
    <col min="2820" max="2820" width="7.88671875" style="1324" customWidth="1"/>
    <col min="2821" max="2821" width="12.88671875" style="1324" customWidth="1"/>
    <col min="2822" max="2822" width="6.5546875" style="1324" customWidth="1"/>
    <col min="2823" max="2823" width="13.88671875" style="1324" customWidth="1"/>
    <col min="2824" max="2824" width="8.109375" style="1324" customWidth="1"/>
    <col min="2825" max="2825" width="14" style="1324" customWidth="1"/>
    <col min="2826" max="2826" width="7.88671875" style="1324" customWidth="1"/>
    <col min="2827" max="2827" width="12.88671875" style="1324" customWidth="1"/>
    <col min="2828" max="2828" width="7.88671875" style="1324" customWidth="1"/>
    <col min="2829" max="2829" width="12.88671875" style="1324" customWidth="1"/>
    <col min="2830" max="2830" width="7.88671875" style="1324" customWidth="1"/>
    <col min="2831" max="2831" width="13.109375" style="1324" customWidth="1"/>
    <col min="2832" max="2832" width="10.88671875" style="1324" customWidth="1"/>
    <col min="2833" max="2833" width="12.88671875" style="1324" customWidth="1"/>
    <col min="2834" max="2834" width="7.88671875" style="1324" customWidth="1"/>
    <col min="2835" max="2835" width="15" style="1324" customWidth="1"/>
    <col min="2836" max="2836" width="9.109375" style="1324" customWidth="1"/>
    <col min="2837" max="2837" width="14.88671875" style="1324" customWidth="1"/>
    <col min="2838" max="3073" width="11.44140625" style="1324"/>
    <col min="3074" max="3074" width="88.109375" style="1324" customWidth="1"/>
    <col min="3075" max="3075" width="13.88671875" style="1324" customWidth="1"/>
    <col min="3076" max="3076" width="7.88671875" style="1324" customWidth="1"/>
    <col min="3077" max="3077" width="12.88671875" style="1324" customWidth="1"/>
    <col min="3078" max="3078" width="6.5546875" style="1324" customWidth="1"/>
    <col min="3079" max="3079" width="13.88671875" style="1324" customWidth="1"/>
    <col min="3080" max="3080" width="8.109375" style="1324" customWidth="1"/>
    <col min="3081" max="3081" width="14" style="1324" customWidth="1"/>
    <col min="3082" max="3082" width="7.88671875" style="1324" customWidth="1"/>
    <col min="3083" max="3083" width="12.88671875" style="1324" customWidth="1"/>
    <col min="3084" max="3084" width="7.88671875" style="1324" customWidth="1"/>
    <col min="3085" max="3085" width="12.88671875" style="1324" customWidth="1"/>
    <col min="3086" max="3086" width="7.88671875" style="1324" customWidth="1"/>
    <col min="3087" max="3087" width="13.109375" style="1324" customWidth="1"/>
    <col min="3088" max="3088" width="10.88671875" style="1324" customWidth="1"/>
    <col min="3089" max="3089" width="12.88671875" style="1324" customWidth="1"/>
    <col min="3090" max="3090" width="7.88671875" style="1324" customWidth="1"/>
    <col min="3091" max="3091" width="15" style="1324" customWidth="1"/>
    <col min="3092" max="3092" width="9.109375" style="1324" customWidth="1"/>
    <col min="3093" max="3093" width="14.88671875" style="1324" customWidth="1"/>
    <col min="3094" max="3329" width="11.44140625" style="1324"/>
    <col min="3330" max="3330" width="88.109375" style="1324" customWidth="1"/>
    <col min="3331" max="3331" width="13.88671875" style="1324" customWidth="1"/>
    <col min="3332" max="3332" width="7.88671875" style="1324" customWidth="1"/>
    <col min="3333" max="3333" width="12.88671875" style="1324" customWidth="1"/>
    <col min="3334" max="3334" width="6.5546875" style="1324" customWidth="1"/>
    <col min="3335" max="3335" width="13.88671875" style="1324" customWidth="1"/>
    <col min="3336" max="3336" width="8.109375" style="1324" customWidth="1"/>
    <col min="3337" max="3337" width="14" style="1324" customWidth="1"/>
    <col min="3338" max="3338" width="7.88671875" style="1324" customWidth="1"/>
    <col min="3339" max="3339" width="12.88671875" style="1324" customWidth="1"/>
    <col min="3340" max="3340" width="7.88671875" style="1324" customWidth="1"/>
    <col min="3341" max="3341" width="12.88671875" style="1324" customWidth="1"/>
    <col min="3342" max="3342" width="7.88671875" style="1324" customWidth="1"/>
    <col min="3343" max="3343" width="13.109375" style="1324" customWidth="1"/>
    <col min="3344" max="3344" width="10.88671875" style="1324" customWidth="1"/>
    <col min="3345" max="3345" width="12.88671875" style="1324" customWidth="1"/>
    <col min="3346" max="3346" width="7.88671875" style="1324" customWidth="1"/>
    <col min="3347" max="3347" width="15" style="1324" customWidth="1"/>
    <col min="3348" max="3348" width="9.109375" style="1324" customWidth="1"/>
    <col min="3349" max="3349" width="14.88671875" style="1324" customWidth="1"/>
    <col min="3350" max="3585" width="11.44140625" style="1324"/>
    <col min="3586" max="3586" width="88.109375" style="1324" customWidth="1"/>
    <col min="3587" max="3587" width="13.88671875" style="1324" customWidth="1"/>
    <col min="3588" max="3588" width="7.88671875" style="1324" customWidth="1"/>
    <col min="3589" max="3589" width="12.88671875" style="1324" customWidth="1"/>
    <col min="3590" max="3590" width="6.5546875" style="1324" customWidth="1"/>
    <col min="3591" max="3591" width="13.88671875" style="1324" customWidth="1"/>
    <col min="3592" max="3592" width="8.109375" style="1324" customWidth="1"/>
    <col min="3593" max="3593" width="14" style="1324" customWidth="1"/>
    <col min="3594" max="3594" width="7.88671875" style="1324" customWidth="1"/>
    <col min="3595" max="3595" width="12.88671875" style="1324" customWidth="1"/>
    <col min="3596" max="3596" width="7.88671875" style="1324" customWidth="1"/>
    <col min="3597" max="3597" width="12.88671875" style="1324" customWidth="1"/>
    <col min="3598" max="3598" width="7.88671875" style="1324" customWidth="1"/>
    <col min="3599" max="3599" width="13.109375" style="1324" customWidth="1"/>
    <col min="3600" max="3600" width="10.88671875" style="1324" customWidth="1"/>
    <col min="3601" max="3601" width="12.88671875" style="1324" customWidth="1"/>
    <col min="3602" max="3602" width="7.88671875" style="1324" customWidth="1"/>
    <col min="3603" max="3603" width="15" style="1324" customWidth="1"/>
    <col min="3604" max="3604" width="9.109375" style="1324" customWidth="1"/>
    <col min="3605" max="3605" width="14.88671875" style="1324" customWidth="1"/>
    <col min="3606" max="3841" width="11.44140625" style="1324"/>
    <col min="3842" max="3842" width="88.109375" style="1324" customWidth="1"/>
    <col min="3843" max="3843" width="13.88671875" style="1324" customWidth="1"/>
    <col min="3844" max="3844" width="7.88671875" style="1324" customWidth="1"/>
    <col min="3845" max="3845" width="12.88671875" style="1324" customWidth="1"/>
    <col min="3846" max="3846" width="6.5546875" style="1324" customWidth="1"/>
    <col min="3847" max="3847" width="13.88671875" style="1324" customWidth="1"/>
    <col min="3848" max="3848" width="8.109375" style="1324" customWidth="1"/>
    <col min="3849" max="3849" width="14" style="1324" customWidth="1"/>
    <col min="3850" max="3850" width="7.88671875" style="1324" customWidth="1"/>
    <col min="3851" max="3851" width="12.88671875" style="1324" customWidth="1"/>
    <col min="3852" max="3852" width="7.88671875" style="1324" customWidth="1"/>
    <col min="3853" max="3853" width="12.88671875" style="1324" customWidth="1"/>
    <col min="3854" max="3854" width="7.88671875" style="1324" customWidth="1"/>
    <col min="3855" max="3855" width="13.109375" style="1324" customWidth="1"/>
    <col min="3856" max="3856" width="10.88671875" style="1324" customWidth="1"/>
    <col min="3857" max="3857" width="12.88671875" style="1324" customWidth="1"/>
    <col min="3858" max="3858" width="7.88671875" style="1324" customWidth="1"/>
    <col min="3859" max="3859" width="15" style="1324" customWidth="1"/>
    <col min="3860" max="3860" width="9.109375" style="1324" customWidth="1"/>
    <col min="3861" max="3861" width="14.88671875" style="1324" customWidth="1"/>
    <col min="3862" max="4097" width="11.44140625" style="1324"/>
    <col min="4098" max="4098" width="88.109375" style="1324" customWidth="1"/>
    <col min="4099" max="4099" width="13.88671875" style="1324" customWidth="1"/>
    <col min="4100" max="4100" width="7.88671875" style="1324" customWidth="1"/>
    <col min="4101" max="4101" width="12.88671875" style="1324" customWidth="1"/>
    <col min="4102" max="4102" width="6.5546875" style="1324" customWidth="1"/>
    <col min="4103" max="4103" width="13.88671875" style="1324" customWidth="1"/>
    <col min="4104" max="4104" width="8.109375" style="1324" customWidth="1"/>
    <col min="4105" max="4105" width="14" style="1324" customWidth="1"/>
    <col min="4106" max="4106" width="7.88671875" style="1324" customWidth="1"/>
    <col min="4107" max="4107" width="12.88671875" style="1324" customWidth="1"/>
    <col min="4108" max="4108" width="7.88671875" style="1324" customWidth="1"/>
    <col min="4109" max="4109" width="12.88671875" style="1324" customWidth="1"/>
    <col min="4110" max="4110" width="7.88671875" style="1324" customWidth="1"/>
    <col min="4111" max="4111" width="13.109375" style="1324" customWidth="1"/>
    <col min="4112" max="4112" width="10.88671875" style="1324" customWidth="1"/>
    <col min="4113" max="4113" width="12.88671875" style="1324" customWidth="1"/>
    <col min="4114" max="4114" width="7.88671875" style="1324" customWidth="1"/>
    <col min="4115" max="4115" width="15" style="1324" customWidth="1"/>
    <col min="4116" max="4116" width="9.109375" style="1324" customWidth="1"/>
    <col min="4117" max="4117" width="14.88671875" style="1324" customWidth="1"/>
    <col min="4118" max="4353" width="11.44140625" style="1324"/>
    <col min="4354" max="4354" width="88.109375" style="1324" customWidth="1"/>
    <col min="4355" max="4355" width="13.88671875" style="1324" customWidth="1"/>
    <col min="4356" max="4356" width="7.88671875" style="1324" customWidth="1"/>
    <col min="4357" max="4357" width="12.88671875" style="1324" customWidth="1"/>
    <col min="4358" max="4358" width="6.5546875" style="1324" customWidth="1"/>
    <col min="4359" max="4359" width="13.88671875" style="1324" customWidth="1"/>
    <col min="4360" max="4360" width="8.109375" style="1324" customWidth="1"/>
    <col min="4361" max="4361" width="14" style="1324" customWidth="1"/>
    <col min="4362" max="4362" width="7.88671875" style="1324" customWidth="1"/>
    <col min="4363" max="4363" width="12.88671875" style="1324" customWidth="1"/>
    <col min="4364" max="4364" width="7.88671875" style="1324" customWidth="1"/>
    <col min="4365" max="4365" width="12.88671875" style="1324" customWidth="1"/>
    <col min="4366" max="4366" width="7.88671875" style="1324" customWidth="1"/>
    <col min="4367" max="4367" width="13.109375" style="1324" customWidth="1"/>
    <col min="4368" max="4368" width="10.88671875" style="1324" customWidth="1"/>
    <col min="4369" max="4369" width="12.88671875" style="1324" customWidth="1"/>
    <col min="4370" max="4370" width="7.88671875" style="1324" customWidth="1"/>
    <col min="4371" max="4371" width="15" style="1324" customWidth="1"/>
    <col min="4372" max="4372" width="9.109375" style="1324" customWidth="1"/>
    <col min="4373" max="4373" width="14.88671875" style="1324" customWidth="1"/>
    <col min="4374" max="4609" width="11.44140625" style="1324"/>
    <col min="4610" max="4610" width="88.109375" style="1324" customWidth="1"/>
    <col min="4611" max="4611" width="13.88671875" style="1324" customWidth="1"/>
    <col min="4612" max="4612" width="7.88671875" style="1324" customWidth="1"/>
    <col min="4613" max="4613" width="12.88671875" style="1324" customWidth="1"/>
    <col min="4614" max="4614" width="6.5546875" style="1324" customWidth="1"/>
    <col min="4615" max="4615" width="13.88671875" style="1324" customWidth="1"/>
    <col min="4616" max="4616" width="8.109375" style="1324" customWidth="1"/>
    <col min="4617" max="4617" width="14" style="1324" customWidth="1"/>
    <col min="4618" max="4618" width="7.88671875" style="1324" customWidth="1"/>
    <col min="4619" max="4619" width="12.88671875" style="1324" customWidth="1"/>
    <col min="4620" max="4620" width="7.88671875" style="1324" customWidth="1"/>
    <col min="4621" max="4621" width="12.88671875" style="1324" customWidth="1"/>
    <col min="4622" max="4622" width="7.88671875" style="1324" customWidth="1"/>
    <col min="4623" max="4623" width="13.109375" style="1324" customWidth="1"/>
    <col min="4624" max="4624" width="10.88671875" style="1324" customWidth="1"/>
    <col min="4625" max="4625" width="12.88671875" style="1324" customWidth="1"/>
    <col min="4626" max="4626" width="7.88671875" style="1324" customWidth="1"/>
    <col min="4627" max="4627" width="15" style="1324" customWidth="1"/>
    <col min="4628" max="4628" width="9.109375" style="1324" customWidth="1"/>
    <col min="4629" max="4629" width="14.88671875" style="1324" customWidth="1"/>
    <col min="4630" max="4865" width="11.44140625" style="1324"/>
    <col min="4866" max="4866" width="88.109375" style="1324" customWidth="1"/>
    <col min="4867" max="4867" width="13.88671875" style="1324" customWidth="1"/>
    <col min="4868" max="4868" width="7.88671875" style="1324" customWidth="1"/>
    <col min="4869" max="4869" width="12.88671875" style="1324" customWidth="1"/>
    <col min="4870" max="4870" width="6.5546875" style="1324" customWidth="1"/>
    <col min="4871" max="4871" width="13.88671875" style="1324" customWidth="1"/>
    <col min="4872" max="4872" width="8.109375" style="1324" customWidth="1"/>
    <col min="4873" max="4873" width="14" style="1324" customWidth="1"/>
    <col min="4874" max="4874" width="7.88671875" style="1324" customWidth="1"/>
    <col min="4875" max="4875" width="12.88671875" style="1324" customWidth="1"/>
    <col min="4876" max="4876" width="7.88671875" style="1324" customWidth="1"/>
    <col min="4877" max="4877" width="12.88671875" style="1324" customWidth="1"/>
    <col min="4878" max="4878" width="7.88671875" style="1324" customWidth="1"/>
    <col min="4879" max="4879" width="13.109375" style="1324" customWidth="1"/>
    <col min="4880" max="4880" width="10.88671875" style="1324" customWidth="1"/>
    <col min="4881" max="4881" width="12.88671875" style="1324" customWidth="1"/>
    <col min="4882" max="4882" width="7.88671875" style="1324" customWidth="1"/>
    <col min="4883" max="4883" width="15" style="1324" customWidth="1"/>
    <col min="4884" max="4884" width="9.109375" style="1324" customWidth="1"/>
    <col min="4885" max="4885" width="14.88671875" style="1324" customWidth="1"/>
    <col min="4886" max="5121" width="11.44140625" style="1324"/>
    <col min="5122" max="5122" width="88.109375" style="1324" customWidth="1"/>
    <col min="5123" max="5123" width="13.88671875" style="1324" customWidth="1"/>
    <col min="5124" max="5124" width="7.88671875" style="1324" customWidth="1"/>
    <col min="5125" max="5125" width="12.88671875" style="1324" customWidth="1"/>
    <col min="5126" max="5126" width="6.5546875" style="1324" customWidth="1"/>
    <col min="5127" max="5127" width="13.88671875" style="1324" customWidth="1"/>
    <col min="5128" max="5128" width="8.109375" style="1324" customWidth="1"/>
    <col min="5129" max="5129" width="14" style="1324" customWidth="1"/>
    <col min="5130" max="5130" width="7.88671875" style="1324" customWidth="1"/>
    <col min="5131" max="5131" width="12.88671875" style="1324" customWidth="1"/>
    <col min="5132" max="5132" width="7.88671875" style="1324" customWidth="1"/>
    <col min="5133" max="5133" width="12.88671875" style="1324" customWidth="1"/>
    <col min="5134" max="5134" width="7.88671875" style="1324" customWidth="1"/>
    <col min="5135" max="5135" width="13.109375" style="1324" customWidth="1"/>
    <col min="5136" max="5136" width="10.88671875" style="1324" customWidth="1"/>
    <col min="5137" max="5137" width="12.88671875" style="1324" customWidth="1"/>
    <col min="5138" max="5138" width="7.88671875" style="1324" customWidth="1"/>
    <col min="5139" max="5139" width="15" style="1324" customWidth="1"/>
    <col min="5140" max="5140" width="9.109375" style="1324" customWidth="1"/>
    <col min="5141" max="5141" width="14.88671875" style="1324" customWidth="1"/>
    <col min="5142" max="5377" width="11.44140625" style="1324"/>
    <col min="5378" max="5378" width="88.109375" style="1324" customWidth="1"/>
    <col min="5379" max="5379" width="13.88671875" style="1324" customWidth="1"/>
    <col min="5380" max="5380" width="7.88671875" style="1324" customWidth="1"/>
    <col min="5381" max="5381" width="12.88671875" style="1324" customWidth="1"/>
    <col min="5382" max="5382" width="6.5546875" style="1324" customWidth="1"/>
    <col min="5383" max="5383" width="13.88671875" style="1324" customWidth="1"/>
    <col min="5384" max="5384" width="8.109375" style="1324" customWidth="1"/>
    <col min="5385" max="5385" width="14" style="1324" customWidth="1"/>
    <col min="5386" max="5386" width="7.88671875" style="1324" customWidth="1"/>
    <col min="5387" max="5387" width="12.88671875" style="1324" customWidth="1"/>
    <col min="5388" max="5388" width="7.88671875" style="1324" customWidth="1"/>
    <col min="5389" max="5389" width="12.88671875" style="1324" customWidth="1"/>
    <col min="5390" max="5390" width="7.88671875" style="1324" customWidth="1"/>
    <col min="5391" max="5391" width="13.109375" style="1324" customWidth="1"/>
    <col min="5392" max="5392" width="10.88671875" style="1324" customWidth="1"/>
    <col min="5393" max="5393" width="12.88671875" style="1324" customWidth="1"/>
    <col min="5394" max="5394" width="7.88671875" style="1324" customWidth="1"/>
    <col min="5395" max="5395" width="15" style="1324" customWidth="1"/>
    <col min="5396" max="5396" width="9.109375" style="1324" customWidth="1"/>
    <col min="5397" max="5397" width="14.88671875" style="1324" customWidth="1"/>
    <col min="5398" max="5633" width="11.44140625" style="1324"/>
    <col min="5634" max="5634" width="88.109375" style="1324" customWidth="1"/>
    <col min="5635" max="5635" width="13.88671875" style="1324" customWidth="1"/>
    <col min="5636" max="5636" width="7.88671875" style="1324" customWidth="1"/>
    <col min="5637" max="5637" width="12.88671875" style="1324" customWidth="1"/>
    <col min="5638" max="5638" width="6.5546875" style="1324" customWidth="1"/>
    <col min="5639" max="5639" width="13.88671875" style="1324" customWidth="1"/>
    <col min="5640" max="5640" width="8.109375" style="1324" customWidth="1"/>
    <col min="5641" max="5641" width="14" style="1324" customWidth="1"/>
    <col min="5642" max="5642" width="7.88671875" style="1324" customWidth="1"/>
    <col min="5643" max="5643" width="12.88671875" style="1324" customWidth="1"/>
    <col min="5644" max="5644" width="7.88671875" style="1324" customWidth="1"/>
    <col min="5645" max="5645" width="12.88671875" style="1324" customWidth="1"/>
    <col min="5646" max="5646" width="7.88671875" style="1324" customWidth="1"/>
    <col min="5647" max="5647" width="13.109375" style="1324" customWidth="1"/>
    <col min="5648" max="5648" width="10.88671875" style="1324" customWidth="1"/>
    <col min="5649" max="5649" width="12.88671875" style="1324" customWidth="1"/>
    <col min="5650" max="5650" width="7.88671875" style="1324" customWidth="1"/>
    <col min="5651" max="5651" width="15" style="1324" customWidth="1"/>
    <col min="5652" max="5652" width="9.109375" style="1324" customWidth="1"/>
    <col min="5653" max="5653" width="14.88671875" style="1324" customWidth="1"/>
    <col min="5654" max="5889" width="11.44140625" style="1324"/>
    <col min="5890" max="5890" width="88.109375" style="1324" customWidth="1"/>
    <col min="5891" max="5891" width="13.88671875" style="1324" customWidth="1"/>
    <col min="5892" max="5892" width="7.88671875" style="1324" customWidth="1"/>
    <col min="5893" max="5893" width="12.88671875" style="1324" customWidth="1"/>
    <col min="5894" max="5894" width="6.5546875" style="1324" customWidth="1"/>
    <col min="5895" max="5895" width="13.88671875" style="1324" customWidth="1"/>
    <col min="5896" max="5896" width="8.109375" style="1324" customWidth="1"/>
    <col min="5897" max="5897" width="14" style="1324" customWidth="1"/>
    <col min="5898" max="5898" width="7.88671875" style="1324" customWidth="1"/>
    <col min="5899" max="5899" width="12.88671875" style="1324" customWidth="1"/>
    <col min="5900" max="5900" width="7.88671875" style="1324" customWidth="1"/>
    <col min="5901" max="5901" width="12.88671875" style="1324" customWidth="1"/>
    <col min="5902" max="5902" width="7.88671875" style="1324" customWidth="1"/>
    <col min="5903" max="5903" width="13.109375" style="1324" customWidth="1"/>
    <col min="5904" max="5904" width="10.88671875" style="1324" customWidth="1"/>
    <col min="5905" max="5905" width="12.88671875" style="1324" customWidth="1"/>
    <col min="5906" max="5906" width="7.88671875" style="1324" customWidth="1"/>
    <col min="5907" max="5907" width="15" style="1324" customWidth="1"/>
    <col min="5908" max="5908" width="9.109375" style="1324" customWidth="1"/>
    <col min="5909" max="5909" width="14.88671875" style="1324" customWidth="1"/>
    <col min="5910" max="6145" width="11.44140625" style="1324"/>
    <col min="6146" max="6146" width="88.109375" style="1324" customWidth="1"/>
    <col min="6147" max="6147" width="13.88671875" style="1324" customWidth="1"/>
    <col min="6148" max="6148" width="7.88671875" style="1324" customWidth="1"/>
    <col min="6149" max="6149" width="12.88671875" style="1324" customWidth="1"/>
    <col min="6150" max="6150" width="6.5546875" style="1324" customWidth="1"/>
    <col min="6151" max="6151" width="13.88671875" style="1324" customWidth="1"/>
    <col min="6152" max="6152" width="8.109375" style="1324" customWidth="1"/>
    <col min="6153" max="6153" width="14" style="1324" customWidth="1"/>
    <col min="6154" max="6154" width="7.88671875" style="1324" customWidth="1"/>
    <col min="6155" max="6155" width="12.88671875" style="1324" customWidth="1"/>
    <col min="6156" max="6156" width="7.88671875" style="1324" customWidth="1"/>
    <col min="6157" max="6157" width="12.88671875" style="1324" customWidth="1"/>
    <col min="6158" max="6158" width="7.88671875" style="1324" customWidth="1"/>
    <col min="6159" max="6159" width="13.109375" style="1324" customWidth="1"/>
    <col min="6160" max="6160" width="10.88671875" style="1324" customWidth="1"/>
    <col min="6161" max="6161" width="12.88671875" style="1324" customWidth="1"/>
    <col min="6162" max="6162" width="7.88671875" style="1324" customWidth="1"/>
    <col min="6163" max="6163" width="15" style="1324" customWidth="1"/>
    <col min="6164" max="6164" width="9.109375" style="1324" customWidth="1"/>
    <col min="6165" max="6165" width="14.88671875" style="1324" customWidth="1"/>
    <col min="6166" max="6401" width="11.44140625" style="1324"/>
    <col min="6402" max="6402" width="88.109375" style="1324" customWidth="1"/>
    <col min="6403" max="6403" width="13.88671875" style="1324" customWidth="1"/>
    <col min="6404" max="6404" width="7.88671875" style="1324" customWidth="1"/>
    <col min="6405" max="6405" width="12.88671875" style="1324" customWidth="1"/>
    <col min="6406" max="6406" width="6.5546875" style="1324" customWidth="1"/>
    <col min="6407" max="6407" width="13.88671875" style="1324" customWidth="1"/>
    <col min="6408" max="6408" width="8.109375" style="1324" customWidth="1"/>
    <col min="6409" max="6409" width="14" style="1324" customWidth="1"/>
    <col min="6410" max="6410" width="7.88671875" style="1324" customWidth="1"/>
    <col min="6411" max="6411" width="12.88671875" style="1324" customWidth="1"/>
    <col min="6412" max="6412" width="7.88671875" style="1324" customWidth="1"/>
    <col min="6413" max="6413" width="12.88671875" style="1324" customWidth="1"/>
    <col min="6414" max="6414" width="7.88671875" style="1324" customWidth="1"/>
    <col min="6415" max="6415" width="13.109375" style="1324" customWidth="1"/>
    <col min="6416" max="6416" width="10.88671875" style="1324" customWidth="1"/>
    <col min="6417" max="6417" width="12.88671875" style="1324" customWidth="1"/>
    <col min="6418" max="6418" width="7.88671875" style="1324" customWidth="1"/>
    <col min="6419" max="6419" width="15" style="1324" customWidth="1"/>
    <col min="6420" max="6420" width="9.109375" style="1324" customWidth="1"/>
    <col min="6421" max="6421" width="14.88671875" style="1324" customWidth="1"/>
    <col min="6422" max="6657" width="11.44140625" style="1324"/>
    <col min="6658" max="6658" width="88.109375" style="1324" customWidth="1"/>
    <col min="6659" max="6659" width="13.88671875" style="1324" customWidth="1"/>
    <col min="6660" max="6660" width="7.88671875" style="1324" customWidth="1"/>
    <col min="6661" max="6661" width="12.88671875" style="1324" customWidth="1"/>
    <col min="6662" max="6662" width="6.5546875" style="1324" customWidth="1"/>
    <col min="6663" max="6663" width="13.88671875" style="1324" customWidth="1"/>
    <col min="6664" max="6664" width="8.109375" style="1324" customWidth="1"/>
    <col min="6665" max="6665" width="14" style="1324" customWidth="1"/>
    <col min="6666" max="6666" width="7.88671875" style="1324" customWidth="1"/>
    <col min="6667" max="6667" width="12.88671875" style="1324" customWidth="1"/>
    <col min="6668" max="6668" width="7.88671875" style="1324" customWidth="1"/>
    <col min="6669" max="6669" width="12.88671875" style="1324" customWidth="1"/>
    <col min="6670" max="6670" width="7.88671875" style="1324" customWidth="1"/>
    <col min="6671" max="6671" width="13.109375" style="1324" customWidth="1"/>
    <col min="6672" max="6672" width="10.88671875" style="1324" customWidth="1"/>
    <col min="6673" max="6673" width="12.88671875" style="1324" customWidth="1"/>
    <col min="6674" max="6674" width="7.88671875" style="1324" customWidth="1"/>
    <col min="6675" max="6675" width="15" style="1324" customWidth="1"/>
    <col min="6676" max="6676" width="9.109375" style="1324" customWidth="1"/>
    <col min="6677" max="6677" width="14.88671875" style="1324" customWidth="1"/>
    <col min="6678" max="6913" width="11.44140625" style="1324"/>
    <col min="6914" max="6914" width="88.109375" style="1324" customWidth="1"/>
    <col min="6915" max="6915" width="13.88671875" style="1324" customWidth="1"/>
    <col min="6916" max="6916" width="7.88671875" style="1324" customWidth="1"/>
    <col min="6917" max="6917" width="12.88671875" style="1324" customWidth="1"/>
    <col min="6918" max="6918" width="6.5546875" style="1324" customWidth="1"/>
    <col min="6919" max="6919" width="13.88671875" style="1324" customWidth="1"/>
    <col min="6920" max="6920" width="8.109375" style="1324" customWidth="1"/>
    <col min="6921" max="6921" width="14" style="1324" customWidth="1"/>
    <col min="6922" max="6922" width="7.88671875" style="1324" customWidth="1"/>
    <col min="6923" max="6923" width="12.88671875" style="1324" customWidth="1"/>
    <col min="6924" max="6924" width="7.88671875" style="1324" customWidth="1"/>
    <col min="6925" max="6925" width="12.88671875" style="1324" customWidth="1"/>
    <col min="6926" max="6926" width="7.88671875" style="1324" customWidth="1"/>
    <col min="6927" max="6927" width="13.109375" style="1324" customWidth="1"/>
    <col min="6928" max="6928" width="10.88671875" style="1324" customWidth="1"/>
    <col min="6929" max="6929" width="12.88671875" style="1324" customWidth="1"/>
    <col min="6930" max="6930" width="7.88671875" style="1324" customWidth="1"/>
    <col min="6931" max="6931" width="15" style="1324" customWidth="1"/>
    <col min="6932" max="6932" width="9.109375" style="1324" customWidth="1"/>
    <col min="6933" max="6933" width="14.88671875" style="1324" customWidth="1"/>
    <col min="6934" max="7169" width="11.44140625" style="1324"/>
    <col min="7170" max="7170" width="88.109375" style="1324" customWidth="1"/>
    <col min="7171" max="7171" width="13.88671875" style="1324" customWidth="1"/>
    <col min="7172" max="7172" width="7.88671875" style="1324" customWidth="1"/>
    <col min="7173" max="7173" width="12.88671875" style="1324" customWidth="1"/>
    <col min="7174" max="7174" width="6.5546875" style="1324" customWidth="1"/>
    <col min="7175" max="7175" width="13.88671875" style="1324" customWidth="1"/>
    <col min="7176" max="7176" width="8.109375" style="1324" customWidth="1"/>
    <col min="7177" max="7177" width="14" style="1324" customWidth="1"/>
    <col min="7178" max="7178" width="7.88671875" style="1324" customWidth="1"/>
    <col min="7179" max="7179" width="12.88671875" style="1324" customWidth="1"/>
    <col min="7180" max="7180" width="7.88671875" style="1324" customWidth="1"/>
    <col min="7181" max="7181" width="12.88671875" style="1324" customWidth="1"/>
    <col min="7182" max="7182" width="7.88671875" style="1324" customWidth="1"/>
    <col min="7183" max="7183" width="13.109375" style="1324" customWidth="1"/>
    <col min="7184" max="7184" width="10.88671875" style="1324" customWidth="1"/>
    <col min="7185" max="7185" width="12.88671875" style="1324" customWidth="1"/>
    <col min="7186" max="7186" width="7.88671875" style="1324" customWidth="1"/>
    <col min="7187" max="7187" width="15" style="1324" customWidth="1"/>
    <col min="7188" max="7188" width="9.109375" style="1324" customWidth="1"/>
    <col min="7189" max="7189" width="14.88671875" style="1324" customWidth="1"/>
    <col min="7190" max="7425" width="11.44140625" style="1324"/>
    <col min="7426" max="7426" width="88.109375" style="1324" customWidth="1"/>
    <col min="7427" max="7427" width="13.88671875" style="1324" customWidth="1"/>
    <col min="7428" max="7428" width="7.88671875" style="1324" customWidth="1"/>
    <col min="7429" max="7429" width="12.88671875" style="1324" customWidth="1"/>
    <col min="7430" max="7430" width="6.5546875" style="1324" customWidth="1"/>
    <col min="7431" max="7431" width="13.88671875" style="1324" customWidth="1"/>
    <col min="7432" max="7432" width="8.109375" style="1324" customWidth="1"/>
    <col min="7433" max="7433" width="14" style="1324" customWidth="1"/>
    <col min="7434" max="7434" width="7.88671875" style="1324" customWidth="1"/>
    <col min="7435" max="7435" width="12.88671875" style="1324" customWidth="1"/>
    <col min="7436" max="7436" width="7.88671875" style="1324" customWidth="1"/>
    <col min="7437" max="7437" width="12.88671875" style="1324" customWidth="1"/>
    <col min="7438" max="7438" width="7.88671875" style="1324" customWidth="1"/>
    <col min="7439" max="7439" width="13.109375" style="1324" customWidth="1"/>
    <col min="7440" max="7440" width="10.88671875" style="1324" customWidth="1"/>
    <col min="7441" max="7441" width="12.88671875" style="1324" customWidth="1"/>
    <col min="7442" max="7442" width="7.88671875" style="1324" customWidth="1"/>
    <col min="7443" max="7443" width="15" style="1324" customWidth="1"/>
    <col min="7444" max="7444" width="9.109375" style="1324" customWidth="1"/>
    <col min="7445" max="7445" width="14.88671875" style="1324" customWidth="1"/>
    <col min="7446" max="7681" width="11.44140625" style="1324"/>
    <col min="7682" max="7682" width="88.109375" style="1324" customWidth="1"/>
    <col min="7683" max="7683" width="13.88671875" style="1324" customWidth="1"/>
    <col min="7684" max="7684" width="7.88671875" style="1324" customWidth="1"/>
    <col min="7685" max="7685" width="12.88671875" style="1324" customWidth="1"/>
    <col min="7686" max="7686" width="6.5546875" style="1324" customWidth="1"/>
    <col min="7687" max="7687" width="13.88671875" style="1324" customWidth="1"/>
    <col min="7688" max="7688" width="8.109375" style="1324" customWidth="1"/>
    <col min="7689" max="7689" width="14" style="1324" customWidth="1"/>
    <col min="7690" max="7690" width="7.88671875" style="1324" customWidth="1"/>
    <col min="7691" max="7691" width="12.88671875" style="1324" customWidth="1"/>
    <col min="7692" max="7692" width="7.88671875" style="1324" customWidth="1"/>
    <col min="7693" max="7693" width="12.88671875" style="1324" customWidth="1"/>
    <col min="7694" max="7694" width="7.88671875" style="1324" customWidth="1"/>
    <col min="7695" max="7695" width="13.109375" style="1324" customWidth="1"/>
    <col min="7696" max="7696" width="10.88671875" style="1324" customWidth="1"/>
    <col min="7697" max="7697" width="12.88671875" style="1324" customWidth="1"/>
    <col min="7698" max="7698" width="7.88671875" style="1324" customWidth="1"/>
    <col min="7699" max="7699" width="15" style="1324" customWidth="1"/>
    <col min="7700" max="7700" width="9.109375" style="1324" customWidth="1"/>
    <col min="7701" max="7701" width="14.88671875" style="1324" customWidth="1"/>
    <col min="7702" max="7937" width="11.44140625" style="1324"/>
    <col min="7938" max="7938" width="88.109375" style="1324" customWidth="1"/>
    <col min="7939" max="7939" width="13.88671875" style="1324" customWidth="1"/>
    <col min="7940" max="7940" width="7.88671875" style="1324" customWidth="1"/>
    <col min="7941" max="7941" width="12.88671875" style="1324" customWidth="1"/>
    <col min="7942" max="7942" width="6.5546875" style="1324" customWidth="1"/>
    <col min="7943" max="7943" width="13.88671875" style="1324" customWidth="1"/>
    <col min="7944" max="7944" width="8.109375" style="1324" customWidth="1"/>
    <col min="7945" max="7945" width="14" style="1324" customWidth="1"/>
    <col min="7946" max="7946" width="7.88671875" style="1324" customWidth="1"/>
    <col min="7947" max="7947" width="12.88671875" style="1324" customWidth="1"/>
    <col min="7948" max="7948" width="7.88671875" style="1324" customWidth="1"/>
    <col min="7949" max="7949" width="12.88671875" style="1324" customWidth="1"/>
    <col min="7950" max="7950" width="7.88671875" style="1324" customWidth="1"/>
    <col min="7951" max="7951" width="13.109375" style="1324" customWidth="1"/>
    <col min="7952" max="7952" width="10.88671875" style="1324" customWidth="1"/>
    <col min="7953" max="7953" width="12.88671875" style="1324" customWidth="1"/>
    <col min="7954" max="7954" width="7.88671875" style="1324" customWidth="1"/>
    <col min="7955" max="7955" width="15" style="1324" customWidth="1"/>
    <col min="7956" max="7956" width="9.109375" style="1324" customWidth="1"/>
    <col min="7957" max="7957" width="14.88671875" style="1324" customWidth="1"/>
    <col min="7958" max="8193" width="11.44140625" style="1324"/>
    <col min="8194" max="8194" width="88.109375" style="1324" customWidth="1"/>
    <col min="8195" max="8195" width="13.88671875" style="1324" customWidth="1"/>
    <col min="8196" max="8196" width="7.88671875" style="1324" customWidth="1"/>
    <col min="8197" max="8197" width="12.88671875" style="1324" customWidth="1"/>
    <col min="8198" max="8198" width="6.5546875" style="1324" customWidth="1"/>
    <col min="8199" max="8199" width="13.88671875" style="1324" customWidth="1"/>
    <col min="8200" max="8200" width="8.109375" style="1324" customWidth="1"/>
    <col min="8201" max="8201" width="14" style="1324" customWidth="1"/>
    <col min="8202" max="8202" width="7.88671875" style="1324" customWidth="1"/>
    <col min="8203" max="8203" width="12.88671875" style="1324" customWidth="1"/>
    <col min="8204" max="8204" width="7.88671875" style="1324" customWidth="1"/>
    <col min="8205" max="8205" width="12.88671875" style="1324" customWidth="1"/>
    <col min="8206" max="8206" width="7.88671875" style="1324" customWidth="1"/>
    <col min="8207" max="8207" width="13.109375" style="1324" customWidth="1"/>
    <col min="8208" max="8208" width="10.88671875" style="1324" customWidth="1"/>
    <col min="8209" max="8209" width="12.88671875" style="1324" customWidth="1"/>
    <col min="8210" max="8210" width="7.88671875" style="1324" customWidth="1"/>
    <col min="8211" max="8211" width="15" style="1324" customWidth="1"/>
    <col min="8212" max="8212" width="9.109375" style="1324" customWidth="1"/>
    <col min="8213" max="8213" width="14.88671875" style="1324" customWidth="1"/>
    <col min="8214" max="8449" width="11.44140625" style="1324"/>
    <col min="8450" max="8450" width="88.109375" style="1324" customWidth="1"/>
    <col min="8451" max="8451" width="13.88671875" style="1324" customWidth="1"/>
    <col min="8452" max="8452" width="7.88671875" style="1324" customWidth="1"/>
    <col min="8453" max="8453" width="12.88671875" style="1324" customWidth="1"/>
    <col min="8454" max="8454" width="6.5546875" style="1324" customWidth="1"/>
    <col min="8455" max="8455" width="13.88671875" style="1324" customWidth="1"/>
    <col min="8456" max="8456" width="8.109375" style="1324" customWidth="1"/>
    <col min="8457" max="8457" width="14" style="1324" customWidth="1"/>
    <col min="8458" max="8458" width="7.88671875" style="1324" customWidth="1"/>
    <col min="8459" max="8459" width="12.88671875" style="1324" customWidth="1"/>
    <col min="8460" max="8460" width="7.88671875" style="1324" customWidth="1"/>
    <col min="8461" max="8461" width="12.88671875" style="1324" customWidth="1"/>
    <col min="8462" max="8462" width="7.88671875" style="1324" customWidth="1"/>
    <col min="8463" max="8463" width="13.109375" style="1324" customWidth="1"/>
    <col min="8464" max="8464" width="10.88671875" style="1324" customWidth="1"/>
    <col min="8465" max="8465" width="12.88671875" style="1324" customWidth="1"/>
    <col min="8466" max="8466" width="7.88671875" style="1324" customWidth="1"/>
    <col min="8467" max="8467" width="15" style="1324" customWidth="1"/>
    <col min="8468" max="8468" width="9.109375" style="1324" customWidth="1"/>
    <col min="8469" max="8469" width="14.88671875" style="1324" customWidth="1"/>
    <col min="8470" max="8705" width="11.44140625" style="1324"/>
    <col min="8706" max="8706" width="88.109375" style="1324" customWidth="1"/>
    <col min="8707" max="8707" width="13.88671875" style="1324" customWidth="1"/>
    <col min="8708" max="8708" width="7.88671875" style="1324" customWidth="1"/>
    <col min="8709" max="8709" width="12.88671875" style="1324" customWidth="1"/>
    <col min="8710" max="8710" width="6.5546875" style="1324" customWidth="1"/>
    <col min="8711" max="8711" width="13.88671875" style="1324" customWidth="1"/>
    <col min="8712" max="8712" width="8.109375" style="1324" customWidth="1"/>
    <col min="8713" max="8713" width="14" style="1324" customWidth="1"/>
    <col min="8714" max="8714" width="7.88671875" style="1324" customWidth="1"/>
    <col min="8715" max="8715" width="12.88671875" style="1324" customWidth="1"/>
    <col min="8716" max="8716" width="7.88671875" style="1324" customWidth="1"/>
    <col min="8717" max="8717" width="12.88671875" style="1324" customWidth="1"/>
    <col min="8718" max="8718" width="7.88671875" style="1324" customWidth="1"/>
    <col min="8719" max="8719" width="13.109375" style="1324" customWidth="1"/>
    <col min="8720" max="8720" width="10.88671875" style="1324" customWidth="1"/>
    <col min="8721" max="8721" width="12.88671875" style="1324" customWidth="1"/>
    <col min="8722" max="8722" width="7.88671875" style="1324" customWidth="1"/>
    <col min="8723" max="8723" width="15" style="1324" customWidth="1"/>
    <col min="8724" max="8724" width="9.109375" style="1324" customWidth="1"/>
    <col min="8725" max="8725" width="14.88671875" style="1324" customWidth="1"/>
    <col min="8726" max="8961" width="11.44140625" style="1324"/>
    <col min="8962" max="8962" width="88.109375" style="1324" customWidth="1"/>
    <col min="8963" max="8963" width="13.88671875" style="1324" customWidth="1"/>
    <col min="8964" max="8964" width="7.88671875" style="1324" customWidth="1"/>
    <col min="8965" max="8965" width="12.88671875" style="1324" customWidth="1"/>
    <col min="8966" max="8966" width="6.5546875" style="1324" customWidth="1"/>
    <col min="8967" max="8967" width="13.88671875" style="1324" customWidth="1"/>
    <col min="8968" max="8968" width="8.109375" style="1324" customWidth="1"/>
    <col min="8969" max="8969" width="14" style="1324" customWidth="1"/>
    <col min="8970" max="8970" width="7.88671875" style="1324" customWidth="1"/>
    <col min="8971" max="8971" width="12.88671875" style="1324" customWidth="1"/>
    <col min="8972" max="8972" width="7.88671875" style="1324" customWidth="1"/>
    <col min="8973" max="8973" width="12.88671875" style="1324" customWidth="1"/>
    <col min="8974" max="8974" width="7.88671875" style="1324" customWidth="1"/>
    <col min="8975" max="8975" width="13.109375" style="1324" customWidth="1"/>
    <col min="8976" max="8976" width="10.88671875" style="1324" customWidth="1"/>
    <col min="8977" max="8977" width="12.88671875" style="1324" customWidth="1"/>
    <col min="8978" max="8978" width="7.88671875" style="1324" customWidth="1"/>
    <col min="8979" max="8979" width="15" style="1324" customWidth="1"/>
    <col min="8980" max="8980" width="9.109375" style="1324" customWidth="1"/>
    <col min="8981" max="8981" width="14.88671875" style="1324" customWidth="1"/>
    <col min="8982" max="9217" width="11.44140625" style="1324"/>
    <col min="9218" max="9218" width="88.109375" style="1324" customWidth="1"/>
    <col min="9219" max="9219" width="13.88671875" style="1324" customWidth="1"/>
    <col min="9220" max="9220" width="7.88671875" style="1324" customWidth="1"/>
    <col min="9221" max="9221" width="12.88671875" style="1324" customWidth="1"/>
    <col min="9222" max="9222" width="6.5546875" style="1324" customWidth="1"/>
    <col min="9223" max="9223" width="13.88671875" style="1324" customWidth="1"/>
    <col min="9224" max="9224" width="8.109375" style="1324" customWidth="1"/>
    <col min="9225" max="9225" width="14" style="1324" customWidth="1"/>
    <col min="9226" max="9226" width="7.88671875" style="1324" customWidth="1"/>
    <col min="9227" max="9227" width="12.88671875" style="1324" customWidth="1"/>
    <col min="9228" max="9228" width="7.88671875" style="1324" customWidth="1"/>
    <col min="9229" max="9229" width="12.88671875" style="1324" customWidth="1"/>
    <col min="9230" max="9230" width="7.88671875" style="1324" customWidth="1"/>
    <col min="9231" max="9231" width="13.109375" style="1324" customWidth="1"/>
    <col min="9232" max="9232" width="10.88671875" style="1324" customWidth="1"/>
    <col min="9233" max="9233" width="12.88671875" style="1324" customWidth="1"/>
    <col min="9234" max="9234" width="7.88671875" style="1324" customWidth="1"/>
    <col min="9235" max="9235" width="15" style="1324" customWidth="1"/>
    <col min="9236" max="9236" width="9.109375" style="1324" customWidth="1"/>
    <col min="9237" max="9237" width="14.88671875" style="1324" customWidth="1"/>
    <col min="9238" max="9473" width="11.44140625" style="1324"/>
    <col min="9474" max="9474" width="88.109375" style="1324" customWidth="1"/>
    <col min="9475" max="9475" width="13.88671875" style="1324" customWidth="1"/>
    <col min="9476" max="9476" width="7.88671875" style="1324" customWidth="1"/>
    <col min="9477" max="9477" width="12.88671875" style="1324" customWidth="1"/>
    <col min="9478" max="9478" width="6.5546875" style="1324" customWidth="1"/>
    <col min="9479" max="9479" width="13.88671875" style="1324" customWidth="1"/>
    <col min="9480" max="9480" width="8.109375" style="1324" customWidth="1"/>
    <col min="9481" max="9481" width="14" style="1324" customWidth="1"/>
    <col min="9482" max="9482" width="7.88671875" style="1324" customWidth="1"/>
    <col min="9483" max="9483" width="12.88671875" style="1324" customWidth="1"/>
    <col min="9484" max="9484" width="7.88671875" style="1324" customWidth="1"/>
    <col min="9485" max="9485" width="12.88671875" style="1324" customWidth="1"/>
    <col min="9486" max="9486" width="7.88671875" style="1324" customWidth="1"/>
    <col min="9487" max="9487" width="13.109375" style="1324" customWidth="1"/>
    <col min="9488" max="9488" width="10.88671875" style="1324" customWidth="1"/>
    <col min="9489" max="9489" width="12.88671875" style="1324" customWidth="1"/>
    <col min="9490" max="9490" width="7.88671875" style="1324" customWidth="1"/>
    <col min="9491" max="9491" width="15" style="1324" customWidth="1"/>
    <col min="9492" max="9492" width="9.109375" style="1324" customWidth="1"/>
    <col min="9493" max="9493" width="14.88671875" style="1324" customWidth="1"/>
    <col min="9494" max="9729" width="11.44140625" style="1324"/>
    <col min="9730" max="9730" width="88.109375" style="1324" customWidth="1"/>
    <col min="9731" max="9731" width="13.88671875" style="1324" customWidth="1"/>
    <col min="9732" max="9732" width="7.88671875" style="1324" customWidth="1"/>
    <col min="9733" max="9733" width="12.88671875" style="1324" customWidth="1"/>
    <col min="9734" max="9734" width="6.5546875" style="1324" customWidth="1"/>
    <col min="9735" max="9735" width="13.88671875" style="1324" customWidth="1"/>
    <col min="9736" max="9736" width="8.109375" style="1324" customWidth="1"/>
    <col min="9737" max="9737" width="14" style="1324" customWidth="1"/>
    <col min="9738" max="9738" width="7.88671875" style="1324" customWidth="1"/>
    <col min="9739" max="9739" width="12.88671875" style="1324" customWidth="1"/>
    <col min="9740" max="9740" width="7.88671875" style="1324" customWidth="1"/>
    <col min="9741" max="9741" width="12.88671875" style="1324" customWidth="1"/>
    <col min="9742" max="9742" width="7.88671875" style="1324" customWidth="1"/>
    <col min="9743" max="9743" width="13.109375" style="1324" customWidth="1"/>
    <col min="9744" max="9744" width="10.88671875" style="1324" customWidth="1"/>
    <col min="9745" max="9745" width="12.88671875" style="1324" customWidth="1"/>
    <col min="9746" max="9746" width="7.88671875" style="1324" customWidth="1"/>
    <col min="9747" max="9747" width="15" style="1324" customWidth="1"/>
    <col min="9748" max="9748" width="9.109375" style="1324" customWidth="1"/>
    <col min="9749" max="9749" width="14.88671875" style="1324" customWidth="1"/>
    <col min="9750" max="9985" width="11.44140625" style="1324"/>
    <col min="9986" max="9986" width="88.109375" style="1324" customWidth="1"/>
    <col min="9987" max="9987" width="13.88671875" style="1324" customWidth="1"/>
    <col min="9988" max="9988" width="7.88671875" style="1324" customWidth="1"/>
    <col min="9989" max="9989" width="12.88671875" style="1324" customWidth="1"/>
    <col min="9990" max="9990" width="6.5546875" style="1324" customWidth="1"/>
    <col min="9991" max="9991" width="13.88671875" style="1324" customWidth="1"/>
    <col min="9992" max="9992" width="8.109375" style="1324" customWidth="1"/>
    <col min="9993" max="9993" width="14" style="1324" customWidth="1"/>
    <col min="9994" max="9994" width="7.88671875" style="1324" customWidth="1"/>
    <col min="9995" max="9995" width="12.88671875" style="1324" customWidth="1"/>
    <col min="9996" max="9996" width="7.88671875" style="1324" customWidth="1"/>
    <col min="9997" max="9997" width="12.88671875" style="1324" customWidth="1"/>
    <col min="9998" max="9998" width="7.88671875" style="1324" customWidth="1"/>
    <col min="9999" max="9999" width="13.109375" style="1324" customWidth="1"/>
    <col min="10000" max="10000" width="10.88671875" style="1324" customWidth="1"/>
    <col min="10001" max="10001" width="12.88671875" style="1324" customWidth="1"/>
    <col min="10002" max="10002" width="7.88671875" style="1324" customWidth="1"/>
    <col min="10003" max="10003" width="15" style="1324" customWidth="1"/>
    <col min="10004" max="10004" width="9.109375" style="1324" customWidth="1"/>
    <col min="10005" max="10005" width="14.88671875" style="1324" customWidth="1"/>
    <col min="10006" max="10241" width="11.44140625" style="1324"/>
    <col min="10242" max="10242" width="88.109375" style="1324" customWidth="1"/>
    <col min="10243" max="10243" width="13.88671875" style="1324" customWidth="1"/>
    <col min="10244" max="10244" width="7.88671875" style="1324" customWidth="1"/>
    <col min="10245" max="10245" width="12.88671875" style="1324" customWidth="1"/>
    <col min="10246" max="10246" width="6.5546875" style="1324" customWidth="1"/>
    <col min="10247" max="10247" width="13.88671875" style="1324" customWidth="1"/>
    <col min="10248" max="10248" width="8.109375" style="1324" customWidth="1"/>
    <col min="10249" max="10249" width="14" style="1324" customWidth="1"/>
    <col min="10250" max="10250" width="7.88671875" style="1324" customWidth="1"/>
    <col min="10251" max="10251" width="12.88671875" style="1324" customWidth="1"/>
    <col min="10252" max="10252" width="7.88671875" style="1324" customWidth="1"/>
    <col min="10253" max="10253" width="12.88671875" style="1324" customWidth="1"/>
    <col min="10254" max="10254" width="7.88671875" style="1324" customWidth="1"/>
    <col min="10255" max="10255" width="13.109375" style="1324" customWidth="1"/>
    <col min="10256" max="10256" width="10.88671875" style="1324" customWidth="1"/>
    <col min="10257" max="10257" width="12.88671875" style="1324" customWidth="1"/>
    <col min="10258" max="10258" width="7.88671875" style="1324" customWidth="1"/>
    <col min="10259" max="10259" width="15" style="1324" customWidth="1"/>
    <col min="10260" max="10260" width="9.109375" style="1324" customWidth="1"/>
    <col min="10261" max="10261" width="14.88671875" style="1324" customWidth="1"/>
    <col min="10262" max="10497" width="11.44140625" style="1324"/>
    <col min="10498" max="10498" width="88.109375" style="1324" customWidth="1"/>
    <col min="10499" max="10499" width="13.88671875" style="1324" customWidth="1"/>
    <col min="10500" max="10500" width="7.88671875" style="1324" customWidth="1"/>
    <col min="10501" max="10501" width="12.88671875" style="1324" customWidth="1"/>
    <col min="10502" max="10502" width="6.5546875" style="1324" customWidth="1"/>
    <col min="10503" max="10503" width="13.88671875" style="1324" customWidth="1"/>
    <col min="10504" max="10504" width="8.109375" style="1324" customWidth="1"/>
    <col min="10505" max="10505" width="14" style="1324" customWidth="1"/>
    <col min="10506" max="10506" width="7.88671875" style="1324" customWidth="1"/>
    <col min="10507" max="10507" width="12.88671875" style="1324" customWidth="1"/>
    <col min="10508" max="10508" width="7.88671875" style="1324" customWidth="1"/>
    <col min="10509" max="10509" width="12.88671875" style="1324" customWidth="1"/>
    <col min="10510" max="10510" width="7.88671875" style="1324" customWidth="1"/>
    <col min="10511" max="10511" width="13.109375" style="1324" customWidth="1"/>
    <col min="10512" max="10512" width="10.88671875" style="1324" customWidth="1"/>
    <col min="10513" max="10513" width="12.88671875" style="1324" customWidth="1"/>
    <col min="10514" max="10514" width="7.88671875" style="1324" customWidth="1"/>
    <col min="10515" max="10515" width="15" style="1324" customWidth="1"/>
    <col min="10516" max="10516" width="9.109375" style="1324" customWidth="1"/>
    <col min="10517" max="10517" width="14.88671875" style="1324" customWidth="1"/>
    <col min="10518" max="10753" width="11.44140625" style="1324"/>
    <col min="10754" max="10754" width="88.109375" style="1324" customWidth="1"/>
    <col min="10755" max="10755" width="13.88671875" style="1324" customWidth="1"/>
    <col min="10756" max="10756" width="7.88671875" style="1324" customWidth="1"/>
    <col min="10757" max="10757" width="12.88671875" style="1324" customWidth="1"/>
    <col min="10758" max="10758" width="6.5546875" style="1324" customWidth="1"/>
    <col min="10759" max="10759" width="13.88671875" style="1324" customWidth="1"/>
    <col min="10760" max="10760" width="8.109375" style="1324" customWidth="1"/>
    <col min="10761" max="10761" width="14" style="1324" customWidth="1"/>
    <col min="10762" max="10762" width="7.88671875" style="1324" customWidth="1"/>
    <col min="10763" max="10763" width="12.88671875" style="1324" customWidth="1"/>
    <col min="10764" max="10764" width="7.88671875" style="1324" customWidth="1"/>
    <col min="10765" max="10765" width="12.88671875" style="1324" customWidth="1"/>
    <col min="10766" max="10766" width="7.88671875" style="1324" customWidth="1"/>
    <col min="10767" max="10767" width="13.109375" style="1324" customWidth="1"/>
    <col min="10768" max="10768" width="10.88671875" style="1324" customWidth="1"/>
    <col min="10769" max="10769" width="12.88671875" style="1324" customWidth="1"/>
    <col min="10770" max="10770" width="7.88671875" style="1324" customWidth="1"/>
    <col min="10771" max="10771" width="15" style="1324" customWidth="1"/>
    <col min="10772" max="10772" width="9.109375" style="1324" customWidth="1"/>
    <col min="10773" max="10773" width="14.88671875" style="1324" customWidth="1"/>
    <col min="10774" max="11009" width="11.44140625" style="1324"/>
    <col min="11010" max="11010" width="88.109375" style="1324" customWidth="1"/>
    <col min="11011" max="11011" width="13.88671875" style="1324" customWidth="1"/>
    <col min="11012" max="11012" width="7.88671875" style="1324" customWidth="1"/>
    <col min="11013" max="11013" width="12.88671875" style="1324" customWidth="1"/>
    <col min="11014" max="11014" width="6.5546875" style="1324" customWidth="1"/>
    <col min="11015" max="11015" width="13.88671875" style="1324" customWidth="1"/>
    <col min="11016" max="11016" width="8.109375" style="1324" customWidth="1"/>
    <col min="11017" max="11017" width="14" style="1324" customWidth="1"/>
    <col min="11018" max="11018" width="7.88671875" style="1324" customWidth="1"/>
    <col min="11019" max="11019" width="12.88671875" style="1324" customWidth="1"/>
    <col min="11020" max="11020" width="7.88671875" style="1324" customWidth="1"/>
    <col min="11021" max="11021" width="12.88671875" style="1324" customWidth="1"/>
    <col min="11022" max="11022" width="7.88671875" style="1324" customWidth="1"/>
    <col min="11023" max="11023" width="13.109375" style="1324" customWidth="1"/>
    <col min="11024" max="11024" width="10.88671875" style="1324" customWidth="1"/>
    <col min="11025" max="11025" width="12.88671875" style="1324" customWidth="1"/>
    <col min="11026" max="11026" width="7.88671875" style="1324" customWidth="1"/>
    <col min="11027" max="11027" width="15" style="1324" customWidth="1"/>
    <col min="11028" max="11028" width="9.109375" style="1324" customWidth="1"/>
    <col min="11029" max="11029" width="14.88671875" style="1324" customWidth="1"/>
    <col min="11030" max="11265" width="11.44140625" style="1324"/>
    <col min="11266" max="11266" width="88.109375" style="1324" customWidth="1"/>
    <col min="11267" max="11267" width="13.88671875" style="1324" customWidth="1"/>
    <col min="11268" max="11268" width="7.88671875" style="1324" customWidth="1"/>
    <col min="11269" max="11269" width="12.88671875" style="1324" customWidth="1"/>
    <col min="11270" max="11270" width="6.5546875" style="1324" customWidth="1"/>
    <col min="11271" max="11271" width="13.88671875" style="1324" customWidth="1"/>
    <col min="11272" max="11272" width="8.109375" style="1324" customWidth="1"/>
    <col min="11273" max="11273" width="14" style="1324" customWidth="1"/>
    <col min="11274" max="11274" width="7.88671875" style="1324" customWidth="1"/>
    <col min="11275" max="11275" width="12.88671875" style="1324" customWidth="1"/>
    <col min="11276" max="11276" width="7.88671875" style="1324" customWidth="1"/>
    <col min="11277" max="11277" width="12.88671875" style="1324" customWidth="1"/>
    <col min="11278" max="11278" width="7.88671875" style="1324" customWidth="1"/>
    <col min="11279" max="11279" width="13.109375" style="1324" customWidth="1"/>
    <col min="11280" max="11280" width="10.88671875" style="1324" customWidth="1"/>
    <col min="11281" max="11281" width="12.88671875" style="1324" customWidth="1"/>
    <col min="11282" max="11282" width="7.88671875" style="1324" customWidth="1"/>
    <col min="11283" max="11283" width="15" style="1324" customWidth="1"/>
    <col min="11284" max="11284" width="9.109375" style="1324" customWidth="1"/>
    <col min="11285" max="11285" width="14.88671875" style="1324" customWidth="1"/>
    <col min="11286" max="11521" width="11.44140625" style="1324"/>
    <col min="11522" max="11522" width="88.109375" style="1324" customWidth="1"/>
    <col min="11523" max="11523" width="13.88671875" style="1324" customWidth="1"/>
    <col min="11524" max="11524" width="7.88671875" style="1324" customWidth="1"/>
    <col min="11525" max="11525" width="12.88671875" style="1324" customWidth="1"/>
    <col min="11526" max="11526" width="6.5546875" style="1324" customWidth="1"/>
    <col min="11527" max="11527" width="13.88671875" style="1324" customWidth="1"/>
    <col min="11528" max="11528" width="8.109375" style="1324" customWidth="1"/>
    <col min="11529" max="11529" width="14" style="1324" customWidth="1"/>
    <col min="11530" max="11530" width="7.88671875" style="1324" customWidth="1"/>
    <col min="11531" max="11531" width="12.88671875" style="1324" customWidth="1"/>
    <col min="11532" max="11532" width="7.88671875" style="1324" customWidth="1"/>
    <col min="11533" max="11533" width="12.88671875" style="1324" customWidth="1"/>
    <col min="11534" max="11534" width="7.88671875" style="1324" customWidth="1"/>
    <col min="11535" max="11535" width="13.109375" style="1324" customWidth="1"/>
    <col min="11536" max="11536" width="10.88671875" style="1324" customWidth="1"/>
    <col min="11537" max="11537" width="12.88671875" style="1324" customWidth="1"/>
    <col min="11538" max="11538" width="7.88671875" style="1324" customWidth="1"/>
    <col min="11539" max="11539" width="15" style="1324" customWidth="1"/>
    <col min="11540" max="11540" width="9.109375" style="1324" customWidth="1"/>
    <col min="11541" max="11541" width="14.88671875" style="1324" customWidth="1"/>
    <col min="11542" max="11777" width="11.44140625" style="1324"/>
    <col min="11778" max="11778" width="88.109375" style="1324" customWidth="1"/>
    <col min="11779" max="11779" width="13.88671875" style="1324" customWidth="1"/>
    <col min="11780" max="11780" width="7.88671875" style="1324" customWidth="1"/>
    <col min="11781" max="11781" width="12.88671875" style="1324" customWidth="1"/>
    <col min="11782" max="11782" width="6.5546875" style="1324" customWidth="1"/>
    <col min="11783" max="11783" width="13.88671875" style="1324" customWidth="1"/>
    <col min="11784" max="11784" width="8.109375" style="1324" customWidth="1"/>
    <col min="11785" max="11785" width="14" style="1324" customWidth="1"/>
    <col min="11786" max="11786" width="7.88671875" style="1324" customWidth="1"/>
    <col min="11787" max="11787" width="12.88671875" style="1324" customWidth="1"/>
    <col min="11788" max="11788" width="7.88671875" style="1324" customWidth="1"/>
    <col min="11789" max="11789" width="12.88671875" style="1324" customWidth="1"/>
    <col min="11790" max="11790" width="7.88671875" style="1324" customWidth="1"/>
    <col min="11791" max="11791" width="13.109375" style="1324" customWidth="1"/>
    <col min="11792" max="11792" width="10.88671875" style="1324" customWidth="1"/>
    <col min="11793" max="11793" width="12.88671875" style="1324" customWidth="1"/>
    <col min="11794" max="11794" width="7.88671875" style="1324" customWidth="1"/>
    <col min="11795" max="11795" width="15" style="1324" customWidth="1"/>
    <col min="11796" max="11796" width="9.109375" style="1324" customWidth="1"/>
    <col min="11797" max="11797" width="14.88671875" style="1324" customWidth="1"/>
    <col min="11798" max="12033" width="11.44140625" style="1324"/>
    <col min="12034" max="12034" width="88.109375" style="1324" customWidth="1"/>
    <col min="12035" max="12035" width="13.88671875" style="1324" customWidth="1"/>
    <col min="12036" max="12036" width="7.88671875" style="1324" customWidth="1"/>
    <col min="12037" max="12037" width="12.88671875" style="1324" customWidth="1"/>
    <col min="12038" max="12038" width="6.5546875" style="1324" customWidth="1"/>
    <col min="12039" max="12039" width="13.88671875" style="1324" customWidth="1"/>
    <col min="12040" max="12040" width="8.109375" style="1324" customWidth="1"/>
    <col min="12041" max="12041" width="14" style="1324" customWidth="1"/>
    <col min="12042" max="12042" width="7.88671875" style="1324" customWidth="1"/>
    <col min="12043" max="12043" width="12.88671875" style="1324" customWidth="1"/>
    <col min="12044" max="12044" width="7.88671875" style="1324" customWidth="1"/>
    <col min="12045" max="12045" width="12.88671875" style="1324" customWidth="1"/>
    <col min="12046" max="12046" width="7.88671875" style="1324" customWidth="1"/>
    <col min="12047" max="12047" width="13.109375" style="1324" customWidth="1"/>
    <col min="12048" max="12048" width="10.88671875" style="1324" customWidth="1"/>
    <col min="12049" max="12049" width="12.88671875" style="1324" customWidth="1"/>
    <col min="12050" max="12050" width="7.88671875" style="1324" customWidth="1"/>
    <col min="12051" max="12051" width="15" style="1324" customWidth="1"/>
    <col min="12052" max="12052" width="9.109375" style="1324" customWidth="1"/>
    <col min="12053" max="12053" width="14.88671875" style="1324" customWidth="1"/>
    <col min="12054" max="12289" width="11.44140625" style="1324"/>
    <col min="12290" max="12290" width="88.109375" style="1324" customWidth="1"/>
    <col min="12291" max="12291" width="13.88671875" style="1324" customWidth="1"/>
    <col min="12292" max="12292" width="7.88671875" style="1324" customWidth="1"/>
    <col min="12293" max="12293" width="12.88671875" style="1324" customWidth="1"/>
    <col min="12294" max="12294" width="6.5546875" style="1324" customWidth="1"/>
    <col min="12295" max="12295" width="13.88671875" style="1324" customWidth="1"/>
    <col min="12296" max="12296" width="8.109375" style="1324" customWidth="1"/>
    <col min="12297" max="12297" width="14" style="1324" customWidth="1"/>
    <col min="12298" max="12298" width="7.88671875" style="1324" customWidth="1"/>
    <col min="12299" max="12299" width="12.88671875" style="1324" customWidth="1"/>
    <col min="12300" max="12300" width="7.88671875" style="1324" customWidth="1"/>
    <col min="12301" max="12301" width="12.88671875" style="1324" customWidth="1"/>
    <col min="12302" max="12302" width="7.88671875" style="1324" customWidth="1"/>
    <col min="12303" max="12303" width="13.109375" style="1324" customWidth="1"/>
    <col min="12304" max="12304" width="10.88671875" style="1324" customWidth="1"/>
    <col min="12305" max="12305" width="12.88671875" style="1324" customWidth="1"/>
    <col min="12306" max="12306" width="7.88671875" style="1324" customWidth="1"/>
    <col min="12307" max="12307" width="15" style="1324" customWidth="1"/>
    <col min="12308" max="12308" width="9.109375" style="1324" customWidth="1"/>
    <col min="12309" max="12309" width="14.88671875" style="1324" customWidth="1"/>
    <col min="12310" max="12545" width="11.44140625" style="1324"/>
    <col min="12546" max="12546" width="88.109375" style="1324" customWidth="1"/>
    <col min="12547" max="12547" width="13.88671875" style="1324" customWidth="1"/>
    <col min="12548" max="12548" width="7.88671875" style="1324" customWidth="1"/>
    <col min="12549" max="12549" width="12.88671875" style="1324" customWidth="1"/>
    <col min="12550" max="12550" width="6.5546875" style="1324" customWidth="1"/>
    <col min="12551" max="12551" width="13.88671875" style="1324" customWidth="1"/>
    <col min="12552" max="12552" width="8.109375" style="1324" customWidth="1"/>
    <col min="12553" max="12553" width="14" style="1324" customWidth="1"/>
    <col min="12554" max="12554" width="7.88671875" style="1324" customWidth="1"/>
    <col min="12555" max="12555" width="12.88671875" style="1324" customWidth="1"/>
    <col min="12556" max="12556" width="7.88671875" style="1324" customWidth="1"/>
    <col min="12557" max="12557" width="12.88671875" style="1324" customWidth="1"/>
    <col min="12558" max="12558" width="7.88671875" style="1324" customWidth="1"/>
    <col min="12559" max="12559" width="13.109375" style="1324" customWidth="1"/>
    <col min="12560" max="12560" width="10.88671875" style="1324" customWidth="1"/>
    <col min="12561" max="12561" width="12.88671875" style="1324" customWidth="1"/>
    <col min="12562" max="12562" width="7.88671875" style="1324" customWidth="1"/>
    <col min="12563" max="12563" width="15" style="1324" customWidth="1"/>
    <col min="12564" max="12564" width="9.109375" style="1324" customWidth="1"/>
    <col min="12565" max="12565" width="14.88671875" style="1324" customWidth="1"/>
    <col min="12566" max="12801" width="11.44140625" style="1324"/>
    <col min="12802" max="12802" width="88.109375" style="1324" customWidth="1"/>
    <col min="12803" max="12803" width="13.88671875" style="1324" customWidth="1"/>
    <col min="12804" max="12804" width="7.88671875" style="1324" customWidth="1"/>
    <col min="12805" max="12805" width="12.88671875" style="1324" customWidth="1"/>
    <col min="12806" max="12806" width="6.5546875" style="1324" customWidth="1"/>
    <col min="12807" max="12807" width="13.88671875" style="1324" customWidth="1"/>
    <col min="12808" max="12808" width="8.109375" style="1324" customWidth="1"/>
    <col min="12809" max="12809" width="14" style="1324" customWidth="1"/>
    <col min="12810" max="12810" width="7.88671875" style="1324" customWidth="1"/>
    <col min="12811" max="12811" width="12.88671875" style="1324" customWidth="1"/>
    <col min="12812" max="12812" width="7.88671875" style="1324" customWidth="1"/>
    <col min="12813" max="12813" width="12.88671875" style="1324" customWidth="1"/>
    <col min="12814" max="12814" width="7.88671875" style="1324" customWidth="1"/>
    <col min="12815" max="12815" width="13.109375" style="1324" customWidth="1"/>
    <col min="12816" max="12816" width="10.88671875" style="1324" customWidth="1"/>
    <col min="12817" max="12817" width="12.88671875" style="1324" customWidth="1"/>
    <col min="12818" max="12818" width="7.88671875" style="1324" customWidth="1"/>
    <col min="12819" max="12819" width="15" style="1324" customWidth="1"/>
    <col min="12820" max="12820" width="9.109375" style="1324" customWidth="1"/>
    <col min="12821" max="12821" width="14.88671875" style="1324" customWidth="1"/>
    <col min="12822" max="13057" width="11.44140625" style="1324"/>
    <col min="13058" max="13058" width="88.109375" style="1324" customWidth="1"/>
    <col min="13059" max="13059" width="13.88671875" style="1324" customWidth="1"/>
    <col min="13060" max="13060" width="7.88671875" style="1324" customWidth="1"/>
    <col min="13061" max="13061" width="12.88671875" style="1324" customWidth="1"/>
    <col min="13062" max="13062" width="6.5546875" style="1324" customWidth="1"/>
    <col min="13063" max="13063" width="13.88671875" style="1324" customWidth="1"/>
    <col min="13064" max="13064" width="8.109375" style="1324" customWidth="1"/>
    <col min="13065" max="13065" width="14" style="1324" customWidth="1"/>
    <col min="13066" max="13066" width="7.88671875" style="1324" customWidth="1"/>
    <col min="13067" max="13067" width="12.88671875" style="1324" customWidth="1"/>
    <col min="13068" max="13068" width="7.88671875" style="1324" customWidth="1"/>
    <col min="13069" max="13069" width="12.88671875" style="1324" customWidth="1"/>
    <col min="13070" max="13070" width="7.88671875" style="1324" customWidth="1"/>
    <col min="13071" max="13071" width="13.109375" style="1324" customWidth="1"/>
    <col min="13072" max="13072" width="10.88671875" style="1324" customWidth="1"/>
    <col min="13073" max="13073" width="12.88671875" style="1324" customWidth="1"/>
    <col min="13074" max="13074" width="7.88671875" style="1324" customWidth="1"/>
    <col min="13075" max="13075" width="15" style="1324" customWidth="1"/>
    <col min="13076" max="13076" width="9.109375" style="1324" customWidth="1"/>
    <col min="13077" max="13077" width="14.88671875" style="1324" customWidth="1"/>
    <col min="13078" max="13313" width="11.44140625" style="1324"/>
    <col min="13314" max="13314" width="88.109375" style="1324" customWidth="1"/>
    <col min="13315" max="13315" width="13.88671875" style="1324" customWidth="1"/>
    <col min="13316" max="13316" width="7.88671875" style="1324" customWidth="1"/>
    <col min="13317" max="13317" width="12.88671875" style="1324" customWidth="1"/>
    <col min="13318" max="13318" width="6.5546875" style="1324" customWidth="1"/>
    <col min="13319" max="13319" width="13.88671875" style="1324" customWidth="1"/>
    <col min="13320" max="13320" width="8.109375" style="1324" customWidth="1"/>
    <col min="13321" max="13321" width="14" style="1324" customWidth="1"/>
    <col min="13322" max="13322" width="7.88671875" style="1324" customWidth="1"/>
    <col min="13323" max="13323" width="12.88671875" style="1324" customWidth="1"/>
    <col min="13324" max="13324" width="7.88671875" style="1324" customWidth="1"/>
    <col min="13325" max="13325" width="12.88671875" style="1324" customWidth="1"/>
    <col min="13326" max="13326" width="7.88671875" style="1324" customWidth="1"/>
    <col min="13327" max="13327" width="13.109375" style="1324" customWidth="1"/>
    <col min="13328" max="13328" width="10.88671875" style="1324" customWidth="1"/>
    <col min="13329" max="13329" width="12.88671875" style="1324" customWidth="1"/>
    <col min="13330" max="13330" width="7.88671875" style="1324" customWidth="1"/>
    <col min="13331" max="13331" width="15" style="1324" customWidth="1"/>
    <col min="13332" max="13332" width="9.109375" style="1324" customWidth="1"/>
    <col min="13333" max="13333" width="14.88671875" style="1324" customWidth="1"/>
    <col min="13334" max="13569" width="11.44140625" style="1324"/>
    <col min="13570" max="13570" width="88.109375" style="1324" customWidth="1"/>
    <col min="13571" max="13571" width="13.88671875" style="1324" customWidth="1"/>
    <col min="13572" max="13572" width="7.88671875" style="1324" customWidth="1"/>
    <col min="13573" max="13573" width="12.88671875" style="1324" customWidth="1"/>
    <col min="13574" max="13574" width="6.5546875" style="1324" customWidth="1"/>
    <col min="13575" max="13575" width="13.88671875" style="1324" customWidth="1"/>
    <col min="13576" max="13576" width="8.109375" style="1324" customWidth="1"/>
    <col min="13577" max="13577" width="14" style="1324" customWidth="1"/>
    <col min="13578" max="13578" width="7.88671875" style="1324" customWidth="1"/>
    <col min="13579" max="13579" width="12.88671875" style="1324" customWidth="1"/>
    <col min="13580" max="13580" width="7.88671875" style="1324" customWidth="1"/>
    <col min="13581" max="13581" width="12.88671875" style="1324" customWidth="1"/>
    <col min="13582" max="13582" width="7.88671875" style="1324" customWidth="1"/>
    <col min="13583" max="13583" width="13.109375" style="1324" customWidth="1"/>
    <col min="13584" max="13584" width="10.88671875" style="1324" customWidth="1"/>
    <col min="13585" max="13585" width="12.88671875" style="1324" customWidth="1"/>
    <col min="13586" max="13586" width="7.88671875" style="1324" customWidth="1"/>
    <col min="13587" max="13587" width="15" style="1324" customWidth="1"/>
    <col min="13588" max="13588" width="9.109375" style="1324" customWidth="1"/>
    <col min="13589" max="13589" width="14.88671875" style="1324" customWidth="1"/>
    <col min="13590" max="13825" width="11.44140625" style="1324"/>
    <col min="13826" max="13826" width="88.109375" style="1324" customWidth="1"/>
    <col min="13827" max="13827" width="13.88671875" style="1324" customWidth="1"/>
    <col min="13828" max="13828" width="7.88671875" style="1324" customWidth="1"/>
    <col min="13829" max="13829" width="12.88671875" style="1324" customWidth="1"/>
    <col min="13830" max="13830" width="6.5546875" style="1324" customWidth="1"/>
    <col min="13831" max="13831" width="13.88671875" style="1324" customWidth="1"/>
    <col min="13832" max="13832" width="8.109375" style="1324" customWidth="1"/>
    <col min="13833" max="13833" width="14" style="1324" customWidth="1"/>
    <col min="13834" max="13834" width="7.88671875" style="1324" customWidth="1"/>
    <col min="13835" max="13835" width="12.88671875" style="1324" customWidth="1"/>
    <col min="13836" max="13836" width="7.88671875" style="1324" customWidth="1"/>
    <col min="13837" max="13837" width="12.88671875" style="1324" customWidth="1"/>
    <col min="13838" max="13838" width="7.88671875" style="1324" customWidth="1"/>
    <col min="13839" max="13839" width="13.109375" style="1324" customWidth="1"/>
    <col min="13840" max="13840" width="10.88671875" style="1324" customWidth="1"/>
    <col min="13841" max="13841" width="12.88671875" style="1324" customWidth="1"/>
    <col min="13842" max="13842" width="7.88671875" style="1324" customWidth="1"/>
    <col min="13843" max="13843" width="15" style="1324" customWidth="1"/>
    <col min="13844" max="13844" width="9.109375" style="1324" customWidth="1"/>
    <col min="13845" max="13845" width="14.88671875" style="1324" customWidth="1"/>
    <col min="13846" max="14081" width="11.44140625" style="1324"/>
    <col min="14082" max="14082" width="88.109375" style="1324" customWidth="1"/>
    <col min="14083" max="14083" width="13.88671875" style="1324" customWidth="1"/>
    <col min="14084" max="14084" width="7.88671875" style="1324" customWidth="1"/>
    <col min="14085" max="14085" width="12.88671875" style="1324" customWidth="1"/>
    <col min="14086" max="14086" width="6.5546875" style="1324" customWidth="1"/>
    <col min="14087" max="14087" width="13.88671875" style="1324" customWidth="1"/>
    <col min="14088" max="14088" width="8.109375" style="1324" customWidth="1"/>
    <col min="14089" max="14089" width="14" style="1324" customWidth="1"/>
    <col min="14090" max="14090" width="7.88671875" style="1324" customWidth="1"/>
    <col min="14091" max="14091" width="12.88671875" style="1324" customWidth="1"/>
    <col min="14092" max="14092" width="7.88671875" style="1324" customWidth="1"/>
    <col min="14093" max="14093" width="12.88671875" style="1324" customWidth="1"/>
    <col min="14094" max="14094" width="7.88671875" style="1324" customWidth="1"/>
    <col min="14095" max="14095" width="13.109375" style="1324" customWidth="1"/>
    <col min="14096" max="14096" width="10.88671875" style="1324" customWidth="1"/>
    <col min="14097" max="14097" width="12.88671875" style="1324" customWidth="1"/>
    <col min="14098" max="14098" width="7.88671875" style="1324" customWidth="1"/>
    <col min="14099" max="14099" width="15" style="1324" customWidth="1"/>
    <col min="14100" max="14100" width="9.109375" style="1324" customWidth="1"/>
    <col min="14101" max="14101" width="14.88671875" style="1324" customWidth="1"/>
    <col min="14102" max="14337" width="11.44140625" style="1324"/>
    <col min="14338" max="14338" width="88.109375" style="1324" customWidth="1"/>
    <col min="14339" max="14339" width="13.88671875" style="1324" customWidth="1"/>
    <col min="14340" max="14340" width="7.88671875" style="1324" customWidth="1"/>
    <col min="14341" max="14341" width="12.88671875" style="1324" customWidth="1"/>
    <col min="14342" max="14342" width="6.5546875" style="1324" customWidth="1"/>
    <col min="14343" max="14343" width="13.88671875" style="1324" customWidth="1"/>
    <col min="14344" max="14344" width="8.109375" style="1324" customWidth="1"/>
    <col min="14345" max="14345" width="14" style="1324" customWidth="1"/>
    <col min="14346" max="14346" width="7.88671875" style="1324" customWidth="1"/>
    <col min="14347" max="14347" width="12.88671875" style="1324" customWidth="1"/>
    <col min="14348" max="14348" width="7.88671875" style="1324" customWidth="1"/>
    <col min="14349" max="14349" width="12.88671875" style="1324" customWidth="1"/>
    <col min="14350" max="14350" width="7.88671875" style="1324" customWidth="1"/>
    <col min="14351" max="14351" width="13.109375" style="1324" customWidth="1"/>
    <col min="14352" max="14352" width="10.88671875" style="1324" customWidth="1"/>
    <col min="14353" max="14353" width="12.88671875" style="1324" customWidth="1"/>
    <col min="14354" max="14354" width="7.88671875" style="1324" customWidth="1"/>
    <col min="14355" max="14355" width="15" style="1324" customWidth="1"/>
    <col min="14356" max="14356" width="9.109375" style="1324" customWidth="1"/>
    <col min="14357" max="14357" width="14.88671875" style="1324" customWidth="1"/>
    <col min="14358" max="14593" width="11.44140625" style="1324"/>
    <col min="14594" max="14594" width="88.109375" style="1324" customWidth="1"/>
    <col min="14595" max="14595" width="13.88671875" style="1324" customWidth="1"/>
    <col min="14596" max="14596" width="7.88671875" style="1324" customWidth="1"/>
    <col min="14597" max="14597" width="12.88671875" style="1324" customWidth="1"/>
    <col min="14598" max="14598" width="6.5546875" style="1324" customWidth="1"/>
    <col min="14599" max="14599" width="13.88671875" style="1324" customWidth="1"/>
    <col min="14600" max="14600" width="8.109375" style="1324" customWidth="1"/>
    <col min="14601" max="14601" width="14" style="1324" customWidth="1"/>
    <col min="14602" max="14602" width="7.88671875" style="1324" customWidth="1"/>
    <col min="14603" max="14603" width="12.88671875" style="1324" customWidth="1"/>
    <col min="14604" max="14604" width="7.88671875" style="1324" customWidth="1"/>
    <col min="14605" max="14605" width="12.88671875" style="1324" customWidth="1"/>
    <col min="14606" max="14606" width="7.88671875" style="1324" customWidth="1"/>
    <col min="14607" max="14607" width="13.109375" style="1324" customWidth="1"/>
    <col min="14608" max="14608" width="10.88671875" style="1324" customWidth="1"/>
    <col min="14609" max="14609" width="12.88671875" style="1324" customWidth="1"/>
    <col min="14610" max="14610" width="7.88671875" style="1324" customWidth="1"/>
    <col min="14611" max="14611" width="15" style="1324" customWidth="1"/>
    <col min="14612" max="14612" width="9.109375" style="1324" customWidth="1"/>
    <col min="14613" max="14613" width="14.88671875" style="1324" customWidth="1"/>
    <col min="14614" max="14849" width="11.44140625" style="1324"/>
    <col min="14850" max="14850" width="88.109375" style="1324" customWidth="1"/>
    <col min="14851" max="14851" width="13.88671875" style="1324" customWidth="1"/>
    <col min="14852" max="14852" width="7.88671875" style="1324" customWidth="1"/>
    <col min="14853" max="14853" width="12.88671875" style="1324" customWidth="1"/>
    <col min="14854" max="14854" width="6.5546875" style="1324" customWidth="1"/>
    <col min="14855" max="14855" width="13.88671875" style="1324" customWidth="1"/>
    <col min="14856" max="14856" width="8.109375" style="1324" customWidth="1"/>
    <col min="14857" max="14857" width="14" style="1324" customWidth="1"/>
    <col min="14858" max="14858" width="7.88671875" style="1324" customWidth="1"/>
    <col min="14859" max="14859" width="12.88671875" style="1324" customWidth="1"/>
    <col min="14860" max="14860" width="7.88671875" style="1324" customWidth="1"/>
    <col min="14861" max="14861" width="12.88671875" style="1324" customWidth="1"/>
    <col min="14862" max="14862" width="7.88671875" style="1324" customWidth="1"/>
    <col min="14863" max="14863" width="13.109375" style="1324" customWidth="1"/>
    <col min="14864" max="14864" width="10.88671875" style="1324" customWidth="1"/>
    <col min="14865" max="14865" width="12.88671875" style="1324" customWidth="1"/>
    <col min="14866" max="14866" width="7.88671875" style="1324" customWidth="1"/>
    <col min="14867" max="14867" width="15" style="1324" customWidth="1"/>
    <col min="14868" max="14868" width="9.109375" style="1324" customWidth="1"/>
    <col min="14869" max="14869" width="14.88671875" style="1324" customWidth="1"/>
    <col min="14870" max="15105" width="11.44140625" style="1324"/>
    <col min="15106" max="15106" width="88.109375" style="1324" customWidth="1"/>
    <col min="15107" max="15107" width="13.88671875" style="1324" customWidth="1"/>
    <col min="15108" max="15108" width="7.88671875" style="1324" customWidth="1"/>
    <col min="15109" max="15109" width="12.88671875" style="1324" customWidth="1"/>
    <col min="15110" max="15110" width="6.5546875" style="1324" customWidth="1"/>
    <col min="15111" max="15111" width="13.88671875" style="1324" customWidth="1"/>
    <col min="15112" max="15112" width="8.109375" style="1324" customWidth="1"/>
    <col min="15113" max="15113" width="14" style="1324" customWidth="1"/>
    <col min="15114" max="15114" width="7.88671875" style="1324" customWidth="1"/>
    <col min="15115" max="15115" width="12.88671875" style="1324" customWidth="1"/>
    <col min="15116" max="15116" width="7.88671875" style="1324" customWidth="1"/>
    <col min="15117" max="15117" width="12.88671875" style="1324" customWidth="1"/>
    <col min="15118" max="15118" width="7.88671875" style="1324" customWidth="1"/>
    <col min="15119" max="15119" width="13.109375" style="1324" customWidth="1"/>
    <col min="15120" max="15120" width="10.88671875" style="1324" customWidth="1"/>
    <col min="15121" max="15121" width="12.88671875" style="1324" customWidth="1"/>
    <col min="15122" max="15122" width="7.88671875" style="1324" customWidth="1"/>
    <col min="15123" max="15123" width="15" style="1324" customWidth="1"/>
    <col min="15124" max="15124" width="9.109375" style="1324" customWidth="1"/>
    <col min="15125" max="15125" width="14.88671875" style="1324" customWidth="1"/>
    <col min="15126" max="15361" width="11.44140625" style="1324"/>
    <col min="15362" max="15362" width="88.109375" style="1324" customWidth="1"/>
    <col min="15363" max="15363" width="13.88671875" style="1324" customWidth="1"/>
    <col min="15364" max="15364" width="7.88671875" style="1324" customWidth="1"/>
    <col min="15365" max="15365" width="12.88671875" style="1324" customWidth="1"/>
    <col min="15366" max="15366" width="6.5546875" style="1324" customWidth="1"/>
    <col min="15367" max="15367" width="13.88671875" style="1324" customWidth="1"/>
    <col min="15368" max="15368" width="8.109375" style="1324" customWidth="1"/>
    <col min="15369" max="15369" width="14" style="1324" customWidth="1"/>
    <col min="15370" max="15370" width="7.88671875" style="1324" customWidth="1"/>
    <col min="15371" max="15371" width="12.88671875" style="1324" customWidth="1"/>
    <col min="15372" max="15372" width="7.88671875" style="1324" customWidth="1"/>
    <col min="15373" max="15373" width="12.88671875" style="1324" customWidth="1"/>
    <col min="15374" max="15374" width="7.88671875" style="1324" customWidth="1"/>
    <col min="15375" max="15375" width="13.109375" style="1324" customWidth="1"/>
    <col min="15376" max="15376" width="10.88671875" style="1324" customWidth="1"/>
    <col min="15377" max="15377" width="12.88671875" style="1324" customWidth="1"/>
    <col min="15378" max="15378" width="7.88671875" style="1324" customWidth="1"/>
    <col min="15379" max="15379" width="15" style="1324" customWidth="1"/>
    <col min="15380" max="15380" width="9.109375" style="1324" customWidth="1"/>
    <col min="15381" max="15381" width="14.88671875" style="1324" customWidth="1"/>
    <col min="15382" max="15617" width="11.44140625" style="1324"/>
    <col min="15618" max="15618" width="88.109375" style="1324" customWidth="1"/>
    <col min="15619" max="15619" width="13.88671875" style="1324" customWidth="1"/>
    <col min="15620" max="15620" width="7.88671875" style="1324" customWidth="1"/>
    <col min="15621" max="15621" width="12.88671875" style="1324" customWidth="1"/>
    <col min="15622" max="15622" width="6.5546875" style="1324" customWidth="1"/>
    <col min="15623" max="15623" width="13.88671875" style="1324" customWidth="1"/>
    <col min="15624" max="15624" width="8.109375" style="1324" customWidth="1"/>
    <col min="15625" max="15625" width="14" style="1324" customWidth="1"/>
    <col min="15626" max="15626" width="7.88671875" style="1324" customWidth="1"/>
    <col min="15627" max="15627" width="12.88671875" style="1324" customWidth="1"/>
    <col min="15628" max="15628" width="7.88671875" style="1324" customWidth="1"/>
    <col min="15629" max="15629" width="12.88671875" style="1324" customWidth="1"/>
    <col min="15630" max="15630" width="7.88671875" style="1324" customWidth="1"/>
    <col min="15631" max="15631" width="13.109375" style="1324" customWidth="1"/>
    <col min="15632" max="15632" width="10.88671875" style="1324" customWidth="1"/>
    <col min="15633" max="15633" width="12.88671875" style="1324" customWidth="1"/>
    <col min="15634" max="15634" width="7.88671875" style="1324" customWidth="1"/>
    <col min="15635" max="15635" width="15" style="1324" customWidth="1"/>
    <col min="15636" max="15636" width="9.109375" style="1324" customWidth="1"/>
    <col min="15637" max="15637" width="14.88671875" style="1324" customWidth="1"/>
    <col min="15638" max="15873" width="11.44140625" style="1324"/>
    <col min="15874" max="15874" width="88.109375" style="1324" customWidth="1"/>
    <col min="15875" max="15875" width="13.88671875" style="1324" customWidth="1"/>
    <col min="15876" max="15876" width="7.88671875" style="1324" customWidth="1"/>
    <col min="15877" max="15877" width="12.88671875" style="1324" customWidth="1"/>
    <col min="15878" max="15878" width="6.5546875" style="1324" customWidth="1"/>
    <col min="15879" max="15879" width="13.88671875" style="1324" customWidth="1"/>
    <col min="15880" max="15880" width="8.109375" style="1324" customWidth="1"/>
    <col min="15881" max="15881" width="14" style="1324" customWidth="1"/>
    <col min="15882" max="15882" width="7.88671875" style="1324" customWidth="1"/>
    <col min="15883" max="15883" width="12.88671875" style="1324" customWidth="1"/>
    <col min="15884" max="15884" width="7.88671875" style="1324" customWidth="1"/>
    <col min="15885" max="15885" width="12.88671875" style="1324" customWidth="1"/>
    <col min="15886" max="15886" width="7.88671875" style="1324" customWidth="1"/>
    <col min="15887" max="15887" width="13.109375" style="1324" customWidth="1"/>
    <col min="15888" max="15888" width="10.88671875" style="1324" customWidth="1"/>
    <col min="15889" max="15889" width="12.88671875" style="1324" customWidth="1"/>
    <col min="15890" max="15890" width="7.88671875" style="1324" customWidth="1"/>
    <col min="15891" max="15891" width="15" style="1324" customWidth="1"/>
    <col min="15892" max="15892" width="9.109375" style="1324" customWidth="1"/>
    <col min="15893" max="15893" width="14.88671875" style="1324" customWidth="1"/>
    <col min="15894" max="16129" width="11.44140625" style="1324"/>
    <col min="16130" max="16130" width="88.109375" style="1324" customWidth="1"/>
    <col min="16131" max="16131" width="13.88671875" style="1324" customWidth="1"/>
    <col min="16132" max="16132" width="7.88671875" style="1324" customWidth="1"/>
    <col min="16133" max="16133" width="12.88671875" style="1324" customWidth="1"/>
    <col min="16134" max="16134" width="6.5546875" style="1324" customWidth="1"/>
    <col min="16135" max="16135" width="13.88671875" style="1324" customWidth="1"/>
    <col min="16136" max="16136" width="8.109375" style="1324" customWidth="1"/>
    <col min="16137" max="16137" width="14" style="1324" customWidth="1"/>
    <col min="16138" max="16138" width="7.88671875" style="1324" customWidth="1"/>
    <col min="16139" max="16139" width="12.88671875" style="1324" customWidth="1"/>
    <col min="16140" max="16140" width="7.88671875" style="1324" customWidth="1"/>
    <col min="16141" max="16141" width="12.88671875" style="1324" customWidth="1"/>
    <col min="16142" max="16142" width="7.88671875" style="1324" customWidth="1"/>
    <col min="16143" max="16143" width="13.109375" style="1324" customWidth="1"/>
    <col min="16144" max="16144" width="10.88671875" style="1324" customWidth="1"/>
    <col min="16145" max="16145" width="12.88671875" style="1324" customWidth="1"/>
    <col min="16146" max="16146" width="7.88671875" style="1324" customWidth="1"/>
    <col min="16147" max="16147" width="15" style="1324" customWidth="1"/>
    <col min="16148" max="16148" width="9.109375" style="1324" customWidth="1"/>
    <col min="16149" max="16149" width="14.88671875" style="1324" customWidth="1"/>
    <col min="16150" max="16384" width="11.44140625" style="1324"/>
  </cols>
  <sheetData>
    <row r="1" spans="1:21" x14ac:dyDescent="0.25">
      <c r="A1" s="1148"/>
      <c r="B1" s="1319" t="s">
        <v>846</v>
      </c>
      <c r="C1" s="1319"/>
      <c r="D1" s="1319" t="s">
        <v>847</v>
      </c>
      <c r="E1" s="1319"/>
      <c r="F1" s="1319" t="s">
        <v>848</v>
      </c>
      <c r="G1" s="1319"/>
      <c r="H1" s="1319" t="s">
        <v>849</v>
      </c>
      <c r="I1" s="1319"/>
      <c r="J1" s="1319" t="s">
        <v>850</v>
      </c>
      <c r="K1" s="1319"/>
      <c r="L1" s="1319" t="s">
        <v>851</v>
      </c>
      <c r="M1" s="1319"/>
      <c r="N1" s="1320" t="s">
        <v>852</v>
      </c>
      <c r="O1" s="1320"/>
      <c r="P1" s="1320" t="s">
        <v>853</v>
      </c>
      <c r="Q1" s="1320"/>
      <c r="R1" s="1321"/>
      <c r="S1" s="1321" t="s">
        <v>187</v>
      </c>
      <c r="T1" s="1322"/>
    </row>
    <row r="2" spans="1:21" ht="45.6" x14ac:dyDescent="0.25">
      <c r="A2" s="1084" t="s">
        <v>854</v>
      </c>
      <c r="B2" s="1320" t="s">
        <v>855</v>
      </c>
      <c r="C2" s="1325" t="s">
        <v>856</v>
      </c>
      <c r="D2" s="1320" t="s">
        <v>855</v>
      </c>
      <c r="E2" s="1325" t="s">
        <v>856</v>
      </c>
      <c r="F2" s="1320" t="s">
        <v>855</v>
      </c>
      <c r="G2" s="1325" t="s">
        <v>856</v>
      </c>
      <c r="H2" s="1320" t="s">
        <v>855</v>
      </c>
      <c r="I2" s="1325" t="s">
        <v>856</v>
      </c>
      <c r="J2" s="1320" t="s">
        <v>855</v>
      </c>
      <c r="K2" s="1325" t="s">
        <v>856</v>
      </c>
      <c r="L2" s="1320" t="s">
        <v>855</v>
      </c>
      <c r="M2" s="1325" t="s">
        <v>856</v>
      </c>
      <c r="N2" s="1320" t="s">
        <v>855</v>
      </c>
      <c r="O2" s="1326" t="s">
        <v>856</v>
      </c>
      <c r="P2" s="1320" t="s">
        <v>855</v>
      </c>
      <c r="Q2" s="1326" t="s">
        <v>856</v>
      </c>
      <c r="R2" s="1321" t="s">
        <v>126</v>
      </c>
      <c r="S2" s="1321" t="s">
        <v>855</v>
      </c>
      <c r="T2" s="1327" t="s">
        <v>856</v>
      </c>
    </row>
    <row r="3" spans="1:21" x14ac:dyDescent="0.25">
      <c r="A3" s="1087" t="s">
        <v>857</v>
      </c>
      <c r="B3" s="1328">
        <v>72866</v>
      </c>
      <c r="C3" s="1328"/>
      <c r="D3" s="1328">
        <v>62679</v>
      </c>
      <c r="E3" s="1328"/>
      <c r="F3" s="1328">
        <v>314776</v>
      </c>
      <c r="G3" s="1328"/>
      <c r="H3" s="1328">
        <v>69488</v>
      </c>
      <c r="I3" s="1328"/>
      <c r="J3" s="1328">
        <v>61846</v>
      </c>
      <c r="K3" s="1328"/>
      <c r="L3" s="1328">
        <v>78904</v>
      </c>
      <c r="M3" s="1328"/>
      <c r="N3" s="1328">
        <v>31990</v>
      </c>
      <c r="O3" s="1328"/>
      <c r="P3" s="1328">
        <v>43852</v>
      </c>
      <c r="Q3" s="1328"/>
      <c r="R3" s="1329"/>
      <c r="S3" s="1329">
        <f>'DFG 2018_2017'!D3</f>
        <v>737640</v>
      </c>
      <c r="T3" s="1330"/>
    </row>
    <row r="4" spans="1:21" x14ac:dyDescent="0.25">
      <c r="A4" s="1092" t="s">
        <v>723</v>
      </c>
      <c r="B4" s="1092"/>
      <c r="C4" s="1096"/>
      <c r="D4" s="1092"/>
      <c r="E4" s="1096"/>
      <c r="F4" s="1092"/>
      <c r="G4" s="1096"/>
      <c r="H4" s="1092"/>
      <c r="I4" s="1096"/>
      <c r="J4" s="1092"/>
      <c r="K4" s="1096"/>
      <c r="L4" s="1092"/>
      <c r="M4" s="1096"/>
      <c r="N4" s="1092"/>
      <c r="O4" s="1092"/>
      <c r="P4" s="1092"/>
      <c r="Q4" s="1092"/>
      <c r="R4" s="1331"/>
      <c r="S4" s="1331"/>
      <c r="T4" s="1332"/>
    </row>
    <row r="5" spans="1:21" x14ac:dyDescent="0.25">
      <c r="A5" s="1097" t="s">
        <v>725</v>
      </c>
      <c r="B5" s="1101">
        <v>239347.08</v>
      </c>
      <c r="C5" s="1101">
        <v>3.2847566766393101</v>
      </c>
      <c r="D5" s="1101">
        <v>772426.66666666663</v>
      </c>
      <c r="E5" s="1101">
        <v>12.323532070815849</v>
      </c>
      <c r="F5" s="1101">
        <v>2113055.4448654037</v>
      </c>
      <c r="G5" s="1101">
        <v>6.7128861312978234</v>
      </c>
      <c r="H5" s="1101">
        <v>398944</v>
      </c>
      <c r="I5" s="1101">
        <v>5.7411927239235547</v>
      </c>
      <c r="J5" s="1101">
        <v>0</v>
      </c>
      <c r="K5" s="1101">
        <v>0</v>
      </c>
      <c r="L5" s="1101">
        <v>159712</v>
      </c>
      <c r="M5" s="1101">
        <v>2.0241305890702628</v>
      </c>
      <c r="N5" s="1101">
        <v>378461</v>
      </c>
      <c r="O5" s="1101">
        <v>11.83060331353548</v>
      </c>
      <c r="P5" s="1101">
        <v>0</v>
      </c>
      <c r="Q5" s="1101">
        <v>0</v>
      </c>
      <c r="R5" s="1333">
        <f>S5/1000</f>
        <v>3318.4515300000021</v>
      </c>
      <c r="S5" s="1333">
        <f>'DFG 2018_2017'!D6</f>
        <v>3318451.5300000021</v>
      </c>
      <c r="T5" s="1334">
        <f>S5/$S$3</f>
        <v>4.4987412965674345</v>
      </c>
      <c r="U5" s="1335"/>
    </row>
    <row r="6" spans="1:21" x14ac:dyDescent="0.25">
      <c r="A6" s="1102" t="s">
        <v>726</v>
      </c>
      <c r="B6" s="1336">
        <v>0</v>
      </c>
      <c r="C6" s="1106">
        <v>0</v>
      </c>
      <c r="D6" s="1336">
        <v>0</v>
      </c>
      <c r="E6" s="1106"/>
      <c r="F6" s="1336">
        <v>0</v>
      </c>
      <c r="G6" s="1106"/>
      <c r="H6" s="1336">
        <v>1781</v>
      </c>
      <c r="I6" s="1106"/>
      <c r="J6" s="1336">
        <v>0</v>
      </c>
      <c r="K6" s="1106"/>
      <c r="L6" s="1336">
        <v>0</v>
      </c>
      <c r="M6" s="1106"/>
      <c r="N6" s="1336">
        <v>0</v>
      </c>
      <c r="O6" s="1106"/>
      <c r="P6" s="1336">
        <v>0</v>
      </c>
      <c r="Q6" s="1106"/>
      <c r="R6" s="1337"/>
      <c r="S6" s="1338">
        <f>'DFG 2018_2017'!D7</f>
        <v>177774</v>
      </c>
      <c r="T6" s="1339">
        <f t="shared" ref="T6:T68" si="0">S6/$S$3</f>
        <v>0.24100374166259964</v>
      </c>
      <c r="U6" s="1335"/>
    </row>
    <row r="7" spans="1:21" x14ac:dyDescent="0.25">
      <c r="A7" s="1102" t="s">
        <v>858</v>
      </c>
      <c r="B7" s="1102">
        <v>80</v>
      </c>
      <c r="C7" s="1106">
        <v>1.0979057447918095E-3</v>
      </c>
      <c r="D7" s="1102">
        <v>80</v>
      </c>
      <c r="E7" s="1106"/>
      <c r="F7" s="1102">
        <v>80</v>
      </c>
      <c r="G7" s="1106"/>
      <c r="H7" s="1102">
        <v>80</v>
      </c>
      <c r="I7" s="1106"/>
      <c r="J7" s="1102">
        <v>80</v>
      </c>
      <c r="K7" s="1106"/>
      <c r="L7" s="1102">
        <v>80</v>
      </c>
      <c r="M7" s="1106"/>
      <c r="N7" s="1102">
        <v>80</v>
      </c>
      <c r="O7" s="1106"/>
      <c r="P7" s="1102">
        <v>80</v>
      </c>
      <c r="Q7" s="1106"/>
      <c r="R7" s="1337"/>
      <c r="S7" s="1340">
        <f>'DFG 2018_2017'!D8</f>
        <v>80</v>
      </c>
      <c r="T7" s="1339">
        <f t="shared" si="0"/>
        <v>1.0845398839542325E-4</v>
      </c>
    </row>
    <row r="8" spans="1:21" x14ac:dyDescent="0.25">
      <c r="A8" s="1102" t="s">
        <v>728</v>
      </c>
      <c r="B8" s="1102">
        <v>2.8</v>
      </c>
      <c r="C8" s="1106">
        <v>3.8426701067713337E-5</v>
      </c>
      <c r="D8" s="1102">
        <v>2.8</v>
      </c>
      <c r="E8" s="1106"/>
      <c r="F8" s="1102">
        <v>2.8</v>
      </c>
      <c r="G8" s="1106"/>
      <c r="H8" s="1102">
        <v>2.8</v>
      </c>
      <c r="I8" s="1106"/>
      <c r="J8" s="1102">
        <v>2.8</v>
      </c>
      <c r="K8" s="1106"/>
      <c r="L8" s="1102">
        <v>2.8</v>
      </c>
      <c r="M8" s="1106"/>
      <c r="N8" s="1102">
        <v>2.8</v>
      </c>
      <c r="O8" s="1106"/>
      <c r="P8" s="1102">
        <v>2.8</v>
      </c>
      <c r="Q8" s="1106"/>
      <c r="R8" s="1337"/>
      <c r="S8" s="1340">
        <f>'DFG 2018_2017'!D9</f>
        <v>2.8</v>
      </c>
      <c r="T8" s="1339">
        <f t="shared" si="0"/>
        <v>3.795889593839813E-6</v>
      </c>
    </row>
    <row r="9" spans="1:21" x14ac:dyDescent="0.25">
      <c r="A9" s="1107" t="s">
        <v>859</v>
      </c>
      <c r="B9" s="1107">
        <v>0</v>
      </c>
      <c r="C9" s="1107">
        <v>0</v>
      </c>
      <c r="D9" s="1107">
        <v>0</v>
      </c>
      <c r="E9" s="1107">
        <v>0</v>
      </c>
      <c r="F9" s="1107">
        <v>0</v>
      </c>
      <c r="G9" s="1107">
        <v>0</v>
      </c>
      <c r="H9" s="1110">
        <v>0</v>
      </c>
      <c r="I9" s="1107">
        <v>0</v>
      </c>
      <c r="J9" s="1107">
        <v>0</v>
      </c>
      <c r="K9" s="1107">
        <v>0</v>
      </c>
      <c r="L9" s="1107">
        <v>0</v>
      </c>
      <c r="M9" s="1107">
        <v>0</v>
      </c>
      <c r="N9" s="1107">
        <v>0</v>
      </c>
      <c r="O9" s="1107">
        <v>0</v>
      </c>
      <c r="P9" s="1107">
        <v>0</v>
      </c>
      <c r="Q9" s="1107">
        <v>0</v>
      </c>
      <c r="R9" s="1341">
        <f t="shared" ref="R9:R14" si="1">S9/1000</f>
        <v>0</v>
      </c>
      <c r="S9" s="1342">
        <f>'DFG 2018_2017'!D10</f>
        <v>0</v>
      </c>
      <c r="T9" s="1343">
        <f t="shared" si="0"/>
        <v>0</v>
      </c>
    </row>
    <row r="10" spans="1:21" x14ac:dyDescent="0.25">
      <c r="A10" s="1111" t="s">
        <v>731</v>
      </c>
      <c r="B10" s="1115">
        <v>0</v>
      </c>
      <c r="C10" s="1115">
        <v>0</v>
      </c>
      <c r="D10" s="1115">
        <v>1656089.3868004763</v>
      </c>
      <c r="E10" s="1115">
        <v>26.421758273113426</v>
      </c>
      <c r="F10" s="1115">
        <v>4068460</v>
      </c>
      <c r="G10" s="1115">
        <v>12.924937098126922</v>
      </c>
      <c r="H10" s="1115">
        <v>393510</v>
      </c>
      <c r="I10" s="1115">
        <v>5.6629921713101545</v>
      </c>
      <c r="J10" s="1115">
        <v>749620</v>
      </c>
      <c r="K10" s="1115">
        <v>12.12075154415807</v>
      </c>
      <c r="L10" s="1115">
        <v>0</v>
      </c>
      <c r="M10" s="1115">
        <v>0</v>
      </c>
      <c r="N10" s="1115">
        <v>237040</v>
      </c>
      <c r="O10" s="1115">
        <v>7.4098155673648014</v>
      </c>
      <c r="P10" s="1115">
        <v>0</v>
      </c>
      <c r="Q10" s="1115">
        <v>0</v>
      </c>
      <c r="R10" s="1344">
        <f t="shared" si="1"/>
        <v>5826.4996500000007</v>
      </c>
      <c r="S10" s="1344">
        <f>'DFG 2018_2017'!D12</f>
        <v>5826499.6500000004</v>
      </c>
      <c r="T10" s="1345">
        <f t="shared" si="0"/>
        <v>7.8988390678379705</v>
      </c>
    </row>
    <row r="11" spans="1:21" x14ac:dyDescent="0.25">
      <c r="A11" s="1111" t="s">
        <v>860</v>
      </c>
      <c r="B11" s="1115">
        <v>3616689</v>
      </c>
      <c r="C11" s="1115">
        <v>49.634795377816815</v>
      </c>
      <c r="D11" s="1115">
        <v>3095590</v>
      </c>
      <c r="E11" s="1115">
        <v>49.3879927886533</v>
      </c>
      <c r="F11" s="1115">
        <v>8165260</v>
      </c>
      <c r="G11" s="1115">
        <v>25.939906473174574</v>
      </c>
      <c r="H11" s="1115">
        <v>5489450</v>
      </c>
      <c r="I11" s="1115">
        <v>78.99853212065392</v>
      </c>
      <c r="J11" s="1115">
        <v>3614760</v>
      </c>
      <c r="K11" s="1115">
        <v>58.447757332729687</v>
      </c>
      <c r="L11" s="1115">
        <v>2071839</v>
      </c>
      <c r="M11" s="1115">
        <v>26.257718239886444</v>
      </c>
      <c r="N11" s="1115">
        <v>1659404</v>
      </c>
      <c r="O11" s="1115">
        <v>51.872585182869649</v>
      </c>
      <c r="P11" s="1115">
        <v>1825759.9799999997</v>
      </c>
      <c r="Q11" s="1115">
        <v>41.634588616254668</v>
      </c>
      <c r="R11" s="1344">
        <f t="shared" si="1"/>
        <v>34891.141019999995</v>
      </c>
      <c r="S11" s="1344">
        <f>'DFG 2018_2017'!D13</f>
        <v>34891141.019999996</v>
      </c>
      <c r="T11" s="1345">
        <f t="shared" si="0"/>
        <v>47.301042541076946</v>
      </c>
    </row>
    <row r="12" spans="1:21" x14ac:dyDescent="0.25">
      <c r="A12" s="1111" t="s">
        <v>733</v>
      </c>
      <c r="B12" s="1115">
        <v>0</v>
      </c>
      <c r="C12" s="1115">
        <v>0</v>
      </c>
      <c r="D12" s="1115">
        <v>4810.6131995237292</v>
      </c>
      <c r="E12" s="1115">
        <v>7.6749999194686086E-2</v>
      </c>
      <c r="F12" s="1115">
        <v>0</v>
      </c>
      <c r="G12" s="1115">
        <v>0</v>
      </c>
      <c r="H12" s="1115">
        <v>364450</v>
      </c>
      <c r="I12" s="1115">
        <v>5.2447904674188353</v>
      </c>
      <c r="J12" s="1115">
        <v>0</v>
      </c>
      <c r="K12" s="1115">
        <v>0</v>
      </c>
      <c r="L12" s="1115">
        <v>0</v>
      </c>
      <c r="M12" s="1115">
        <v>0</v>
      </c>
      <c r="N12" s="1115">
        <v>0</v>
      </c>
      <c r="O12" s="1115">
        <v>0</v>
      </c>
      <c r="P12" s="1115">
        <v>0</v>
      </c>
      <c r="Q12" s="1115">
        <v>0</v>
      </c>
      <c r="R12" s="1344">
        <f t="shared" si="1"/>
        <v>377.29012</v>
      </c>
      <c r="S12" s="1344">
        <f>'DFG 2018_2017'!D14</f>
        <v>377290.12</v>
      </c>
      <c r="T12" s="1345">
        <f t="shared" si="0"/>
        <v>0.51148272870234801</v>
      </c>
    </row>
    <row r="13" spans="1:21" x14ac:dyDescent="0.25">
      <c r="A13" s="1111" t="s">
        <v>861</v>
      </c>
      <c r="B13" s="1115">
        <v>0</v>
      </c>
      <c r="C13" s="1115">
        <v>0</v>
      </c>
      <c r="D13" s="1115">
        <v>1048820</v>
      </c>
      <c r="E13" s="1115">
        <v>16.733196126294292</v>
      </c>
      <c r="F13" s="1115">
        <v>99220</v>
      </c>
      <c r="G13" s="1115">
        <v>0.31520827509085825</v>
      </c>
      <c r="H13" s="1115">
        <v>136822</v>
      </c>
      <c r="I13" s="1115">
        <v>1.9690018420446695</v>
      </c>
      <c r="J13" s="1115">
        <v>0</v>
      </c>
      <c r="K13" s="1115">
        <v>0</v>
      </c>
      <c r="L13" s="1115">
        <v>545722</v>
      </c>
      <c r="M13" s="1115">
        <v>6.9162780087194564</v>
      </c>
      <c r="N13" s="1115">
        <v>0</v>
      </c>
      <c r="O13" s="1115">
        <v>0</v>
      </c>
      <c r="P13" s="1115">
        <v>0</v>
      </c>
      <c r="Q13" s="1115">
        <v>0</v>
      </c>
      <c r="R13" s="1344">
        <f t="shared" si="1"/>
        <v>3423.3510300000003</v>
      </c>
      <c r="S13" s="1344">
        <f>'DFG 2018_2017'!D15</f>
        <v>3423351.0300000003</v>
      </c>
      <c r="T13" s="1345">
        <f t="shared" si="0"/>
        <v>4.640950911013503</v>
      </c>
    </row>
    <row r="14" spans="1:21" x14ac:dyDescent="0.25">
      <c r="A14" s="1111" t="s">
        <v>735</v>
      </c>
      <c r="B14" s="1115">
        <v>176161</v>
      </c>
      <c r="C14" s="1115">
        <v>2.4176021738533748</v>
      </c>
      <c r="D14" s="1115">
        <v>359980</v>
      </c>
      <c r="E14" s="1115">
        <v>5.7432313853124652</v>
      </c>
      <c r="F14" s="1115">
        <v>1043642</v>
      </c>
      <c r="G14" s="1115">
        <v>3.3155069001448649</v>
      </c>
      <c r="H14" s="1115">
        <v>0</v>
      </c>
      <c r="I14" s="1115">
        <v>0</v>
      </c>
      <c r="J14" s="1115">
        <v>0</v>
      </c>
      <c r="K14" s="1115">
        <v>0</v>
      </c>
      <c r="L14" s="1115">
        <v>0</v>
      </c>
      <c r="M14" s="1115">
        <v>0</v>
      </c>
      <c r="N14" s="1115">
        <v>0</v>
      </c>
      <c r="O14" s="1115">
        <v>0</v>
      </c>
      <c r="P14" s="1115">
        <v>0</v>
      </c>
      <c r="Q14" s="1115">
        <v>0</v>
      </c>
      <c r="R14" s="1344">
        <f t="shared" si="1"/>
        <v>1767.8691200000001</v>
      </c>
      <c r="S14" s="1344">
        <f>'DFG 2018_2017'!D16</f>
        <v>1767869.12</v>
      </c>
      <c r="T14" s="1345">
        <f t="shared" si="0"/>
        <v>2.396655712813839</v>
      </c>
    </row>
    <row r="15" spans="1:21" x14ac:dyDescent="0.25">
      <c r="A15" s="1111" t="s">
        <v>862</v>
      </c>
      <c r="B15" s="1115">
        <v>0</v>
      </c>
      <c r="C15" s="1115">
        <v>0</v>
      </c>
      <c r="D15" s="1115">
        <v>0</v>
      </c>
      <c r="E15" s="1115">
        <v>0</v>
      </c>
      <c r="F15" s="1115">
        <v>0</v>
      </c>
      <c r="G15" s="1115">
        <v>0</v>
      </c>
      <c r="H15" s="1115">
        <v>0</v>
      </c>
      <c r="I15" s="1115">
        <v>0</v>
      </c>
      <c r="J15" s="1115">
        <v>0</v>
      </c>
      <c r="K15" s="1115">
        <v>0</v>
      </c>
      <c r="L15" s="1115">
        <v>0</v>
      </c>
      <c r="M15" s="1115">
        <v>0</v>
      </c>
      <c r="N15" s="1115">
        <v>0</v>
      </c>
      <c r="O15" s="1115">
        <v>0</v>
      </c>
      <c r="P15" s="1115">
        <v>0</v>
      </c>
      <c r="Q15" s="1115">
        <v>0</v>
      </c>
      <c r="R15" s="1344"/>
      <c r="S15" s="1344">
        <f>'DFG 2018_2017'!D17</f>
        <v>0</v>
      </c>
      <c r="T15" s="1345">
        <f t="shared" si="0"/>
        <v>0</v>
      </c>
    </row>
    <row r="16" spans="1:21" x14ac:dyDescent="0.25">
      <c r="A16" s="1111" t="s">
        <v>863</v>
      </c>
      <c r="B16" s="1115">
        <v>0</v>
      </c>
      <c r="C16" s="1115">
        <v>0</v>
      </c>
      <c r="D16" s="1115">
        <v>0</v>
      </c>
      <c r="E16" s="1115">
        <v>0</v>
      </c>
      <c r="F16" s="1115">
        <v>0</v>
      </c>
      <c r="G16" s="1115">
        <v>0</v>
      </c>
      <c r="H16" s="1115">
        <v>0</v>
      </c>
      <c r="I16" s="1115">
        <v>0</v>
      </c>
      <c r="J16" s="1115">
        <v>0</v>
      </c>
      <c r="K16" s="1115">
        <v>0</v>
      </c>
      <c r="L16" s="1115">
        <v>0</v>
      </c>
      <c r="M16" s="1115">
        <v>0</v>
      </c>
      <c r="N16" s="1115">
        <v>0</v>
      </c>
      <c r="O16" s="1115">
        <v>0</v>
      </c>
      <c r="P16" s="1115">
        <v>0</v>
      </c>
      <c r="Q16" s="1115">
        <v>0</v>
      </c>
      <c r="R16" s="1344"/>
      <c r="S16" s="1344">
        <f>'DFG 2018_2017'!D18</f>
        <v>0</v>
      </c>
      <c r="T16" s="1345">
        <f t="shared" si="0"/>
        <v>0</v>
      </c>
    </row>
    <row r="17" spans="1:21" x14ac:dyDescent="0.25">
      <c r="A17" s="1097" t="s">
        <v>864</v>
      </c>
      <c r="B17" s="1101">
        <v>3792850</v>
      </c>
      <c r="C17" s="1101">
        <v>52.05239755167019</v>
      </c>
      <c r="D17" s="1101">
        <v>6165290</v>
      </c>
      <c r="E17" s="1101">
        <v>98.362928572568165</v>
      </c>
      <c r="F17" s="1101">
        <v>13376582</v>
      </c>
      <c r="G17" s="1101">
        <v>42.49555874653722</v>
      </c>
      <c r="H17" s="1101">
        <v>6384232</v>
      </c>
      <c r="I17" s="1101">
        <v>91.875316601427585</v>
      </c>
      <c r="J17" s="1101">
        <v>4364380</v>
      </c>
      <c r="K17" s="1101">
        <v>70.568508876887748</v>
      </c>
      <c r="L17" s="1101">
        <v>2617561</v>
      </c>
      <c r="M17" s="1101">
        <v>33.173996248605903</v>
      </c>
      <c r="N17" s="1101">
        <v>1896444</v>
      </c>
      <c r="O17" s="1101">
        <v>59.282400750234451</v>
      </c>
      <c r="P17" s="1101">
        <v>1825759.9799999997</v>
      </c>
      <c r="Q17" s="1101">
        <v>41.634588616254668</v>
      </c>
      <c r="R17" s="1333">
        <f t="shared" ref="R17:R26" si="2">S17/1000</f>
        <v>46286.150939999992</v>
      </c>
      <c r="S17" s="1333">
        <f>'DFG 2018_2017'!D19</f>
        <v>46286150.93999999</v>
      </c>
      <c r="T17" s="1334">
        <f t="shared" si="0"/>
        <v>62.748970961444591</v>
      </c>
      <c r="U17" s="1346"/>
    </row>
    <row r="18" spans="1:21" x14ac:dyDescent="0.25">
      <c r="A18" s="1116" t="s">
        <v>865</v>
      </c>
      <c r="B18" s="1246">
        <v>16952</v>
      </c>
      <c r="C18" s="1246">
        <v>0.23264622732138446</v>
      </c>
      <c r="D18" s="1246">
        <v>1121219.5122447452</v>
      </c>
      <c r="E18" s="1246">
        <v>17.888280161533292</v>
      </c>
      <c r="F18" s="1246">
        <v>785021</v>
      </c>
      <c r="G18" s="1246">
        <v>2.4939036012910769</v>
      </c>
      <c r="H18" s="1246">
        <v>474695</v>
      </c>
      <c r="I18" s="1246">
        <v>6.8313233939673035</v>
      </c>
      <c r="J18" s="1246">
        <v>0</v>
      </c>
      <c r="K18" s="1246">
        <v>0</v>
      </c>
      <c r="L18" s="1246">
        <v>0</v>
      </c>
      <c r="M18" s="1246">
        <v>0</v>
      </c>
      <c r="N18" s="1246">
        <v>0</v>
      </c>
      <c r="O18" s="1246">
        <v>0</v>
      </c>
      <c r="P18" s="1246">
        <v>0</v>
      </c>
      <c r="Q18" s="1246">
        <v>0</v>
      </c>
      <c r="R18" s="1347">
        <f t="shared" si="2"/>
        <v>2314.3596315448249</v>
      </c>
      <c r="S18" s="1347">
        <f>'DFG 2018_2017'!D21</f>
        <v>2314359.6315448247</v>
      </c>
      <c r="T18" s="1348">
        <f t="shared" si="0"/>
        <v>3.1375191577799804</v>
      </c>
      <c r="U18" s="1349"/>
    </row>
    <row r="19" spans="1:21" x14ac:dyDescent="0.25">
      <c r="A19" s="1121" t="s">
        <v>866</v>
      </c>
      <c r="B19" s="1246">
        <v>154983</v>
      </c>
      <c r="C19" s="1246">
        <v>2.1269590755633629</v>
      </c>
      <c r="D19" s="1246">
        <v>0</v>
      </c>
      <c r="E19" s="1246">
        <v>0</v>
      </c>
      <c r="F19" s="1246">
        <v>2739</v>
      </c>
      <c r="G19" s="1246">
        <v>8.701425775789768E-3</v>
      </c>
      <c r="H19" s="1246">
        <v>0</v>
      </c>
      <c r="I19" s="1246">
        <v>0</v>
      </c>
      <c r="J19" s="1246">
        <v>531900</v>
      </c>
      <c r="K19" s="1246">
        <v>8.6003945283445979</v>
      </c>
      <c r="L19" s="1246">
        <v>2318770</v>
      </c>
      <c r="M19" s="1246">
        <v>29.387230051708404</v>
      </c>
      <c r="N19" s="1246">
        <v>1029540</v>
      </c>
      <c r="O19" s="1246">
        <v>32.183182244451388</v>
      </c>
      <c r="P19" s="1246">
        <v>75880</v>
      </c>
      <c r="Q19" s="1246">
        <v>1.730365775791298</v>
      </c>
      <c r="R19" s="1347">
        <f t="shared" si="2"/>
        <v>4179.787041177362</v>
      </c>
      <c r="S19" s="1347">
        <f>'DFG 2018_2017'!D22</f>
        <v>4179787.0411773617</v>
      </c>
      <c r="T19" s="1348">
        <f t="shared" si="0"/>
        <v>5.6664321907398758</v>
      </c>
      <c r="U19" s="1349"/>
    </row>
    <row r="20" spans="1:21" x14ac:dyDescent="0.25">
      <c r="A20" s="1126" t="s">
        <v>867</v>
      </c>
      <c r="B20" s="1350">
        <v>171935</v>
      </c>
      <c r="C20" s="1246">
        <v>2.3596053028847472</v>
      </c>
      <c r="D20" s="1350">
        <v>1121219.5122447452</v>
      </c>
      <c r="E20" s="1246">
        <v>17.888280161533292</v>
      </c>
      <c r="F20" s="1350">
        <v>787760</v>
      </c>
      <c r="G20" s="1246">
        <v>2.5026050270668665</v>
      </c>
      <c r="H20" s="1350">
        <v>474695</v>
      </c>
      <c r="I20" s="1246">
        <v>6.8313233939673035</v>
      </c>
      <c r="J20" s="1350">
        <v>531900</v>
      </c>
      <c r="K20" s="1246">
        <v>8.6003945283445979</v>
      </c>
      <c r="L20" s="1350">
        <v>2318770</v>
      </c>
      <c r="M20" s="1246">
        <v>29.387230051708404</v>
      </c>
      <c r="N20" s="1350">
        <v>1029540</v>
      </c>
      <c r="O20" s="1246">
        <v>32.183182244451388</v>
      </c>
      <c r="P20" s="1350">
        <v>75880</v>
      </c>
      <c r="Q20" s="1246">
        <v>1.730365775791298</v>
      </c>
      <c r="R20" s="1347">
        <f t="shared" si="2"/>
        <v>6494.1466727221868</v>
      </c>
      <c r="S20" s="1351">
        <f>'DFG 2018_2017'!D23</f>
        <v>6494146.6727221869</v>
      </c>
      <c r="T20" s="1348">
        <f t="shared" si="0"/>
        <v>8.8039513485198562</v>
      </c>
      <c r="U20" s="1346"/>
    </row>
    <row r="21" spans="1:21" x14ac:dyDescent="0.25">
      <c r="A21" s="1116" t="s">
        <v>868</v>
      </c>
      <c r="B21" s="1246">
        <v>894</v>
      </c>
      <c r="C21" s="1246">
        <v>1.2269096698048473E-2</v>
      </c>
      <c r="D21" s="1246">
        <v>0</v>
      </c>
      <c r="E21" s="1246">
        <v>0</v>
      </c>
      <c r="F21" s="1246">
        <v>343560</v>
      </c>
      <c r="G21" s="1246">
        <v>1.0914428037715709</v>
      </c>
      <c r="H21" s="1246">
        <v>0</v>
      </c>
      <c r="I21" s="1246">
        <v>0</v>
      </c>
      <c r="J21" s="1246">
        <v>0</v>
      </c>
      <c r="K21" s="1246">
        <v>0</v>
      </c>
      <c r="L21" s="1246">
        <v>0</v>
      </c>
      <c r="M21" s="1246">
        <v>0</v>
      </c>
      <c r="N21" s="1246">
        <v>0</v>
      </c>
      <c r="O21" s="1246">
        <v>0</v>
      </c>
      <c r="P21" s="1246">
        <v>0</v>
      </c>
      <c r="Q21" s="1246">
        <v>0</v>
      </c>
      <c r="R21" s="1347">
        <f t="shared" si="2"/>
        <v>332.45530845517584</v>
      </c>
      <c r="S21" s="1347">
        <f>'DFG 2018_2017'!D24</f>
        <v>332455.30845517584</v>
      </c>
      <c r="T21" s="1348">
        <f t="shared" si="0"/>
        <v>0.4507013020649312</v>
      </c>
    </row>
    <row r="22" spans="1:21" x14ac:dyDescent="0.25">
      <c r="A22" s="1121" t="s">
        <v>869</v>
      </c>
      <c r="B22" s="1246">
        <v>8357</v>
      </c>
      <c r="C22" s="1246">
        <v>0.11468997886531442</v>
      </c>
      <c r="D22" s="1246">
        <v>0</v>
      </c>
      <c r="E22" s="1246">
        <v>0</v>
      </c>
      <c r="F22" s="1246">
        <v>333216</v>
      </c>
      <c r="G22" s="1246">
        <v>1.0585813403817317</v>
      </c>
      <c r="H22" s="1246">
        <v>0</v>
      </c>
      <c r="I22" s="1246">
        <v>0</v>
      </c>
      <c r="J22" s="1246">
        <v>0</v>
      </c>
      <c r="K22" s="1246">
        <v>0</v>
      </c>
      <c r="L22" s="1246">
        <v>0</v>
      </c>
      <c r="M22" s="1246">
        <v>0</v>
      </c>
      <c r="N22" s="1246">
        <v>0</v>
      </c>
      <c r="O22" s="1246">
        <v>0</v>
      </c>
      <c r="P22" s="1246">
        <v>0</v>
      </c>
      <c r="Q22" s="1246">
        <v>0</v>
      </c>
      <c r="R22" s="1347">
        <f t="shared" si="2"/>
        <v>347.05095882263828</v>
      </c>
      <c r="S22" s="1347">
        <f>'DFG 2018_2017'!D25</f>
        <v>347050.95882263826</v>
      </c>
      <c r="T22" s="1348">
        <f t="shared" si="0"/>
        <v>0.47048825825963647</v>
      </c>
      <c r="U22" s="1349"/>
    </row>
    <row r="23" spans="1:21" x14ac:dyDescent="0.25">
      <c r="A23" s="1126" t="s">
        <v>870</v>
      </c>
      <c r="B23" s="1350">
        <v>9251</v>
      </c>
      <c r="C23" s="1246">
        <v>0.12695907556336289</v>
      </c>
      <c r="D23" s="1350">
        <v>0</v>
      </c>
      <c r="E23" s="1246">
        <v>0</v>
      </c>
      <c r="F23" s="1350">
        <v>676776</v>
      </c>
      <c r="G23" s="1246">
        <v>2.1500241441533028</v>
      </c>
      <c r="H23" s="1350">
        <v>0</v>
      </c>
      <c r="I23" s="1246">
        <v>0</v>
      </c>
      <c r="J23" s="1350">
        <v>0</v>
      </c>
      <c r="K23" s="1246">
        <v>0</v>
      </c>
      <c r="L23" s="1350">
        <v>0</v>
      </c>
      <c r="M23" s="1246">
        <v>0</v>
      </c>
      <c r="N23" s="1350">
        <v>0</v>
      </c>
      <c r="O23" s="1246">
        <v>0</v>
      </c>
      <c r="P23" s="1350">
        <v>0</v>
      </c>
      <c r="Q23" s="1246">
        <v>0</v>
      </c>
      <c r="R23" s="1347">
        <f t="shared" si="2"/>
        <v>679.50626727781412</v>
      </c>
      <c r="S23" s="1351">
        <f>'DFG 2018_2017'!D26</f>
        <v>679506.2672778141</v>
      </c>
      <c r="T23" s="1348">
        <f t="shared" si="0"/>
        <v>0.92118956032456767</v>
      </c>
      <c r="U23" s="1346"/>
    </row>
    <row r="24" spans="1:21" x14ac:dyDescent="0.25">
      <c r="A24" s="1097" t="s">
        <v>871</v>
      </c>
      <c r="B24" s="1101">
        <v>181186</v>
      </c>
      <c r="C24" s="1101">
        <v>2.4865643784481102</v>
      </c>
      <c r="D24" s="1101">
        <v>1121219.5122447452</v>
      </c>
      <c r="E24" s="1101">
        <v>17.888280161533292</v>
      </c>
      <c r="F24" s="1101">
        <v>1464536</v>
      </c>
      <c r="G24" s="1101">
        <v>4.6526291712201688</v>
      </c>
      <c r="H24" s="1101">
        <v>474695</v>
      </c>
      <c r="I24" s="1101">
        <v>6.8313233939673035</v>
      </c>
      <c r="J24" s="1101">
        <v>531900</v>
      </c>
      <c r="K24" s="1101">
        <v>8.6003945283445979</v>
      </c>
      <c r="L24" s="1101">
        <v>2318770</v>
      </c>
      <c r="M24" s="1101">
        <v>29.387230051708404</v>
      </c>
      <c r="N24" s="1101">
        <v>1029540</v>
      </c>
      <c r="O24" s="1101">
        <v>32.183182244451388</v>
      </c>
      <c r="P24" s="1101">
        <v>75880</v>
      </c>
      <c r="Q24" s="1101">
        <v>1.730365775791298</v>
      </c>
      <c r="R24" s="1333">
        <f t="shared" si="2"/>
        <v>7173.6529400000018</v>
      </c>
      <c r="S24" s="1333">
        <f>'DFG 2018_2017'!D27</f>
        <v>7173652.9400000013</v>
      </c>
      <c r="T24" s="1334">
        <f t="shared" si="0"/>
        <v>9.7251409088444252</v>
      </c>
      <c r="U24" s="1346"/>
    </row>
    <row r="25" spans="1:21" x14ac:dyDescent="0.25">
      <c r="A25" s="1127" t="s">
        <v>872</v>
      </c>
      <c r="B25" s="1130">
        <v>3974036</v>
      </c>
      <c r="C25" s="1130">
        <v>54.538961930118298</v>
      </c>
      <c r="D25" s="1130">
        <v>7286509.5122447452</v>
      </c>
      <c r="E25" s="1130">
        <v>116.25120873410145</v>
      </c>
      <c r="F25" s="1130">
        <v>14841118</v>
      </c>
      <c r="G25" s="1130">
        <v>47.14818791775739</v>
      </c>
      <c r="H25" s="1130">
        <v>6858927</v>
      </c>
      <c r="I25" s="1130">
        <v>98.706639995394895</v>
      </c>
      <c r="J25" s="1130">
        <v>4896280</v>
      </c>
      <c r="K25" s="1130">
        <v>79.168903405232356</v>
      </c>
      <c r="L25" s="1130">
        <v>4936331</v>
      </c>
      <c r="M25" s="1130">
        <v>62.561226300314303</v>
      </c>
      <c r="N25" s="1130">
        <v>2925984</v>
      </c>
      <c r="O25" s="1130">
        <v>91.465582994685846</v>
      </c>
      <c r="P25" s="1130">
        <v>1901639.9799999997</v>
      </c>
      <c r="Q25" s="1130">
        <v>43.364954392045966</v>
      </c>
      <c r="R25" s="1352">
        <f t="shared" si="2"/>
        <v>53459.803879999992</v>
      </c>
      <c r="S25" s="1352">
        <f>'DFG 2018_2017'!D28</f>
        <v>53459803.879999995</v>
      </c>
      <c r="T25" s="1353">
        <f t="shared" si="0"/>
        <v>72.474111870289022</v>
      </c>
      <c r="U25" s="1346"/>
    </row>
    <row r="26" spans="1:21" x14ac:dyDescent="0.25">
      <c r="A26" s="1131" t="s">
        <v>873</v>
      </c>
      <c r="B26" s="1135">
        <v>4213383.08</v>
      </c>
      <c r="C26" s="1135">
        <v>57.823718606757609</v>
      </c>
      <c r="D26" s="1135">
        <v>8058936.1789114121</v>
      </c>
      <c r="E26" s="1135">
        <v>128.5747408049173</v>
      </c>
      <c r="F26" s="1135">
        <v>16954173.444865406</v>
      </c>
      <c r="G26" s="1135">
        <v>53.861074049055219</v>
      </c>
      <c r="H26" s="1135">
        <v>7257871</v>
      </c>
      <c r="I26" s="1135">
        <v>104.44783271931844</v>
      </c>
      <c r="J26" s="1135">
        <v>4896280</v>
      </c>
      <c r="K26" s="1135">
        <v>79.168903405232356</v>
      </c>
      <c r="L26" s="1135">
        <v>5096043</v>
      </c>
      <c r="M26" s="1135">
        <v>64.58535688938457</v>
      </c>
      <c r="N26" s="1135">
        <v>3304445</v>
      </c>
      <c r="O26" s="1135">
        <v>103.29618630822132</v>
      </c>
      <c r="P26" s="1135">
        <v>1901639.9799999997</v>
      </c>
      <c r="Q26" s="1135">
        <v>43.364954392045966</v>
      </c>
      <c r="R26" s="1354">
        <f t="shared" si="2"/>
        <v>56778.255409999998</v>
      </c>
      <c r="S26" s="1354">
        <f>'DFG 2018_2017'!D29</f>
        <v>56778255.409999996</v>
      </c>
      <c r="T26" s="1355">
        <f t="shared" si="0"/>
        <v>76.972853166856453</v>
      </c>
      <c r="U26" s="1356"/>
    </row>
    <row r="27" spans="1:21" x14ac:dyDescent="0.25">
      <c r="A27" s="1136" t="s">
        <v>874</v>
      </c>
      <c r="B27" s="1139"/>
      <c r="C27" s="1139"/>
      <c r="D27" s="1139"/>
      <c r="E27" s="1139"/>
      <c r="F27" s="1139"/>
      <c r="G27" s="1139"/>
      <c r="H27" s="1139"/>
      <c r="I27" s="1139"/>
      <c r="J27" s="1139"/>
      <c r="K27" s="1139"/>
      <c r="L27" s="1139"/>
      <c r="M27" s="1139"/>
      <c r="N27" s="1139"/>
      <c r="O27" s="1139"/>
      <c r="P27" s="1139"/>
      <c r="Q27" s="1139"/>
      <c r="R27" s="1357"/>
      <c r="S27" s="1357"/>
      <c r="T27" s="1358"/>
      <c r="U27" s="1349"/>
    </row>
    <row r="28" spans="1:21" x14ac:dyDescent="0.25">
      <c r="A28" s="1140" t="s">
        <v>746</v>
      </c>
      <c r="B28" s="1143">
        <v>0</v>
      </c>
      <c r="C28" s="1143">
        <v>0</v>
      </c>
      <c r="D28" s="1143">
        <v>639668.69986955216</v>
      </c>
      <c r="E28" s="1143">
        <v>10.205470729742851</v>
      </c>
      <c r="F28" s="1143">
        <v>1595790</v>
      </c>
      <c r="G28" s="1143">
        <v>5.0696050524817649</v>
      </c>
      <c r="H28" s="1143">
        <v>167250</v>
      </c>
      <c r="I28" s="1143">
        <v>2.4068903983421599</v>
      </c>
      <c r="J28" s="1143">
        <v>147098.80000000002</v>
      </c>
      <c r="K28" s="1143">
        <v>2.3784691006694048</v>
      </c>
      <c r="L28" s="1143">
        <v>0</v>
      </c>
      <c r="M28" s="1143">
        <v>0</v>
      </c>
      <c r="N28" s="1143">
        <v>0</v>
      </c>
      <c r="O28" s="1143">
        <v>0</v>
      </c>
      <c r="P28" s="1143">
        <v>0</v>
      </c>
      <c r="Q28" s="1143">
        <v>0</v>
      </c>
      <c r="R28" s="1359">
        <f>S28/1000</f>
        <v>1999.3019999999999</v>
      </c>
      <c r="S28" s="1359">
        <f>'DFG 2018_2017'!D31</f>
        <v>1999302</v>
      </c>
      <c r="T28" s="1360">
        <f t="shared" si="0"/>
        <v>2.7104034488368312</v>
      </c>
      <c r="U28" s="1349"/>
    </row>
    <row r="29" spans="1:21" x14ac:dyDescent="0.25">
      <c r="A29" s="1140" t="s">
        <v>747</v>
      </c>
      <c r="B29" s="1143">
        <v>1837411</v>
      </c>
      <c r="C29" s="1143">
        <v>25.216301155545796</v>
      </c>
      <c r="D29" s="1143">
        <v>1531620</v>
      </c>
      <c r="E29" s="1143">
        <v>24.435935480783037</v>
      </c>
      <c r="F29" s="1143">
        <v>9479660</v>
      </c>
      <c r="G29" s="1143">
        <v>30.11557424962513</v>
      </c>
      <c r="H29" s="1143">
        <v>2224940</v>
      </c>
      <c r="I29" s="1143">
        <v>32.019053649551005</v>
      </c>
      <c r="J29" s="1143">
        <v>1795209.4000000001</v>
      </c>
      <c r="K29" s="1143">
        <v>29.02708986838276</v>
      </c>
      <c r="L29" s="1143">
        <v>2726249</v>
      </c>
      <c r="M29" s="1143">
        <v>34.551467606205009</v>
      </c>
      <c r="N29" s="1143">
        <v>1295083.6099999999</v>
      </c>
      <c r="O29" s="1143">
        <v>40.484014066895902</v>
      </c>
      <c r="P29" s="1143">
        <v>2104482.0299999998</v>
      </c>
      <c r="Q29" s="1143">
        <v>47.990559837635679</v>
      </c>
      <c r="R29" s="1359">
        <f t="shared" ref="R29:R35" si="3">S29/1000</f>
        <v>24305.866560000002</v>
      </c>
      <c r="S29" s="1359">
        <f>'DFG 2018_2017'!D32</f>
        <v>24305866.560000002</v>
      </c>
      <c r="T29" s="1360">
        <f t="shared" si="0"/>
        <v>32.950852122986824</v>
      </c>
      <c r="U29" s="1349"/>
    </row>
    <row r="30" spans="1:21" x14ac:dyDescent="0.25">
      <c r="A30" s="1140" t="s">
        <v>875</v>
      </c>
      <c r="B30" s="1143">
        <v>11179</v>
      </c>
      <c r="C30" s="1143">
        <v>0.15341860401284549</v>
      </c>
      <c r="D30" s="1143">
        <v>6661.3001304478703</v>
      </c>
      <c r="E30" s="1143">
        <v>0.10627642640195074</v>
      </c>
      <c r="F30" s="1143">
        <v>0</v>
      </c>
      <c r="G30" s="1143">
        <v>0</v>
      </c>
      <c r="H30" s="1143">
        <v>229200</v>
      </c>
      <c r="I30" s="1143">
        <v>3.2984112364724845</v>
      </c>
      <c r="J30" s="1143">
        <v>290912.80000000005</v>
      </c>
      <c r="K30" s="1143">
        <v>4.7038256314070441</v>
      </c>
      <c r="L30" s="1143">
        <v>0</v>
      </c>
      <c r="M30" s="1143">
        <v>0</v>
      </c>
      <c r="N30" s="1143">
        <v>39411.550000000003</v>
      </c>
      <c r="O30" s="1143">
        <v>1.2319959362300721</v>
      </c>
      <c r="P30" s="1143">
        <v>0</v>
      </c>
      <c r="Q30" s="1143">
        <v>0</v>
      </c>
      <c r="R30" s="1359">
        <f t="shared" si="3"/>
        <v>241.55745999999999</v>
      </c>
      <c r="S30" s="1359">
        <f>'DFG 2018_2017'!D33</f>
        <v>241557.46</v>
      </c>
      <c r="T30" s="1360">
        <f t="shared" si="0"/>
        <v>0.32747337454584891</v>
      </c>
      <c r="U30" s="1349"/>
    </row>
    <row r="31" spans="1:21" x14ac:dyDescent="0.25">
      <c r="A31" s="1140" t="s">
        <v>749</v>
      </c>
      <c r="B31" s="1143">
        <v>570488</v>
      </c>
      <c r="C31" s="1143">
        <v>7.8292756566848736</v>
      </c>
      <c r="D31" s="1143">
        <v>0</v>
      </c>
      <c r="E31" s="1143">
        <v>0</v>
      </c>
      <c r="F31" s="1143">
        <v>1569180</v>
      </c>
      <c r="G31" s="1143">
        <v>4.9850687472996666</v>
      </c>
      <c r="H31" s="1143">
        <v>0</v>
      </c>
      <c r="I31" s="1143">
        <v>0</v>
      </c>
      <c r="J31" s="1143">
        <v>345850.8</v>
      </c>
      <c r="K31" s="1143">
        <v>5.5921288361413835</v>
      </c>
      <c r="L31" s="1143">
        <v>0</v>
      </c>
      <c r="M31" s="1143">
        <v>0</v>
      </c>
      <c r="N31" s="1143">
        <v>5730.7800000000007</v>
      </c>
      <c r="O31" s="1143">
        <v>0.17914285714285716</v>
      </c>
      <c r="P31" s="1143">
        <v>0</v>
      </c>
      <c r="Q31" s="1143">
        <v>0</v>
      </c>
      <c r="R31" s="1359">
        <f t="shared" si="3"/>
        <v>911.47500000000002</v>
      </c>
      <c r="S31" s="1359">
        <f>'DFG 2018_2017'!D34</f>
        <v>911475</v>
      </c>
      <c r="T31" s="1360">
        <f t="shared" si="0"/>
        <v>1.2356637384089799</v>
      </c>
      <c r="U31" s="1349"/>
    </row>
    <row r="32" spans="1:21" x14ac:dyDescent="0.25">
      <c r="A32" s="1140" t="s">
        <v>876</v>
      </c>
      <c r="B32" s="1143">
        <v>0</v>
      </c>
      <c r="C32" s="1143">
        <v>0</v>
      </c>
      <c r="D32" s="1143">
        <v>787193.43859649124</v>
      </c>
      <c r="E32" s="1143">
        <v>12.55912568159178</v>
      </c>
      <c r="F32" s="1143">
        <v>1423781</v>
      </c>
      <c r="G32" s="1143">
        <v>4.523156149134623</v>
      </c>
      <c r="H32" s="1143">
        <v>585070</v>
      </c>
      <c r="I32" s="1143">
        <v>8.4197271471333188</v>
      </c>
      <c r="J32" s="1143">
        <v>102289.20000000001</v>
      </c>
      <c r="K32" s="1143">
        <v>1.6539339650098634</v>
      </c>
      <c r="L32" s="1143">
        <v>0</v>
      </c>
      <c r="M32" s="1143">
        <v>0</v>
      </c>
      <c r="N32" s="1143">
        <v>0</v>
      </c>
      <c r="O32" s="1143">
        <v>0</v>
      </c>
      <c r="P32" s="1143">
        <v>0</v>
      </c>
      <c r="Q32" s="1143">
        <v>0</v>
      </c>
      <c r="R32" s="1359">
        <f t="shared" si="3"/>
        <v>5724.0353100000002</v>
      </c>
      <c r="S32" s="1359">
        <f>'DFG 2018_2017'!D35</f>
        <v>5724035.3100000005</v>
      </c>
      <c r="T32" s="1360">
        <f t="shared" si="0"/>
        <v>7.7599307385716614</v>
      </c>
      <c r="U32" s="1349"/>
    </row>
    <row r="33" spans="1:21" x14ac:dyDescent="0.25">
      <c r="A33" s="1140" t="s">
        <v>877</v>
      </c>
      <c r="B33" s="1143">
        <v>0</v>
      </c>
      <c r="C33" s="1143">
        <v>0</v>
      </c>
      <c r="D33" s="1143">
        <v>0</v>
      </c>
      <c r="E33" s="1143">
        <v>0</v>
      </c>
      <c r="F33" s="1143">
        <v>894840</v>
      </c>
      <c r="G33" s="1143">
        <v>2.8427834396523242</v>
      </c>
      <c r="H33" s="1143">
        <v>0</v>
      </c>
      <c r="I33" s="1143">
        <v>0</v>
      </c>
      <c r="J33" s="1143">
        <v>0</v>
      </c>
      <c r="K33" s="1143">
        <v>0</v>
      </c>
      <c r="L33" s="1143">
        <v>0</v>
      </c>
      <c r="M33" s="1143">
        <v>0</v>
      </c>
      <c r="N33" s="1143">
        <v>1820</v>
      </c>
      <c r="O33" s="1143">
        <v>5.689277899343545E-2</v>
      </c>
      <c r="P33" s="1143">
        <v>0</v>
      </c>
      <c r="Q33" s="1143">
        <v>0</v>
      </c>
      <c r="R33" s="1359">
        <f t="shared" si="3"/>
        <v>947.1</v>
      </c>
      <c r="S33" s="1359">
        <f>'DFG 2018_2017'!D36</f>
        <v>947100</v>
      </c>
      <c r="T33" s="1360">
        <f t="shared" si="0"/>
        <v>1.2839596551163168</v>
      </c>
      <c r="U33" s="1349"/>
    </row>
    <row r="34" spans="1:21" x14ac:dyDescent="0.25">
      <c r="A34" s="1140" t="s">
        <v>878</v>
      </c>
      <c r="B34" s="1143">
        <v>1369924</v>
      </c>
      <c r="C34" s="1143">
        <v>18.800592869102189</v>
      </c>
      <c r="D34" s="1143">
        <v>311946.56140350876</v>
      </c>
      <c r="E34" s="1143">
        <v>4.9768911661562685</v>
      </c>
      <c r="F34" s="1143">
        <v>3480684</v>
      </c>
      <c r="G34" s="1143">
        <v>11.057653696596946</v>
      </c>
      <c r="H34" s="1143">
        <v>469260</v>
      </c>
      <c r="I34" s="1143">
        <v>6.7531084503799219</v>
      </c>
      <c r="J34" s="1143">
        <v>787150</v>
      </c>
      <c r="K34" s="1143">
        <v>12.727581411894059</v>
      </c>
      <c r="L34" s="1143">
        <v>1744240</v>
      </c>
      <c r="M34" s="1143">
        <v>22.105850147014092</v>
      </c>
      <c r="N34" s="1143">
        <v>286298.69</v>
      </c>
      <c r="O34" s="1143">
        <v>8.9496308221319154</v>
      </c>
      <c r="P34" s="1143">
        <v>0</v>
      </c>
      <c r="Q34" s="1143">
        <v>0</v>
      </c>
      <c r="R34" s="1359">
        <f t="shared" si="3"/>
        <v>8771.4736299999986</v>
      </c>
      <c r="S34" s="1359">
        <f>'DFG 2018_2017'!D37</f>
        <v>8771473.629999999</v>
      </c>
      <c r="T34" s="1360">
        <f t="shared" si="0"/>
        <v>11.891266240984761</v>
      </c>
      <c r="U34" s="1349"/>
    </row>
    <row r="35" spans="1:21" x14ac:dyDescent="0.25">
      <c r="A35" s="1140" t="s">
        <v>753</v>
      </c>
      <c r="B35" s="1143">
        <v>35367</v>
      </c>
      <c r="C35" s="1143">
        <v>0.48537040595064912</v>
      </c>
      <c r="D35" s="1143">
        <v>259760.00413137884</v>
      </c>
      <c r="E35" s="1143">
        <v>4.144290817201596</v>
      </c>
      <c r="F35" s="1143">
        <v>169840</v>
      </c>
      <c r="G35" s="1143">
        <v>0.53955828906905223</v>
      </c>
      <c r="H35" s="1143">
        <v>214110</v>
      </c>
      <c r="I35" s="1143">
        <v>3.081251439097398</v>
      </c>
      <c r="J35" s="1143">
        <v>163591</v>
      </c>
      <c r="K35" s="1143">
        <v>2.6451346893897747</v>
      </c>
      <c r="L35" s="1143">
        <v>791985</v>
      </c>
      <c r="M35" s="1143">
        <v>10.037323836560883</v>
      </c>
      <c r="N35" s="1143">
        <v>81239.98</v>
      </c>
      <c r="O35" s="1143">
        <v>2.5395429821819318</v>
      </c>
      <c r="P35" s="1143">
        <v>98560</v>
      </c>
      <c r="Q35" s="1143">
        <v>2.2475599744595458</v>
      </c>
      <c r="R35" s="1359">
        <f t="shared" si="3"/>
        <v>1940.3554199999999</v>
      </c>
      <c r="S35" s="1359">
        <f>'DFG 2018_2017'!D38</f>
        <v>1940355.42</v>
      </c>
      <c r="T35" s="1360">
        <f t="shared" si="0"/>
        <v>2.6304910525459575</v>
      </c>
      <c r="U35" s="1349"/>
    </row>
    <row r="36" spans="1:21" x14ac:dyDescent="0.25">
      <c r="A36" s="1144" t="s">
        <v>879</v>
      </c>
      <c r="B36" s="1147">
        <v>3824369</v>
      </c>
      <c r="C36" s="1147">
        <v>52.484958691296349</v>
      </c>
      <c r="D36" s="1147">
        <v>3536850.0041313786</v>
      </c>
      <c r="E36" s="1147">
        <v>56.427990301877479</v>
      </c>
      <c r="F36" s="1147">
        <v>18613775</v>
      </c>
      <c r="G36" s="1147">
        <v>59.133399623859503</v>
      </c>
      <c r="H36" s="1147">
        <v>3889830</v>
      </c>
      <c r="I36" s="1147">
        <v>55.978442320976285</v>
      </c>
      <c r="J36" s="1147">
        <v>3632102</v>
      </c>
      <c r="K36" s="1147">
        <v>58.728163502894283</v>
      </c>
      <c r="L36" s="1147">
        <v>5262474</v>
      </c>
      <c r="M36" s="1147">
        <v>66.694641589779991</v>
      </c>
      <c r="N36" s="1147">
        <v>1709584.6099999999</v>
      </c>
      <c r="O36" s="1147">
        <v>53.441219443576117</v>
      </c>
      <c r="P36" s="1147">
        <v>2203042.0299999998</v>
      </c>
      <c r="Q36" s="1147">
        <v>50.238119812095228</v>
      </c>
      <c r="R36" s="1361">
        <f>S36/1000</f>
        <v>42672.02664413138</v>
      </c>
      <c r="S36" s="1361">
        <f>'DFG 2018_2017'!B40</f>
        <v>42672026.644131377</v>
      </c>
      <c r="T36" s="1362">
        <f t="shared" si="0"/>
        <v>57.8493935308977</v>
      </c>
      <c r="U36" s="1356"/>
    </row>
    <row r="37" spans="1:21" x14ac:dyDescent="0.25">
      <c r="A37" s="1148" t="s">
        <v>756</v>
      </c>
      <c r="B37" s="1148"/>
      <c r="C37" s="1148"/>
      <c r="D37" s="1148"/>
      <c r="E37" s="1148"/>
      <c r="F37" s="1148"/>
      <c r="G37" s="1148"/>
      <c r="H37" s="1148"/>
      <c r="I37" s="1148"/>
      <c r="J37" s="1148"/>
      <c r="K37" s="1148"/>
      <c r="L37" s="1148"/>
      <c r="M37" s="1148"/>
      <c r="N37" s="1148"/>
      <c r="O37" s="1148"/>
      <c r="P37" s="1148"/>
      <c r="Q37" s="1148"/>
      <c r="R37" s="1363"/>
      <c r="S37" s="1363"/>
      <c r="T37" s="1364"/>
      <c r="U37" s="1349"/>
    </row>
    <row r="38" spans="1:21" x14ac:dyDescent="0.25">
      <c r="A38" s="1152" t="s">
        <v>880</v>
      </c>
      <c r="B38" s="1155">
        <v>0</v>
      </c>
      <c r="C38" s="1155">
        <v>0</v>
      </c>
      <c r="D38" s="1155">
        <v>755096.4227179985</v>
      </c>
      <c r="E38" s="1155">
        <v>12.047040040811092</v>
      </c>
      <c r="F38" s="1155">
        <v>1393210</v>
      </c>
      <c r="G38" s="1155">
        <v>4.4260362924746488</v>
      </c>
      <c r="H38" s="1155">
        <v>150140</v>
      </c>
      <c r="I38" s="1155">
        <v>2.1606608335252129</v>
      </c>
      <c r="J38" s="1155">
        <v>150330</v>
      </c>
      <c r="K38" s="1155">
        <v>2.4307150017786112</v>
      </c>
      <c r="L38" s="1155">
        <v>0</v>
      </c>
      <c r="M38" s="1155">
        <v>0</v>
      </c>
      <c r="N38" s="1155">
        <v>75726.820000000007</v>
      </c>
      <c r="O38" s="1155">
        <v>2.3672028758987187</v>
      </c>
      <c r="P38" s="1155">
        <v>0</v>
      </c>
      <c r="Q38" s="1155">
        <v>0</v>
      </c>
      <c r="R38" s="1365">
        <f>S38/1000</f>
        <v>2149.6505000000002</v>
      </c>
      <c r="S38" s="1365">
        <f>'DFG 2018_2017'!D42</f>
        <v>2149650.5</v>
      </c>
      <c r="T38" s="1366">
        <f t="shared" si="0"/>
        <v>2.9142271297651972</v>
      </c>
      <c r="U38" s="1349"/>
    </row>
    <row r="39" spans="1:21" x14ac:dyDescent="0.25">
      <c r="A39" s="1152" t="s">
        <v>758</v>
      </c>
      <c r="B39" s="1155">
        <v>54674</v>
      </c>
      <c r="C39" s="1155">
        <v>0.75033623363434254</v>
      </c>
      <c r="D39" s="1155">
        <v>147700</v>
      </c>
      <c r="E39" s="1155">
        <v>2.3564511239809187</v>
      </c>
      <c r="F39" s="1155">
        <v>601020</v>
      </c>
      <c r="G39" s="1155">
        <v>1.909357765522149</v>
      </c>
      <c r="H39" s="1155">
        <v>0</v>
      </c>
      <c r="I39" s="1155">
        <v>0</v>
      </c>
      <c r="J39" s="1155">
        <v>0</v>
      </c>
      <c r="K39" s="1155">
        <v>0</v>
      </c>
      <c r="L39" s="1155">
        <v>0</v>
      </c>
      <c r="M39" s="1155">
        <v>0</v>
      </c>
      <c r="N39" s="1155">
        <v>0</v>
      </c>
      <c r="O39" s="1155">
        <v>0</v>
      </c>
      <c r="P39" s="1155">
        <v>0</v>
      </c>
      <c r="Q39" s="1155">
        <v>0</v>
      </c>
      <c r="R39" s="1365">
        <f>S39/1000</f>
        <v>838.84</v>
      </c>
      <c r="S39" s="1365">
        <f>'DFG 2018_2017'!D43</f>
        <v>838840</v>
      </c>
      <c r="T39" s="1366">
        <f t="shared" si="0"/>
        <v>1.1371942953202103</v>
      </c>
      <c r="U39" s="1349"/>
    </row>
    <row r="40" spans="1:21" x14ac:dyDescent="0.25">
      <c r="A40" s="1152" t="s">
        <v>759</v>
      </c>
      <c r="B40" s="1155">
        <v>1164586</v>
      </c>
      <c r="C40" s="1155">
        <v>15.98257074630143</v>
      </c>
      <c r="D40" s="1155">
        <v>1558150</v>
      </c>
      <c r="E40" s="1155">
        <v>24.859203241915154</v>
      </c>
      <c r="F40" s="1155">
        <v>6130710</v>
      </c>
      <c r="G40" s="1155">
        <v>19.476421328182582</v>
      </c>
      <c r="H40" s="1155">
        <v>2551380</v>
      </c>
      <c r="I40" s="1155">
        <v>36.716843195947504</v>
      </c>
      <c r="J40" s="1155">
        <v>1708833.42</v>
      </c>
      <c r="K40" s="1155">
        <v>27.630459851890176</v>
      </c>
      <c r="L40" s="1155">
        <v>1489368</v>
      </c>
      <c r="M40" s="1155">
        <v>18.875697049579234</v>
      </c>
      <c r="N40" s="1155">
        <v>761386.33000000007</v>
      </c>
      <c r="O40" s="1155">
        <v>23.80076055017193</v>
      </c>
      <c r="P40" s="1155">
        <v>995239.95000000007</v>
      </c>
      <c r="Q40" s="1155">
        <v>22.695428942807627</v>
      </c>
      <c r="R40" s="1365">
        <f>S40/1000</f>
        <v>19811.054829999997</v>
      </c>
      <c r="S40" s="1365">
        <f>'DFG 2018_2017'!D44</f>
        <v>19811054.829999998</v>
      </c>
      <c r="T40" s="1366">
        <f t="shared" si="0"/>
        <v>26.857348882923919</v>
      </c>
      <c r="U40" s="1349"/>
    </row>
    <row r="41" spans="1:21" x14ac:dyDescent="0.25">
      <c r="A41" s="1152" t="s">
        <v>875</v>
      </c>
      <c r="B41" s="1155">
        <v>0</v>
      </c>
      <c r="C41" s="1155">
        <v>0</v>
      </c>
      <c r="D41" s="1155">
        <v>5073.5772820015391</v>
      </c>
      <c r="E41" s="1155">
        <v>8.0945408861046592E-2</v>
      </c>
      <c r="F41" s="1155">
        <v>265320</v>
      </c>
      <c r="G41" s="1155">
        <v>0.84288509924517752</v>
      </c>
      <c r="H41" s="1155">
        <v>246380</v>
      </c>
      <c r="I41" s="1155">
        <v>3.5456481694681097</v>
      </c>
      <c r="J41" s="1155">
        <v>380978</v>
      </c>
      <c r="K41" s="1155">
        <v>6.1601073634511527</v>
      </c>
      <c r="L41" s="1155">
        <v>0</v>
      </c>
      <c r="M41" s="1155">
        <v>0</v>
      </c>
      <c r="N41" s="1155">
        <v>47554.84</v>
      </c>
      <c r="O41" s="1155">
        <v>1.4865532979055953</v>
      </c>
      <c r="P41" s="1155">
        <v>0</v>
      </c>
      <c r="Q41" s="1155">
        <v>0</v>
      </c>
      <c r="R41" s="1365">
        <f>S41/1000</f>
        <v>743.47410000000002</v>
      </c>
      <c r="S41" s="1365">
        <f>'DFG 2018_2017'!D45</f>
        <v>743474.1</v>
      </c>
      <c r="T41" s="1366">
        <f t="shared" si="0"/>
        <v>1.0079091426712217</v>
      </c>
      <c r="U41" s="1349"/>
    </row>
    <row r="42" spans="1:21" x14ac:dyDescent="0.25">
      <c r="A42" s="1152" t="s">
        <v>760</v>
      </c>
      <c r="B42" s="1155">
        <v>0</v>
      </c>
      <c r="C42" s="1155">
        <v>0</v>
      </c>
      <c r="D42" s="1155">
        <v>0</v>
      </c>
      <c r="E42" s="1155">
        <v>0</v>
      </c>
      <c r="F42" s="1155">
        <v>0</v>
      </c>
      <c r="G42" s="1155">
        <v>0</v>
      </c>
      <c r="H42" s="1155">
        <v>0</v>
      </c>
      <c r="I42" s="1155">
        <v>0</v>
      </c>
      <c r="J42" s="1155">
        <v>0</v>
      </c>
      <c r="K42" s="1155">
        <v>0</v>
      </c>
      <c r="L42" s="1155">
        <v>0</v>
      </c>
      <c r="M42" s="1155">
        <v>0</v>
      </c>
      <c r="N42" s="1155">
        <v>0</v>
      </c>
      <c r="O42" s="1155">
        <v>0</v>
      </c>
      <c r="P42" s="1155">
        <v>0</v>
      </c>
      <c r="Q42" s="1155">
        <v>0</v>
      </c>
      <c r="R42" s="1365"/>
      <c r="S42" s="1365">
        <f>'DFG 2018_2017'!D46</f>
        <v>0</v>
      </c>
      <c r="T42" s="1366">
        <f t="shared" si="0"/>
        <v>0</v>
      </c>
      <c r="U42" s="1349"/>
    </row>
    <row r="43" spans="1:21" ht="11.25" customHeight="1" x14ac:dyDescent="0.25">
      <c r="A43" s="1156" t="s">
        <v>881</v>
      </c>
      <c r="B43" s="1159">
        <v>1219260</v>
      </c>
      <c r="C43" s="1159">
        <v>16.732906979935773</v>
      </c>
      <c r="D43" s="1159">
        <v>2466020.0000000005</v>
      </c>
      <c r="E43" s="1159">
        <v>39.343639815568217</v>
      </c>
      <c r="F43" s="1159">
        <v>8390260</v>
      </c>
      <c r="G43" s="1159">
        <v>26.654700485424556</v>
      </c>
      <c r="H43" s="1159">
        <v>2947900</v>
      </c>
      <c r="I43" s="1159">
        <v>42.423152198940826</v>
      </c>
      <c r="J43" s="1159">
        <v>2240141.42</v>
      </c>
      <c r="K43" s="1159">
        <v>36.221282217119942</v>
      </c>
      <c r="L43" s="1159">
        <v>1489368</v>
      </c>
      <c r="M43" s="1159">
        <v>18.875697049579234</v>
      </c>
      <c r="N43" s="1159">
        <v>884667.99000000011</v>
      </c>
      <c r="O43" s="1159">
        <v>27.654516723976247</v>
      </c>
      <c r="P43" s="1159">
        <v>995239.95000000007</v>
      </c>
      <c r="Q43" s="1159">
        <v>22.695428942807627</v>
      </c>
      <c r="R43" s="1367">
        <f>S43/1000</f>
        <v>23543.01943</v>
      </c>
      <c r="S43" s="1367">
        <f>'DFG 2018_2017'!D48</f>
        <v>23543019.43</v>
      </c>
      <c r="T43" s="1368">
        <f t="shared" si="0"/>
        <v>31.916679450680547</v>
      </c>
      <c r="U43" s="1356"/>
    </row>
    <row r="44" spans="1:21" x14ac:dyDescent="0.25">
      <c r="A44" s="1160" t="s">
        <v>762</v>
      </c>
      <c r="B44" s="1160"/>
      <c r="C44" s="1160"/>
      <c r="D44" s="1160"/>
      <c r="E44" s="1160"/>
      <c r="F44" s="1160"/>
      <c r="G44" s="1160"/>
      <c r="H44" s="1160"/>
      <c r="I44" s="1160"/>
      <c r="J44" s="1160"/>
      <c r="K44" s="1160"/>
      <c r="L44" s="1160"/>
      <c r="M44" s="1160"/>
      <c r="N44" s="1160"/>
      <c r="O44" s="1160"/>
      <c r="P44" s="1160"/>
      <c r="Q44" s="1160"/>
      <c r="R44" s="1369"/>
      <c r="S44" s="1369"/>
      <c r="T44" s="1370"/>
      <c r="U44" s="1349"/>
    </row>
    <row r="45" spans="1:21" x14ac:dyDescent="0.25">
      <c r="A45" s="1164" t="s">
        <v>747</v>
      </c>
      <c r="B45" s="1167">
        <v>2121657</v>
      </c>
      <c r="C45" s="1167">
        <v>29.117242609721956</v>
      </c>
      <c r="D45" s="1167">
        <v>2434584</v>
      </c>
      <c r="E45" s="1167">
        <v>38.842100224955729</v>
      </c>
      <c r="F45" s="1167">
        <v>9468337</v>
      </c>
      <c r="G45" s="1167">
        <v>30.079602638066433</v>
      </c>
      <c r="H45" s="1167">
        <v>2498963</v>
      </c>
      <c r="I45" s="1167">
        <v>35.962511512779187</v>
      </c>
      <c r="J45" s="1167">
        <v>2276355</v>
      </c>
      <c r="K45" s="1167">
        <v>36.806826633897096</v>
      </c>
      <c r="L45" s="1167">
        <v>2210402</v>
      </c>
      <c r="M45" s="1167">
        <v>28.013814255297575</v>
      </c>
      <c r="N45" s="1167">
        <v>1085541</v>
      </c>
      <c r="O45" s="1167">
        <v>33.933760550171925</v>
      </c>
      <c r="P45" s="1167">
        <v>2011414</v>
      </c>
      <c r="Q45" s="1167">
        <v>45.868238620815468</v>
      </c>
      <c r="R45" s="1371">
        <f>S45/1000</f>
        <v>24692.190399999999</v>
      </c>
      <c r="S45" s="1371">
        <f>'DFG 2018_2017'!D50</f>
        <v>24692190.399999999</v>
      </c>
      <c r="T45" s="1372">
        <f t="shared" si="0"/>
        <v>33.474581638739764</v>
      </c>
      <c r="U45" s="1349"/>
    </row>
    <row r="46" spans="1:21" x14ac:dyDescent="0.25">
      <c r="A46" s="1164" t="s">
        <v>882</v>
      </c>
      <c r="B46" s="1167">
        <v>0</v>
      </c>
      <c r="C46" s="1167">
        <v>0</v>
      </c>
      <c r="D46" s="1167">
        <v>0</v>
      </c>
      <c r="E46" s="1167">
        <v>0</v>
      </c>
      <c r="F46" s="1167">
        <v>1850140</v>
      </c>
      <c r="G46" s="1167">
        <v>5.8776399725519095</v>
      </c>
      <c r="H46" s="1167">
        <v>0</v>
      </c>
      <c r="I46" s="1167">
        <v>0</v>
      </c>
      <c r="J46" s="1167">
        <v>0</v>
      </c>
      <c r="K46" s="1167">
        <v>0</v>
      </c>
      <c r="L46" s="1167">
        <v>302660</v>
      </c>
      <c r="M46" s="1167">
        <v>3.8358004663895366</v>
      </c>
      <c r="N46" s="1167">
        <v>0</v>
      </c>
      <c r="O46" s="1167">
        <v>0</v>
      </c>
      <c r="P46" s="1167">
        <v>0</v>
      </c>
      <c r="Q46" s="1167">
        <v>0</v>
      </c>
      <c r="R46" s="1371">
        <f>S46/1000</f>
        <v>2241.15</v>
      </c>
      <c r="S46" s="1371">
        <f>'DFG 2018_2017'!D51</f>
        <v>2241150</v>
      </c>
      <c r="T46" s="1372">
        <f t="shared" si="0"/>
        <v>3.0382707011550352</v>
      </c>
      <c r="U46" s="1349"/>
    </row>
    <row r="47" spans="1:21" x14ac:dyDescent="0.25">
      <c r="A47" s="1164" t="s">
        <v>764</v>
      </c>
      <c r="B47" s="1167">
        <v>0</v>
      </c>
      <c r="C47" s="1167">
        <v>0</v>
      </c>
      <c r="D47" s="1167">
        <v>0</v>
      </c>
      <c r="E47" s="1167">
        <v>0</v>
      </c>
      <c r="F47" s="1167">
        <v>0</v>
      </c>
      <c r="G47" s="1167">
        <v>0</v>
      </c>
      <c r="H47" s="1167">
        <v>0</v>
      </c>
      <c r="I47" s="1167">
        <v>0</v>
      </c>
      <c r="J47" s="1167">
        <v>0</v>
      </c>
      <c r="K47" s="1167">
        <v>0</v>
      </c>
      <c r="L47" s="1167">
        <v>0</v>
      </c>
      <c r="M47" s="1167">
        <v>0</v>
      </c>
      <c r="N47" s="1167">
        <v>0</v>
      </c>
      <c r="O47" s="1167">
        <v>0</v>
      </c>
      <c r="P47" s="1167">
        <v>0</v>
      </c>
      <c r="Q47" s="1167">
        <v>0</v>
      </c>
      <c r="R47" s="1371"/>
      <c r="S47" s="1371">
        <f>'DFG 2018_2017'!D52</f>
        <v>163217</v>
      </c>
      <c r="T47" s="1372">
        <f t="shared" si="0"/>
        <v>0.22126918279919744</v>
      </c>
      <c r="U47" s="1349"/>
    </row>
    <row r="48" spans="1:21" x14ac:dyDescent="0.25">
      <c r="A48" s="1168" t="s">
        <v>765</v>
      </c>
      <c r="B48" s="1172">
        <v>2121657</v>
      </c>
      <c r="C48" s="1172">
        <v>29.117242609721956</v>
      </c>
      <c r="D48" s="1172">
        <v>2434584</v>
      </c>
      <c r="E48" s="1172">
        <v>38.842100224955729</v>
      </c>
      <c r="F48" s="1172">
        <v>11318477</v>
      </c>
      <c r="G48" s="1172">
        <v>35.957242610618344</v>
      </c>
      <c r="H48" s="1172">
        <v>2498963</v>
      </c>
      <c r="I48" s="1172">
        <v>35.962511512779187</v>
      </c>
      <c r="J48" s="1172">
        <v>2276355</v>
      </c>
      <c r="K48" s="1172">
        <v>36.806826633897096</v>
      </c>
      <c r="L48" s="1172">
        <v>2513062</v>
      </c>
      <c r="M48" s="1172">
        <v>31.849614721687114</v>
      </c>
      <c r="N48" s="1172">
        <v>1085541</v>
      </c>
      <c r="O48" s="1172">
        <v>33.933760550171925</v>
      </c>
      <c r="P48" s="1172">
        <v>2011414</v>
      </c>
      <c r="Q48" s="1172">
        <v>45.868238620815468</v>
      </c>
      <c r="R48" s="1373">
        <f>S48/1000</f>
        <v>27096.557399999998</v>
      </c>
      <c r="S48" s="1373">
        <f>'DFG 2018_2017'!D53</f>
        <v>27096557.399999999</v>
      </c>
      <c r="T48" s="1374">
        <f t="shared" si="0"/>
        <v>36.734121522693997</v>
      </c>
      <c r="U48" s="1356"/>
    </row>
    <row r="49" spans="1:21" x14ac:dyDescent="0.25">
      <c r="A49" s="1173" t="s">
        <v>766</v>
      </c>
      <c r="B49" s="1176">
        <v>0</v>
      </c>
      <c r="C49" s="1176">
        <v>0</v>
      </c>
      <c r="D49" s="1176">
        <v>0</v>
      </c>
      <c r="E49" s="1176">
        <v>0</v>
      </c>
      <c r="F49" s="1176">
        <v>148145</v>
      </c>
      <c r="G49" s="1176">
        <v>0.47063626197677078</v>
      </c>
      <c r="H49" s="1176">
        <v>0</v>
      </c>
      <c r="I49" s="1176">
        <v>0</v>
      </c>
      <c r="J49" s="1176">
        <v>0</v>
      </c>
      <c r="K49" s="1176">
        <v>0</v>
      </c>
      <c r="L49" s="1176">
        <v>0</v>
      </c>
      <c r="M49" s="1176">
        <v>0</v>
      </c>
      <c r="N49" s="1176">
        <v>11260</v>
      </c>
      <c r="O49" s="1176">
        <v>0.35198499531103472</v>
      </c>
      <c r="P49" s="1176">
        <v>0</v>
      </c>
      <c r="Q49" s="1176">
        <v>0</v>
      </c>
      <c r="R49" s="1375">
        <f>S49/1000</f>
        <v>47.485999999999997</v>
      </c>
      <c r="S49" s="1375">
        <f>'DFG 2018_2017'!D54</f>
        <v>47486</v>
      </c>
      <c r="T49" s="1376">
        <f t="shared" si="0"/>
        <v>6.4375576161813344E-2</v>
      </c>
      <c r="U49" s="1349"/>
    </row>
    <row r="50" spans="1:21" x14ac:dyDescent="0.25">
      <c r="A50" s="1235" t="s">
        <v>883</v>
      </c>
      <c r="B50" s="1377">
        <v>3193452</v>
      </c>
      <c r="C50" s="1377">
        <v>43.826366206461174</v>
      </c>
      <c r="D50" s="1377">
        <v>3080408.7523357584</v>
      </c>
      <c r="E50" s="1377">
        <v>49.145786504822325</v>
      </c>
      <c r="F50" s="1377">
        <v>12558459.5</v>
      </c>
      <c r="G50" s="1377">
        <v>39.896496238595063</v>
      </c>
      <c r="H50" s="1377">
        <v>2826627.4151315247</v>
      </c>
      <c r="I50" s="1377">
        <v>40.677921585475545</v>
      </c>
      <c r="J50" s="1377">
        <v>3873179.3</v>
      </c>
      <c r="K50" s="1377">
        <v>62.626189244251847</v>
      </c>
      <c r="L50" s="1377">
        <v>6271626</v>
      </c>
      <c r="M50" s="1377">
        <v>79.484259353137986</v>
      </c>
      <c r="N50" s="1377">
        <v>1130835.96</v>
      </c>
      <c r="O50" s="1377">
        <v>35.349670522038139</v>
      </c>
      <c r="P50" s="1377">
        <v>2367587.0759999999</v>
      </c>
      <c r="Q50" s="1377">
        <v>53.990401258779528</v>
      </c>
      <c r="R50" s="1378"/>
      <c r="S50" s="1378"/>
      <c r="T50" s="1379"/>
      <c r="U50" s="1349"/>
    </row>
    <row r="51" spans="1:21" ht="15" customHeight="1" x14ac:dyDescent="0.25">
      <c r="A51" s="1177" t="s">
        <v>884</v>
      </c>
      <c r="B51" s="1177"/>
      <c r="C51" s="1177"/>
      <c r="D51" s="1177"/>
      <c r="E51" s="1177"/>
      <c r="F51" s="1177"/>
      <c r="G51" s="1177"/>
      <c r="H51" s="1177"/>
      <c r="I51" s="1177"/>
      <c r="J51" s="1177"/>
      <c r="K51" s="1177"/>
      <c r="L51" s="1177"/>
      <c r="M51" s="1177"/>
      <c r="N51" s="1177"/>
      <c r="O51" s="1177"/>
      <c r="P51" s="1177"/>
      <c r="Q51" s="1177"/>
      <c r="R51" s="1380"/>
      <c r="S51" s="1380"/>
      <c r="T51" s="1381"/>
      <c r="U51" s="1349"/>
    </row>
    <row r="52" spans="1:21" x14ac:dyDescent="0.25">
      <c r="A52" s="1181" t="s">
        <v>885</v>
      </c>
      <c r="B52" s="1184">
        <v>353564</v>
      </c>
      <c r="C52" s="1184">
        <v>4.8522493343946422</v>
      </c>
      <c r="D52" s="1184">
        <v>81420.000000000015</v>
      </c>
      <c r="E52" s="1184">
        <v>1.2989996649595561</v>
      </c>
      <c r="F52" s="1184">
        <v>4207473</v>
      </c>
      <c r="G52" s="1184">
        <v>13.366562253793173</v>
      </c>
      <c r="H52" s="1184">
        <v>274640.06709525909</v>
      </c>
      <c r="I52" s="1184">
        <v>3.9523380597406614</v>
      </c>
      <c r="J52" s="1184">
        <v>0</v>
      </c>
      <c r="K52" s="1184">
        <v>0</v>
      </c>
      <c r="L52" s="1184">
        <v>0</v>
      </c>
      <c r="M52" s="1184">
        <v>0</v>
      </c>
      <c r="N52" s="1184">
        <v>128354</v>
      </c>
      <c r="O52" s="1184">
        <v>4.0123163488590183</v>
      </c>
      <c r="P52" s="1184">
        <v>0</v>
      </c>
      <c r="Q52" s="1184">
        <v>0</v>
      </c>
      <c r="R52" s="1382">
        <f>S52/1000</f>
        <v>5066.1455099999994</v>
      </c>
      <c r="S52" s="1382">
        <f>'DFG 2018_2017'!D58</f>
        <v>5066145.51</v>
      </c>
      <c r="T52" s="1383">
        <f t="shared" si="0"/>
        <v>6.8680460793883196</v>
      </c>
      <c r="U52" s="1349"/>
    </row>
    <row r="53" spans="1:21" x14ac:dyDescent="0.25">
      <c r="A53" s="1181" t="s">
        <v>771</v>
      </c>
      <c r="B53" s="1184">
        <v>254520</v>
      </c>
      <c r="C53" s="1184">
        <v>3.4929871270551422</v>
      </c>
      <c r="D53" s="1184">
        <v>178120</v>
      </c>
      <c r="E53" s="1184">
        <v>2.841781138818424</v>
      </c>
      <c r="F53" s="1184">
        <v>402152</v>
      </c>
      <c r="G53" s="1184">
        <v>1.2775815182860193</v>
      </c>
      <c r="H53" s="1184">
        <v>0</v>
      </c>
      <c r="I53" s="1184">
        <v>0</v>
      </c>
      <c r="J53" s="1184">
        <v>0</v>
      </c>
      <c r="K53" s="1184">
        <v>0</v>
      </c>
      <c r="L53" s="1184">
        <v>0</v>
      </c>
      <c r="M53" s="1184">
        <v>0</v>
      </c>
      <c r="N53" s="1184">
        <v>0</v>
      </c>
      <c r="O53" s="1184">
        <v>0</v>
      </c>
      <c r="P53" s="1184">
        <v>0</v>
      </c>
      <c r="Q53" s="1184">
        <v>0</v>
      </c>
      <c r="R53" s="1382">
        <f>S53/1000</f>
        <v>1489.8783999999998</v>
      </c>
      <c r="S53" s="1382">
        <f>'DFG 2018_2017'!D60</f>
        <v>1489878.4</v>
      </c>
      <c r="T53" s="1383">
        <f t="shared" si="0"/>
        <v>2.0197906838023969</v>
      </c>
      <c r="U53" s="1349"/>
    </row>
    <row r="54" spans="1:21" x14ac:dyDescent="0.25">
      <c r="A54" s="1185" t="s">
        <v>886</v>
      </c>
      <c r="B54" s="1192">
        <v>608084</v>
      </c>
      <c r="C54" s="1192">
        <v>8.3452364614497849</v>
      </c>
      <c r="D54" s="1192">
        <v>259540</v>
      </c>
      <c r="E54" s="1192">
        <v>4.1407808037779796</v>
      </c>
      <c r="F54" s="1192">
        <v>4609625</v>
      </c>
      <c r="G54" s="1192">
        <v>14.644143772079193</v>
      </c>
      <c r="H54" s="1192">
        <v>274640.06709525909</v>
      </c>
      <c r="I54" s="1192">
        <v>3.9523380597406614</v>
      </c>
      <c r="J54" s="1192">
        <v>0</v>
      </c>
      <c r="K54" s="1192">
        <v>0</v>
      </c>
      <c r="L54" s="1192">
        <v>0</v>
      </c>
      <c r="M54" s="1192">
        <v>0</v>
      </c>
      <c r="N54" s="1192">
        <v>128354</v>
      </c>
      <c r="O54" s="1192">
        <v>4.0123163488590183</v>
      </c>
      <c r="P54" s="1192">
        <v>0</v>
      </c>
      <c r="Q54" s="1192">
        <v>0</v>
      </c>
      <c r="R54" s="1384">
        <f>S54/1000</f>
        <v>6556.0239099999999</v>
      </c>
      <c r="S54" s="1384">
        <f>'DFG 2018_2017'!D61</f>
        <v>6556023.9100000001</v>
      </c>
      <c r="T54" s="1385">
        <f t="shared" si="0"/>
        <v>8.887836763190716</v>
      </c>
      <c r="U54" s="1356"/>
    </row>
    <row r="55" spans="1:21" ht="14.25" customHeight="1" x14ac:dyDescent="0.25">
      <c r="A55" s="1181" t="s">
        <v>887</v>
      </c>
      <c r="B55" s="1184">
        <v>0</v>
      </c>
      <c r="C55" s="1184">
        <v>0</v>
      </c>
      <c r="D55" s="1184">
        <v>0</v>
      </c>
      <c r="E55" s="1184">
        <v>0</v>
      </c>
      <c r="F55" s="1184">
        <v>0</v>
      </c>
      <c r="G55" s="1184">
        <v>0</v>
      </c>
      <c r="H55" s="1184">
        <v>0</v>
      </c>
      <c r="I55" s="1184">
        <v>0</v>
      </c>
      <c r="J55" s="1184">
        <v>0</v>
      </c>
      <c r="K55" s="1184">
        <v>0</v>
      </c>
      <c r="L55" s="1184">
        <v>0</v>
      </c>
      <c r="M55" s="1184">
        <v>0</v>
      </c>
      <c r="N55" s="1184">
        <v>0</v>
      </c>
      <c r="O55" s="1184">
        <v>0</v>
      </c>
      <c r="P55" s="1184">
        <v>0</v>
      </c>
      <c r="Q55" s="1184">
        <v>0</v>
      </c>
      <c r="R55" s="1382"/>
      <c r="S55" s="1382">
        <f>'DFG 2018_2017'!D62</f>
        <v>0</v>
      </c>
      <c r="T55" s="1383">
        <f t="shared" si="0"/>
        <v>0</v>
      </c>
      <c r="U55" s="1349"/>
    </row>
    <row r="56" spans="1:21" x14ac:dyDescent="0.25">
      <c r="A56" s="1181" t="s">
        <v>888</v>
      </c>
      <c r="B56" s="1184">
        <v>0</v>
      </c>
      <c r="C56" s="1184">
        <v>0</v>
      </c>
      <c r="D56" s="1184">
        <v>0</v>
      </c>
      <c r="E56" s="1184">
        <v>0</v>
      </c>
      <c r="F56" s="1184">
        <v>0</v>
      </c>
      <c r="G56" s="1184">
        <v>0</v>
      </c>
      <c r="H56" s="1184">
        <v>0</v>
      </c>
      <c r="I56" s="1184">
        <v>0</v>
      </c>
      <c r="J56" s="1184">
        <v>0</v>
      </c>
      <c r="K56" s="1184">
        <v>0</v>
      </c>
      <c r="L56" s="1184">
        <v>0</v>
      </c>
      <c r="M56" s="1184">
        <v>0</v>
      </c>
      <c r="N56" s="1184">
        <v>0</v>
      </c>
      <c r="O56" s="1184">
        <v>0</v>
      </c>
      <c r="P56" s="1184">
        <v>0</v>
      </c>
      <c r="Q56" s="1184">
        <v>0</v>
      </c>
      <c r="R56" s="1382"/>
      <c r="S56" s="1382">
        <f>'DFG 2018_2017'!D63</f>
        <v>0</v>
      </c>
      <c r="T56" s="1383">
        <f t="shared" si="0"/>
        <v>0</v>
      </c>
      <c r="U56" s="1349"/>
    </row>
    <row r="57" spans="1:21" x14ac:dyDescent="0.25">
      <c r="A57" s="1185"/>
      <c r="B57" s="1184"/>
      <c r="C57" s="1184"/>
      <c r="D57" s="1184"/>
      <c r="E57" s="1184"/>
      <c r="F57" s="1184"/>
      <c r="G57" s="1184"/>
      <c r="H57" s="1184"/>
      <c r="I57" s="1184"/>
      <c r="J57" s="1184"/>
      <c r="K57" s="1184"/>
      <c r="L57" s="1184"/>
      <c r="M57" s="1184"/>
      <c r="N57" s="1184"/>
      <c r="O57" s="1184"/>
      <c r="P57" s="1184"/>
      <c r="Q57" s="1184"/>
      <c r="R57" s="1382"/>
      <c r="S57" s="1382"/>
      <c r="T57" s="1383">
        <f t="shared" si="0"/>
        <v>0</v>
      </c>
      <c r="U57" s="1349"/>
    </row>
    <row r="58" spans="1:21" x14ac:dyDescent="0.25">
      <c r="A58" s="1193" t="s">
        <v>773</v>
      </c>
      <c r="B58" s="1193"/>
      <c r="C58" s="1193"/>
      <c r="D58" s="1193"/>
      <c r="E58" s="1193"/>
      <c r="F58" s="1193"/>
      <c r="G58" s="1193"/>
      <c r="H58" s="1193"/>
      <c r="I58" s="1193"/>
      <c r="J58" s="1193"/>
      <c r="K58" s="1193"/>
      <c r="L58" s="1193"/>
      <c r="M58" s="1193"/>
      <c r="N58" s="1193"/>
      <c r="O58" s="1193"/>
      <c r="P58" s="1193"/>
      <c r="Q58" s="1193"/>
      <c r="R58" s="1386"/>
      <c r="S58" s="1386"/>
      <c r="T58" s="1387"/>
      <c r="U58" s="1349"/>
    </row>
    <row r="59" spans="1:21" x14ac:dyDescent="0.25">
      <c r="A59" s="1111" t="s">
        <v>889</v>
      </c>
      <c r="B59" s="1115">
        <v>1089212</v>
      </c>
      <c r="C59" s="1115">
        <v>14.948151401202207</v>
      </c>
      <c r="D59" s="1115">
        <v>0</v>
      </c>
      <c r="E59" s="1115">
        <v>0</v>
      </c>
      <c r="F59" s="1115">
        <v>3441340</v>
      </c>
      <c r="G59" s="1115">
        <v>10.932663227183776</v>
      </c>
      <c r="H59" s="1115">
        <v>660140</v>
      </c>
      <c r="I59" s="1115">
        <v>9.5000575638959237</v>
      </c>
      <c r="J59" s="1115">
        <v>943190</v>
      </c>
      <c r="K59" s="1115">
        <v>15.250622513986354</v>
      </c>
      <c r="L59" s="1115">
        <v>4406709</v>
      </c>
      <c r="M59" s="1115">
        <v>55.848993713880155</v>
      </c>
      <c r="N59" s="1115">
        <v>165260</v>
      </c>
      <c r="O59" s="1115">
        <v>5.1659893716786494</v>
      </c>
      <c r="P59" s="1115">
        <v>0</v>
      </c>
      <c r="Q59" s="1115">
        <v>0</v>
      </c>
      <c r="R59" s="1344">
        <f>S59/1000</f>
        <v>12043.666009999999</v>
      </c>
      <c r="S59" s="1344">
        <f>'DFG 2018_2017'!D66</f>
        <v>12043666.01</v>
      </c>
      <c r="T59" s="1345">
        <f t="shared" si="0"/>
        <v>16.327295171086167</v>
      </c>
      <c r="U59" s="1349"/>
    </row>
    <row r="60" spans="1:21" x14ac:dyDescent="0.25">
      <c r="A60" s="1111" t="s">
        <v>890</v>
      </c>
      <c r="B60" s="1115">
        <v>0</v>
      </c>
      <c r="C60" s="1115">
        <v>0</v>
      </c>
      <c r="D60" s="1115">
        <v>0</v>
      </c>
      <c r="E60" s="1115">
        <v>0</v>
      </c>
      <c r="F60" s="1115">
        <v>0</v>
      </c>
      <c r="G60" s="1115">
        <v>0</v>
      </c>
      <c r="H60" s="1115">
        <v>0</v>
      </c>
      <c r="I60" s="1115">
        <v>0</v>
      </c>
      <c r="J60" s="1115">
        <v>0</v>
      </c>
      <c r="K60" s="1115">
        <v>0</v>
      </c>
      <c r="L60" s="1115">
        <v>0</v>
      </c>
      <c r="M60" s="1115">
        <v>0</v>
      </c>
      <c r="N60" s="1115">
        <v>0</v>
      </c>
      <c r="O60" s="1115">
        <v>0</v>
      </c>
      <c r="P60" s="1115">
        <v>0</v>
      </c>
      <c r="Q60" s="1115">
        <v>0</v>
      </c>
      <c r="R60" s="1344"/>
      <c r="S60" s="1344">
        <f>'DFG 2018_2017'!D67</f>
        <v>0</v>
      </c>
      <c r="T60" s="1345">
        <f t="shared" si="0"/>
        <v>0</v>
      </c>
      <c r="U60" s="1349"/>
    </row>
    <row r="61" spans="1:21" x14ac:dyDescent="0.25">
      <c r="A61" s="1111" t="s">
        <v>776</v>
      </c>
      <c r="B61" s="1115">
        <v>0</v>
      </c>
      <c r="C61" s="1115">
        <v>0</v>
      </c>
      <c r="D61" s="1115">
        <v>4200</v>
      </c>
      <c r="E61" s="1115">
        <v>6.7008088833580629E-2</v>
      </c>
      <c r="F61" s="1115">
        <v>571620</v>
      </c>
      <c r="G61" s="1115">
        <v>1.8159580145881515</v>
      </c>
      <c r="H61" s="1115">
        <v>0</v>
      </c>
      <c r="I61" s="1115">
        <v>0</v>
      </c>
      <c r="J61" s="1115">
        <v>0</v>
      </c>
      <c r="K61" s="1115">
        <v>0</v>
      </c>
      <c r="L61" s="1115">
        <v>0</v>
      </c>
      <c r="M61" s="1115">
        <v>0</v>
      </c>
      <c r="N61" s="1115">
        <v>0</v>
      </c>
      <c r="O61" s="1115">
        <v>0</v>
      </c>
      <c r="P61" s="1115">
        <v>0</v>
      </c>
      <c r="Q61" s="1115">
        <v>0</v>
      </c>
      <c r="R61" s="1344">
        <f>S61/1000</f>
        <v>263.02</v>
      </c>
      <c r="S61" s="1344">
        <f>'DFG 2018_2017'!D68</f>
        <v>263020</v>
      </c>
      <c r="T61" s="1345">
        <f t="shared" si="0"/>
        <v>0.35656960034705276</v>
      </c>
      <c r="U61" s="1349"/>
    </row>
    <row r="62" spans="1:21" x14ac:dyDescent="0.25">
      <c r="A62" s="1111" t="s">
        <v>777</v>
      </c>
      <c r="B62" s="1115">
        <v>664150</v>
      </c>
      <c r="C62" s="1115">
        <v>9.1146762550435039</v>
      </c>
      <c r="D62" s="1115">
        <v>1447549.9999999998</v>
      </c>
      <c r="E62" s="1115">
        <v>23.094656902630863</v>
      </c>
      <c r="F62" s="1115">
        <v>1016236</v>
      </c>
      <c r="G62" s="1115">
        <v>3.2284418125905407</v>
      </c>
      <c r="H62" s="1115">
        <v>851230</v>
      </c>
      <c r="I62" s="1115">
        <v>12.250028781947963</v>
      </c>
      <c r="J62" s="1115">
        <v>1630658</v>
      </c>
      <c r="K62" s="1115">
        <v>26.3664262846425</v>
      </c>
      <c r="L62" s="1115">
        <v>0</v>
      </c>
      <c r="M62" s="1115">
        <v>0</v>
      </c>
      <c r="N62" s="1115">
        <v>501670</v>
      </c>
      <c r="O62" s="1115">
        <v>15.682088152547671</v>
      </c>
      <c r="P62" s="1115">
        <v>1631346</v>
      </c>
      <c r="Q62" s="1115">
        <v>37.201176685213902</v>
      </c>
      <c r="R62" s="1344">
        <f>S62/1000</f>
        <v>7959.50054</v>
      </c>
      <c r="S62" s="1344">
        <f>'DFG 2018_2017'!D69</f>
        <v>7959500.54</v>
      </c>
      <c r="T62" s="1345">
        <f t="shared" si="0"/>
        <v>10.790494739981563</v>
      </c>
      <c r="U62" s="1349"/>
    </row>
    <row r="63" spans="1:21" x14ac:dyDescent="0.25">
      <c r="A63" s="1111" t="s">
        <v>891</v>
      </c>
      <c r="B63" s="1115">
        <v>0</v>
      </c>
      <c r="C63" s="1115">
        <v>0</v>
      </c>
      <c r="D63" s="1115">
        <v>0</v>
      </c>
      <c r="E63" s="1115">
        <v>0</v>
      </c>
      <c r="F63" s="1115">
        <v>0</v>
      </c>
      <c r="G63" s="1115">
        <v>0</v>
      </c>
      <c r="H63" s="1115">
        <v>0</v>
      </c>
      <c r="I63" s="1115">
        <v>0</v>
      </c>
      <c r="J63" s="1115">
        <v>0</v>
      </c>
      <c r="K63" s="1115">
        <v>0</v>
      </c>
      <c r="L63" s="1115">
        <v>0</v>
      </c>
      <c r="M63" s="1115">
        <v>0</v>
      </c>
      <c r="N63" s="1115">
        <v>0</v>
      </c>
      <c r="O63" s="1115">
        <v>0</v>
      </c>
      <c r="P63" s="1115">
        <v>0</v>
      </c>
      <c r="Q63" s="1115">
        <v>0</v>
      </c>
      <c r="R63" s="1344">
        <f>S63/1000</f>
        <v>0</v>
      </c>
      <c r="S63" s="1344">
        <f>'DFG 2018_2017'!D70</f>
        <v>0</v>
      </c>
      <c r="T63" s="1345">
        <f t="shared" si="0"/>
        <v>0</v>
      </c>
      <c r="U63" s="1349"/>
    </row>
    <row r="64" spans="1:21" x14ac:dyDescent="0.25">
      <c r="A64" s="1197" t="s">
        <v>778</v>
      </c>
      <c r="B64" s="1200">
        <v>1753362</v>
      </c>
      <c r="C64" s="1200">
        <v>24.062827656245712</v>
      </c>
      <c r="D64" s="1200">
        <v>1451749.9999999998</v>
      </c>
      <c r="E64" s="1200">
        <v>23.161664991464441</v>
      </c>
      <c r="F64" s="1200">
        <v>5029196</v>
      </c>
      <c r="G64" s="1200">
        <v>15.977063054362468</v>
      </c>
      <c r="H64" s="1200">
        <v>1511370</v>
      </c>
      <c r="I64" s="1200">
        <v>21.750086345843886</v>
      </c>
      <c r="J64" s="1200">
        <v>2573848</v>
      </c>
      <c r="K64" s="1200">
        <v>41.617048798628851</v>
      </c>
      <c r="L64" s="1200">
        <v>4406709</v>
      </c>
      <c r="M64" s="1200">
        <v>55.848993713880155</v>
      </c>
      <c r="N64" s="1200">
        <v>666930</v>
      </c>
      <c r="O64" s="1200">
        <v>20.848077524226319</v>
      </c>
      <c r="P64" s="1200">
        <v>1631346</v>
      </c>
      <c r="Q64" s="1200">
        <v>37.201176685213902</v>
      </c>
      <c r="R64" s="1388">
        <f>S64/1000</f>
        <v>20266.186550000002</v>
      </c>
      <c r="S64" s="1388">
        <f>'DFG 2018_2017'!D71</f>
        <v>20266186.550000001</v>
      </c>
      <c r="T64" s="1389">
        <f t="shared" si="0"/>
        <v>27.474359511414782</v>
      </c>
      <c r="U64" s="1356"/>
    </row>
    <row r="65" spans="1:21" x14ac:dyDescent="0.25">
      <c r="A65" s="1201" t="s">
        <v>779</v>
      </c>
      <c r="B65" s="1201"/>
      <c r="C65" s="1201"/>
      <c r="D65" s="1201"/>
      <c r="E65" s="1201"/>
      <c r="F65" s="1201"/>
      <c r="G65" s="1201"/>
      <c r="H65" s="1201"/>
      <c r="I65" s="1201"/>
      <c r="J65" s="1201"/>
      <c r="K65" s="1201"/>
      <c r="L65" s="1201"/>
      <c r="M65" s="1201"/>
      <c r="N65" s="1201"/>
      <c r="O65" s="1201"/>
      <c r="P65" s="1201"/>
      <c r="Q65" s="1201"/>
      <c r="R65" s="1390"/>
      <c r="S65" s="1390"/>
      <c r="T65" s="1391"/>
      <c r="U65" s="1349"/>
    </row>
    <row r="66" spans="1:21" x14ac:dyDescent="0.25">
      <c r="A66" s="1205" t="s">
        <v>892</v>
      </c>
      <c r="B66" s="1392">
        <v>246695</v>
      </c>
      <c r="C66" s="1392">
        <v>3.3855982213926934</v>
      </c>
      <c r="D66" s="1392">
        <v>436336</v>
      </c>
      <c r="E66" s="1392">
        <v>6.9614384403069609</v>
      </c>
      <c r="F66" s="1392">
        <v>1365499</v>
      </c>
      <c r="G66" s="1392">
        <v>4.3380022619259409</v>
      </c>
      <c r="H66" s="1392">
        <v>367613</v>
      </c>
      <c r="I66" s="1392">
        <v>5.2903091181211144</v>
      </c>
      <c r="J66" s="1392">
        <v>442317.30000000005</v>
      </c>
      <c r="K66" s="1392">
        <v>7.1519144326229673</v>
      </c>
      <c r="L66" s="1392">
        <v>255443</v>
      </c>
      <c r="M66" s="1392">
        <v>3.2373897394301938</v>
      </c>
      <c r="N66" s="1392">
        <v>152297</v>
      </c>
      <c r="O66" s="1392">
        <v>4.7607689903094714</v>
      </c>
      <c r="P66" s="1392">
        <v>264566</v>
      </c>
      <c r="Q66" s="1392">
        <v>6.0331569825777613</v>
      </c>
      <c r="R66" s="1393">
        <f>S66/1000</f>
        <v>3631.5436799999998</v>
      </c>
      <c r="S66" s="1393">
        <f>'DFG 2018_2017'!D73</f>
        <v>3631543.6799999997</v>
      </c>
      <c r="T66" s="1394">
        <f t="shared" si="0"/>
        <v>4.9231924516024073</v>
      </c>
      <c r="U66" s="1349"/>
    </row>
    <row r="67" spans="1:21" x14ac:dyDescent="0.25">
      <c r="A67" s="1209" t="s">
        <v>781</v>
      </c>
      <c r="B67" s="1392">
        <v>2604</v>
      </c>
      <c r="C67" s="1392">
        <v>3.5736831992973402E-2</v>
      </c>
      <c r="D67" s="1392">
        <v>0</v>
      </c>
      <c r="E67" s="1392">
        <v>0</v>
      </c>
      <c r="F67" s="1392">
        <v>0</v>
      </c>
      <c r="G67" s="1392">
        <v>0</v>
      </c>
      <c r="H67" s="1392">
        <v>23044</v>
      </c>
      <c r="I67" s="1392">
        <v>0.33162560442090722</v>
      </c>
      <c r="J67" s="1392">
        <v>0</v>
      </c>
      <c r="K67" s="1392">
        <v>0</v>
      </c>
      <c r="L67" s="1392">
        <v>0</v>
      </c>
      <c r="M67" s="1392">
        <v>0</v>
      </c>
      <c r="N67" s="1392">
        <v>0</v>
      </c>
      <c r="O67" s="1392">
        <v>0</v>
      </c>
      <c r="P67" s="1392">
        <v>0</v>
      </c>
      <c r="Q67" s="1392">
        <v>0</v>
      </c>
      <c r="R67" s="1393">
        <f>S67/1000</f>
        <v>110.24651</v>
      </c>
      <c r="S67" s="1393">
        <f>'DFG 2018_2017'!D74</f>
        <v>110246.51</v>
      </c>
      <c r="T67" s="1394">
        <f t="shared" si="0"/>
        <v>0.1494584214521989</v>
      </c>
      <c r="U67" s="1349"/>
    </row>
    <row r="68" spans="1:21" x14ac:dyDescent="0.25">
      <c r="A68" s="1210" t="s">
        <v>782</v>
      </c>
      <c r="B68" s="1213">
        <v>249299</v>
      </c>
      <c r="C68" s="1213">
        <v>3.421335053385667</v>
      </c>
      <c r="D68" s="1213">
        <v>436336</v>
      </c>
      <c r="E68" s="1213">
        <v>6.9614384403069609</v>
      </c>
      <c r="F68" s="1213">
        <v>1365499</v>
      </c>
      <c r="G68" s="1213">
        <v>4.3380022619259409</v>
      </c>
      <c r="H68" s="1213">
        <v>390657</v>
      </c>
      <c r="I68" s="1213">
        <v>5.6219347225420213</v>
      </c>
      <c r="J68" s="1213">
        <v>442317.30000000005</v>
      </c>
      <c r="K68" s="1213">
        <v>7.1519144326229673</v>
      </c>
      <c r="L68" s="1213">
        <v>255443</v>
      </c>
      <c r="M68" s="1213">
        <v>3.2373897394301938</v>
      </c>
      <c r="N68" s="1213">
        <v>152297</v>
      </c>
      <c r="O68" s="1213">
        <v>4.7607689903094714</v>
      </c>
      <c r="P68" s="1213">
        <v>264566</v>
      </c>
      <c r="Q68" s="1213">
        <v>6.0331569825777613</v>
      </c>
      <c r="R68" s="1395">
        <f>S68/1000</f>
        <v>3741.7901899999993</v>
      </c>
      <c r="S68" s="1395">
        <f>'DFG 2018_2017'!D75</f>
        <v>3741790.1899999995</v>
      </c>
      <c r="T68" s="1396">
        <f t="shared" si="0"/>
        <v>5.0726508730546058</v>
      </c>
      <c r="U68" s="1356"/>
    </row>
    <row r="69" spans="1:21" x14ac:dyDescent="0.25">
      <c r="A69" s="1214" t="s">
        <v>893</v>
      </c>
      <c r="B69" s="1214"/>
      <c r="C69" s="1214"/>
      <c r="D69" s="1214"/>
      <c r="E69" s="1214"/>
      <c r="F69" s="1214"/>
      <c r="G69" s="1214"/>
      <c r="H69" s="1214"/>
      <c r="I69" s="1214"/>
      <c r="J69" s="1214"/>
      <c r="K69" s="1214"/>
      <c r="L69" s="1214"/>
      <c r="M69" s="1214"/>
      <c r="N69" s="1214"/>
      <c r="O69" s="1214"/>
      <c r="P69" s="1214"/>
      <c r="Q69" s="1214"/>
      <c r="R69" s="1397"/>
      <c r="S69" s="1397">
        <f>'DFG 2018_2017'!D76</f>
        <v>0</v>
      </c>
      <c r="T69" s="1398"/>
      <c r="U69" s="1349"/>
    </row>
    <row r="70" spans="1:21" x14ac:dyDescent="0.25">
      <c r="A70" s="1218" t="s">
        <v>894</v>
      </c>
      <c r="B70" s="1221">
        <v>46197</v>
      </c>
      <c r="C70" s="1221">
        <v>0.63399939615184031</v>
      </c>
      <c r="D70" s="1221">
        <v>57221</v>
      </c>
      <c r="E70" s="1221">
        <v>0.91292139313007548</v>
      </c>
      <c r="F70" s="1221">
        <v>132970</v>
      </c>
      <c r="G70" s="1221">
        <v>0.42242737692835541</v>
      </c>
      <c r="H70" s="1221">
        <v>41285</v>
      </c>
      <c r="I70" s="1221">
        <v>0.59413136081049966</v>
      </c>
      <c r="J70" s="1221">
        <v>39410</v>
      </c>
      <c r="K70" s="1221">
        <v>0.63722795330336646</v>
      </c>
      <c r="L70" s="1221">
        <v>35610</v>
      </c>
      <c r="M70" s="1221">
        <v>0.45130791848322011</v>
      </c>
      <c r="N70" s="1221">
        <v>20199.96</v>
      </c>
      <c r="O70" s="1221">
        <v>0.63144607689903087</v>
      </c>
      <c r="P70" s="1221">
        <v>26107</v>
      </c>
      <c r="Q70" s="1221">
        <v>0.59534342789382466</v>
      </c>
      <c r="R70" s="1399">
        <f>S70/1000</f>
        <v>429.93453999999997</v>
      </c>
      <c r="S70" s="1399">
        <f>'DFG 2018_2017'!D77</f>
        <v>429934.54</v>
      </c>
      <c r="T70" s="1400">
        <f t="shared" ref="T70:T133" si="4">S70/$S$3</f>
        <v>0.58285144514939535</v>
      </c>
      <c r="U70" s="1349"/>
    </row>
    <row r="71" spans="1:21" x14ac:dyDescent="0.25">
      <c r="A71" s="1222" t="s">
        <v>785</v>
      </c>
      <c r="B71" s="1221">
        <v>0</v>
      </c>
      <c r="C71" s="1221">
        <v>0</v>
      </c>
      <c r="D71" s="1221">
        <v>0</v>
      </c>
      <c r="E71" s="1221">
        <v>0</v>
      </c>
      <c r="F71" s="1221">
        <v>12523</v>
      </c>
      <c r="G71" s="1221">
        <v>3.9783846290695604E-2</v>
      </c>
      <c r="H71" s="1221">
        <v>0</v>
      </c>
      <c r="I71" s="1221">
        <v>0</v>
      </c>
      <c r="J71" s="1221">
        <v>0</v>
      </c>
      <c r="K71" s="1221">
        <v>0</v>
      </c>
      <c r="L71" s="1221">
        <v>0</v>
      </c>
      <c r="M71" s="1221">
        <v>0</v>
      </c>
      <c r="N71" s="1221">
        <v>0</v>
      </c>
      <c r="O71" s="1221">
        <v>0</v>
      </c>
      <c r="P71" s="1221">
        <v>0</v>
      </c>
      <c r="Q71" s="1221">
        <v>0</v>
      </c>
      <c r="R71" s="1399">
        <f>S71/1000</f>
        <v>7.2409999999999997</v>
      </c>
      <c r="S71" s="1399">
        <f>'DFG 2018_2017'!D78</f>
        <v>7241</v>
      </c>
      <c r="T71" s="1400">
        <f t="shared" si="4"/>
        <v>9.8164416246407458E-3</v>
      </c>
      <c r="U71" s="1349"/>
    </row>
    <row r="72" spans="1:21" x14ac:dyDescent="0.25">
      <c r="A72" s="1222" t="s">
        <v>895</v>
      </c>
      <c r="B72" s="1221">
        <v>0</v>
      </c>
      <c r="C72" s="1221">
        <v>0</v>
      </c>
      <c r="D72" s="1221">
        <v>3660.0000000000005</v>
      </c>
      <c r="E72" s="1221">
        <v>5.8392763126405983E-2</v>
      </c>
      <c r="F72" s="1221">
        <v>0</v>
      </c>
      <c r="G72" s="1221">
        <v>0</v>
      </c>
      <c r="H72" s="1221">
        <v>1100</v>
      </c>
      <c r="I72" s="1221">
        <v>1.5830071379230946E-2</v>
      </c>
      <c r="J72" s="1221">
        <v>0</v>
      </c>
      <c r="K72" s="1221">
        <v>0</v>
      </c>
      <c r="L72" s="1221">
        <v>0</v>
      </c>
      <c r="M72" s="1221">
        <v>0</v>
      </c>
      <c r="N72" s="1221">
        <v>0</v>
      </c>
      <c r="O72" s="1221">
        <v>0</v>
      </c>
      <c r="P72" s="1221">
        <v>0</v>
      </c>
      <c r="Q72" s="1221">
        <v>0</v>
      </c>
      <c r="R72" s="1399">
        <f>S72/1000</f>
        <v>2.3924499999999997</v>
      </c>
      <c r="S72" s="1399">
        <f>'DFG 2018_2017'!D79</f>
        <v>2392.4499999999998</v>
      </c>
      <c r="T72" s="1400">
        <f t="shared" si="4"/>
        <v>3.2433843067078789E-3</v>
      </c>
      <c r="U72" s="1349"/>
    </row>
    <row r="73" spans="1:21" x14ac:dyDescent="0.25">
      <c r="A73" s="1317" t="s">
        <v>896</v>
      </c>
      <c r="B73" s="1221">
        <v>0</v>
      </c>
      <c r="C73" s="1221">
        <v>0</v>
      </c>
      <c r="D73" s="1221">
        <v>1480.0000000000002</v>
      </c>
      <c r="E73" s="1221">
        <v>2.3612374160404605E-2</v>
      </c>
      <c r="F73" s="1221">
        <v>0</v>
      </c>
      <c r="G73" s="1221">
        <v>0</v>
      </c>
      <c r="H73" s="1221">
        <v>0</v>
      </c>
      <c r="I73" s="1221">
        <v>0</v>
      </c>
      <c r="J73" s="1221">
        <v>0</v>
      </c>
      <c r="K73" s="1221">
        <v>0</v>
      </c>
      <c r="L73" s="1221">
        <v>0</v>
      </c>
      <c r="M73" s="1221">
        <v>0</v>
      </c>
      <c r="N73" s="1221">
        <v>2500</v>
      </c>
      <c r="O73" s="1221">
        <v>7.8149421694279464E-2</v>
      </c>
      <c r="P73" s="1221">
        <v>0</v>
      </c>
      <c r="Q73" s="1221">
        <v>0</v>
      </c>
      <c r="R73" s="1399">
        <f>S73/1000</f>
        <v>0</v>
      </c>
      <c r="S73" s="1399">
        <f>'DFG 2018_2017'!D80</f>
        <v>0</v>
      </c>
      <c r="T73" s="1400">
        <f t="shared" si="4"/>
        <v>0</v>
      </c>
      <c r="U73" s="1349"/>
    </row>
    <row r="74" spans="1:21" x14ac:dyDescent="0.25">
      <c r="A74" s="1223" t="s">
        <v>787</v>
      </c>
      <c r="B74" s="1226">
        <v>46197</v>
      </c>
      <c r="C74" s="1226"/>
      <c r="D74" s="1226">
        <v>62361</v>
      </c>
      <c r="E74" s="1226">
        <v>0.99492653041688606</v>
      </c>
      <c r="F74" s="1226">
        <v>145493</v>
      </c>
      <c r="G74" s="1226">
        <v>0.462211223219051</v>
      </c>
      <c r="H74" s="1226">
        <v>42385</v>
      </c>
      <c r="I74" s="1226">
        <v>0.60996143218973065</v>
      </c>
      <c r="J74" s="1226">
        <v>39410</v>
      </c>
      <c r="K74" s="1226">
        <v>0.63722795330336646</v>
      </c>
      <c r="L74" s="1226">
        <v>35610</v>
      </c>
      <c r="M74" s="1226">
        <v>0.45130791848322011</v>
      </c>
      <c r="N74" s="1226">
        <v>22699.96</v>
      </c>
      <c r="O74" s="1226">
        <v>0.70959549859331039</v>
      </c>
      <c r="P74" s="1226">
        <v>26107</v>
      </c>
      <c r="Q74" s="1226">
        <v>0.59534342789382466</v>
      </c>
      <c r="R74" s="1401">
        <f>S74/1000</f>
        <v>439.56799000000001</v>
      </c>
      <c r="S74" s="1401">
        <f>'DFG 2018_2017'!D81</f>
        <v>439567.99</v>
      </c>
      <c r="T74" s="1402">
        <f t="shared" si="4"/>
        <v>0.59591127108074393</v>
      </c>
      <c r="U74" s="1356"/>
    </row>
    <row r="75" spans="1:21" x14ac:dyDescent="0.25">
      <c r="A75" s="1227" t="s">
        <v>788</v>
      </c>
      <c r="B75" s="1227"/>
      <c r="C75" s="1227"/>
      <c r="D75" s="1227"/>
      <c r="E75" s="1227"/>
      <c r="F75" s="1227"/>
      <c r="G75" s="1227"/>
      <c r="H75" s="1227"/>
      <c r="I75" s="1227"/>
      <c r="J75" s="1227"/>
      <c r="K75" s="1227"/>
      <c r="L75" s="1227"/>
      <c r="M75" s="1227"/>
      <c r="N75" s="1227"/>
      <c r="O75" s="1227"/>
      <c r="P75" s="1227"/>
      <c r="Q75" s="1227"/>
      <c r="R75" s="1403"/>
      <c r="S75" s="1403"/>
      <c r="T75" s="1404"/>
      <c r="U75" s="1349"/>
    </row>
    <row r="76" spans="1:21" x14ac:dyDescent="0.25">
      <c r="A76" s="1231" t="s">
        <v>789</v>
      </c>
      <c r="B76" s="1234">
        <v>6345</v>
      </c>
      <c r="C76" s="1234">
        <v>8.7077649383800401E-2</v>
      </c>
      <c r="D76" s="1234">
        <v>0</v>
      </c>
      <c r="E76" s="1234">
        <v>0</v>
      </c>
      <c r="F76" s="1234">
        <v>35179.5</v>
      </c>
      <c r="G76" s="1234">
        <v>0.11176042646199202</v>
      </c>
      <c r="H76" s="1234">
        <v>6653.9257667510938</v>
      </c>
      <c r="I76" s="1234">
        <v>9.5756472581612559E-2</v>
      </c>
      <c r="J76" s="1234">
        <v>500</v>
      </c>
      <c r="K76" s="1234">
        <v>8.0845972253662315E-3</v>
      </c>
      <c r="L76" s="1234">
        <v>11064</v>
      </c>
      <c r="M76" s="1234">
        <v>0.14022102808476122</v>
      </c>
      <c r="N76" s="1234">
        <v>0</v>
      </c>
      <c r="O76" s="1234">
        <v>0</v>
      </c>
      <c r="P76" s="1234">
        <v>0</v>
      </c>
      <c r="Q76" s="1234">
        <v>0</v>
      </c>
      <c r="R76" s="1405">
        <f>S76/1000</f>
        <v>51.321010000000001</v>
      </c>
      <c r="S76" s="1405">
        <f>'DFG 2018_2017'!D83</f>
        <v>51321.01</v>
      </c>
      <c r="T76" s="1406">
        <f t="shared" si="4"/>
        <v>6.95746027872675E-2</v>
      </c>
      <c r="U76" s="1349"/>
    </row>
    <row r="77" spans="1:21" x14ac:dyDescent="0.25">
      <c r="A77" s="1231" t="s">
        <v>897</v>
      </c>
      <c r="B77" s="1234">
        <v>2339</v>
      </c>
      <c r="C77" s="1234">
        <v>3.2100019213350532E-2</v>
      </c>
      <c r="D77" s="1234">
        <v>12545.007318893857</v>
      </c>
      <c r="E77" s="1234">
        <v>0.20014689639103778</v>
      </c>
      <c r="F77" s="1234">
        <v>0</v>
      </c>
      <c r="G77" s="1234">
        <v>0</v>
      </c>
      <c r="H77" s="1234">
        <v>6543</v>
      </c>
      <c r="I77" s="1234">
        <v>9.4160142758461893E-2</v>
      </c>
      <c r="J77" s="1234">
        <v>9578</v>
      </c>
      <c r="K77" s="1234">
        <v>0.15486854444911555</v>
      </c>
      <c r="L77" s="1234">
        <v>0</v>
      </c>
      <c r="M77" s="1234">
        <v>0</v>
      </c>
      <c r="N77" s="1234">
        <v>0</v>
      </c>
      <c r="O77" s="1234">
        <v>0</v>
      </c>
      <c r="P77" s="1234">
        <v>0</v>
      </c>
      <c r="Q77" s="1234">
        <v>0</v>
      </c>
      <c r="R77" s="1405">
        <f>S77/1000</f>
        <v>46.813430000000011</v>
      </c>
      <c r="S77" s="1405">
        <f>'DFG 2018_2017'!D84</f>
        <v>46813.430000000008</v>
      </c>
      <c r="T77" s="1406">
        <f t="shared" si="4"/>
        <v>6.3463789924624495E-2</v>
      </c>
      <c r="U77" s="1349"/>
    </row>
    <row r="78" spans="1:21" x14ac:dyDescent="0.25">
      <c r="A78" s="1231" t="s">
        <v>898</v>
      </c>
      <c r="B78" s="1234">
        <v>0</v>
      </c>
      <c r="C78" s="1234">
        <v>0</v>
      </c>
      <c r="D78" s="1234">
        <v>0</v>
      </c>
      <c r="E78" s="1234">
        <v>0</v>
      </c>
      <c r="F78" s="1234">
        <v>0</v>
      </c>
      <c r="G78" s="1234">
        <v>0</v>
      </c>
      <c r="H78" s="1234">
        <v>0</v>
      </c>
      <c r="I78" s="1234">
        <v>0</v>
      </c>
      <c r="J78" s="1234">
        <v>0</v>
      </c>
      <c r="K78" s="1234">
        <v>0</v>
      </c>
      <c r="L78" s="1234">
        <v>0</v>
      </c>
      <c r="M78" s="1234">
        <v>0</v>
      </c>
      <c r="N78" s="1234">
        <v>0</v>
      </c>
      <c r="O78" s="1234">
        <v>0</v>
      </c>
      <c r="P78" s="1234">
        <v>0</v>
      </c>
      <c r="Q78" s="1234">
        <v>0</v>
      </c>
      <c r="R78" s="1405"/>
      <c r="S78" s="1405">
        <f>'DFG 2018_2017'!D85</f>
        <v>0</v>
      </c>
      <c r="T78" s="1406">
        <f t="shared" si="4"/>
        <v>0</v>
      </c>
      <c r="U78" s="1349"/>
    </row>
    <row r="79" spans="1:21" x14ac:dyDescent="0.25">
      <c r="A79" s="1235" t="s">
        <v>791</v>
      </c>
      <c r="B79" s="1238">
        <v>8684</v>
      </c>
      <c r="C79" s="1238">
        <v>0.11917766859715094</v>
      </c>
      <c r="D79" s="1238">
        <v>12545.007318893857</v>
      </c>
      <c r="E79" s="1238">
        <v>0.20014689639103778</v>
      </c>
      <c r="F79" s="1238">
        <v>35179.5</v>
      </c>
      <c r="G79" s="1238">
        <v>0.11176042646199202</v>
      </c>
      <c r="H79" s="1238">
        <v>13196.925766751094</v>
      </c>
      <c r="I79" s="1238">
        <v>0.18991661534007445</v>
      </c>
      <c r="J79" s="1238">
        <v>10078</v>
      </c>
      <c r="K79" s="1238">
        <v>0.16295314167448177</v>
      </c>
      <c r="L79" s="1238">
        <v>11064</v>
      </c>
      <c r="M79" s="1238">
        <v>0.14022102808476122</v>
      </c>
      <c r="N79" s="1238">
        <v>0</v>
      </c>
      <c r="O79" s="1238">
        <v>0</v>
      </c>
      <c r="P79" s="1238">
        <v>0</v>
      </c>
      <c r="Q79" s="1238">
        <v>0</v>
      </c>
      <c r="R79" s="1378">
        <f>S79/1000</f>
        <v>98.134439999999998</v>
      </c>
      <c r="S79" s="1378">
        <f>'DFG 2018_2017'!D86</f>
        <v>98134.44</v>
      </c>
      <c r="T79" s="1379">
        <f t="shared" si="4"/>
        <v>0.133038392711892</v>
      </c>
      <c r="U79" s="1356"/>
    </row>
    <row r="80" spans="1:21" x14ac:dyDescent="0.25">
      <c r="A80" s="1239" t="s">
        <v>792</v>
      </c>
      <c r="B80" s="1242"/>
      <c r="C80" s="1239"/>
      <c r="D80" s="1242"/>
      <c r="E80" s="1239"/>
      <c r="F80" s="1242"/>
      <c r="G80" s="1239"/>
      <c r="H80" s="1242"/>
      <c r="I80" s="1239"/>
      <c r="J80" s="1242"/>
      <c r="K80" s="1239"/>
      <c r="L80" s="1242"/>
      <c r="M80" s="1239"/>
      <c r="N80" s="1242"/>
      <c r="O80" s="1239"/>
      <c r="P80" s="1242"/>
      <c r="Q80" s="1239"/>
      <c r="R80" s="1341"/>
      <c r="S80" s="1342"/>
      <c r="T80" s="1407"/>
      <c r="U80" s="1349"/>
    </row>
    <row r="81" spans="1:21" x14ac:dyDescent="0.25">
      <c r="A81" s="1243" t="s">
        <v>899</v>
      </c>
      <c r="B81" s="1246">
        <v>27985</v>
      </c>
      <c r="C81" s="1246">
        <v>0.38406115334998492</v>
      </c>
      <c r="D81" s="1246">
        <v>38430</v>
      </c>
      <c r="E81" s="1246">
        <v>0.6131240128272627</v>
      </c>
      <c r="F81" s="1246">
        <v>55980</v>
      </c>
      <c r="G81" s="1246">
        <v>0.17784075024779525</v>
      </c>
      <c r="H81" s="1246">
        <v>30320.422269514165</v>
      </c>
      <c r="I81" s="1246">
        <v>0.4363404079771207</v>
      </c>
      <c r="J81" s="1246">
        <v>0</v>
      </c>
      <c r="K81" s="1246">
        <v>0</v>
      </c>
      <c r="L81" s="1246">
        <v>0</v>
      </c>
      <c r="M81" s="1246">
        <v>0</v>
      </c>
      <c r="N81" s="1246">
        <v>0</v>
      </c>
      <c r="O81" s="1246">
        <v>0</v>
      </c>
      <c r="P81" s="1246">
        <v>0</v>
      </c>
      <c r="Q81" s="1246">
        <v>0</v>
      </c>
      <c r="R81" s="1347">
        <f>S81/1000</f>
        <v>127.60235</v>
      </c>
      <c r="S81" s="1347">
        <f>'DFG 2018_2017'!D88</f>
        <v>127602.35</v>
      </c>
      <c r="T81" s="1348">
        <f t="shared" si="4"/>
        <v>0.1729872973266092</v>
      </c>
      <c r="U81" s="1349"/>
    </row>
    <row r="82" spans="1:21" x14ac:dyDescent="0.25">
      <c r="A82" s="1243" t="s">
        <v>900</v>
      </c>
      <c r="B82" s="1246">
        <v>54850</v>
      </c>
      <c r="C82" s="1246">
        <v>0.7527516262728845</v>
      </c>
      <c r="D82" s="1246">
        <v>99609.999999999985</v>
      </c>
      <c r="E82" s="1246">
        <v>1.5892085068364203</v>
      </c>
      <c r="F82" s="1246">
        <v>485125</v>
      </c>
      <c r="G82" s="1246">
        <v>1.5411753119678755</v>
      </c>
      <c r="H82" s="1246">
        <v>281944</v>
      </c>
      <c r="I82" s="1246">
        <v>4.0574487681326268</v>
      </c>
      <c r="J82" s="1246">
        <v>169520</v>
      </c>
      <c r="K82" s="1246">
        <v>2.7410018432881675</v>
      </c>
      <c r="L82" s="1246">
        <v>430910</v>
      </c>
      <c r="M82" s="1246">
        <v>5.4611933488796511</v>
      </c>
      <c r="N82" s="1246">
        <v>39440</v>
      </c>
      <c r="O82" s="1246">
        <v>1.2328852766489529</v>
      </c>
      <c r="P82" s="1246">
        <v>221990</v>
      </c>
      <c r="Q82" s="1246">
        <v>5.0622548572471038</v>
      </c>
      <c r="R82" s="1347">
        <f>S82/1000</f>
        <v>1799.9310844624608</v>
      </c>
      <c r="S82" s="1347">
        <f>'DFG 2018_2017'!D89</f>
        <v>1799931.0844624608</v>
      </c>
      <c r="T82" s="1348">
        <f t="shared" si="4"/>
        <v>2.4401213118356662</v>
      </c>
      <c r="U82" s="1349"/>
    </row>
    <row r="83" spans="1:21" x14ac:dyDescent="0.25">
      <c r="A83" s="1243" t="s">
        <v>901</v>
      </c>
      <c r="B83" s="1246">
        <v>99040</v>
      </c>
      <c r="C83" s="1246">
        <v>1.3592073120522603</v>
      </c>
      <c r="D83" s="1246">
        <v>134909</v>
      </c>
      <c r="E83" s="1246">
        <v>2.1523795848689353</v>
      </c>
      <c r="F83" s="1246">
        <v>24</v>
      </c>
      <c r="G83" s="1246">
        <v>7.6244694639997972E-5</v>
      </c>
      <c r="H83" s="1246">
        <v>0</v>
      </c>
      <c r="I83" s="1246">
        <v>0</v>
      </c>
      <c r="J83" s="1246">
        <v>155630</v>
      </c>
      <c r="K83" s="1246">
        <v>2.5164117323674935</v>
      </c>
      <c r="L83" s="1246">
        <v>0</v>
      </c>
      <c r="M83" s="1246">
        <v>0</v>
      </c>
      <c r="N83" s="1246">
        <v>25600</v>
      </c>
      <c r="O83" s="1246">
        <v>0.80025007814942173</v>
      </c>
      <c r="P83" s="1246">
        <v>0</v>
      </c>
      <c r="Q83" s="1246">
        <v>0</v>
      </c>
      <c r="R83" s="1347">
        <f>S83/1000</f>
        <v>419.05427591067746</v>
      </c>
      <c r="S83" s="1347">
        <f>'DFG 2018_2017'!D90</f>
        <v>419054.27591067745</v>
      </c>
      <c r="T83" s="1348">
        <f t="shared" si="4"/>
        <v>0.56810134470836371</v>
      </c>
      <c r="U83" s="1349"/>
    </row>
    <row r="84" spans="1:21" x14ac:dyDescent="0.25">
      <c r="A84" s="1243" t="s">
        <v>902</v>
      </c>
      <c r="B84" s="1246">
        <v>1599</v>
      </c>
      <c r="C84" s="1246">
        <v>2.1944391074026296E-2</v>
      </c>
      <c r="D84" s="1246">
        <v>2613.27</v>
      </c>
      <c r="E84" s="1246">
        <v>4.1692911501459817E-2</v>
      </c>
      <c r="F84" s="1246">
        <v>0</v>
      </c>
      <c r="G84" s="1246">
        <v>0</v>
      </c>
      <c r="H84" s="1246">
        <v>0</v>
      </c>
      <c r="I84" s="1246">
        <v>0</v>
      </c>
      <c r="J84" s="1246">
        <v>3980</v>
      </c>
      <c r="K84" s="1246">
        <v>6.4353393913915202E-2</v>
      </c>
      <c r="L84" s="1246">
        <v>0</v>
      </c>
      <c r="M84" s="1246">
        <v>0</v>
      </c>
      <c r="N84" s="1246">
        <v>1600</v>
      </c>
      <c r="O84" s="1246">
        <v>5.0015629884338858E-2</v>
      </c>
      <c r="P84" s="1246">
        <v>0</v>
      </c>
      <c r="Q84" s="1246">
        <v>0</v>
      </c>
      <c r="R84" s="1347">
        <f>S84/1000</f>
        <v>9.8830996268616804</v>
      </c>
      <c r="S84" s="1347">
        <f>'DFG 2018_2017'!D91</f>
        <v>9883.09962686168</v>
      </c>
      <c r="T84" s="1348">
        <f t="shared" si="4"/>
        <v>1.3398269653030856E-2</v>
      </c>
      <c r="U84" s="1349"/>
    </row>
    <row r="85" spans="1:21" x14ac:dyDescent="0.25">
      <c r="A85" s="1247" t="s">
        <v>903</v>
      </c>
      <c r="B85" s="1250">
        <v>183474</v>
      </c>
      <c r="C85" s="1250">
        <v>2.5179644827491559</v>
      </c>
      <c r="D85" s="1250">
        <v>275562.27</v>
      </c>
      <c r="E85" s="1250">
        <v>4.3964050160340786</v>
      </c>
      <c r="F85" s="1250">
        <v>541129</v>
      </c>
      <c r="G85" s="1250">
        <v>1.7190923069103108</v>
      </c>
      <c r="H85" s="1250">
        <v>312264.42226951418</v>
      </c>
      <c r="I85" s="1250">
        <v>4.4937891761097486</v>
      </c>
      <c r="J85" s="1250">
        <v>329130</v>
      </c>
      <c r="K85" s="1250">
        <v>5.321766969569576</v>
      </c>
      <c r="L85" s="1250">
        <v>430910</v>
      </c>
      <c r="M85" s="1250">
        <v>5.4611933488796511</v>
      </c>
      <c r="N85" s="1250">
        <v>66640</v>
      </c>
      <c r="O85" s="1250">
        <v>2.0831509846827134</v>
      </c>
      <c r="P85" s="1250">
        <v>221990</v>
      </c>
      <c r="Q85" s="1250">
        <v>5.0622548572471038</v>
      </c>
      <c r="R85" s="1408">
        <f>S85/1000</f>
        <v>2356.4708100000003</v>
      </c>
      <c r="S85" s="1408">
        <f>'DFG 2018_2017'!D92</f>
        <v>2356470.81</v>
      </c>
      <c r="T85" s="1409">
        <f t="shared" si="4"/>
        <v>3.1946082235236704</v>
      </c>
      <c r="U85" s="1356"/>
    </row>
    <row r="86" spans="1:21" x14ac:dyDescent="0.25">
      <c r="A86" s="1251" t="s">
        <v>904</v>
      </c>
      <c r="B86" s="1254"/>
      <c r="C86" s="1251"/>
      <c r="D86" s="1254"/>
      <c r="E86" s="1251"/>
      <c r="F86" s="1254"/>
      <c r="G86" s="1251"/>
      <c r="H86" s="1254"/>
      <c r="I86" s="1251"/>
      <c r="J86" s="1254"/>
      <c r="K86" s="1251"/>
      <c r="L86" s="1254"/>
      <c r="M86" s="1251"/>
      <c r="N86" s="1254"/>
      <c r="O86" s="1251"/>
      <c r="P86" s="1254"/>
      <c r="Q86" s="1251"/>
      <c r="R86" s="1410"/>
      <c r="S86" s="1411"/>
      <c r="T86" s="1412"/>
      <c r="U86" s="1349"/>
    </row>
    <row r="87" spans="1:21" x14ac:dyDescent="0.25">
      <c r="A87" s="1255" t="s">
        <v>905</v>
      </c>
      <c r="B87" s="1258">
        <v>15928</v>
      </c>
      <c r="C87" s="1258">
        <v>0.21859303378804928</v>
      </c>
      <c r="D87" s="1258">
        <v>39431.001723226305</v>
      </c>
      <c r="E87" s="1258">
        <v>0.6290943014921474</v>
      </c>
      <c r="F87" s="1258">
        <v>49952</v>
      </c>
      <c r="G87" s="1258">
        <v>0.15869062444404911</v>
      </c>
      <c r="H87" s="1258">
        <v>34232</v>
      </c>
      <c r="I87" s="1258">
        <v>0.49263182132166705</v>
      </c>
      <c r="J87" s="1258">
        <v>49212</v>
      </c>
      <c r="K87" s="1258">
        <v>0.79571839730944605</v>
      </c>
      <c r="L87" s="1258">
        <v>54648</v>
      </c>
      <c r="M87" s="1258">
        <v>0.69258846192841939</v>
      </c>
      <c r="N87" s="1258">
        <v>23255</v>
      </c>
      <c r="O87" s="1258">
        <v>0.72694592060018759</v>
      </c>
      <c r="P87" s="1258">
        <v>23393.076000000001</v>
      </c>
      <c r="Q87" s="1258">
        <v>0.53345516738119125</v>
      </c>
      <c r="R87" s="1413">
        <f>S87/1000</f>
        <v>290.05107772322629</v>
      </c>
      <c r="S87" s="1413">
        <f>'DFG 2018_2017'!B94</f>
        <v>290051.07772322628</v>
      </c>
      <c r="T87" s="1414">
        <f t="shared" si="4"/>
        <v>0.39321495271843482</v>
      </c>
      <c r="U87" s="1349"/>
    </row>
    <row r="88" spans="1:21" x14ac:dyDescent="0.25">
      <c r="A88" s="1255" t="s">
        <v>799</v>
      </c>
      <c r="B88" s="1258">
        <v>0</v>
      </c>
      <c r="C88" s="1258">
        <v>0</v>
      </c>
      <c r="D88" s="1258">
        <v>0</v>
      </c>
      <c r="E88" s="1258">
        <v>0</v>
      </c>
      <c r="F88" s="1258">
        <v>14368</v>
      </c>
      <c r="G88" s="1258">
        <v>4.5645157191145452E-2</v>
      </c>
      <c r="H88" s="1258">
        <v>0</v>
      </c>
      <c r="I88" s="1258">
        <v>0</v>
      </c>
      <c r="J88" s="1258">
        <v>0</v>
      </c>
      <c r="K88" s="1258">
        <v>0</v>
      </c>
      <c r="L88" s="1258">
        <v>0</v>
      </c>
      <c r="M88" s="1258">
        <v>0</v>
      </c>
      <c r="N88" s="1258">
        <v>0</v>
      </c>
      <c r="O88" s="1258">
        <v>0</v>
      </c>
      <c r="P88" s="1258">
        <v>0</v>
      </c>
      <c r="Q88" s="1258">
        <v>0</v>
      </c>
      <c r="R88" s="1413">
        <f>S88/1000</f>
        <v>14.368</v>
      </c>
      <c r="S88" s="1413">
        <f>'DFG 2018_2017'!B95</f>
        <v>14368</v>
      </c>
      <c r="T88" s="1414">
        <f t="shared" si="4"/>
        <v>1.9478336315818013E-2</v>
      </c>
      <c r="U88" s="1349"/>
    </row>
    <row r="89" spans="1:21" x14ac:dyDescent="0.25">
      <c r="A89" s="1259" t="s">
        <v>906</v>
      </c>
      <c r="B89" s="1262">
        <v>15928</v>
      </c>
      <c r="C89" s="1262">
        <v>0.21859303378804928</v>
      </c>
      <c r="D89" s="1262">
        <v>39431.001723226305</v>
      </c>
      <c r="E89" s="1262">
        <v>0.6290943014921474</v>
      </c>
      <c r="F89" s="1262">
        <v>64320</v>
      </c>
      <c r="G89" s="1262">
        <v>0.20433578163519456</v>
      </c>
      <c r="H89" s="1262">
        <v>34232</v>
      </c>
      <c r="I89" s="1262">
        <v>0.49263182132166705</v>
      </c>
      <c r="J89" s="1262">
        <v>49212</v>
      </c>
      <c r="K89" s="1262">
        <v>0.79571839730944605</v>
      </c>
      <c r="L89" s="1262">
        <v>54648</v>
      </c>
      <c r="M89" s="1262">
        <v>0.69258846192841939</v>
      </c>
      <c r="N89" s="1262">
        <v>23255</v>
      </c>
      <c r="O89" s="1262">
        <v>0.72694592060018759</v>
      </c>
      <c r="P89" s="1262">
        <v>23393.076000000001</v>
      </c>
      <c r="Q89" s="1262">
        <v>0.53345516738119125</v>
      </c>
      <c r="R89" s="1415">
        <f>S89/1000</f>
        <v>304.41907772322628</v>
      </c>
      <c r="S89" s="1415">
        <f>'DFG 2018_2017'!B96</f>
        <v>304419.07772322628</v>
      </c>
      <c r="T89" s="1416">
        <f t="shared" si="4"/>
        <v>0.41269328903425284</v>
      </c>
      <c r="U89" s="1356"/>
    </row>
    <row r="90" spans="1:21" x14ac:dyDescent="0.25">
      <c r="A90" s="1263" t="s">
        <v>907</v>
      </c>
      <c r="B90" s="1266"/>
      <c r="C90" s="1263"/>
      <c r="D90" s="1266"/>
      <c r="E90" s="1263"/>
      <c r="F90" s="1266"/>
      <c r="G90" s="1263"/>
      <c r="H90" s="1266"/>
      <c r="I90" s="1263"/>
      <c r="J90" s="1266"/>
      <c r="K90" s="1263"/>
      <c r="L90" s="1266"/>
      <c r="M90" s="1263"/>
      <c r="N90" s="1266"/>
      <c r="O90" s="1263"/>
      <c r="P90" s="1266"/>
      <c r="Q90" s="1263"/>
      <c r="R90" s="1417"/>
      <c r="S90" s="1418"/>
      <c r="T90" s="1419"/>
      <c r="U90" s="1349"/>
    </row>
    <row r="91" spans="1:21" x14ac:dyDescent="0.25">
      <c r="A91" s="1267" t="s">
        <v>908</v>
      </c>
      <c r="B91" s="1270">
        <v>0</v>
      </c>
      <c r="C91" s="1270">
        <v>0</v>
      </c>
      <c r="D91" s="1270">
        <v>0</v>
      </c>
      <c r="E91" s="1270">
        <v>0</v>
      </c>
      <c r="F91" s="1270">
        <v>0</v>
      </c>
      <c r="G91" s="1270">
        <v>0</v>
      </c>
      <c r="H91" s="1270">
        <v>0</v>
      </c>
      <c r="I91" s="1270">
        <v>0</v>
      </c>
      <c r="J91" s="1270">
        <v>0</v>
      </c>
      <c r="K91" s="1270">
        <v>0</v>
      </c>
      <c r="L91" s="1270">
        <v>232060</v>
      </c>
      <c r="M91" s="1270">
        <v>2.9410422792253876</v>
      </c>
      <c r="N91" s="1270">
        <v>4360</v>
      </c>
      <c r="O91" s="1270">
        <v>0.13629259143482339</v>
      </c>
      <c r="P91" s="1270">
        <v>0</v>
      </c>
      <c r="Q91" s="1270">
        <v>0</v>
      </c>
      <c r="R91" s="1420">
        <f t="shared" ref="R91:R97" si="5">S91/1000</f>
        <v>358.2050939325328</v>
      </c>
      <c r="S91" s="1420">
        <f>'DFG 2018_2017'!D98</f>
        <v>358205.09393253282</v>
      </c>
      <c r="T91" s="1421">
        <f t="shared" si="4"/>
        <v>0.48560963875675511</v>
      </c>
      <c r="U91" s="1349"/>
    </row>
    <row r="92" spans="1:21" x14ac:dyDescent="0.25">
      <c r="A92" s="1267" t="s">
        <v>909</v>
      </c>
      <c r="B92" s="1270">
        <v>0</v>
      </c>
      <c r="C92" s="1270">
        <v>0</v>
      </c>
      <c r="D92" s="1270">
        <v>0</v>
      </c>
      <c r="E92" s="1270">
        <v>0</v>
      </c>
      <c r="F92" s="1270">
        <v>0</v>
      </c>
      <c r="G92" s="1270">
        <v>0</v>
      </c>
      <c r="H92" s="1270">
        <v>0</v>
      </c>
      <c r="I92" s="1270">
        <v>0</v>
      </c>
      <c r="J92" s="1270">
        <v>0</v>
      </c>
      <c r="K92" s="1270">
        <v>0</v>
      </c>
      <c r="L92" s="1270">
        <v>0</v>
      </c>
      <c r="M92" s="1270">
        <v>0</v>
      </c>
      <c r="N92" s="1270">
        <v>21680</v>
      </c>
      <c r="O92" s="1270">
        <v>0.67771178493279149</v>
      </c>
      <c r="P92" s="1270">
        <v>10380</v>
      </c>
      <c r="Q92" s="1270">
        <v>0.23670528140107636</v>
      </c>
      <c r="R92" s="1420">
        <f t="shared" si="5"/>
        <v>28.393033521819902</v>
      </c>
      <c r="S92" s="1420">
        <f>'DFG 2018_2017'!D99</f>
        <v>28393.033521819903</v>
      </c>
      <c r="T92" s="1421">
        <f t="shared" si="4"/>
        <v>3.8491721601078985E-2</v>
      </c>
      <c r="U92" s="1349"/>
    </row>
    <row r="93" spans="1:21" x14ac:dyDescent="0.25">
      <c r="A93" s="1263" t="s">
        <v>910</v>
      </c>
      <c r="B93" s="1266">
        <v>0</v>
      </c>
      <c r="C93" s="1266">
        <v>0</v>
      </c>
      <c r="D93" s="1266">
        <v>0</v>
      </c>
      <c r="E93" s="1266">
        <v>0</v>
      </c>
      <c r="F93" s="1266">
        <v>0</v>
      </c>
      <c r="G93" s="1266">
        <v>0</v>
      </c>
      <c r="H93" s="1266">
        <v>0</v>
      </c>
      <c r="I93" s="1266">
        <v>0</v>
      </c>
      <c r="J93" s="1266">
        <v>0</v>
      </c>
      <c r="K93" s="1266">
        <v>0</v>
      </c>
      <c r="L93" s="1266">
        <v>232060</v>
      </c>
      <c r="M93" s="1266">
        <v>2.9410422792253876</v>
      </c>
      <c r="N93" s="1266">
        <v>26040</v>
      </c>
      <c r="O93" s="1266">
        <v>0.81400437636761491</v>
      </c>
      <c r="P93" s="1266">
        <v>10380</v>
      </c>
      <c r="Q93" s="1266">
        <v>0.23670528140107636</v>
      </c>
      <c r="R93" s="1418">
        <f t="shared" si="5"/>
        <v>386.59812745435272</v>
      </c>
      <c r="S93" s="1418">
        <f>'DFG 2018_2017'!D100</f>
        <v>386598.12745435274</v>
      </c>
      <c r="T93" s="1422">
        <f t="shared" si="4"/>
        <v>0.52410136035783406</v>
      </c>
      <c r="U93" s="1346"/>
    </row>
    <row r="94" spans="1:21" x14ac:dyDescent="0.25">
      <c r="A94" s="1267" t="s">
        <v>911</v>
      </c>
      <c r="B94" s="1270">
        <v>190344</v>
      </c>
      <c r="C94" s="1270">
        <v>2.6122471385831525</v>
      </c>
      <c r="D94" s="1270">
        <v>0</v>
      </c>
      <c r="E94" s="1270">
        <v>0</v>
      </c>
      <c r="F94" s="1270">
        <v>521798</v>
      </c>
      <c r="G94" s="1270">
        <v>1.6576803822400692</v>
      </c>
      <c r="H94" s="1270">
        <v>0</v>
      </c>
      <c r="I94" s="1270">
        <v>0</v>
      </c>
      <c r="J94" s="1270">
        <v>165380</v>
      </c>
      <c r="K94" s="1270">
        <v>2.674061378262135</v>
      </c>
      <c r="L94" s="1270">
        <v>0</v>
      </c>
      <c r="M94" s="1270">
        <v>0</v>
      </c>
      <c r="N94" s="1270">
        <v>2300</v>
      </c>
      <c r="O94" s="1270">
        <v>7.189746795873711E-2</v>
      </c>
      <c r="P94" s="1270">
        <v>0</v>
      </c>
      <c r="Q94" s="1270">
        <v>0</v>
      </c>
      <c r="R94" s="1420">
        <f t="shared" si="5"/>
        <v>1333.0374847893954</v>
      </c>
      <c r="S94" s="1420">
        <f>'DFG 2018_2017'!D101</f>
        <v>1333037.4847893955</v>
      </c>
      <c r="T94" s="1421">
        <f t="shared" si="4"/>
        <v>1.8071653988251661</v>
      </c>
      <c r="U94" s="1349"/>
    </row>
    <row r="95" spans="1:21" x14ac:dyDescent="0.25">
      <c r="A95" s="1267" t="s">
        <v>912</v>
      </c>
      <c r="B95" s="1270">
        <v>48200</v>
      </c>
      <c r="C95" s="1270">
        <v>0.66148821123706525</v>
      </c>
      <c r="D95" s="1270">
        <v>324653.4768248903</v>
      </c>
      <c r="E95" s="1270">
        <v>5.1796211940983472</v>
      </c>
      <c r="F95" s="1270">
        <v>46194</v>
      </c>
      <c r="G95" s="1270">
        <v>0.14675197600833609</v>
      </c>
      <c r="H95" s="1270">
        <v>84126</v>
      </c>
      <c r="I95" s="1270">
        <v>1.2106550771356206</v>
      </c>
      <c r="J95" s="1270">
        <v>80604</v>
      </c>
      <c r="K95" s="1270">
        <v>1.3033017495068395</v>
      </c>
      <c r="L95" s="1270">
        <v>509974</v>
      </c>
      <c r="M95" s="1270">
        <v>6.4632211294737907</v>
      </c>
      <c r="N95" s="1270">
        <v>2200</v>
      </c>
      <c r="O95" s="1270">
        <v>6.8771491090965933E-2</v>
      </c>
      <c r="P95" s="1270">
        <v>72320</v>
      </c>
      <c r="Q95" s="1270">
        <v>1.6491836176229135</v>
      </c>
      <c r="R95" s="1420">
        <f t="shared" si="5"/>
        <v>1034.6466376816954</v>
      </c>
      <c r="S95" s="1420">
        <f>'DFG 2018_2017'!D102</f>
        <v>1034646.6376816955</v>
      </c>
      <c r="T95" s="1421">
        <f t="shared" si="4"/>
        <v>1.4026444304561785</v>
      </c>
      <c r="U95" s="1349"/>
    </row>
    <row r="96" spans="1:21" x14ac:dyDescent="0.25">
      <c r="A96" s="1263" t="s">
        <v>913</v>
      </c>
      <c r="B96" s="1266">
        <v>238544</v>
      </c>
      <c r="C96" s="1266">
        <v>3.273735349820218</v>
      </c>
      <c r="D96" s="1266">
        <v>324653.4768248903</v>
      </c>
      <c r="E96" s="1266">
        <v>5.1796211940983472</v>
      </c>
      <c r="F96" s="1266">
        <v>567992</v>
      </c>
      <c r="G96" s="1266">
        <v>1.8044323582484052</v>
      </c>
      <c r="H96" s="1266">
        <v>84126</v>
      </c>
      <c r="I96" s="1266">
        <v>1.2106550771356206</v>
      </c>
      <c r="J96" s="1266">
        <v>245984</v>
      </c>
      <c r="K96" s="1266">
        <v>3.9773631277689745</v>
      </c>
      <c r="L96" s="1266">
        <v>509974</v>
      </c>
      <c r="M96" s="1266">
        <v>6.4632211294737907</v>
      </c>
      <c r="N96" s="1266">
        <v>4500</v>
      </c>
      <c r="O96" s="1266">
        <v>0.14066895904970303</v>
      </c>
      <c r="P96" s="1266">
        <v>72320</v>
      </c>
      <c r="Q96" s="1266">
        <v>1.6491836176229135</v>
      </c>
      <c r="R96" s="1418">
        <f t="shared" si="5"/>
        <v>2367.6841224710911</v>
      </c>
      <c r="S96" s="1418">
        <f>'DFG 2018_2017'!D103</f>
        <v>2367684.1224710909</v>
      </c>
      <c r="T96" s="1422">
        <f t="shared" si="4"/>
        <v>3.2098098292813444</v>
      </c>
      <c r="U96" s="1346"/>
    </row>
    <row r="97" spans="1:96" x14ac:dyDescent="0.25">
      <c r="A97" s="1423" t="s">
        <v>914</v>
      </c>
      <c r="B97" s="1424">
        <v>238544</v>
      </c>
      <c r="C97" s="1424">
        <v>3.273735349820218</v>
      </c>
      <c r="D97" s="1424">
        <v>324653.4768248903</v>
      </c>
      <c r="E97" s="1424">
        <v>5.1796211940983472</v>
      </c>
      <c r="F97" s="1424">
        <v>567992</v>
      </c>
      <c r="G97" s="1424">
        <v>1.8044323582484052</v>
      </c>
      <c r="H97" s="1424">
        <v>84126</v>
      </c>
      <c r="I97" s="1424">
        <v>1.2106550771356206</v>
      </c>
      <c r="J97" s="1424">
        <v>245984</v>
      </c>
      <c r="K97" s="1424">
        <v>3.9773631277689745</v>
      </c>
      <c r="L97" s="1424">
        <v>742034</v>
      </c>
      <c r="M97" s="1424">
        <v>9.4042634086991779</v>
      </c>
      <c r="N97" s="1424">
        <v>30540</v>
      </c>
      <c r="O97" s="1424">
        <v>0.95467333541731791</v>
      </c>
      <c r="P97" s="1424">
        <v>82700</v>
      </c>
      <c r="Q97" s="1424">
        <v>1.8858888990239897</v>
      </c>
      <c r="R97" s="1425">
        <f t="shared" si="5"/>
        <v>2754.2822499254435</v>
      </c>
      <c r="S97" s="1425">
        <f>'DFG 2018_2017'!D104</f>
        <v>2754282.2499254434</v>
      </c>
      <c r="T97" s="1426">
        <f t="shared" si="4"/>
        <v>3.7339111896391781</v>
      </c>
      <c r="U97" s="1356"/>
    </row>
    <row r="98" spans="1:96" x14ac:dyDescent="0.25">
      <c r="A98" s="1227" t="s">
        <v>805</v>
      </c>
      <c r="B98" s="1230"/>
      <c r="C98" s="1227"/>
      <c r="D98" s="1230"/>
      <c r="E98" s="1227"/>
      <c r="F98" s="1230"/>
      <c r="G98" s="1227"/>
      <c r="H98" s="1230"/>
      <c r="I98" s="1227"/>
      <c r="J98" s="1230"/>
      <c r="K98" s="1227"/>
      <c r="L98" s="1230"/>
      <c r="M98" s="1227"/>
      <c r="N98" s="1230"/>
      <c r="O98" s="1227"/>
      <c r="P98" s="1230"/>
      <c r="Q98" s="1227"/>
      <c r="R98" s="1403"/>
      <c r="S98" s="1427"/>
      <c r="T98" s="1404"/>
      <c r="U98" s="1349"/>
    </row>
    <row r="99" spans="1:96" x14ac:dyDescent="0.25">
      <c r="A99" s="1271" t="s">
        <v>915</v>
      </c>
      <c r="B99" s="1274">
        <v>0</v>
      </c>
      <c r="C99" s="1274">
        <v>0</v>
      </c>
      <c r="D99" s="1274">
        <v>0</v>
      </c>
      <c r="E99" s="1274">
        <v>0</v>
      </c>
      <c r="F99" s="1274">
        <v>0</v>
      </c>
      <c r="G99" s="1274">
        <v>0</v>
      </c>
      <c r="H99" s="1274">
        <v>0</v>
      </c>
      <c r="I99" s="1274">
        <v>0</v>
      </c>
      <c r="J99" s="1274">
        <v>0</v>
      </c>
      <c r="K99" s="1274">
        <v>0</v>
      </c>
      <c r="L99" s="1274">
        <v>0</v>
      </c>
      <c r="M99" s="1274">
        <v>0</v>
      </c>
      <c r="N99" s="1274">
        <v>0</v>
      </c>
      <c r="O99" s="1274">
        <v>0</v>
      </c>
      <c r="P99" s="1274">
        <v>0</v>
      </c>
      <c r="Q99" s="1274">
        <v>0</v>
      </c>
      <c r="R99" s="1428"/>
      <c r="S99" s="1428">
        <f>'DFG 2018_2017'!D106</f>
        <v>5900</v>
      </c>
      <c r="T99" s="1429">
        <f t="shared" si="4"/>
        <v>7.9984816441624647E-3</v>
      </c>
      <c r="U99" s="1349"/>
    </row>
    <row r="100" spans="1:96" x14ac:dyDescent="0.25">
      <c r="A100" s="1231" t="s">
        <v>807</v>
      </c>
      <c r="B100" s="1274">
        <v>58900</v>
      </c>
      <c r="C100" s="1274">
        <v>0.80833310460296981</v>
      </c>
      <c r="D100" s="1274">
        <v>0</v>
      </c>
      <c r="E100" s="1274">
        <v>0</v>
      </c>
      <c r="F100" s="1274">
        <v>186032</v>
      </c>
      <c r="G100" s="1274">
        <v>0.59099804305283754</v>
      </c>
      <c r="H100" s="1274">
        <v>158690</v>
      </c>
      <c r="I100" s="1274">
        <v>2.2837036610637806</v>
      </c>
      <c r="J100" s="1274">
        <v>179360</v>
      </c>
      <c r="K100" s="1274">
        <v>2.9001067166833749</v>
      </c>
      <c r="L100" s="1274">
        <v>252888</v>
      </c>
      <c r="M100" s="1274">
        <v>3.205008618067525</v>
      </c>
      <c r="N100" s="1274">
        <v>31380</v>
      </c>
      <c r="O100" s="1274">
        <v>0.98093154110659586</v>
      </c>
      <c r="P100" s="1274">
        <v>96160</v>
      </c>
      <c r="Q100" s="1274">
        <v>2.1928304296269268</v>
      </c>
      <c r="R100" s="1428">
        <f>S100/1000</f>
        <v>1040.0712886627516</v>
      </c>
      <c r="S100" s="1428">
        <f>'DFG 2018_2017'!D107</f>
        <v>1040071.2886627516</v>
      </c>
      <c r="T100" s="1429">
        <f t="shared" si="4"/>
        <v>1.409998493388037</v>
      </c>
      <c r="U100" s="1349"/>
    </row>
    <row r="101" spans="1:96" x14ac:dyDescent="0.25">
      <c r="A101" s="1231" t="s">
        <v>916</v>
      </c>
      <c r="B101" s="1274">
        <v>0</v>
      </c>
      <c r="C101" s="1274">
        <v>0</v>
      </c>
      <c r="D101" s="1274">
        <v>0</v>
      </c>
      <c r="E101" s="1274">
        <v>0</v>
      </c>
      <c r="F101" s="1274">
        <v>0</v>
      </c>
      <c r="G101" s="1274">
        <v>0</v>
      </c>
      <c r="H101" s="1274">
        <v>0</v>
      </c>
      <c r="I101" s="1274">
        <v>0</v>
      </c>
      <c r="J101" s="1274">
        <v>0</v>
      </c>
      <c r="K101" s="1274">
        <v>0</v>
      </c>
      <c r="L101" s="1274">
        <v>0</v>
      </c>
      <c r="M101" s="1274">
        <v>0</v>
      </c>
      <c r="N101" s="1274">
        <v>0</v>
      </c>
      <c r="O101" s="1274">
        <v>0</v>
      </c>
      <c r="P101" s="1274">
        <v>0</v>
      </c>
      <c r="Q101" s="1274">
        <v>0</v>
      </c>
      <c r="R101" s="1428"/>
      <c r="S101" s="1428">
        <f>'DFG 2018_2017'!D108</f>
        <v>0</v>
      </c>
      <c r="T101" s="1429">
        <f t="shared" si="4"/>
        <v>0</v>
      </c>
      <c r="U101" s="1349"/>
    </row>
    <row r="102" spans="1:96" x14ac:dyDescent="0.25">
      <c r="A102" s="1231" t="s">
        <v>917</v>
      </c>
      <c r="B102" s="1274">
        <v>0</v>
      </c>
      <c r="C102" s="1274">
        <v>0</v>
      </c>
      <c r="D102" s="1274">
        <v>218229.99646874802</v>
      </c>
      <c r="E102" s="1274">
        <v>3.4817083308404415</v>
      </c>
      <c r="F102" s="1274">
        <v>0</v>
      </c>
      <c r="G102" s="1274">
        <v>0</v>
      </c>
      <c r="H102" s="1274">
        <v>0</v>
      </c>
      <c r="I102" s="1274">
        <v>0</v>
      </c>
      <c r="J102" s="1274">
        <v>0</v>
      </c>
      <c r="K102" s="1274">
        <v>0</v>
      </c>
      <c r="L102" s="1274">
        <v>0</v>
      </c>
      <c r="M102" s="1274">
        <v>0</v>
      </c>
      <c r="N102" s="1274">
        <v>0</v>
      </c>
      <c r="O102" s="1274">
        <v>0</v>
      </c>
      <c r="P102" s="1274">
        <v>0</v>
      </c>
      <c r="Q102" s="1274">
        <v>0</v>
      </c>
      <c r="R102" s="1428">
        <f>S102/1000</f>
        <v>235.59518133724839</v>
      </c>
      <c r="S102" s="1428">
        <f>'DFG 2018_2017'!D109</f>
        <v>235595.18133724839</v>
      </c>
      <c r="T102" s="1429">
        <f t="shared" si="4"/>
        <v>0.31939046328459464</v>
      </c>
      <c r="U102" s="1349"/>
    </row>
    <row r="103" spans="1:96" x14ac:dyDescent="0.25">
      <c r="A103" s="1235" t="s">
        <v>808</v>
      </c>
      <c r="B103" s="1238">
        <v>58900</v>
      </c>
      <c r="C103" s="1238">
        <v>0.80833310460296981</v>
      </c>
      <c r="D103" s="1238">
        <v>218229.99646874802</v>
      </c>
      <c r="E103" s="1238">
        <v>3.4817083308404415</v>
      </c>
      <c r="F103" s="1238">
        <v>186032</v>
      </c>
      <c r="G103" s="1238">
        <v>0.59099804305283754</v>
      </c>
      <c r="H103" s="1238">
        <v>158690</v>
      </c>
      <c r="I103" s="1238">
        <v>2.2837036610637806</v>
      </c>
      <c r="J103" s="1238">
        <v>179360</v>
      </c>
      <c r="K103" s="1238">
        <v>2.9001067166833749</v>
      </c>
      <c r="L103" s="1238">
        <v>252888</v>
      </c>
      <c r="M103" s="1238">
        <v>3.205008618067525</v>
      </c>
      <c r="N103" s="1238">
        <v>31380</v>
      </c>
      <c r="O103" s="1238">
        <v>0.98093154110659586</v>
      </c>
      <c r="P103" s="1238">
        <v>96160</v>
      </c>
      <c r="Q103" s="1238">
        <v>2.1928304296269268</v>
      </c>
      <c r="R103" s="1378">
        <f>S103/1000</f>
        <v>1281.56647</v>
      </c>
      <c r="S103" s="1378">
        <f>'DFG 2018_2017'!D110</f>
        <v>1281566.47</v>
      </c>
      <c r="T103" s="1379">
        <f t="shared" si="4"/>
        <v>1.737387438316794</v>
      </c>
      <c r="U103" s="1356"/>
    </row>
    <row r="104" spans="1:96" x14ac:dyDescent="0.25">
      <c r="A104" s="1127" t="s">
        <v>918</v>
      </c>
      <c r="B104" s="1130"/>
      <c r="C104" s="1127"/>
      <c r="D104" s="1130"/>
      <c r="E104" s="1127"/>
      <c r="F104" s="1130"/>
      <c r="G104" s="1127"/>
      <c r="H104" s="1130"/>
      <c r="I104" s="1127"/>
      <c r="J104" s="1130"/>
      <c r="K104" s="1127">
        <v>0</v>
      </c>
      <c r="L104" s="1130"/>
      <c r="M104" s="1127">
        <v>0</v>
      </c>
      <c r="N104" s="1130"/>
      <c r="O104" s="1127"/>
      <c r="P104" s="1130"/>
      <c r="Q104" s="1127"/>
      <c r="R104" s="1430"/>
      <c r="S104" s="1352"/>
      <c r="T104" s="1431"/>
      <c r="U104" s="1349"/>
    </row>
    <row r="105" spans="1:96" x14ac:dyDescent="0.25">
      <c r="A105" s="1432" t="s">
        <v>919</v>
      </c>
      <c r="B105" s="1433">
        <v>0</v>
      </c>
      <c r="C105" s="1433">
        <v>0</v>
      </c>
      <c r="D105" s="1433">
        <v>0</v>
      </c>
      <c r="E105" s="1433">
        <v>0</v>
      </c>
      <c r="F105" s="1433">
        <v>0</v>
      </c>
      <c r="G105" s="1433">
        <v>0</v>
      </c>
      <c r="H105" s="1433">
        <v>0</v>
      </c>
      <c r="I105" s="1433">
        <v>0</v>
      </c>
      <c r="J105" s="1433">
        <v>0</v>
      </c>
      <c r="K105" s="1433">
        <v>0</v>
      </c>
      <c r="L105" s="1433">
        <v>0</v>
      </c>
      <c r="M105" s="1433">
        <v>0</v>
      </c>
      <c r="N105" s="1433">
        <v>1160</v>
      </c>
      <c r="O105" s="1433">
        <v>3.6261331666145667E-2</v>
      </c>
      <c r="P105" s="1433">
        <v>0</v>
      </c>
      <c r="Q105" s="1433">
        <v>0</v>
      </c>
      <c r="R105" s="1434">
        <f>S105/1000</f>
        <v>1.7575412780718129</v>
      </c>
      <c r="S105" s="1434">
        <f>'DFG 2018_2017'!D112</f>
        <v>1757.5412780718129</v>
      </c>
      <c r="T105" s="1435">
        <f t="shared" si="4"/>
        <v>2.3826545172059717E-3</v>
      </c>
      <c r="U105" s="1349"/>
    </row>
    <row r="106" spans="1:96" x14ac:dyDescent="0.25">
      <c r="A106" s="1432" t="s">
        <v>920</v>
      </c>
      <c r="B106" s="1433">
        <v>0</v>
      </c>
      <c r="C106" s="1433">
        <v>0</v>
      </c>
      <c r="D106" s="1433">
        <v>0</v>
      </c>
      <c r="E106" s="1433">
        <v>0</v>
      </c>
      <c r="F106" s="1433">
        <v>0</v>
      </c>
      <c r="G106" s="1433">
        <v>0</v>
      </c>
      <c r="H106" s="1433">
        <v>0</v>
      </c>
      <c r="I106" s="1433">
        <v>0</v>
      </c>
      <c r="J106" s="1433">
        <v>0</v>
      </c>
      <c r="K106" s="1433">
        <v>0</v>
      </c>
      <c r="L106" s="1433">
        <v>66530</v>
      </c>
      <c r="M106" s="1433">
        <v>0.84317651830071982</v>
      </c>
      <c r="N106" s="1433">
        <v>7580</v>
      </c>
      <c r="O106" s="1433">
        <v>0.23694904657705532</v>
      </c>
      <c r="P106" s="1433">
        <v>12980</v>
      </c>
      <c r="Q106" s="1433">
        <v>0.29599562163641341</v>
      </c>
      <c r="R106" s="1434">
        <f>S106/1000</f>
        <v>77.128798796484574</v>
      </c>
      <c r="S106" s="1434">
        <f>'DFG 2018_2017'!D113</f>
        <v>77128.798796484567</v>
      </c>
      <c r="T106" s="1435">
        <f t="shared" si="4"/>
        <v>0.10456157312033589</v>
      </c>
      <c r="U106" s="1349"/>
    </row>
    <row r="107" spans="1:96" x14ac:dyDescent="0.25">
      <c r="A107" s="1131" t="s">
        <v>921</v>
      </c>
      <c r="B107" s="1135">
        <v>0</v>
      </c>
      <c r="C107" s="1135">
        <v>0</v>
      </c>
      <c r="D107" s="1135">
        <v>0</v>
      </c>
      <c r="E107" s="1135">
        <v>0</v>
      </c>
      <c r="F107" s="1135">
        <v>0</v>
      </c>
      <c r="G107" s="1135">
        <v>0</v>
      </c>
      <c r="H107" s="1135">
        <v>0</v>
      </c>
      <c r="I107" s="1135">
        <v>0</v>
      </c>
      <c r="J107" s="1135">
        <v>0</v>
      </c>
      <c r="K107" s="1135">
        <v>0</v>
      </c>
      <c r="L107" s="1135">
        <v>66530</v>
      </c>
      <c r="M107" s="1135">
        <v>0.84317651830071982</v>
      </c>
      <c r="N107" s="1135">
        <v>8740</v>
      </c>
      <c r="O107" s="1135">
        <v>0.27321037824320099</v>
      </c>
      <c r="P107" s="1135">
        <v>12980</v>
      </c>
      <c r="Q107" s="1135">
        <v>0.29599562163641341</v>
      </c>
      <c r="R107" s="1354">
        <f>S107/1000</f>
        <v>78.886340074556387</v>
      </c>
      <c r="S107" s="1354">
        <f>'DFG 2018_2017'!D114</f>
        <v>78886.340074556385</v>
      </c>
      <c r="T107" s="1355">
        <f t="shared" si="4"/>
        <v>0.10694422763754187</v>
      </c>
      <c r="U107" s="1356"/>
    </row>
    <row r="108" spans="1:96" x14ac:dyDescent="0.25">
      <c r="A108" s="1148" t="s">
        <v>922</v>
      </c>
      <c r="B108" s="1151"/>
      <c r="C108" s="1148"/>
      <c r="D108" s="1151"/>
      <c r="E108" s="1148"/>
      <c r="F108" s="1151"/>
      <c r="G108" s="1148"/>
      <c r="H108" s="1151"/>
      <c r="I108" s="1148"/>
      <c r="J108" s="1151"/>
      <c r="K108" s="1148"/>
      <c r="L108" s="1151"/>
      <c r="M108" s="1148"/>
      <c r="N108" s="1151"/>
      <c r="O108" s="1148"/>
      <c r="P108" s="1151"/>
      <c r="Q108" s="1148"/>
      <c r="R108" s="1363"/>
      <c r="S108" s="1436"/>
      <c r="T108" s="1364"/>
      <c r="U108" s="1349"/>
    </row>
    <row r="109" spans="1:96" x14ac:dyDescent="0.25">
      <c r="A109" s="1275" t="s">
        <v>810</v>
      </c>
      <c r="B109" s="1278">
        <v>30980</v>
      </c>
      <c r="C109" s="1278">
        <v>0.42516399967062829</v>
      </c>
      <c r="D109" s="1278">
        <v>0</v>
      </c>
      <c r="E109" s="1278">
        <v>0</v>
      </c>
      <c r="F109" s="1278">
        <v>13994</v>
      </c>
      <c r="G109" s="1278">
        <v>4.4457010699672145E-2</v>
      </c>
      <c r="H109" s="1278">
        <v>5066</v>
      </c>
      <c r="I109" s="1278">
        <v>7.2904674188349061E-2</v>
      </c>
      <c r="J109" s="1278">
        <v>3840</v>
      </c>
      <c r="K109" s="1278">
        <v>6.2089706690812665E-2</v>
      </c>
      <c r="L109" s="1278">
        <v>15790</v>
      </c>
      <c r="M109" s="1278">
        <v>0.20011659738416304</v>
      </c>
      <c r="N109" s="1278">
        <v>0</v>
      </c>
      <c r="O109" s="1278">
        <v>0</v>
      </c>
      <c r="P109" s="1278">
        <v>3200</v>
      </c>
      <c r="Q109" s="1278">
        <v>7.2972726443491745E-2</v>
      </c>
      <c r="R109" s="1437">
        <f>S109/1000</f>
        <v>73.852999999999994</v>
      </c>
      <c r="S109" s="1437">
        <f>'DFG 2018_2017'!D116</f>
        <v>73853</v>
      </c>
      <c r="T109" s="1438">
        <f t="shared" si="4"/>
        <v>0.10012065506208991</v>
      </c>
      <c r="U109" s="1349"/>
    </row>
    <row r="110" spans="1:96" x14ac:dyDescent="0.25">
      <c r="A110" s="1275" t="s">
        <v>923</v>
      </c>
      <c r="B110" s="1278">
        <v>0</v>
      </c>
      <c r="C110" s="1278">
        <v>0</v>
      </c>
      <c r="D110" s="1278">
        <v>0</v>
      </c>
      <c r="E110" s="1278">
        <v>0</v>
      </c>
      <c r="F110" s="1278">
        <v>0</v>
      </c>
      <c r="G110" s="1278">
        <v>0</v>
      </c>
      <c r="H110" s="1278">
        <v>0</v>
      </c>
      <c r="I110" s="1278">
        <v>0</v>
      </c>
      <c r="J110" s="1278">
        <v>0</v>
      </c>
      <c r="K110" s="1278">
        <v>0</v>
      </c>
      <c r="L110" s="1278">
        <v>0</v>
      </c>
      <c r="M110" s="1278">
        <v>0</v>
      </c>
      <c r="N110" s="1278">
        <v>0</v>
      </c>
      <c r="O110" s="1278">
        <v>0</v>
      </c>
      <c r="P110" s="1278">
        <v>0</v>
      </c>
      <c r="Q110" s="1278">
        <v>0</v>
      </c>
      <c r="R110" s="1437"/>
      <c r="S110" s="1437">
        <f>'DFG 2018_2017'!D117</f>
        <v>20180</v>
      </c>
      <c r="T110" s="1438">
        <f t="shared" si="4"/>
        <v>2.7357518572745512E-2</v>
      </c>
      <c r="U110" s="1349"/>
    </row>
    <row r="111" spans="1:96" x14ac:dyDescent="0.25">
      <c r="A111" s="1156" t="s">
        <v>924</v>
      </c>
      <c r="B111" s="1159">
        <v>30980</v>
      </c>
      <c r="C111" s="1159">
        <v>0.42516399967062829</v>
      </c>
      <c r="D111" s="1159">
        <v>0</v>
      </c>
      <c r="E111" s="1159">
        <v>0</v>
      </c>
      <c r="F111" s="1159">
        <v>13994</v>
      </c>
      <c r="G111" s="1159">
        <v>4.4457010699672145E-2</v>
      </c>
      <c r="H111" s="1159">
        <v>5066</v>
      </c>
      <c r="I111" s="1159">
        <v>7.2904674188349061E-2</v>
      </c>
      <c r="J111" s="1159">
        <v>3840</v>
      </c>
      <c r="K111" s="1159">
        <v>6.2089706690812665E-2</v>
      </c>
      <c r="L111" s="1159">
        <v>15790</v>
      </c>
      <c r="M111" s="1159">
        <v>0.20011659738416304</v>
      </c>
      <c r="N111" s="1159">
        <v>0</v>
      </c>
      <c r="O111" s="1159">
        <v>0</v>
      </c>
      <c r="P111" s="1159">
        <v>3200</v>
      </c>
      <c r="Q111" s="1159">
        <v>7.2972726443491745E-2</v>
      </c>
      <c r="R111" s="1367">
        <f>S111/1000</f>
        <v>94.033000000000001</v>
      </c>
      <c r="S111" s="1367">
        <f>'DFG 2018_2017'!D118</f>
        <v>94033</v>
      </c>
      <c r="T111" s="1368">
        <f t="shared" si="4"/>
        <v>0.12747817363483543</v>
      </c>
      <c r="U111" s="1356"/>
    </row>
    <row r="112" spans="1:96" s="1442" customFormat="1" x14ac:dyDescent="0.25">
      <c r="A112" s="1279" t="s">
        <v>813</v>
      </c>
      <c r="B112" s="1282"/>
      <c r="C112" s="1279"/>
      <c r="D112" s="1282"/>
      <c r="E112" s="1279"/>
      <c r="F112" s="1282"/>
      <c r="G112" s="1279"/>
      <c r="H112" s="1282"/>
      <c r="I112" s="1279"/>
      <c r="J112" s="1282"/>
      <c r="K112" s="1279"/>
      <c r="L112" s="1282"/>
      <c r="M112" s="1279"/>
      <c r="N112" s="1282"/>
      <c r="O112" s="1279"/>
      <c r="P112" s="1282"/>
      <c r="Q112" s="1279"/>
      <c r="R112" s="1439"/>
      <c r="S112" s="1440"/>
      <c r="T112" s="1441"/>
      <c r="U112" s="1349"/>
      <c r="V112" s="1324"/>
      <c r="W112" s="1324"/>
      <c r="X112" s="1324"/>
      <c r="Y112" s="1324"/>
      <c r="Z112" s="1324"/>
      <c r="AA112" s="1324"/>
      <c r="AB112" s="1324"/>
      <c r="AC112" s="1324"/>
      <c r="AD112" s="1324"/>
      <c r="AE112" s="1324"/>
      <c r="AF112" s="1324"/>
      <c r="AG112" s="1324"/>
      <c r="AH112" s="1324"/>
      <c r="AI112" s="1324"/>
      <c r="AJ112" s="1324"/>
      <c r="AK112" s="1324"/>
      <c r="AL112" s="1324"/>
      <c r="AM112" s="1324"/>
      <c r="AN112" s="1324"/>
      <c r="AO112" s="1324"/>
      <c r="AP112" s="1324"/>
      <c r="AQ112" s="1324"/>
      <c r="AR112" s="1324"/>
      <c r="AS112" s="1324"/>
      <c r="AT112" s="1324"/>
      <c r="AU112" s="1324"/>
      <c r="AV112" s="1324"/>
      <c r="AW112" s="1324"/>
      <c r="AX112" s="1324"/>
      <c r="AY112" s="1324"/>
      <c r="AZ112" s="1324"/>
      <c r="BA112" s="1324"/>
      <c r="BB112" s="1324"/>
      <c r="BC112" s="1324"/>
      <c r="BD112" s="1324"/>
      <c r="BE112" s="1324"/>
      <c r="BF112" s="1324"/>
      <c r="BG112" s="1324"/>
      <c r="BH112" s="1324"/>
      <c r="BI112" s="1324"/>
      <c r="BJ112" s="1324"/>
      <c r="BK112" s="1324"/>
      <c r="BL112" s="1324"/>
      <c r="BM112" s="1324"/>
      <c r="BN112" s="1324"/>
      <c r="BO112" s="1324"/>
      <c r="BP112" s="1324"/>
      <c r="BQ112" s="1324"/>
      <c r="BR112" s="1324"/>
      <c r="BS112" s="1324"/>
      <c r="BT112" s="1324"/>
      <c r="BU112" s="1324"/>
      <c r="BV112" s="1324"/>
      <c r="BW112" s="1324"/>
      <c r="BX112" s="1324"/>
      <c r="BY112" s="1324"/>
      <c r="BZ112" s="1324"/>
      <c r="CA112" s="1324"/>
      <c r="CB112" s="1324"/>
      <c r="CC112" s="1324"/>
      <c r="CD112" s="1324"/>
      <c r="CE112" s="1324"/>
      <c r="CF112" s="1324"/>
      <c r="CG112" s="1324"/>
      <c r="CH112" s="1324"/>
      <c r="CI112" s="1324"/>
      <c r="CJ112" s="1324"/>
      <c r="CK112" s="1324"/>
      <c r="CL112" s="1324"/>
      <c r="CM112" s="1324"/>
      <c r="CN112" s="1324"/>
      <c r="CO112" s="1324"/>
      <c r="CP112" s="1324"/>
      <c r="CQ112" s="1324"/>
      <c r="CR112" s="1324"/>
    </row>
    <row r="113" spans="1:96" s="1442" customFormat="1" x14ac:dyDescent="0.25">
      <c r="A113" s="1283" t="s">
        <v>925</v>
      </c>
      <c r="B113" s="1286">
        <v>0</v>
      </c>
      <c r="C113" s="1286">
        <v>0</v>
      </c>
      <c r="D113" s="1286">
        <v>0</v>
      </c>
      <c r="E113" s="1286">
        <v>0</v>
      </c>
      <c r="F113" s="1286">
        <v>0</v>
      </c>
      <c r="G113" s="1286">
        <v>0</v>
      </c>
      <c r="H113" s="1286">
        <v>0</v>
      </c>
      <c r="I113" s="1286">
        <v>0</v>
      </c>
      <c r="J113" s="1286">
        <v>0</v>
      </c>
      <c r="K113" s="1286">
        <v>0</v>
      </c>
      <c r="L113" s="1286">
        <v>0</v>
      </c>
      <c r="M113" s="1286">
        <v>0</v>
      </c>
      <c r="N113" s="1286">
        <v>0</v>
      </c>
      <c r="O113" s="1286">
        <v>0</v>
      </c>
      <c r="P113" s="1286">
        <v>5145</v>
      </c>
      <c r="Q113" s="1286">
        <v>0.11732646173492657</v>
      </c>
      <c r="R113" s="1443">
        <f>S113/1000</f>
        <v>5.28</v>
      </c>
      <c r="S113" s="1443">
        <f>'DFG 2018_2017'!D120</f>
        <v>5280</v>
      </c>
      <c r="T113" s="1444">
        <f t="shared" si="4"/>
        <v>7.1579632340979336E-3</v>
      </c>
      <c r="U113" s="1349"/>
      <c r="V113" s="1324"/>
      <c r="W113" s="1324"/>
      <c r="X113" s="1324"/>
      <c r="Y113" s="1324"/>
      <c r="Z113" s="1324"/>
      <c r="AA113" s="1324"/>
      <c r="AB113" s="1324"/>
      <c r="AC113" s="1324"/>
      <c r="AD113" s="1324"/>
      <c r="AE113" s="1324"/>
      <c r="AF113" s="1324"/>
      <c r="AG113" s="1324"/>
      <c r="AH113" s="1324"/>
      <c r="AI113" s="1324"/>
      <c r="AJ113" s="1324"/>
      <c r="AK113" s="1324"/>
      <c r="AL113" s="1324"/>
      <c r="AM113" s="1324"/>
      <c r="AN113" s="1324"/>
      <c r="AO113" s="1324"/>
      <c r="AP113" s="1324"/>
      <c r="AQ113" s="1324"/>
      <c r="AR113" s="1324"/>
      <c r="AS113" s="1324"/>
      <c r="AT113" s="1324"/>
      <c r="AU113" s="1324"/>
      <c r="AV113" s="1324"/>
      <c r="AW113" s="1324"/>
      <c r="AX113" s="1324"/>
      <c r="AY113" s="1324"/>
      <c r="AZ113" s="1324"/>
      <c r="BA113" s="1324"/>
      <c r="BB113" s="1324"/>
      <c r="BC113" s="1324"/>
      <c r="BD113" s="1324"/>
      <c r="BE113" s="1324"/>
      <c r="BF113" s="1324"/>
      <c r="BG113" s="1324"/>
      <c r="BH113" s="1324"/>
      <c r="BI113" s="1324"/>
      <c r="BJ113" s="1324"/>
      <c r="BK113" s="1324"/>
      <c r="BL113" s="1324"/>
      <c r="BM113" s="1324"/>
      <c r="BN113" s="1324"/>
      <c r="BO113" s="1324"/>
      <c r="BP113" s="1324"/>
      <c r="BQ113" s="1324"/>
      <c r="BR113" s="1324"/>
      <c r="BS113" s="1324"/>
      <c r="BT113" s="1324"/>
      <c r="BU113" s="1324"/>
      <c r="BV113" s="1324"/>
      <c r="BW113" s="1324"/>
      <c r="BX113" s="1324"/>
      <c r="BY113" s="1324"/>
      <c r="BZ113" s="1324"/>
      <c r="CA113" s="1324"/>
      <c r="CB113" s="1324"/>
      <c r="CC113" s="1324"/>
      <c r="CD113" s="1324"/>
      <c r="CE113" s="1324"/>
      <c r="CF113" s="1324"/>
      <c r="CG113" s="1324"/>
      <c r="CH113" s="1324"/>
      <c r="CI113" s="1324"/>
      <c r="CJ113" s="1324"/>
      <c r="CK113" s="1324"/>
      <c r="CL113" s="1324"/>
      <c r="CM113" s="1324"/>
      <c r="CN113" s="1324"/>
      <c r="CO113" s="1324"/>
      <c r="CP113" s="1324"/>
      <c r="CQ113" s="1324"/>
      <c r="CR113" s="1324"/>
    </row>
    <row r="114" spans="1:96" s="1442" customFormat="1" x14ac:dyDescent="0.25">
      <c r="A114" s="1283" t="s">
        <v>923</v>
      </c>
      <c r="B114" s="1286">
        <v>0</v>
      </c>
      <c r="C114" s="1286">
        <v>0</v>
      </c>
      <c r="D114" s="1286">
        <v>0</v>
      </c>
      <c r="E114" s="1286">
        <v>0</v>
      </c>
      <c r="F114" s="1286">
        <v>0</v>
      </c>
      <c r="G114" s="1286">
        <v>0</v>
      </c>
      <c r="H114" s="1286">
        <v>0</v>
      </c>
      <c r="I114" s="1286">
        <v>0</v>
      </c>
      <c r="J114" s="1286">
        <v>0</v>
      </c>
      <c r="K114" s="1286">
        <v>0</v>
      </c>
      <c r="L114" s="1286">
        <v>0</v>
      </c>
      <c r="M114" s="1286">
        <v>0</v>
      </c>
      <c r="N114" s="1286">
        <v>0</v>
      </c>
      <c r="O114" s="1286">
        <v>0</v>
      </c>
      <c r="P114" s="1286">
        <v>0</v>
      </c>
      <c r="Q114" s="1286">
        <v>0</v>
      </c>
      <c r="R114" s="1443"/>
      <c r="S114" s="1443">
        <f>'DFG 2018_2017'!D121</f>
        <v>0</v>
      </c>
      <c r="T114" s="1444">
        <f t="shared" si="4"/>
        <v>0</v>
      </c>
      <c r="U114" s="1349"/>
      <c r="V114" s="1324"/>
      <c r="W114" s="1324"/>
      <c r="X114" s="1324"/>
      <c r="Y114" s="1324"/>
      <c r="Z114" s="1324"/>
      <c r="AA114" s="1324"/>
      <c r="AB114" s="1324"/>
      <c r="AC114" s="1324"/>
      <c r="AD114" s="1324"/>
      <c r="AE114" s="1324"/>
      <c r="AF114" s="1324"/>
      <c r="AG114" s="1324"/>
      <c r="AH114" s="1324"/>
      <c r="AI114" s="1324"/>
      <c r="AJ114" s="1324"/>
      <c r="AK114" s="1324"/>
      <c r="AL114" s="1324"/>
      <c r="AM114" s="1324"/>
      <c r="AN114" s="1324"/>
      <c r="AO114" s="1324"/>
      <c r="AP114" s="1324"/>
      <c r="AQ114" s="1324"/>
      <c r="AR114" s="1324"/>
      <c r="AS114" s="1324"/>
      <c r="AT114" s="1324"/>
      <c r="AU114" s="1324"/>
      <c r="AV114" s="1324"/>
      <c r="AW114" s="1324"/>
      <c r="AX114" s="1324"/>
      <c r="AY114" s="1324"/>
      <c r="AZ114" s="1324"/>
      <c r="BA114" s="1324"/>
      <c r="BB114" s="1324"/>
      <c r="BC114" s="1324"/>
      <c r="BD114" s="1324"/>
      <c r="BE114" s="1324"/>
      <c r="BF114" s="1324"/>
      <c r="BG114" s="1324"/>
      <c r="BH114" s="1324"/>
      <c r="BI114" s="1324"/>
      <c r="BJ114" s="1324"/>
      <c r="BK114" s="1324"/>
      <c r="BL114" s="1324"/>
      <c r="BM114" s="1324"/>
      <c r="BN114" s="1324"/>
      <c r="BO114" s="1324"/>
      <c r="BP114" s="1324"/>
      <c r="BQ114" s="1324"/>
      <c r="BR114" s="1324"/>
      <c r="BS114" s="1324"/>
      <c r="BT114" s="1324"/>
      <c r="BU114" s="1324"/>
      <c r="BV114" s="1324"/>
      <c r="BW114" s="1324"/>
      <c r="BX114" s="1324"/>
      <c r="BY114" s="1324"/>
      <c r="BZ114" s="1324"/>
      <c r="CA114" s="1324"/>
      <c r="CB114" s="1324"/>
      <c r="CC114" s="1324"/>
      <c r="CD114" s="1324"/>
      <c r="CE114" s="1324"/>
      <c r="CF114" s="1324"/>
      <c r="CG114" s="1324"/>
      <c r="CH114" s="1324"/>
      <c r="CI114" s="1324"/>
      <c r="CJ114" s="1324"/>
      <c r="CK114" s="1324"/>
      <c r="CL114" s="1324"/>
      <c r="CM114" s="1324"/>
      <c r="CN114" s="1324"/>
      <c r="CO114" s="1324"/>
      <c r="CP114" s="1324"/>
      <c r="CQ114" s="1324"/>
      <c r="CR114" s="1324"/>
    </row>
    <row r="115" spans="1:96" s="1442" customFormat="1" x14ac:dyDescent="0.25">
      <c r="A115" s="1287" t="s">
        <v>815</v>
      </c>
      <c r="B115" s="1290">
        <v>0</v>
      </c>
      <c r="C115" s="1290">
        <v>0</v>
      </c>
      <c r="D115" s="1290">
        <v>0</v>
      </c>
      <c r="E115" s="1290">
        <v>0</v>
      </c>
      <c r="F115" s="1290">
        <v>0</v>
      </c>
      <c r="G115" s="1290">
        <v>0</v>
      </c>
      <c r="H115" s="1290">
        <v>0</v>
      </c>
      <c r="I115" s="1290">
        <v>0</v>
      </c>
      <c r="J115" s="1290">
        <v>0</v>
      </c>
      <c r="K115" s="1290">
        <v>0</v>
      </c>
      <c r="L115" s="1290">
        <v>0</v>
      </c>
      <c r="M115" s="1290">
        <v>0</v>
      </c>
      <c r="N115" s="1290">
        <v>0</v>
      </c>
      <c r="O115" s="1290">
        <v>0</v>
      </c>
      <c r="P115" s="1290">
        <v>5145</v>
      </c>
      <c r="Q115" s="1290">
        <v>0.11732646173492657</v>
      </c>
      <c r="R115" s="1445">
        <f>S115/1000</f>
        <v>5.28</v>
      </c>
      <c r="S115" s="1445">
        <f>'DFG 2018_2017'!D122</f>
        <v>5280</v>
      </c>
      <c r="T115" s="1446">
        <f t="shared" si="4"/>
        <v>7.1579632340979336E-3</v>
      </c>
      <c r="U115" s="1356"/>
      <c r="V115" s="1324"/>
      <c r="W115" s="1324"/>
      <c r="X115" s="1324"/>
      <c r="Y115" s="1324"/>
      <c r="Z115" s="1324"/>
      <c r="AA115" s="1324"/>
      <c r="AB115" s="1324"/>
      <c r="AC115" s="1324"/>
      <c r="AD115" s="1324"/>
      <c r="AE115" s="1324"/>
      <c r="AF115" s="1324"/>
      <c r="AG115" s="1324"/>
      <c r="AH115" s="1324"/>
      <c r="AI115" s="1324"/>
      <c r="AJ115" s="1324"/>
      <c r="AK115" s="1324"/>
      <c r="AL115" s="1324"/>
      <c r="AM115" s="1324"/>
      <c r="AN115" s="1324"/>
      <c r="AO115" s="1324"/>
      <c r="AP115" s="1324"/>
      <c r="AQ115" s="1324"/>
      <c r="AR115" s="1324"/>
      <c r="AS115" s="1324"/>
      <c r="AT115" s="1324"/>
      <c r="AU115" s="1324"/>
      <c r="AV115" s="1324"/>
      <c r="AW115" s="1324"/>
      <c r="AX115" s="1324"/>
      <c r="AY115" s="1324"/>
      <c r="AZ115" s="1324"/>
      <c r="BA115" s="1324"/>
      <c r="BB115" s="1324"/>
      <c r="BC115" s="1324"/>
      <c r="BD115" s="1324"/>
      <c r="BE115" s="1324"/>
      <c r="BF115" s="1324"/>
      <c r="BG115" s="1324"/>
      <c r="BH115" s="1324"/>
      <c r="BI115" s="1324"/>
      <c r="BJ115" s="1324"/>
      <c r="BK115" s="1324"/>
      <c r="BL115" s="1324"/>
      <c r="BM115" s="1324"/>
      <c r="BN115" s="1324"/>
      <c r="BO115" s="1324"/>
      <c r="BP115" s="1324"/>
      <c r="BQ115" s="1324"/>
      <c r="BR115" s="1324"/>
      <c r="BS115" s="1324"/>
      <c r="BT115" s="1324"/>
      <c r="BU115" s="1324"/>
      <c r="BV115" s="1324"/>
      <c r="BW115" s="1324"/>
      <c r="BX115" s="1324"/>
      <c r="BY115" s="1324"/>
      <c r="BZ115" s="1324"/>
      <c r="CA115" s="1324"/>
      <c r="CB115" s="1324"/>
      <c r="CC115" s="1324"/>
      <c r="CD115" s="1324"/>
      <c r="CE115" s="1324"/>
      <c r="CF115" s="1324"/>
      <c r="CG115" s="1324"/>
      <c r="CH115" s="1324"/>
      <c r="CI115" s="1324"/>
      <c r="CJ115" s="1324"/>
      <c r="CK115" s="1324"/>
      <c r="CL115" s="1324"/>
      <c r="CM115" s="1324"/>
      <c r="CN115" s="1324"/>
      <c r="CO115" s="1324"/>
      <c r="CP115" s="1324"/>
      <c r="CQ115" s="1324"/>
      <c r="CR115" s="1324"/>
    </row>
    <row r="116" spans="1:96" x14ac:dyDescent="0.25">
      <c r="A116" s="1210" t="s">
        <v>926</v>
      </c>
      <c r="B116" s="1213">
        <v>14332774</v>
      </c>
      <c r="C116" s="1213">
        <v>196.70043641753355</v>
      </c>
      <c r="D116" s="1213">
        <v>18804372.26871188</v>
      </c>
      <c r="E116" s="1213">
        <v>300.01072558132518</v>
      </c>
      <c r="F116" s="1213">
        <v>65870234.5</v>
      </c>
      <c r="G116" s="1213">
        <v>209.26066313823162</v>
      </c>
      <c r="H116" s="1213">
        <v>19022247.415131524</v>
      </c>
      <c r="I116" s="1213">
        <v>273.74866761356674</v>
      </c>
      <c r="J116" s="1213">
        <v>16918057.719999999</v>
      </c>
      <c r="K116" s="1213">
        <v>273.55136500339552</v>
      </c>
      <c r="L116" s="1213">
        <v>20472861</v>
      </c>
      <c r="M116" s="1213">
        <v>259.46543901449866</v>
      </c>
      <c r="N116" s="1213">
        <v>7747873.5599999996</v>
      </c>
      <c r="O116" s="1213">
        <v>242.1967352297593</v>
      </c>
      <c r="P116" s="1213">
        <v>9478923.0360000003</v>
      </c>
      <c r="Q116" s="1213">
        <v>216.15714302654385</v>
      </c>
      <c r="R116" s="1395">
        <f>S116/1000</f>
        <v>186991.91032000002</v>
      </c>
      <c r="S116" s="1395">
        <f>'DFG 2018_2017'!D123</f>
        <v>186991910.32000002</v>
      </c>
      <c r="T116" s="1396">
        <f t="shared" si="4"/>
        <v>253.50023089854133</v>
      </c>
      <c r="U116" s="1356"/>
    </row>
    <row r="117" spans="1:96" x14ac:dyDescent="0.25">
      <c r="A117" s="1210" t="s">
        <v>927</v>
      </c>
      <c r="B117" s="1213">
        <v>14572121.08</v>
      </c>
      <c r="C117" s="1213">
        <v>199.98519309417287</v>
      </c>
      <c r="D117" s="1213">
        <v>19576798.935378548</v>
      </c>
      <c r="E117" s="1213">
        <v>312.33425765214105</v>
      </c>
      <c r="F117" s="1213">
        <v>67983289.944865406</v>
      </c>
      <c r="G117" s="1213">
        <v>215.97354926952946</v>
      </c>
      <c r="H117" s="1213">
        <v>19421191.415131524</v>
      </c>
      <c r="I117" s="1213">
        <v>279.48986033749026</v>
      </c>
      <c r="J117" s="1213">
        <v>16918057.719999999</v>
      </c>
      <c r="K117" s="1213">
        <v>273.55136500339552</v>
      </c>
      <c r="L117" s="1213">
        <v>20632573</v>
      </c>
      <c r="M117" s="1213">
        <v>261.4895696035689</v>
      </c>
      <c r="N117" s="1213">
        <v>8126334.5599999996</v>
      </c>
      <c r="O117" s="1213">
        <v>254.02733854329477</v>
      </c>
      <c r="P117" s="1213">
        <v>9478923.0360000003</v>
      </c>
      <c r="Q117" s="1213">
        <v>216.15714302654385</v>
      </c>
      <c r="R117" s="1395">
        <f>S117/1000</f>
        <v>190310.36185000002</v>
      </c>
      <c r="S117" s="1395">
        <f>'DFG 2018_2017'!D124</f>
        <v>190310361.85000002</v>
      </c>
      <c r="T117" s="1396">
        <f t="shared" si="4"/>
        <v>257.99897219510876</v>
      </c>
      <c r="U117" s="1356"/>
    </row>
    <row r="118" spans="1:96" x14ac:dyDescent="0.25">
      <c r="A118" s="1291" t="s">
        <v>818</v>
      </c>
      <c r="B118" s="1294"/>
      <c r="C118" s="1291"/>
      <c r="D118" s="1294"/>
      <c r="E118" s="1291"/>
      <c r="F118" s="1294"/>
      <c r="G118" s="1291"/>
      <c r="H118" s="1294"/>
      <c r="I118" s="1291"/>
      <c r="J118" s="1294"/>
      <c r="K118" s="1291"/>
      <c r="L118" s="1294"/>
      <c r="M118" s="1291"/>
      <c r="N118" s="1294"/>
      <c r="O118" s="1291"/>
      <c r="P118" s="1294"/>
      <c r="Q118" s="1291"/>
      <c r="R118" s="1447"/>
      <c r="S118" s="1448"/>
      <c r="T118" s="1449"/>
      <c r="U118" s="1349"/>
    </row>
    <row r="119" spans="1:96" x14ac:dyDescent="0.25">
      <c r="A119" s="1295" t="s">
        <v>928</v>
      </c>
      <c r="B119" s="1450">
        <v>0</v>
      </c>
      <c r="C119" s="1450">
        <v>0</v>
      </c>
      <c r="D119" s="1450">
        <v>2017620.7776008593</v>
      </c>
      <c r="E119" s="1450">
        <v>32.189741023322952</v>
      </c>
      <c r="F119" s="1450">
        <v>1507540</v>
      </c>
      <c r="G119" s="1450">
        <v>4.7892469565659388</v>
      </c>
      <c r="H119" s="1450">
        <v>334400</v>
      </c>
      <c r="I119" s="1450">
        <v>4.8123416992862076</v>
      </c>
      <c r="J119" s="1450">
        <v>740498</v>
      </c>
      <c r="K119" s="1450">
        <v>11.973256152378488</v>
      </c>
      <c r="L119" s="1450">
        <v>0</v>
      </c>
      <c r="M119" s="1450">
        <v>0</v>
      </c>
      <c r="N119" s="1450">
        <v>353157.87000000005</v>
      </c>
      <c r="O119" s="1450">
        <v>11.039633322913412</v>
      </c>
      <c r="P119" s="1450">
        <v>0</v>
      </c>
      <c r="Q119" s="1450">
        <v>0</v>
      </c>
      <c r="R119" s="1451">
        <f>S119/1000</f>
        <v>3483.7239699999996</v>
      </c>
      <c r="S119" s="1450">
        <f>'DFG 2018_2017'!D126</f>
        <v>3483723.9699999997</v>
      </c>
      <c r="T119" s="1452">
        <f t="shared" si="4"/>
        <v>4.7227969876904723</v>
      </c>
      <c r="U119" s="1349"/>
    </row>
    <row r="120" spans="1:96" x14ac:dyDescent="0.25">
      <c r="A120" s="1295" t="s">
        <v>820</v>
      </c>
      <c r="B120" s="1450">
        <v>13220514</v>
      </c>
      <c r="C120" s="1450">
        <v>181.43597837125682</v>
      </c>
      <c r="D120" s="1450">
        <v>2835688.1602274594</v>
      </c>
      <c r="E120" s="1450">
        <v>45.241439082108194</v>
      </c>
      <c r="F120" s="1450">
        <v>62981920</v>
      </c>
      <c r="G120" s="1450">
        <v>200.08488576003253</v>
      </c>
      <c r="H120" s="1450">
        <v>4368820</v>
      </c>
      <c r="I120" s="1450">
        <v>62.871574948192496</v>
      </c>
      <c r="J120" s="1450">
        <v>5422620</v>
      </c>
      <c r="K120" s="1450">
        <v>87.679397212430871</v>
      </c>
      <c r="L120" s="1450">
        <v>20179690</v>
      </c>
      <c r="M120" s="1450">
        <v>255.74989861097029</v>
      </c>
      <c r="N120" s="1450">
        <v>4470847.37</v>
      </c>
      <c r="O120" s="1450">
        <v>139.75765457955612</v>
      </c>
      <c r="P120" s="1450">
        <v>11202160</v>
      </c>
      <c r="Q120" s="1450">
        <v>255.45379914257046</v>
      </c>
      <c r="R120" s="1451">
        <f t="shared" ref="R120:R134" si="6">S120/1000</f>
        <v>114916.79586</v>
      </c>
      <c r="S120" s="1450">
        <f>'DFG 2018_2017'!D127</f>
        <v>114916795.86</v>
      </c>
      <c r="T120" s="1452">
        <f t="shared" si="4"/>
        <v>155.78981055799576</v>
      </c>
      <c r="U120" s="1453"/>
    </row>
    <row r="121" spans="1:96" x14ac:dyDescent="0.25">
      <c r="A121" s="1295" t="s">
        <v>929</v>
      </c>
      <c r="B121" s="1450">
        <v>0</v>
      </c>
      <c r="C121" s="1450">
        <v>0</v>
      </c>
      <c r="D121" s="1450">
        <v>16919.061428571425</v>
      </c>
      <c r="E121" s="1450">
        <v>0.26993189790155275</v>
      </c>
      <c r="F121" s="1450">
        <v>0</v>
      </c>
      <c r="G121" s="1450">
        <v>0</v>
      </c>
      <c r="H121" s="1450">
        <v>407780</v>
      </c>
      <c r="I121" s="1450">
        <v>5.868351370020723</v>
      </c>
      <c r="J121" s="1450">
        <v>815500</v>
      </c>
      <c r="K121" s="1450">
        <v>13.185978074572326</v>
      </c>
      <c r="L121" s="1450">
        <v>0</v>
      </c>
      <c r="M121" s="1450">
        <v>0</v>
      </c>
      <c r="N121" s="1450">
        <v>127678.64673468267</v>
      </c>
      <c r="O121" s="1450">
        <v>3.9912049620094612</v>
      </c>
      <c r="P121" s="1450">
        <v>0</v>
      </c>
      <c r="Q121" s="1450">
        <v>0</v>
      </c>
      <c r="R121" s="1451">
        <f t="shared" si="6"/>
        <v>730.48932000000002</v>
      </c>
      <c r="S121" s="1450">
        <f>'DFG 2018_2017'!D128</f>
        <v>730489.32000000007</v>
      </c>
      <c r="T121" s="1452">
        <f t="shared" si="4"/>
        <v>0.99030600292825777</v>
      </c>
      <c r="U121" s="1453"/>
    </row>
    <row r="122" spans="1:96" x14ac:dyDescent="0.25">
      <c r="A122" s="1295" t="s">
        <v>822</v>
      </c>
      <c r="B122" s="1450">
        <v>535841</v>
      </c>
      <c r="C122" s="1450">
        <v>7.3537864024373505</v>
      </c>
      <c r="D122" s="1450">
        <v>0</v>
      </c>
      <c r="E122" s="1450">
        <v>0</v>
      </c>
      <c r="F122" s="1450">
        <v>534480</v>
      </c>
      <c r="G122" s="1450">
        <v>1.6979693496327548</v>
      </c>
      <c r="H122" s="1450">
        <v>0</v>
      </c>
      <c r="I122" s="1450">
        <v>0</v>
      </c>
      <c r="J122" s="1450">
        <v>0</v>
      </c>
      <c r="K122" s="1450">
        <v>0</v>
      </c>
      <c r="L122" s="1450">
        <v>0</v>
      </c>
      <c r="M122" s="1450">
        <v>0</v>
      </c>
      <c r="N122" s="1450">
        <v>0</v>
      </c>
      <c r="O122" s="1450">
        <v>0</v>
      </c>
      <c r="P122" s="1450">
        <v>0</v>
      </c>
      <c r="Q122" s="1450">
        <v>0</v>
      </c>
      <c r="R122" s="1451">
        <f t="shared" si="6"/>
        <v>1363.99</v>
      </c>
      <c r="S122" s="1450">
        <f>'DFG 2018_2017'!D129</f>
        <v>1363990</v>
      </c>
      <c r="T122" s="1452">
        <f t="shared" si="4"/>
        <v>1.8491269453934169</v>
      </c>
      <c r="U122" s="1349"/>
    </row>
    <row r="123" spans="1:96" x14ac:dyDescent="0.25">
      <c r="A123" s="1295" t="s">
        <v>930</v>
      </c>
      <c r="B123" s="1450">
        <v>2014568</v>
      </c>
      <c r="C123" s="1450">
        <v>27.64757225592183</v>
      </c>
      <c r="D123" s="1450">
        <v>0</v>
      </c>
      <c r="E123" s="1450">
        <v>0</v>
      </c>
      <c r="F123" s="1450">
        <v>2775780</v>
      </c>
      <c r="G123" s="1450">
        <v>8.8182707703255652</v>
      </c>
      <c r="H123" s="1450">
        <v>0</v>
      </c>
      <c r="I123" s="1450">
        <v>0</v>
      </c>
      <c r="J123" s="1450">
        <v>1328880</v>
      </c>
      <c r="K123" s="1450">
        <v>21.486919121689358</v>
      </c>
      <c r="L123" s="1450">
        <v>1772400</v>
      </c>
      <c r="M123" s="1450">
        <v>22.462739531582681</v>
      </c>
      <c r="N123" s="1450">
        <v>0</v>
      </c>
      <c r="O123" s="1450">
        <v>0</v>
      </c>
      <c r="P123" s="1450">
        <v>0</v>
      </c>
      <c r="Q123" s="1450">
        <v>0</v>
      </c>
      <c r="R123" s="1451">
        <f t="shared" si="6"/>
        <v>8858.2141564373378</v>
      </c>
      <c r="S123" s="1450">
        <f>'DFG 2018_2017'!D130</f>
        <v>8858214.1564373374</v>
      </c>
      <c r="T123" s="1452">
        <f t="shared" si="4"/>
        <v>12.00885819158036</v>
      </c>
      <c r="U123" s="1349"/>
    </row>
    <row r="124" spans="1:96" x14ac:dyDescent="0.25">
      <c r="A124" s="1295" t="s">
        <v>825</v>
      </c>
      <c r="B124" s="1450">
        <v>320846</v>
      </c>
      <c r="C124" s="1450">
        <v>4.4032333324184121</v>
      </c>
      <c r="D124" s="1450">
        <v>0</v>
      </c>
      <c r="E124" s="1450">
        <v>0</v>
      </c>
      <c r="F124" s="1450">
        <v>3365120</v>
      </c>
      <c r="G124" s="1450">
        <v>10.690522784456249</v>
      </c>
      <c r="H124" s="1450">
        <v>0</v>
      </c>
      <c r="I124" s="1450">
        <v>0</v>
      </c>
      <c r="J124" s="1450">
        <v>0</v>
      </c>
      <c r="K124" s="1450">
        <v>0</v>
      </c>
      <c r="L124" s="1450">
        <v>0</v>
      </c>
      <c r="M124" s="1450">
        <v>0</v>
      </c>
      <c r="N124" s="1450">
        <v>236960</v>
      </c>
      <c r="O124" s="1450">
        <v>7.4073147858705841</v>
      </c>
      <c r="P124" s="1450">
        <v>0</v>
      </c>
      <c r="Q124" s="1450">
        <v>0</v>
      </c>
      <c r="R124" s="1451">
        <f t="shared" si="6"/>
        <v>4182.7169999999996</v>
      </c>
      <c r="S124" s="1450">
        <f>'DFG 2018_2017'!D132</f>
        <v>4182717</v>
      </c>
      <c r="T124" s="1452">
        <f t="shared" si="4"/>
        <v>5.6704042622417443</v>
      </c>
      <c r="U124" s="1349"/>
    </row>
    <row r="125" spans="1:96" x14ac:dyDescent="0.25">
      <c r="A125" s="1295" t="s">
        <v>931</v>
      </c>
      <c r="B125" s="1450">
        <v>0</v>
      </c>
      <c r="C125" s="1450">
        <v>0</v>
      </c>
      <c r="D125" s="1450">
        <v>0</v>
      </c>
      <c r="E125" s="1450">
        <v>0</v>
      </c>
      <c r="F125" s="1450">
        <v>0</v>
      </c>
      <c r="G125" s="1450">
        <v>0</v>
      </c>
      <c r="H125" s="1450">
        <v>0</v>
      </c>
      <c r="I125" s="1450">
        <v>0</v>
      </c>
      <c r="J125" s="1450">
        <v>0</v>
      </c>
      <c r="K125" s="1450">
        <v>0</v>
      </c>
      <c r="L125" s="1450">
        <v>0</v>
      </c>
      <c r="M125" s="1450">
        <v>0</v>
      </c>
      <c r="N125" s="1450">
        <v>0</v>
      </c>
      <c r="O125" s="1450">
        <v>0</v>
      </c>
      <c r="P125" s="1450">
        <v>0</v>
      </c>
      <c r="Q125" s="1450">
        <v>0</v>
      </c>
      <c r="R125" s="1451">
        <f t="shared" si="6"/>
        <v>0</v>
      </c>
      <c r="S125" s="1450">
        <f>'DFG 2018_2017'!D133</f>
        <v>0</v>
      </c>
      <c r="T125" s="1452">
        <f t="shared" si="4"/>
        <v>0</v>
      </c>
      <c r="U125" s="1349"/>
    </row>
    <row r="126" spans="1:96" x14ac:dyDescent="0.25">
      <c r="A126" s="1295" t="s">
        <v>932</v>
      </c>
      <c r="B126" s="1450">
        <v>0</v>
      </c>
      <c r="C126" s="1450">
        <v>0</v>
      </c>
      <c r="D126" s="1450">
        <v>0</v>
      </c>
      <c r="E126" s="1450">
        <v>0</v>
      </c>
      <c r="F126" s="1450">
        <v>1080830</v>
      </c>
      <c r="G126" s="1450">
        <v>3.4336480544895416</v>
      </c>
      <c r="H126" s="1450">
        <v>0</v>
      </c>
      <c r="I126" s="1450">
        <v>0</v>
      </c>
      <c r="J126" s="1450">
        <v>0</v>
      </c>
      <c r="K126" s="1450">
        <v>0</v>
      </c>
      <c r="L126" s="1450">
        <v>0</v>
      </c>
      <c r="M126" s="1450">
        <v>0</v>
      </c>
      <c r="N126" s="1450">
        <v>0</v>
      </c>
      <c r="O126" s="1450">
        <v>0</v>
      </c>
      <c r="P126" s="1450">
        <v>0</v>
      </c>
      <c r="Q126" s="1450">
        <v>0</v>
      </c>
      <c r="R126" s="1451">
        <f t="shared" si="6"/>
        <v>1080.83</v>
      </c>
      <c r="S126" s="1450">
        <f>'DFG 2018_2017'!D134</f>
        <v>1080830</v>
      </c>
      <c r="T126" s="1452">
        <f t="shared" si="4"/>
        <v>1.4652540534678162</v>
      </c>
      <c r="U126" s="1453"/>
    </row>
    <row r="127" spans="1:96" x14ac:dyDescent="0.25">
      <c r="A127" s="1295" t="s">
        <v>933</v>
      </c>
      <c r="B127" s="1450">
        <v>0</v>
      </c>
      <c r="C127" s="1450">
        <v>0</v>
      </c>
      <c r="D127" s="1450">
        <v>93430</v>
      </c>
      <c r="E127" s="1450">
        <v>1.4906108904098661</v>
      </c>
      <c r="F127" s="1450">
        <v>0</v>
      </c>
      <c r="G127" s="1450">
        <v>0</v>
      </c>
      <c r="H127" s="1450">
        <v>0</v>
      </c>
      <c r="I127" s="1450">
        <v>0</v>
      </c>
      <c r="J127" s="1450">
        <v>0</v>
      </c>
      <c r="K127" s="1450">
        <v>0</v>
      </c>
      <c r="L127" s="1450">
        <v>0</v>
      </c>
      <c r="M127" s="1450">
        <v>0</v>
      </c>
      <c r="N127" s="1450">
        <v>0</v>
      </c>
      <c r="O127" s="1450">
        <v>0</v>
      </c>
      <c r="P127" s="1450">
        <v>0</v>
      </c>
      <c r="Q127" s="1450">
        <v>0</v>
      </c>
      <c r="R127" s="1451">
        <f t="shared" si="6"/>
        <v>313.26</v>
      </c>
      <c r="S127" s="1450">
        <f>'DFG 2018_2017'!D135</f>
        <v>313260</v>
      </c>
      <c r="T127" s="1452">
        <f t="shared" si="4"/>
        <v>0.42467870505937855</v>
      </c>
      <c r="U127" s="1349"/>
    </row>
    <row r="128" spans="1:96" x14ac:dyDescent="0.25">
      <c r="A128" s="1295" t="s">
        <v>826</v>
      </c>
      <c r="B128" s="1450">
        <v>294380</v>
      </c>
      <c r="C128" s="1450">
        <v>4.0400186643976612</v>
      </c>
      <c r="D128" s="1450">
        <v>3040</v>
      </c>
      <c r="E128" s="1450">
        <v>4.850109287002026E-2</v>
      </c>
      <c r="F128" s="1450">
        <v>747720</v>
      </c>
      <c r="G128" s="1450">
        <v>2.3754034615091366</v>
      </c>
      <c r="H128" s="1450">
        <v>0</v>
      </c>
      <c r="I128" s="1450">
        <v>0</v>
      </c>
      <c r="J128" s="1450">
        <v>0</v>
      </c>
      <c r="K128" s="1450">
        <v>0</v>
      </c>
      <c r="L128" s="1450">
        <v>65830</v>
      </c>
      <c r="M128" s="1450">
        <v>0.83430497820135863</v>
      </c>
      <c r="N128" s="1450">
        <v>0</v>
      </c>
      <c r="O128" s="1450">
        <v>0</v>
      </c>
      <c r="P128" s="1450">
        <v>456380</v>
      </c>
      <c r="Q128" s="1450">
        <v>10.407279029462739</v>
      </c>
      <c r="R128" s="1451">
        <f t="shared" si="6"/>
        <v>1147.704</v>
      </c>
      <c r="S128" s="1450">
        <f>'DFG 2018_2017'!D136</f>
        <v>1147704</v>
      </c>
      <c r="T128" s="1452">
        <f t="shared" si="4"/>
        <v>1.5559134537172605</v>
      </c>
      <c r="U128" s="1349"/>
    </row>
    <row r="129" spans="1:21" x14ac:dyDescent="0.25">
      <c r="A129" s="1295" t="s">
        <v>827</v>
      </c>
      <c r="B129" s="1450">
        <v>0</v>
      </c>
      <c r="C129" s="1450">
        <v>0</v>
      </c>
      <c r="D129" s="1450">
        <v>0</v>
      </c>
      <c r="E129" s="1450">
        <v>0</v>
      </c>
      <c r="F129" s="1450">
        <v>0</v>
      </c>
      <c r="G129" s="1450">
        <v>0</v>
      </c>
      <c r="H129" s="1450">
        <v>0</v>
      </c>
      <c r="I129" s="1450">
        <v>0</v>
      </c>
      <c r="J129" s="1450">
        <v>0</v>
      </c>
      <c r="K129" s="1450">
        <v>0</v>
      </c>
      <c r="L129" s="1450">
        <v>0</v>
      </c>
      <c r="M129" s="1450">
        <v>0</v>
      </c>
      <c r="N129" s="1450">
        <v>0</v>
      </c>
      <c r="O129" s="1450">
        <v>0</v>
      </c>
      <c r="P129" s="1450">
        <v>586680</v>
      </c>
      <c r="Q129" s="1450">
        <v>13.378637234333668</v>
      </c>
      <c r="R129" s="1451">
        <f t="shared" si="6"/>
        <v>502.96607773777555</v>
      </c>
      <c r="S129" s="1450">
        <f>'DFG 2018_2017'!D137</f>
        <v>502966.07773777557</v>
      </c>
      <c r="T129" s="1452">
        <f t="shared" si="4"/>
        <v>0.68185846447830323</v>
      </c>
    </row>
    <row r="130" spans="1:21" x14ac:dyDescent="0.25">
      <c r="A130" s="1295" t="s">
        <v>828</v>
      </c>
      <c r="B130" s="1450">
        <v>0</v>
      </c>
      <c r="C130" s="1450">
        <v>0</v>
      </c>
      <c r="D130" s="1450">
        <v>0</v>
      </c>
      <c r="E130" s="1450">
        <v>0</v>
      </c>
      <c r="F130" s="1450">
        <v>240</v>
      </c>
      <c r="G130" s="1450">
        <v>7.6244694639997972E-4</v>
      </c>
      <c r="H130" s="1450">
        <v>0</v>
      </c>
      <c r="I130" s="1450">
        <v>0</v>
      </c>
      <c r="J130" s="1450">
        <v>0</v>
      </c>
      <c r="K130" s="1450">
        <v>0</v>
      </c>
      <c r="L130" s="1450">
        <v>0</v>
      </c>
      <c r="M130" s="1450">
        <v>0</v>
      </c>
      <c r="N130" s="1450">
        <v>0</v>
      </c>
      <c r="O130" s="1450">
        <v>0</v>
      </c>
      <c r="P130" s="1450">
        <v>0</v>
      </c>
      <c r="Q130" s="1450">
        <v>0</v>
      </c>
      <c r="R130" s="1451">
        <f t="shared" si="6"/>
        <v>0</v>
      </c>
      <c r="S130" s="1450">
        <f>'DFG 2018_2017'!D138</f>
        <v>0</v>
      </c>
      <c r="T130" s="1452">
        <f t="shared" si="4"/>
        <v>0</v>
      </c>
      <c r="U130" s="1454"/>
    </row>
    <row r="131" spans="1:21" x14ac:dyDescent="0.25">
      <c r="A131" s="1300" t="s">
        <v>934</v>
      </c>
      <c r="B131" s="1450">
        <v>0</v>
      </c>
      <c r="C131" s="1450">
        <v>0</v>
      </c>
      <c r="D131" s="1450">
        <v>0</v>
      </c>
      <c r="E131" s="1450">
        <v>0</v>
      </c>
      <c r="F131" s="1450">
        <v>0</v>
      </c>
      <c r="G131" s="1450">
        <v>0</v>
      </c>
      <c r="H131" s="1450">
        <v>0</v>
      </c>
      <c r="I131" s="1450">
        <v>0</v>
      </c>
      <c r="J131" s="1450">
        <v>0</v>
      </c>
      <c r="K131" s="1450">
        <v>0</v>
      </c>
      <c r="L131" s="1450">
        <v>0</v>
      </c>
      <c r="M131" s="1450">
        <v>0</v>
      </c>
      <c r="N131" s="1450">
        <v>0</v>
      </c>
      <c r="O131" s="1450">
        <v>0</v>
      </c>
      <c r="P131" s="1450">
        <v>0</v>
      </c>
      <c r="Q131" s="1450">
        <v>0</v>
      </c>
      <c r="R131" s="1451">
        <f t="shared" si="6"/>
        <v>0</v>
      </c>
      <c r="S131" s="1450">
        <f>'DFG 2018_2017'!D139</f>
        <v>0</v>
      </c>
      <c r="T131" s="1452">
        <f t="shared" si="4"/>
        <v>0</v>
      </c>
      <c r="U131" s="1454"/>
    </row>
    <row r="132" spans="1:21" x14ac:dyDescent="0.25">
      <c r="A132" s="1455" t="s">
        <v>935</v>
      </c>
      <c r="B132" s="1450">
        <v>0</v>
      </c>
      <c r="C132" s="1450">
        <v>0</v>
      </c>
      <c r="D132" s="1450">
        <v>0</v>
      </c>
      <c r="E132" s="1450">
        <v>0</v>
      </c>
      <c r="F132" s="1450">
        <v>0</v>
      </c>
      <c r="G132" s="1450">
        <v>0</v>
      </c>
      <c r="H132" s="1450">
        <v>0</v>
      </c>
      <c r="I132" s="1450">
        <v>0</v>
      </c>
      <c r="J132" s="1450">
        <v>0</v>
      </c>
      <c r="K132" s="1450">
        <v>0</v>
      </c>
      <c r="L132" s="1450">
        <v>0</v>
      </c>
      <c r="M132" s="1450">
        <v>0</v>
      </c>
      <c r="N132" s="1450">
        <v>0</v>
      </c>
      <c r="O132" s="1450">
        <v>0</v>
      </c>
      <c r="P132" s="1450">
        <v>0</v>
      </c>
      <c r="Q132" s="1450">
        <v>0</v>
      </c>
      <c r="R132" s="1451">
        <f t="shared" si="6"/>
        <v>0</v>
      </c>
      <c r="S132" s="1450">
        <f>'DFG 2018_2017'!D140</f>
        <v>0</v>
      </c>
      <c r="T132" s="1452">
        <f t="shared" si="4"/>
        <v>0</v>
      </c>
      <c r="U132" s="1349"/>
    </row>
    <row r="133" spans="1:21" x14ac:dyDescent="0.25">
      <c r="A133" s="1456" t="s">
        <v>936</v>
      </c>
      <c r="B133" s="1450">
        <v>0</v>
      </c>
      <c r="C133" s="1450">
        <v>0</v>
      </c>
      <c r="D133" s="1450">
        <v>0</v>
      </c>
      <c r="E133" s="1450">
        <v>0</v>
      </c>
      <c r="F133" s="1450">
        <v>0</v>
      </c>
      <c r="G133" s="1450">
        <v>0</v>
      </c>
      <c r="H133" s="1450">
        <v>0</v>
      </c>
      <c r="I133" s="1450">
        <v>0</v>
      </c>
      <c r="J133" s="1450">
        <v>0</v>
      </c>
      <c r="K133" s="1450">
        <v>0</v>
      </c>
      <c r="L133" s="1450">
        <v>0</v>
      </c>
      <c r="M133" s="1450">
        <v>0</v>
      </c>
      <c r="N133" s="1450">
        <v>0</v>
      </c>
      <c r="O133" s="1450">
        <v>0</v>
      </c>
      <c r="P133" s="1450">
        <v>29280</v>
      </c>
      <c r="Q133" s="1450">
        <v>0.6677004469579495</v>
      </c>
      <c r="R133" s="1451">
        <f t="shared" si="6"/>
        <v>0</v>
      </c>
      <c r="S133" s="1450">
        <f>'DFG 2018_2017'!D141</f>
        <v>0</v>
      </c>
      <c r="T133" s="1452">
        <f t="shared" si="4"/>
        <v>0</v>
      </c>
      <c r="U133" s="1346"/>
    </row>
    <row r="134" spans="1:21" x14ac:dyDescent="0.25">
      <c r="A134" s="1295" t="s">
        <v>937</v>
      </c>
      <c r="B134" s="1450">
        <v>0</v>
      </c>
      <c r="C134" s="1450">
        <v>0</v>
      </c>
      <c r="D134" s="1450">
        <v>0</v>
      </c>
      <c r="E134" s="1450">
        <v>0</v>
      </c>
      <c r="F134" s="1450">
        <v>0</v>
      </c>
      <c r="G134" s="1450">
        <v>0</v>
      </c>
      <c r="H134" s="1450">
        <v>0</v>
      </c>
      <c r="I134" s="1450">
        <v>0</v>
      </c>
      <c r="J134" s="1450">
        <v>0</v>
      </c>
      <c r="K134" s="1450">
        <v>0</v>
      </c>
      <c r="L134" s="1450">
        <v>0</v>
      </c>
      <c r="M134" s="1450">
        <v>0</v>
      </c>
      <c r="N134" s="1450">
        <v>0</v>
      </c>
      <c r="O134" s="1450">
        <v>0</v>
      </c>
      <c r="P134" s="1450">
        <v>0</v>
      </c>
      <c r="Q134" s="1450">
        <v>0</v>
      </c>
      <c r="R134" s="1451">
        <f t="shared" si="6"/>
        <v>0</v>
      </c>
      <c r="S134" s="1450">
        <f>'DFG 2018_2017'!D142</f>
        <v>0</v>
      </c>
      <c r="T134" s="1452">
        <f t="shared" ref="T134:T168" si="7">S134/$S$3</f>
        <v>0</v>
      </c>
      <c r="U134" s="1453"/>
    </row>
    <row r="135" spans="1:21" x14ac:dyDescent="0.25">
      <c r="A135" s="1291" t="s">
        <v>938</v>
      </c>
      <c r="B135" s="1294">
        <v>16386149</v>
      </c>
      <c r="C135" s="1294">
        <v>224.88058902643209</v>
      </c>
      <c r="D135" s="1294">
        <v>4966697.9992568903</v>
      </c>
      <c r="E135" s="1294">
        <v>79.240223986612591</v>
      </c>
      <c r="F135" s="1294">
        <v>72993630</v>
      </c>
      <c r="G135" s="1294">
        <v>231.89070958395811</v>
      </c>
      <c r="H135" s="1294">
        <v>5111000</v>
      </c>
      <c r="I135" s="1294">
        <v>73.552268017499429</v>
      </c>
      <c r="J135" s="1294">
        <v>8307498</v>
      </c>
      <c r="K135" s="1294">
        <v>134.32555056107105</v>
      </c>
      <c r="L135" s="1294">
        <v>22017920</v>
      </c>
      <c r="M135" s="1294">
        <v>279.04694312075435</v>
      </c>
      <c r="N135" s="1294">
        <v>5188643.8867346831</v>
      </c>
      <c r="O135" s="1294">
        <v>162.19580765034959</v>
      </c>
      <c r="P135" s="1294">
        <v>12274500</v>
      </c>
      <c r="Q135" s="1294">
        <v>279.90741585332484</v>
      </c>
      <c r="R135" s="1448">
        <f>S135/1000</f>
        <v>136580.6903841751</v>
      </c>
      <c r="S135" s="1294">
        <f>'DFG 2018_2017'!D143</f>
        <v>136580690.38417509</v>
      </c>
      <c r="T135" s="1457">
        <f t="shared" si="7"/>
        <v>185.15900762455274</v>
      </c>
      <c r="U135" s="1346"/>
    </row>
    <row r="136" spans="1:21" x14ac:dyDescent="0.25">
      <c r="A136" s="1291" t="s">
        <v>939</v>
      </c>
      <c r="B136" s="1294"/>
      <c r="C136" s="1294"/>
      <c r="D136" s="1294"/>
      <c r="E136" s="1294"/>
      <c r="F136" s="1294"/>
      <c r="G136" s="1294"/>
      <c r="H136" s="1294"/>
      <c r="I136" s="1294"/>
      <c r="J136" s="1294"/>
      <c r="K136" s="1294"/>
      <c r="L136" s="1294"/>
      <c r="M136" s="1294"/>
      <c r="N136" s="1294"/>
      <c r="O136" s="1294"/>
      <c r="P136" s="1294"/>
      <c r="Q136" s="1294"/>
      <c r="R136" s="1448"/>
      <c r="S136" s="1294">
        <f>'DFG 2018_2017'!D144</f>
        <v>0</v>
      </c>
      <c r="T136" s="1457">
        <f t="shared" si="7"/>
        <v>0</v>
      </c>
      <c r="U136" s="1349"/>
    </row>
    <row r="137" spans="1:21" x14ac:dyDescent="0.25">
      <c r="A137" s="1295" t="s">
        <v>827</v>
      </c>
      <c r="B137" s="1450">
        <v>0</v>
      </c>
      <c r="C137" s="1450">
        <v>0</v>
      </c>
      <c r="D137" s="1450">
        <v>0</v>
      </c>
      <c r="E137" s="1450">
        <v>0</v>
      </c>
      <c r="F137" s="1450">
        <v>148798</v>
      </c>
      <c r="G137" s="1450">
        <v>0.47271075304343407</v>
      </c>
      <c r="H137" s="1450">
        <v>639560</v>
      </c>
      <c r="I137" s="1450">
        <v>9.2038913193644944</v>
      </c>
      <c r="J137" s="1450">
        <v>343200</v>
      </c>
      <c r="K137" s="1450">
        <v>5.5492675354913814</v>
      </c>
      <c r="L137" s="1450">
        <v>0</v>
      </c>
      <c r="M137" s="1450">
        <v>0</v>
      </c>
      <c r="N137" s="1450">
        <v>0</v>
      </c>
      <c r="O137" s="1450">
        <v>0</v>
      </c>
      <c r="P137" s="1450">
        <v>0</v>
      </c>
      <c r="Q137" s="1450">
        <v>0</v>
      </c>
      <c r="R137" s="1451">
        <f t="shared" ref="R137:R145" si="8">S137/1000</f>
        <v>970.09492226222449</v>
      </c>
      <c r="S137" s="1450">
        <f>'DFG 2018_2017'!D145</f>
        <v>970094.92226222449</v>
      </c>
      <c r="T137" s="1452">
        <f t="shared" si="7"/>
        <v>1.3151332930185788</v>
      </c>
      <c r="U137" s="1349"/>
    </row>
    <row r="138" spans="1:21" x14ac:dyDescent="0.25">
      <c r="A138" s="1295" t="s">
        <v>940</v>
      </c>
      <c r="B138" s="1450">
        <v>0</v>
      </c>
      <c r="C138" s="1450">
        <v>0</v>
      </c>
      <c r="D138" s="1450">
        <v>0</v>
      </c>
      <c r="E138" s="1450">
        <v>0</v>
      </c>
      <c r="F138" s="1450">
        <v>1385400</v>
      </c>
      <c r="G138" s="1450">
        <v>4.4012249980938822</v>
      </c>
      <c r="H138" s="1450">
        <v>1851877</v>
      </c>
      <c r="I138" s="1450">
        <v>26.650313723232788</v>
      </c>
      <c r="J138" s="1450">
        <v>0</v>
      </c>
      <c r="K138" s="1450">
        <v>0</v>
      </c>
      <c r="L138" s="1450">
        <v>0</v>
      </c>
      <c r="M138" s="1450">
        <v>0</v>
      </c>
      <c r="N138" s="1450">
        <v>0</v>
      </c>
      <c r="O138" s="1450">
        <v>0</v>
      </c>
      <c r="P138" s="1450">
        <v>0</v>
      </c>
      <c r="Q138" s="1450">
        <v>0</v>
      </c>
      <c r="R138" s="1451">
        <f t="shared" si="8"/>
        <v>3232.1597635626622</v>
      </c>
      <c r="S138" s="1450">
        <f>'DFG 2018_2017'!D146</f>
        <v>3232159.7635626621</v>
      </c>
      <c r="T138" s="1452">
        <f t="shared" si="7"/>
        <v>4.3817577186197356</v>
      </c>
      <c r="U138" s="1349"/>
    </row>
    <row r="139" spans="1:21" x14ac:dyDescent="0.25">
      <c r="A139" s="1295" t="s">
        <v>937</v>
      </c>
      <c r="B139" s="1450">
        <v>0</v>
      </c>
      <c r="C139" s="1450">
        <v>0</v>
      </c>
      <c r="D139" s="1450">
        <v>0</v>
      </c>
      <c r="E139" s="1450">
        <v>0</v>
      </c>
      <c r="F139" s="1450">
        <v>0</v>
      </c>
      <c r="G139" s="1450">
        <v>0</v>
      </c>
      <c r="H139" s="1450">
        <v>402131.32975477778</v>
      </c>
      <c r="I139" s="1450">
        <v>5.7870615034938089</v>
      </c>
      <c r="J139" s="1450">
        <v>320780</v>
      </c>
      <c r="K139" s="1450">
        <v>5.1867541959059595</v>
      </c>
      <c r="L139" s="1450">
        <v>0</v>
      </c>
      <c r="M139" s="1450">
        <v>0</v>
      </c>
      <c r="N139" s="1450">
        <v>186952.86</v>
      </c>
      <c r="O139" s="1450">
        <v>5.8441031572366358</v>
      </c>
      <c r="P139" s="1450">
        <v>109430</v>
      </c>
      <c r="Q139" s="1450">
        <v>2.495439204597282</v>
      </c>
      <c r="R139" s="1451">
        <f t="shared" si="8"/>
        <v>828.98400000000004</v>
      </c>
      <c r="S139" s="1450">
        <f>'DFG 2018_2017'!D147</f>
        <v>828984</v>
      </c>
      <c r="T139" s="1452">
        <f t="shared" si="7"/>
        <v>1.1238327639498942</v>
      </c>
      <c r="U139" s="1453"/>
    </row>
    <row r="140" spans="1:21" x14ac:dyDescent="0.25">
      <c r="A140" s="1291" t="s">
        <v>941</v>
      </c>
      <c r="B140" s="1294">
        <v>0</v>
      </c>
      <c r="C140" s="1294">
        <v>0</v>
      </c>
      <c r="D140" s="1294">
        <v>0</v>
      </c>
      <c r="E140" s="1294">
        <v>0</v>
      </c>
      <c r="F140" s="1294">
        <v>1534198</v>
      </c>
      <c r="G140" s="1294">
        <v>4.8739357511373163</v>
      </c>
      <c r="H140" s="1294">
        <v>2893568.3297547777</v>
      </c>
      <c r="I140" s="1294">
        <v>41.641266546091089</v>
      </c>
      <c r="J140" s="1294">
        <v>663980</v>
      </c>
      <c r="K140" s="1294">
        <v>10.736021731397342</v>
      </c>
      <c r="L140" s="1294">
        <v>0</v>
      </c>
      <c r="M140" s="1294">
        <v>0</v>
      </c>
      <c r="N140" s="1294">
        <v>186952.86</v>
      </c>
      <c r="O140" s="1294">
        <v>5.8441031572366358</v>
      </c>
      <c r="P140" s="1294">
        <v>109430</v>
      </c>
      <c r="Q140" s="1294">
        <v>2.495439204597282</v>
      </c>
      <c r="R140" s="1448">
        <f t="shared" si="8"/>
        <v>5031.2386858248865</v>
      </c>
      <c r="S140" s="1294">
        <f>'DFG 2018_2017'!D148</f>
        <v>5031238.6858248869</v>
      </c>
      <c r="T140" s="1457">
        <f t="shared" si="7"/>
        <v>6.8207237755882097</v>
      </c>
      <c r="U140" s="1346"/>
    </row>
    <row r="141" spans="1:21" ht="13.8" thickBot="1" x14ac:dyDescent="0.3">
      <c r="A141" s="1305" t="s">
        <v>942</v>
      </c>
      <c r="B141" s="1458">
        <v>16386149</v>
      </c>
      <c r="C141" s="1458">
        <v>224.88058902643209</v>
      </c>
      <c r="D141" s="1458">
        <v>4966697.9992568903</v>
      </c>
      <c r="E141" s="1458">
        <v>79.240223986612591</v>
      </c>
      <c r="F141" s="1458">
        <v>74527828</v>
      </c>
      <c r="G141" s="1458">
        <v>236.76464533509542</v>
      </c>
      <c r="H141" s="1458">
        <v>8004568.3297547773</v>
      </c>
      <c r="I141" s="1458">
        <v>115.1935345635905</v>
      </c>
      <c r="J141" s="1458">
        <v>8971478</v>
      </c>
      <c r="K141" s="1458">
        <v>145.06157229246838</v>
      </c>
      <c r="L141" s="1458">
        <v>22017920</v>
      </c>
      <c r="M141" s="1458">
        <v>279.04694312075435</v>
      </c>
      <c r="N141" s="1458">
        <v>5375596.7467346834</v>
      </c>
      <c r="O141" s="1458">
        <v>168.03991080758624</v>
      </c>
      <c r="P141" s="1458">
        <v>12383930</v>
      </c>
      <c r="Q141" s="1458">
        <v>282.40285505792212</v>
      </c>
      <c r="R141" s="1448">
        <f t="shared" si="8"/>
        <v>141611.92906999998</v>
      </c>
      <c r="S141" s="1294">
        <f>'DFG 2018_2017'!D149</f>
        <v>141611929.06999999</v>
      </c>
      <c r="T141" s="1459">
        <f t="shared" si="7"/>
        <v>191.97973140014099</v>
      </c>
      <c r="U141" s="1346"/>
    </row>
    <row r="142" spans="1:21" ht="13.8" thickBot="1" x14ac:dyDescent="0.3">
      <c r="A142" s="1460" t="s">
        <v>943</v>
      </c>
      <c r="B142" s="1461">
        <v>30718923</v>
      </c>
      <c r="C142" s="1461">
        <v>421.58102544396564</v>
      </c>
      <c r="D142" s="1461">
        <v>23771070.26796877</v>
      </c>
      <c r="E142" s="1461">
        <v>379.25094956793777</v>
      </c>
      <c r="F142" s="1461">
        <v>140398062.5</v>
      </c>
      <c r="G142" s="1461">
        <v>446.02530847332707</v>
      </c>
      <c r="H142" s="1461">
        <v>27026815.744886301</v>
      </c>
      <c r="I142" s="1461">
        <v>388.94220217715724</v>
      </c>
      <c r="J142" s="1461">
        <v>25889535.719999999</v>
      </c>
      <c r="K142" s="1461">
        <v>418.6129372958639</v>
      </c>
      <c r="L142" s="1461">
        <v>42490781</v>
      </c>
      <c r="M142" s="1461">
        <v>538.51238213525301</v>
      </c>
      <c r="N142" s="1461">
        <v>13123470.306734683</v>
      </c>
      <c r="O142" s="1461">
        <v>410.23664603734551</v>
      </c>
      <c r="P142" s="1461">
        <v>21862853.035999998</v>
      </c>
      <c r="Q142" s="1461">
        <v>498.55999808446592</v>
      </c>
      <c r="R142" s="1462">
        <f t="shared" si="8"/>
        <v>328603.83938999998</v>
      </c>
      <c r="S142" s="1462">
        <f>'DFG 2018_2017'!D150</f>
        <v>328603839.38999999</v>
      </c>
      <c r="T142" s="1463">
        <f t="shared" si="7"/>
        <v>445.47996229868227</v>
      </c>
      <c r="U142" s="1356"/>
    </row>
    <row r="143" spans="1:21" x14ac:dyDescent="0.25">
      <c r="A143" s="1464" t="s">
        <v>944</v>
      </c>
      <c r="B143" s="1096">
        <v>30958270.079999998</v>
      </c>
      <c r="C143" s="1096">
        <v>424.86578212060493</v>
      </c>
      <c r="D143" s="1096">
        <v>24543496.934635438</v>
      </c>
      <c r="E143" s="1096">
        <v>391.57448163875364</v>
      </c>
      <c r="F143" s="1096">
        <v>142511117.94486541</v>
      </c>
      <c r="G143" s="1096">
        <v>452.73819460462488</v>
      </c>
      <c r="H143" s="1096">
        <v>27425759.744886301</v>
      </c>
      <c r="I143" s="1096">
        <v>394.68339490108076</v>
      </c>
      <c r="J143" s="1096">
        <v>25889535.719999999</v>
      </c>
      <c r="K143" s="1096">
        <v>418.6129372958639</v>
      </c>
      <c r="L143" s="1096">
        <v>42650493</v>
      </c>
      <c r="M143" s="1096">
        <v>540.53651272432319</v>
      </c>
      <c r="N143" s="1096">
        <v>13501931.306734683</v>
      </c>
      <c r="O143" s="1096">
        <v>422.06724935088101</v>
      </c>
      <c r="P143" s="1096">
        <v>21862853.035999998</v>
      </c>
      <c r="Q143" s="1096">
        <v>498.55999808446592</v>
      </c>
      <c r="R143" s="1462">
        <f t="shared" si="8"/>
        <v>331922.29092</v>
      </c>
      <c r="S143" s="1465">
        <f>'DFG 2018_2017'!D151</f>
        <v>331922290.92000002</v>
      </c>
      <c r="T143" s="1466">
        <f t="shared" si="7"/>
        <v>449.97870359524973</v>
      </c>
      <c r="U143" s="1356"/>
    </row>
    <row r="144" spans="1:21" x14ac:dyDescent="0.25">
      <c r="A144" s="1313" t="s">
        <v>926</v>
      </c>
      <c r="B144" s="1213">
        <v>14332774</v>
      </c>
      <c r="C144" s="1213">
        <v>196.70043641753355</v>
      </c>
      <c r="D144" s="1213">
        <v>18804372.26871188</v>
      </c>
      <c r="E144" s="1213">
        <v>300.01072558132518</v>
      </c>
      <c r="F144" s="1213">
        <v>65870234.5</v>
      </c>
      <c r="G144" s="1213">
        <v>209.26066313823162</v>
      </c>
      <c r="H144" s="1213">
        <v>19022247.415131524</v>
      </c>
      <c r="I144" s="1213">
        <v>273.74866761356674</v>
      </c>
      <c r="J144" s="1213">
        <v>16918057.719999999</v>
      </c>
      <c r="K144" s="1213">
        <v>273.55136500339552</v>
      </c>
      <c r="L144" s="1213">
        <v>20472861</v>
      </c>
      <c r="M144" s="1213">
        <v>259.46543901449866</v>
      </c>
      <c r="N144" s="1213">
        <v>7747873.5599999996</v>
      </c>
      <c r="O144" s="1213">
        <v>242.1967352297593</v>
      </c>
      <c r="P144" s="1213">
        <v>9478923.0360000003</v>
      </c>
      <c r="Q144" s="1213">
        <v>216.15714302654385</v>
      </c>
      <c r="R144" s="1395">
        <f t="shared" si="8"/>
        <v>186991.91032000002</v>
      </c>
      <c r="S144" s="1395">
        <f>'DFG 2018_2017'!D152</f>
        <v>186991910.32000002</v>
      </c>
      <c r="T144" s="1396">
        <f t="shared" si="7"/>
        <v>253.50023089854133</v>
      </c>
      <c r="U144" s="1356"/>
    </row>
    <row r="145" spans="1:21" x14ac:dyDescent="0.25">
      <c r="A145" s="1313" t="s">
        <v>927</v>
      </c>
      <c r="B145" s="1213">
        <v>14572121.08</v>
      </c>
      <c r="C145" s="1213">
        <v>199.98519309417287</v>
      </c>
      <c r="D145" s="1213">
        <v>19576798.935378548</v>
      </c>
      <c r="E145" s="1213">
        <v>312.33425765214105</v>
      </c>
      <c r="F145" s="1213">
        <v>67983289.944865406</v>
      </c>
      <c r="G145" s="1213">
        <v>215.97354926952946</v>
      </c>
      <c r="H145" s="1213">
        <v>19421191.415131524</v>
      </c>
      <c r="I145" s="1213">
        <v>279.48986033749026</v>
      </c>
      <c r="J145" s="1213">
        <v>16918057.719999999</v>
      </c>
      <c r="K145" s="1213">
        <v>273.55136500339552</v>
      </c>
      <c r="L145" s="1213">
        <v>20632573</v>
      </c>
      <c r="M145" s="1213">
        <v>261.4895696035689</v>
      </c>
      <c r="N145" s="1213">
        <v>8126334.5599999996</v>
      </c>
      <c r="O145" s="1213">
        <v>254.02733854329477</v>
      </c>
      <c r="P145" s="1213">
        <v>9478923.0360000003</v>
      </c>
      <c r="Q145" s="1213">
        <v>216.15714302654385</v>
      </c>
      <c r="R145" s="1395">
        <f t="shared" si="8"/>
        <v>190310.36185000002</v>
      </c>
      <c r="S145" s="1395">
        <f>'DFG 2018_2017'!D153</f>
        <v>190310361.85000002</v>
      </c>
      <c r="T145" s="1396">
        <f t="shared" si="7"/>
        <v>257.99897219510876</v>
      </c>
      <c r="U145" s="1356"/>
    </row>
    <row r="146" spans="1:21" ht="13.8" thickBot="1" x14ac:dyDescent="0.3">
      <c r="A146" s="1467" t="s">
        <v>945</v>
      </c>
      <c r="B146" s="1468">
        <v>0.46657801121478121</v>
      </c>
      <c r="C146" s="1469"/>
      <c r="D146" s="1468">
        <v>0.79106123774538428</v>
      </c>
      <c r="E146" s="1469"/>
      <c r="F146" s="1468">
        <v>0.46916768883473731</v>
      </c>
      <c r="G146" s="1469"/>
      <c r="H146" s="1468">
        <v>0.70382865649760062</v>
      </c>
      <c r="I146" s="1469"/>
      <c r="J146" s="1468">
        <v>0.65347088116881846</v>
      </c>
      <c r="K146" s="1469"/>
      <c r="L146" s="1468">
        <v>0.4818188914908389</v>
      </c>
      <c r="M146" s="1469"/>
      <c r="N146" s="1468">
        <v>0.5903829839904432</v>
      </c>
      <c r="O146" s="1469"/>
      <c r="P146" s="1468">
        <v>0.43356294900723774</v>
      </c>
      <c r="Q146" s="1469"/>
      <c r="R146" s="1470"/>
      <c r="S146" s="1471">
        <f>'DFG 2018_2017'!D154</f>
        <v>0.56904968203390549</v>
      </c>
      <c r="T146" s="1472"/>
      <c r="U146" s="1349"/>
    </row>
    <row r="147" spans="1:21" x14ac:dyDescent="0.25">
      <c r="A147" s="1473"/>
      <c r="B147" s="1474"/>
      <c r="C147" s="1474"/>
      <c r="D147" s="1474"/>
      <c r="E147" s="1474"/>
      <c r="F147" s="1474"/>
      <c r="G147" s="1474"/>
      <c r="H147" s="1474"/>
      <c r="I147" s="1474"/>
      <c r="J147" s="1474"/>
      <c r="K147" s="1474"/>
      <c r="L147" s="1474"/>
      <c r="M147" s="1474"/>
      <c r="N147" s="1474"/>
      <c r="O147" s="1474"/>
      <c r="P147" s="1474"/>
      <c r="Q147" s="1474"/>
      <c r="R147" s="1475"/>
      <c r="S147" s="1475">
        <f>'DFG 2018_2017'!D155</f>
        <v>0</v>
      </c>
      <c r="T147" s="1476"/>
      <c r="U147" s="1349"/>
    </row>
    <row r="148" spans="1:21" x14ac:dyDescent="0.25">
      <c r="A148" s="1477" t="s">
        <v>946</v>
      </c>
      <c r="B148" s="1478">
        <v>0</v>
      </c>
      <c r="C148" s="1479">
        <v>0</v>
      </c>
      <c r="D148" s="1478">
        <v>0</v>
      </c>
      <c r="E148" s="1479">
        <v>0</v>
      </c>
      <c r="F148" s="1480">
        <v>0</v>
      </c>
      <c r="G148" s="1480">
        <v>0</v>
      </c>
      <c r="H148" s="1478">
        <v>0</v>
      </c>
      <c r="I148" s="1479">
        <v>0</v>
      </c>
      <c r="J148" s="1480">
        <v>0</v>
      </c>
      <c r="K148" s="1480">
        <v>0</v>
      </c>
      <c r="L148" s="1480">
        <v>0</v>
      </c>
      <c r="M148" s="1480">
        <v>0</v>
      </c>
      <c r="N148" s="1480">
        <v>0</v>
      </c>
      <c r="O148" s="1480">
        <v>0</v>
      </c>
      <c r="P148" s="1480">
        <v>0</v>
      </c>
      <c r="Q148" s="1480">
        <v>0</v>
      </c>
      <c r="R148" s="1481"/>
      <c r="S148" s="1481">
        <f>'DFG 2018_2017'!D156</f>
        <v>152634168.07574636</v>
      </c>
      <c r="T148" s="1482">
        <f t="shared" si="7"/>
        <v>206.92230366540096</v>
      </c>
      <c r="U148" s="1349"/>
    </row>
    <row r="149" spans="1:21" x14ac:dyDescent="0.25">
      <c r="A149" s="1483" t="s">
        <v>947</v>
      </c>
      <c r="B149" s="1478">
        <v>0</v>
      </c>
      <c r="C149" s="1479">
        <v>0</v>
      </c>
      <c r="D149" s="1478">
        <v>0</v>
      </c>
      <c r="E149" s="1479">
        <v>0</v>
      </c>
      <c r="F149" s="1480">
        <v>0</v>
      </c>
      <c r="G149" s="1480">
        <v>0</v>
      </c>
      <c r="H149" s="1478">
        <v>0</v>
      </c>
      <c r="I149" s="1479">
        <v>0</v>
      </c>
      <c r="J149" s="1480">
        <v>0</v>
      </c>
      <c r="K149" s="1480">
        <v>0</v>
      </c>
      <c r="L149" s="1480">
        <v>0</v>
      </c>
      <c r="M149" s="1480">
        <v>0</v>
      </c>
      <c r="N149" s="1480">
        <v>0</v>
      </c>
      <c r="O149" s="1480">
        <v>0</v>
      </c>
      <c r="P149" s="1480">
        <v>0</v>
      </c>
      <c r="Q149" s="1480">
        <v>0</v>
      </c>
      <c r="R149" s="1481"/>
      <c r="S149" s="1481">
        <f>'DFG 2018_2017'!D157</f>
        <v>0</v>
      </c>
      <c r="T149" s="1482">
        <f t="shared" si="7"/>
        <v>0</v>
      </c>
      <c r="U149" s="1349"/>
    </row>
    <row r="150" spans="1:21" x14ac:dyDescent="0.25">
      <c r="A150" s="1477" t="s">
        <v>948</v>
      </c>
      <c r="B150" s="1478">
        <v>0</v>
      </c>
      <c r="C150" s="1479">
        <v>0</v>
      </c>
      <c r="D150" s="1478">
        <v>0</v>
      </c>
      <c r="E150" s="1479">
        <v>0</v>
      </c>
      <c r="F150" s="1480">
        <v>0</v>
      </c>
      <c r="G150" s="1480">
        <v>0</v>
      </c>
      <c r="H150" s="1478">
        <v>0</v>
      </c>
      <c r="I150" s="1479">
        <v>0</v>
      </c>
      <c r="J150" s="1480">
        <v>0</v>
      </c>
      <c r="K150" s="1480">
        <v>0</v>
      </c>
      <c r="L150" s="1480">
        <v>0</v>
      </c>
      <c r="M150" s="1480">
        <v>0</v>
      </c>
      <c r="N150" s="1480">
        <v>0</v>
      </c>
      <c r="O150" s="1480">
        <v>0</v>
      </c>
      <c r="P150" s="1480">
        <v>0</v>
      </c>
      <c r="Q150" s="1480">
        <v>0</v>
      </c>
      <c r="R150" s="1481"/>
      <c r="S150" s="1481">
        <f>'DFG 2018_2017'!D158</f>
        <v>0</v>
      </c>
      <c r="T150" s="1482">
        <f t="shared" si="7"/>
        <v>0</v>
      </c>
      <c r="U150" s="1349"/>
    </row>
    <row r="151" spans="1:21" x14ac:dyDescent="0.25">
      <c r="A151" s="1477" t="s">
        <v>949</v>
      </c>
      <c r="B151" s="1478">
        <v>0</v>
      </c>
      <c r="C151" s="1479">
        <v>0</v>
      </c>
      <c r="D151" s="1478">
        <v>0</v>
      </c>
      <c r="E151" s="1479">
        <v>0</v>
      </c>
      <c r="F151" s="1480">
        <v>0</v>
      </c>
      <c r="G151" s="1480">
        <v>0</v>
      </c>
      <c r="H151" s="1478">
        <v>0</v>
      </c>
      <c r="I151" s="1479">
        <v>0</v>
      </c>
      <c r="J151" s="1480">
        <v>0</v>
      </c>
      <c r="K151" s="1480">
        <v>0</v>
      </c>
      <c r="L151" s="1480">
        <v>0</v>
      </c>
      <c r="M151" s="1480">
        <v>0</v>
      </c>
      <c r="N151" s="1480">
        <v>0</v>
      </c>
      <c r="O151" s="1480">
        <v>0</v>
      </c>
      <c r="P151" s="1480">
        <v>0</v>
      </c>
      <c r="Q151" s="1480">
        <v>0</v>
      </c>
      <c r="R151" s="1481"/>
      <c r="S151" s="1481">
        <f>'DFG 2018_2017'!D159</f>
        <v>0</v>
      </c>
      <c r="T151" s="1482">
        <f t="shared" si="7"/>
        <v>0</v>
      </c>
      <c r="U151" s="1349"/>
    </row>
    <row r="152" spans="1:21" x14ac:dyDescent="0.25">
      <c r="A152" s="1477" t="s">
        <v>950</v>
      </c>
      <c r="B152" s="1478">
        <v>0</v>
      </c>
      <c r="C152" s="1479">
        <v>0</v>
      </c>
      <c r="D152" s="1478">
        <v>0</v>
      </c>
      <c r="E152" s="1479">
        <v>0</v>
      </c>
      <c r="F152" s="1480">
        <v>0</v>
      </c>
      <c r="G152" s="1480">
        <v>0</v>
      </c>
      <c r="H152" s="1478">
        <v>0</v>
      </c>
      <c r="I152" s="1479">
        <v>0</v>
      </c>
      <c r="J152" s="1480">
        <v>0</v>
      </c>
      <c r="K152" s="1480">
        <v>0</v>
      </c>
      <c r="L152" s="1480">
        <v>0</v>
      </c>
      <c r="M152" s="1480">
        <v>0</v>
      </c>
      <c r="N152" s="1480">
        <v>0</v>
      </c>
      <c r="O152" s="1480">
        <v>0</v>
      </c>
      <c r="P152" s="1480">
        <v>0</v>
      </c>
      <c r="Q152" s="1480">
        <v>0</v>
      </c>
      <c r="R152" s="1481"/>
      <c r="S152" s="1481">
        <f>'DFG 2018_2017'!D160</f>
        <v>0</v>
      </c>
      <c r="T152" s="1482">
        <f t="shared" si="7"/>
        <v>0</v>
      </c>
      <c r="U152" s="1349"/>
    </row>
    <row r="153" spans="1:21" x14ac:dyDescent="0.25">
      <c r="A153" s="1477" t="s">
        <v>951</v>
      </c>
      <c r="B153" s="1484">
        <v>0</v>
      </c>
      <c r="C153" s="1479">
        <v>0</v>
      </c>
      <c r="D153" s="1484">
        <v>0</v>
      </c>
      <c r="E153" s="1479">
        <v>0</v>
      </c>
      <c r="F153" s="1485">
        <v>0</v>
      </c>
      <c r="G153" s="1480">
        <v>0</v>
      </c>
      <c r="H153" s="1484">
        <v>0</v>
      </c>
      <c r="I153" s="1479">
        <v>0</v>
      </c>
      <c r="J153" s="1485">
        <v>0</v>
      </c>
      <c r="K153" s="1480">
        <v>0</v>
      </c>
      <c r="L153" s="1485">
        <v>0</v>
      </c>
      <c r="M153" s="1480">
        <v>0</v>
      </c>
      <c r="N153" s="1485">
        <v>0</v>
      </c>
      <c r="O153" s="1480">
        <v>0</v>
      </c>
      <c r="P153" s="1485">
        <v>0</v>
      </c>
      <c r="Q153" s="1480">
        <v>0</v>
      </c>
      <c r="R153" s="1486"/>
      <c r="S153" s="1486">
        <f>'DFG 2018_2017'!D161</f>
        <v>0</v>
      </c>
      <c r="T153" s="1482">
        <f t="shared" si="7"/>
        <v>0</v>
      </c>
      <c r="U153" s="1349"/>
    </row>
    <row r="154" spans="1:21" x14ac:dyDescent="0.25">
      <c r="A154" s="1487" t="s">
        <v>952</v>
      </c>
      <c r="B154" s="1488">
        <v>0</v>
      </c>
      <c r="C154" s="1200">
        <v>0</v>
      </c>
      <c r="D154" s="1488">
        <v>0</v>
      </c>
      <c r="E154" s="1200">
        <v>0</v>
      </c>
      <c r="F154" s="1489">
        <v>0</v>
      </c>
      <c r="G154" s="1489">
        <v>0</v>
      </c>
      <c r="H154" s="1488">
        <v>0</v>
      </c>
      <c r="I154" s="1200">
        <v>0</v>
      </c>
      <c r="J154" s="1489">
        <v>0</v>
      </c>
      <c r="K154" s="1489">
        <v>0</v>
      </c>
      <c r="L154" s="1489">
        <v>0</v>
      </c>
      <c r="M154" s="1489">
        <v>0</v>
      </c>
      <c r="N154" s="1489">
        <v>0</v>
      </c>
      <c r="O154" s="1489">
        <v>0</v>
      </c>
      <c r="P154" s="1489">
        <v>0</v>
      </c>
      <c r="Q154" s="1489">
        <v>0</v>
      </c>
      <c r="R154" s="1490"/>
      <c r="S154" s="1490">
        <f>'DFG 2018_2017'!D162</f>
        <v>0</v>
      </c>
      <c r="T154" s="1491">
        <f t="shared" si="7"/>
        <v>0</v>
      </c>
      <c r="U154" s="1346"/>
    </row>
    <row r="155" spans="1:21" x14ac:dyDescent="0.25">
      <c r="A155" s="1492" t="s">
        <v>953</v>
      </c>
      <c r="B155" s="1493">
        <v>0</v>
      </c>
      <c r="C155" s="1493">
        <v>0</v>
      </c>
      <c r="D155" s="1493">
        <v>0</v>
      </c>
      <c r="E155" s="1493">
        <v>0</v>
      </c>
      <c r="F155" s="1494">
        <v>0</v>
      </c>
      <c r="G155" s="1494">
        <v>0</v>
      </c>
      <c r="H155" s="1493">
        <v>0</v>
      </c>
      <c r="I155" s="1493">
        <v>0</v>
      </c>
      <c r="J155" s="1494">
        <v>0</v>
      </c>
      <c r="K155" s="1494">
        <v>0</v>
      </c>
      <c r="L155" s="1494">
        <v>0</v>
      </c>
      <c r="M155" s="1494">
        <v>0</v>
      </c>
      <c r="N155" s="1494">
        <v>0</v>
      </c>
      <c r="O155" s="1494">
        <v>0</v>
      </c>
      <c r="P155" s="1494">
        <v>0</v>
      </c>
      <c r="Q155" s="1494">
        <v>0</v>
      </c>
      <c r="R155" s="1495"/>
      <c r="S155" s="1495">
        <f>'DFG 2018_2017'!D163</f>
        <v>0</v>
      </c>
      <c r="T155" s="1496">
        <f t="shared" si="7"/>
        <v>0</v>
      </c>
      <c r="U155" s="1346"/>
    </row>
    <row r="156" spans="1:21" ht="13.8" thickBot="1" x14ac:dyDescent="0.3">
      <c r="A156" s="1497" t="s">
        <v>954</v>
      </c>
      <c r="B156" s="1498">
        <v>0</v>
      </c>
      <c r="C156" s="1498">
        <v>0</v>
      </c>
      <c r="D156" s="1498">
        <v>0</v>
      </c>
      <c r="E156" s="1498">
        <v>0</v>
      </c>
      <c r="F156" s="1499">
        <v>0</v>
      </c>
      <c r="G156" s="1499">
        <v>0</v>
      </c>
      <c r="H156" s="1498">
        <v>0</v>
      </c>
      <c r="I156" s="1498">
        <v>0</v>
      </c>
      <c r="J156" s="1499">
        <v>0</v>
      </c>
      <c r="K156" s="1499">
        <v>0</v>
      </c>
      <c r="L156" s="1499">
        <v>0</v>
      </c>
      <c r="M156" s="1499">
        <v>0</v>
      </c>
      <c r="N156" s="1499">
        <v>0</v>
      </c>
      <c r="O156" s="1499">
        <v>0</v>
      </c>
      <c r="P156" s="1499">
        <v>0</v>
      </c>
      <c r="Q156" s="1499">
        <v>0</v>
      </c>
      <c r="R156" s="1500"/>
      <c r="S156" s="1500">
        <f>'DFG 2018_2017'!D164</f>
        <v>0</v>
      </c>
      <c r="T156" s="1501">
        <f t="shared" si="7"/>
        <v>0</v>
      </c>
      <c r="U156" s="1346"/>
    </row>
    <row r="157" spans="1:21" ht="13.8" thickBot="1" x14ac:dyDescent="0.3">
      <c r="A157" s="1502" t="s">
        <v>955</v>
      </c>
      <c r="B157" s="1461">
        <v>30718923</v>
      </c>
      <c r="C157" s="1461">
        <v>421.58102544396564</v>
      </c>
      <c r="D157" s="1461">
        <v>23771070.26796877</v>
      </c>
      <c r="E157" s="1461">
        <v>379.25094956793777</v>
      </c>
      <c r="F157" s="1461">
        <v>140398062.5</v>
      </c>
      <c r="G157" s="1461">
        <v>446.02530847332707</v>
      </c>
      <c r="H157" s="1461">
        <v>27026815.744886301</v>
      </c>
      <c r="I157" s="1461">
        <v>388.94220217715724</v>
      </c>
      <c r="J157" s="1461">
        <v>25889535.719999999</v>
      </c>
      <c r="K157" s="1461">
        <v>418.6129372958639</v>
      </c>
      <c r="L157" s="1461">
        <v>42490781</v>
      </c>
      <c r="M157" s="1461">
        <v>538.51238213525301</v>
      </c>
      <c r="N157" s="1461">
        <v>13123470.306734683</v>
      </c>
      <c r="O157" s="1461">
        <v>410.23664603734551</v>
      </c>
      <c r="P157" s="1461">
        <v>21862853.035999998</v>
      </c>
      <c r="Q157" s="1461">
        <v>498.55999808446592</v>
      </c>
      <c r="R157" s="1462">
        <f>S157/1000</f>
        <v>328603.83938999998</v>
      </c>
      <c r="S157" s="1462">
        <f>'DFG 2018_2017'!D165</f>
        <v>328603839.38999999</v>
      </c>
      <c r="T157" s="1463">
        <f t="shared" si="7"/>
        <v>445.47996229868227</v>
      </c>
      <c r="U157" s="1346"/>
    </row>
    <row r="158" spans="1:21" x14ac:dyDescent="0.25">
      <c r="A158" s="1503" t="s">
        <v>956</v>
      </c>
      <c r="B158" s="1096">
        <v>30958270.079999998</v>
      </c>
      <c r="C158" s="1096">
        <v>424.86578212060493</v>
      </c>
      <c r="D158" s="1096">
        <v>24543496.934635438</v>
      </c>
      <c r="E158" s="1096">
        <v>391.57448163875364</v>
      </c>
      <c r="F158" s="1096">
        <v>142511117.94486541</v>
      </c>
      <c r="G158" s="1096">
        <v>452.73819460462488</v>
      </c>
      <c r="H158" s="1096">
        <v>27425759.744886301</v>
      </c>
      <c r="I158" s="1096">
        <v>394.68339490108076</v>
      </c>
      <c r="J158" s="1096">
        <v>25889535.719999999</v>
      </c>
      <c r="K158" s="1096">
        <v>418.6129372958639</v>
      </c>
      <c r="L158" s="1096">
        <v>42650493</v>
      </c>
      <c r="M158" s="1096">
        <v>540.53651272432319</v>
      </c>
      <c r="N158" s="1096">
        <v>13501931.306734683</v>
      </c>
      <c r="O158" s="1096">
        <v>422.06724935088101</v>
      </c>
      <c r="P158" s="1096">
        <v>21862853.035999998</v>
      </c>
      <c r="Q158" s="1096">
        <v>498.55999808446592</v>
      </c>
      <c r="R158" s="1462">
        <f>S158/1000</f>
        <v>331922.29092</v>
      </c>
      <c r="S158" s="1462">
        <f>'DFG 2018_2017'!D166</f>
        <v>331922290.92000002</v>
      </c>
      <c r="T158" s="1466">
        <f t="shared" si="7"/>
        <v>449.97870359524973</v>
      </c>
      <c r="U158" s="1346"/>
    </row>
    <row r="159" spans="1:21" x14ac:dyDescent="0.25">
      <c r="A159" s="1504" t="s">
        <v>957</v>
      </c>
      <c r="B159" s="1213">
        <v>14332774</v>
      </c>
      <c r="C159" s="1213">
        <v>196.70043641753355</v>
      </c>
      <c r="D159" s="1213">
        <v>18804372.26871188</v>
      </c>
      <c r="E159" s="1213">
        <v>300.01072558132518</v>
      </c>
      <c r="F159" s="1213">
        <v>65870234.5</v>
      </c>
      <c r="G159" s="1213">
        <v>209.26066313823162</v>
      </c>
      <c r="H159" s="1213">
        <v>19022247.415131524</v>
      </c>
      <c r="I159" s="1213">
        <v>273.74866761356674</v>
      </c>
      <c r="J159" s="1213">
        <v>16918057.719999999</v>
      </c>
      <c r="K159" s="1213">
        <v>273.55136500339552</v>
      </c>
      <c r="L159" s="1213">
        <v>20472861</v>
      </c>
      <c r="M159" s="1213">
        <v>259.46543901449866</v>
      </c>
      <c r="N159" s="1213">
        <v>7747873.5599999996</v>
      </c>
      <c r="O159" s="1213">
        <v>242.1967352297593</v>
      </c>
      <c r="P159" s="1213">
        <v>9478923.0360000003</v>
      </c>
      <c r="Q159" s="1213">
        <v>216.15714302654385</v>
      </c>
      <c r="R159" s="1395">
        <f>S159/1000</f>
        <v>186991.91032000002</v>
      </c>
      <c r="S159" s="1395">
        <f>'DFG 2018_2017'!D167</f>
        <v>186991910.32000002</v>
      </c>
      <c r="T159" s="1396">
        <f t="shared" si="7"/>
        <v>253.50023089854133</v>
      </c>
      <c r="U159" s="1346"/>
    </row>
    <row r="160" spans="1:21" x14ac:dyDescent="0.25">
      <c r="A160" s="1504" t="s">
        <v>958</v>
      </c>
      <c r="B160" s="1213">
        <v>14572121.08</v>
      </c>
      <c r="C160" s="1213">
        <v>199.98519309417287</v>
      </c>
      <c r="D160" s="1213">
        <v>19576798.935378548</v>
      </c>
      <c r="E160" s="1213">
        <v>312.33425765214105</v>
      </c>
      <c r="F160" s="1213">
        <v>67983289.944865406</v>
      </c>
      <c r="G160" s="1213">
        <v>215.97354926952946</v>
      </c>
      <c r="H160" s="1213">
        <v>19421191.415131524</v>
      </c>
      <c r="I160" s="1213">
        <v>279.48986033749026</v>
      </c>
      <c r="J160" s="1213">
        <v>16918057.719999999</v>
      </c>
      <c r="K160" s="1213">
        <v>273.55136500339552</v>
      </c>
      <c r="L160" s="1213">
        <v>20632573</v>
      </c>
      <c r="M160" s="1213">
        <v>261.4895696035689</v>
      </c>
      <c r="N160" s="1213">
        <v>8126334.5599999996</v>
      </c>
      <c r="O160" s="1213">
        <v>254.02733854329477</v>
      </c>
      <c r="P160" s="1213">
        <v>9478923.0360000003</v>
      </c>
      <c r="Q160" s="1213">
        <v>216.15714302654385</v>
      </c>
      <c r="R160" s="1395">
        <f>S160/1000</f>
        <v>190310.36185000002</v>
      </c>
      <c r="S160" s="1395">
        <f>'DFG 2018_2017'!D168</f>
        <v>190310361.85000002</v>
      </c>
      <c r="T160" s="1396">
        <f t="shared" si="7"/>
        <v>257.99897219510876</v>
      </c>
      <c r="U160" s="1346"/>
    </row>
    <row r="161" spans="1:60" ht="13.8" thickBot="1" x14ac:dyDescent="0.3">
      <c r="A161" s="1505" t="s">
        <v>959</v>
      </c>
      <c r="B161" s="1468">
        <v>0.46657801121478121</v>
      </c>
      <c r="C161" s="1469"/>
      <c r="D161" s="1468">
        <v>0.79106123774538428</v>
      </c>
      <c r="E161" s="1469"/>
      <c r="F161" s="1468">
        <v>0.46916768883473731</v>
      </c>
      <c r="G161" s="1469"/>
      <c r="H161" s="1468">
        <v>0.70382865649760062</v>
      </c>
      <c r="I161" s="1469"/>
      <c r="J161" s="1468">
        <v>0.65347088116881846</v>
      </c>
      <c r="K161" s="1469"/>
      <c r="L161" s="1468">
        <v>0.4818188914908389</v>
      </c>
      <c r="M161" s="1469"/>
      <c r="N161" s="1468">
        <v>0.5903829839904432</v>
      </c>
      <c r="O161" s="1469"/>
      <c r="P161" s="1468">
        <v>0.43356294900723774</v>
      </c>
      <c r="Q161" s="1469"/>
      <c r="R161" s="1470"/>
      <c r="S161" s="1471">
        <f>'DFG 2018_2017'!D169</f>
        <v>0.56904968203390549</v>
      </c>
      <c r="T161" s="1472"/>
      <c r="U161" s="1349"/>
    </row>
    <row r="162" spans="1:60" x14ac:dyDescent="0.25">
      <c r="A162" s="1506"/>
      <c r="B162" s="1507"/>
      <c r="C162" s="1508"/>
      <c r="D162" s="1507"/>
      <c r="E162" s="1508"/>
      <c r="F162" s="1509"/>
      <c r="G162" s="1509"/>
      <c r="H162" s="1507"/>
      <c r="I162" s="1508"/>
      <c r="J162" s="1509"/>
      <c r="K162" s="1509"/>
      <c r="L162" s="1509"/>
      <c r="M162" s="1509"/>
      <c r="N162" s="1509"/>
      <c r="O162" s="1509"/>
      <c r="P162" s="1509"/>
      <c r="Q162" s="1509"/>
      <c r="R162" s="1510"/>
      <c r="S162" s="1510"/>
      <c r="T162" s="1511"/>
      <c r="U162" s="1349"/>
    </row>
    <row r="163" spans="1:60" x14ac:dyDescent="0.25">
      <c r="A163" s="1214" t="s">
        <v>836</v>
      </c>
      <c r="B163" s="1214"/>
      <c r="C163" s="1214"/>
      <c r="D163" s="1214"/>
      <c r="E163" s="1214"/>
      <c r="F163" s="1512"/>
      <c r="G163" s="1512"/>
      <c r="H163" s="1214"/>
      <c r="I163" s="1214"/>
      <c r="J163" s="1512"/>
      <c r="K163" s="1512"/>
      <c r="L163" s="1512"/>
      <c r="M163" s="1512"/>
      <c r="N163" s="1512"/>
      <c r="O163" s="1512"/>
      <c r="P163" s="1512"/>
      <c r="Q163" s="1512"/>
      <c r="R163" s="1513"/>
      <c r="S163" s="1513"/>
      <c r="T163" s="1514"/>
      <c r="U163" s="1349"/>
    </row>
    <row r="164" spans="1:60" x14ac:dyDescent="0.25">
      <c r="A164" s="1317" t="s">
        <v>960</v>
      </c>
      <c r="B164" s="1221">
        <v>818200</v>
      </c>
      <c r="C164" s="1221">
        <v>11.228831004858232</v>
      </c>
      <c r="D164" s="1221">
        <v>3068500.002538695</v>
      </c>
      <c r="E164" s="1221">
        <v>48.955790656179822</v>
      </c>
      <c r="F164" s="1515">
        <v>1651595</v>
      </c>
      <c r="G164" s="1515">
        <v>5.2468898518311438</v>
      </c>
      <c r="H164" s="1221">
        <v>2087820</v>
      </c>
      <c r="I164" s="1221">
        <v>30.04576329725996</v>
      </c>
      <c r="J164" s="1515">
        <v>1444260</v>
      </c>
      <c r="K164" s="1515">
        <v>23.35252077741487</v>
      </c>
      <c r="L164" s="1516">
        <v>6461570</v>
      </c>
      <c r="M164" s="1515">
        <v>81.891539085470953</v>
      </c>
      <c r="N164" s="1515">
        <v>28220</v>
      </c>
      <c r="O164" s="1515">
        <v>0.88215067208502662</v>
      </c>
      <c r="P164" s="1515">
        <v>0</v>
      </c>
      <c r="Q164" s="1515">
        <v>0</v>
      </c>
      <c r="R164" s="1517">
        <f>S164/1000</f>
        <v>17645.348420000002</v>
      </c>
      <c r="S164" s="1515">
        <f>'DFG 2018_2017'!D172</f>
        <v>17645348.420000002</v>
      </c>
      <c r="T164" s="1518">
        <f t="shared" si="7"/>
        <v>23.9213551596985</v>
      </c>
      <c r="U164" s="1349"/>
    </row>
    <row r="165" spans="1:60" x14ac:dyDescent="0.25">
      <c r="A165" s="1317" t="s">
        <v>961</v>
      </c>
      <c r="B165" s="1221">
        <v>0</v>
      </c>
      <c r="C165" s="1221">
        <v>0</v>
      </c>
      <c r="D165" s="1221">
        <v>0</v>
      </c>
      <c r="E165" s="1221">
        <v>0</v>
      </c>
      <c r="F165" s="1515">
        <v>0</v>
      </c>
      <c r="G165" s="1515">
        <v>0</v>
      </c>
      <c r="H165" s="1221">
        <v>0</v>
      </c>
      <c r="I165" s="1221">
        <v>0</v>
      </c>
      <c r="J165" s="1515">
        <v>0</v>
      </c>
      <c r="K165" s="1515">
        <v>0</v>
      </c>
      <c r="L165" s="1516">
        <v>0</v>
      </c>
      <c r="M165" s="1515">
        <v>0</v>
      </c>
      <c r="N165" s="1515">
        <v>0</v>
      </c>
      <c r="O165" s="1515">
        <v>0</v>
      </c>
      <c r="P165" s="1515">
        <v>0</v>
      </c>
      <c r="Q165" s="1515">
        <v>0</v>
      </c>
      <c r="R165" s="1517"/>
      <c r="S165" s="1515">
        <f>'DFG 2018_2017'!D173</f>
        <v>0</v>
      </c>
      <c r="T165" s="1518">
        <f t="shared" si="7"/>
        <v>0</v>
      </c>
      <c r="U165" s="1349"/>
    </row>
    <row r="166" spans="1:60" x14ac:dyDescent="0.25">
      <c r="A166" s="1214" t="s">
        <v>962</v>
      </c>
      <c r="B166" s="1217">
        <v>818200</v>
      </c>
      <c r="C166" s="1226">
        <v>11.228831004858232</v>
      </c>
      <c r="D166" s="1217">
        <v>3068500.002538695</v>
      </c>
      <c r="E166" s="1226">
        <v>48.955790656179822</v>
      </c>
      <c r="F166" s="1519">
        <v>1651595</v>
      </c>
      <c r="G166" s="1519">
        <v>5.2468898518311438</v>
      </c>
      <c r="H166" s="1217">
        <v>2087820</v>
      </c>
      <c r="I166" s="1226">
        <v>30.04576329725996</v>
      </c>
      <c r="J166" s="1519">
        <v>1444260</v>
      </c>
      <c r="K166" s="1519">
        <v>23.35252077741487</v>
      </c>
      <c r="L166" s="1519">
        <v>6461570</v>
      </c>
      <c r="M166" s="1519">
        <v>81.891539085470953</v>
      </c>
      <c r="N166" s="1519">
        <v>28220</v>
      </c>
      <c r="O166" s="1519">
        <v>0.88215067208502662</v>
      </c>
      <c r="P166" s="1519">
        <v>0</v>
      </c>
      <c r="Q166" s="1519">
        <v>0</v>
      </c>
      <c r="R166" s="1520">
        <f>S166/1000</f>
        <v>17645.348420000002</v>
      </c>
      <c r="S166" s="1519">
        <f>'DFG 2018_2017'!D174</f>
        <v>17645348.420000002</v>
      </c>
      <c r="T166" s="1521">
        <f t="shared" si="7"/>
        <v>23.9213551596985</v>
      </c>
      <c r="U166" s="1349"/>
    </row>
    <row r="167" spans="1:60" x14ac:dyDescent="0.25">
      <c r="A167" s="1317" t="s">
        <v>963</v>
      </c>
      <c r="B167" s="1221">
        <v>0</v>
      </c>
      <c r="C167" s="1221">
        <v>0</v>
      </c>
      <c r="D167" s="1221">
        <v>0</v>
      </c>
      <c r="E167" s="1221">
        <v>0</v>
      </c>
      <c r="F167" s="1515">
        <v>0</v>
      </c>
      <c r="G167" s="1515">
        <v>0</v>
      </c>
      <c r="H167" s="1221">
        <v>0</v>
      </c>
      <c r="I167" s="1221">
        <v>0</v>
      </c>
      <c r="J167" s="1515">
        <v>0</v>
      </c>
      <c r="K167" s="1515">
        <v>0</v>
      </c>
      <c r="L167" s="1515">
        <v>0</v>
      </c>
      <c r="M167" s="1515">
        <v>0</v>
      </c>
      <c r="N167" s="1515">
        <v>819550</v>
      </c>
      <c r="O167" s="1515">
        <v>25.618943419818692</v>
      </c>
      <c r="P167" s="1515">
        <v>0</v>
      </c>
      <c r="Q167" s="1515">
        <v>0</v>
      </c>
      <c r="R167" s="1517"/>
      <c r="S167" s="1515">
        <f>'DFG 2018_2017'!D175</f>
        <v>1962962</v>
      </c>
      <c r="T167" s="1518">
        <f t="shared" si="7"/>
        <v>2.66113822460821</v>
      </c>
      <c r="U167" s="1349"/>
    </row>
    <row r="168" spans="1:60" x14ac:dyDescent="0.25">
      <c r="A168" s="1223" t="s">
        <v>839</v>
      </c>
      <c r="B168" s="1226">
        <v>818200</v>
      </c>
      <c r="C168" s="1226">
        <v>11.228831004858232</v>
      </c>
      <c r="D168" s="1226">
        <v>3068500.002538695</v>
      </c>
      <c r="E168" s="1226">
        <v>48.955790656179822</v>
      </c>
      <c r="F168" s="1522">
        <v>1651595</v>
      </c>
      <c r="G168" s="1522">
        <v>5.2468898518311438</v>
      </c>
      <c r="H168" s="1226">
        <v>2087820</v>
      </c>
      <c r="I168" s="1226">
        <v>30.04576329725996</v>
      </c>
      <c r="J168" s="1522">
        <v>1444260</v>
      </c>
      <c r="K168" s="1522">
        <v>23.35252077741487</v>
      </c>
      <c r="L168" s="1522">
        <v>6461570</v>
      </c>
      <c r="M168" s="1522">
        <v>81.891539085470953</v>
      </c>
      <c r="N168" s="1522">
        <v>847770</v>
      </c>
      <c r="O168" s="1522">
        <v>26.50109409190372</v>
      </c>
      <c r="P168" s="1522">
        <v>0</v>
      </c>
      <c r="Q168" s="1522">
        <v>0</v>
      </c>
      <c r="R168" s="1523">
        <f>S168/1000</f>
        <v>19608.310420000002</v>
      </c>
      <c r="S168" s="1524">
        <f>'DFG 2018_2017'!D176</f>
        <v>19608310.420000002</v>
      </c>
      <c r="T168" s="1525">
        <f t="shared" si="7"/>
        <v>26.582493384306709</v>
      </c>
      <c r="U168" s="1349"/>
    </row>
    <row r="169" spans="1:60" x14ac:dyDescent="0.25">
      <c r="A169" s="1526"/>
      <c r="B169" s="1527"/>
      <c r="C169" s="1527"/>
      <c r="D169" s="1527"/>
      <c r="E169" s="1527"/>
      <c r="F169" s="1528"/>
      <c r="G169" s="1528"/>
      <c r="H169" s="1529"/>
      <c r="I169" s="1528"/>
      <c r="J169" s="1528"/>
      <c r="K169" s="1528"/>
      <c r="L169" s="1528"/>
      <c r="M169" s="1528"/>
      <c r="N169" s="1528"/>
      <c r="O169" s="1528"/>
      <c r="P169" s="1528"/>
      <c r="Q169" s="1530"/>
      <c r="R169" s="1531"/>
      <c r="S169" s="1532"/>
      <c r="T169" s="1531"/>
      <c r="U169" s="1349"/>
    </row>
    <row r="170" spans="1:60" x14ac:dyDescent="0.25">
      <c r="A170" s="1533"/>
      <c r="B170" s="1534"/>
      <c r="C170" s="1534"/>
      <c r="D170" s="1534"/>
      <c r="E170" s="1534"/>
      <c r="F170" s="1535"/>
      <c r="G170" s="1535"/>
      <c r="H170" s="1534"/>
      <c r="I170" s="1534"/>
      <c r="J170" s="1535"/>
      <c r="K170" s="1535"/>
      <c r="L170" s="1536"/>
      <c r="M170" s="1535"/>
      <c r="N170" s="1535"/>
      <c r="O170" s="1535"/>
      <c r="P170" s="1535"/>
      <c r="Q170" s="1537"/>
      <c r="R170" s="1538"/>
      <c r="S170" s="1539"/>
      <c r="T170" s="1538"/>
      <c r="U170" s="1349"/>
    </row>
    <row r="171" spans="1:60" x14ac:dyDescent="0.25">
      <c r="A171" s="1324" t="s">
        <v>964</v>
      </c>
      <c r="B171" s="1540"/>
      <c r="C171" s="1540"/>
      <c r="D171" s="1540"/>
      <c r="E171" s="1540"/>
      <c r="F171" s="1540"/>
      <c r="G171" s="1540"/>
      <c r="H171" s="1540"/>
      <c r="I171" s="1540"/>
      <c r="J171" s="1540"/>
      <c r="K171" s="1540"/>
      <c r="L171" s="1540"/>
      <c r="M171" s="1540"/>
      <c r="N171" s="1540"/>
      <c r="O171" s="1540"/>
      <c r="P171" s="1540"/>
      <c r="Q171" s="1540"/>
      <c r="R171" s="1541"/>
      <c r="S171" s="1541"/>
      <c r="T171" s="1541"/>
      <c r="U171" s="1540"/>
      <c r="V171" s="1540"/>
      <c r="W171" s="1540"/>
      <c r="X171" s="1540"/>
      <c r="Y171" s="1540"/>
      <c r="Z171" s="1540"/>
      <c r="AA171" s="1540"/>
      <c r="AB171" s="1540"/>
      <c r="AC171" s="1540"/>
      <c r="AD171" s="1540"/>
      <c r="AE171" s="1540"/>
      <c r="AF171" s="1540"/>
      <c r="AG171" s="1540"/>
      <c r="AH171" s="1540"/>
      <c r="AI171" s="1540"/>
      <c r="AJ171" s="1540"/>
      <c r="AK171" s="1540"/>
      <c r="AL171" s="1540"/>
      <c r="AM171" s="1542"/>
      <c r="AN171" s="1540"/>
      <c r="AO171" s="1540"/>
      <c r="AP171" s="1540"/>
      <c r="AQ171" s="1543"/>
      <c r="AR171" s="1543"/>
      <c r="AS171" s="1544"/>
      <c r="AT171" s="1543"/>
      <c r="AU171" s="1543"/>
      <c r="AV171" s="1543"/>
      <c r="AW171" s="1543"/>
      <c r="AX171" s="1543"/>
      <c r="AY171" s="1543"/>
      <c r="AZ171" s="1543"/>
      <c r="BA171" s="1543"/>
      <c r="BB171" s="1543"/>
      <c r="BC171" s="1543"/>
      <c r="BD171" s="1543"/>
      <c r="BE171" s="1543"/>
      <c r="BF171" s="1543"/>
      <c r="BG171" s="1543"/>
      <c r="BH171" s="1543"/>
    </row>
    <row r="172" spans="1:60" x14ac:dyDescent="0.25">
      <c r="A172" s="1545" t="s">
        <v>965</v>
      </c>
      <c r="H172" s="1113"/>
      <c r="S172" s="1547"/>
    </row>
    <row r="173" spans="1:60" x14ac:dyDescent="0.25">
      <c r="A173" s="1548" t="s">
        <v>966</v>
      </c>
      <c r="H173" s="1113"/>
      <c r="L173" s="1548"/>
    </row>
    <row r="174" spans="1:60" x14ac:dyDescent="0.25">
      <c r="A174" s="1548" t="s">
        <v>967</v>
      </c>
      <c r="H174" s="1113"/>
      <c r="L174" s="1548"/>
    </row>
    <row r="175" spans="1:60" x14ac:dyDescent="0.25">
      <c r="A175" s="1548" t="s">
        <v>968</v>
      </c>
      <c r="L175" s="1548"/>
    </row>
    <row r="179" spans="1:12" x14ac:dyDescent="0.25">
      <c r="B179" s="1549"/>
      <c r="C179" s="1550"/>
      <c r="D179" s="1550"/>
      <c r="E179" s="1551"/>
      <c r="F179" s="1551"/>
    </row>
    <row r="180" spans="1:12" x14ac:dyDescent="0.25">
      <c r="A180" s="1552"/>
      <c r="B180" s="1553"/>
      <c r="C180" s="1554"/>
      <c r="D180" s="1554"/>
      <c r="E180" s="1554"/>
      <c r="F180" s="1554"/>
      <c r="G180" s="1554"/>
      <c r="H180" s="1554"/>
      <c r="I180" s="1554"/>
      <c r="J180" s="1554"/>
      <c r="K180" s="1554"/>
      <c r="L180" s="1554"/>
    </row>
    <row r="181" spans="1:12" x14ac:dyDescent="0.25">
      <c r="A181" s="1555"/>
      <c r="B181" s="1556"/>
      <c r="C181" s="1557"/>
      <c r="D181" s="1557"/>
      <c r="E181" s="1555"/>
      <c r="F181" s="1555"/>
      <c r="G181" s="1552"/>
      <c r="H181" s="1552"/>
      <c r="I181" s="1552"/>
      <c r="J181" s="1552"/>
      <c r="K181" s="1552"/>
      <c r="L181" s="1552"/>
    </row>
    <row r="182" spans="1:12" x14ac:dyDescent="0.25">
      <c r="A182" s="1555"/>
      <c r="B182" s="1556"/>
      <c r="C182" s="1557"/>
      <c r="D182" s="1557"/>
      <c r="E182" s="1558"/>
      <c r="F182" s="1558"/>
      <c r="G182" s="1559"/>
      <c r="H182" s="1559"/>
      <c r="I182" s="1559"/>
      <c r="J182" s="1559"/>
      <c r="K182" s="1559"/>
      <c r="L182" s="1559"/>
    </row>
    <row r="183" spans="1:12" x14ac:dyDescent="0.25">
      <c r="A183" s="1555"/>
      <c r="B183" s="1556"/>
      <c r="C183" s="1557"/>
      <c r="D183" s="1557"/>
      <c r="E183" s="1558"/>
      <c r="F183" s="1558"/>
      <c r="G183" s="1559"/>
      <c r="H183" s="1559"/>
      <c r="I183" s="1559"/>
      <c r="J183" s="1559"/>
      <c r="K183" s="1559"/>
      <c r="L183" s="1559"/>
    </row>
    <row r="184" spans="1:12" x14ac:dyDescent="0.25">
      <c r="A184" s="1555"/>
      <c r="B184" s="1556"/>
      <c r="C184" s="1557"/>
      <c r="D184" s="1557"/>
      <c r="E184" s="1555"/>
      <c r="F184" s="1555"/>
      <c r="G184" s="1559"/>
      <c r="H184" s="1559"/>
      <c r="I184" s="1559"/>
      <c r="J184" s="1559"/>
      <c r="K184" s="1559"/>
      <c r="L184" s="1559"/>
    </row>
    <row r="185" spans="1:12" x14ac:dyDescent="0.25">
      <c r="A185" s="1555"/>
      <c r="B185" s="1556"/>
      <c r="C185" s="1557"/>
      <c r="D185" s="1557"/>
      <c r="E185" s="1555"/>
      <c r="F185" s="1555"/>
      <c r="G185" s="1559"/>
      <c r="H185" s="1559"/>
      <c r="I185" s="1559"/>
      <c r="J185" s="1559"/>
      <c r="K185" s="1559"/>
      <c r="L185" s="1559"/>
    </row>
    <row r="186" spans="1:12" x14ac:dyDescent="0.25">
      <c r="A186" s="1555"/>
      <c r="B186" s="1556"/>
      <c r="C186" s="1557"/>
      <c r="D186" s="1557"/>
      <c r="E186" s="1558"/>
      <c r="F186" s="1558"/>
      <c r="G186" s="1559"/>
      <c r="H186" s="1559"/>
      <c r="I186" s="1559"/>
      <c r="J186" s="1559"/>
      <c r="K186" s="1559"/>
      <c r="L186" s="1559"/>
    </row>
    <row r="187" spans="1:12" x14ac:dyDescent="0.25">
      <c r="A187" s="1555"/>
      <c r="B187" s="1556"/>
      <c r="C187" s="1557"/>
      <c r="D187" s="1557"/>
      <c r="E187" s="1558"/>
      <c r="F187" s="1558"/>
      <c r="G187" s="1559"/>
      <c r="H187" s="1559"/>
      <c r="I187" s="1559"/>
      <c r="J187" s="1559"/>
      <c r="K187" s="1559"/>
      <c r="L187" s="1559"/>
    </row>
    <row r="188" spans="1:12" x14ac:dyDescent="0.25">
      <c r="A188" s="1555"/>
      <c r="B188" s="1556"/>
      <c r="C188" s="1557"/>
      <c r="D188" s="1557"/>
      <c r="E188" s="1555"/>
      <c r="F188" s="1555"/>
      <c r="G188" s="1552"/>
      <c r="H188" s="1552"/>
      <c r="I188" s="1552"/>
      <c r="J188" s="1552"/>
      <c r="K188" s="1552"/>
      <c r="L188" s="1552"/>
    </row>
    <row r="189" spans="1:12" x14ac:dyDescent="0.25">
      <c r="E189" s="1560"/>
      <c r="F189" s="1560"/>
    </row>
  </sheetData>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Hoja57">
    <tabColor theme="6" tint="0.39997558519241921"/>
  </sheetPr>
  <dimension ref="A1:H202"/>
  <sheetViews>
    <sheetView workbookViewId="0"/>
  </sheetViews>
  <sheetFormatPr baseColWidth="10" defaultColWidth="11.44140625" defaultRowHeight="14.4" x14ac:dyDescent="0.3"/>
  <cols>
    <col min="1" max="1" width="58.109375" style="1875" customWidth="1"/>
    <col min="2" max="2" width="16.5546875" style="1879" bestFit="1" customWidth="1"/>
    <col min="3" max="3" width="6.109375" style="1879" customWidth="1"/>
    <col min="4" max="4" width="16.44140625" style="1564" customWidth="1"/>
    <col min="5" max="5" width="4.88671875" style="1564" customWidth="1"/>
    <col min="6" max="6" width="57.5546875" style="1623" customWidth="1"/>
    <col min="7" max="7" width="17.109375" style="1624" bestFit="1" customWidth="1"/>
    <col min="8" max="16384" width="11.44140625" style="1567"/>
  </cols>
  <sheetData>
    <row r="1" spans="1:8" x14ac:dyDescent="0.3">
      <c r="A1" s="1561"/>
      <c r="B1" s="1562" t="s">
        <v>187</v>
      </c>
      <c r="C1" s="1563"/>
      <c r="F1" s="1565"/>
      <c r="G1" s="1566" t="s">
        <v>184</v>
      </c>
    </row>
    <row r="2" spans="1:8" ht="22.8" x14ac:dyDescent="0.3">
      <c r="A2" s="1568" t="s">
        <v>969</v>
      </c>
      <c r="B2" s="1569" t="s">
        <v>855</v>
      </c>
      <c r="C2" s="1570"/>
      <c r="D2" s="1571" t="s">
        <v>970</v>
      </c>
      <c r="F2" s="1572" t="s">
        <v>854</v>
      </c>
      <c r="G2" s="1573" t="s">
        <v>154</v>
      </c>
    </row>
    <row r="3" spans="1:8" x14ac:dyDescent="0.3">
      <c r="A3" s="1574" t="s">
        <v>971</v>
      </c>
      <c r="B3" s="1575">
        <v>736401</v>
      </c>
      <c r="C3" s="1576"/>
      <c r="D3" s="1577">
        <f>G3</f>
        <v>737640</v>
      </c>
      <c r="E3" s="1577" t="str">
        <f>H3</f>
        <v/>
      </c>
      <c r="F3" s="1574" t="s">
        <v>972</v>
      </c>
      <c r="G3" s="1578">
        <v>737640</v>
      </c>
      <c r="H3" s="1567" t="s">
        <v>153</v>
      </c>
    </row>
    <row r="4" spans="1:8" x14ac:dyDescent="0.3">
      <c r="A4" s="1579" t="s">
        <v>723</v>
      </c>
      <c r="B4" s="1580"/>
      <c r="C4" s="1581"/>
      <c r="F4" s="1579" t="s">
        <v>723</v>
      </c>
      <c r="G4" s="1580"/>
    </row>
    <row r="5" spans="1:8" x14ac:dyDescent="0.3">
      <c r="A5" s="1582"/>
      <c r="B5" s="1583"/>
      <c r="C5" s="1584"/>
      <c r="F5" s="1585" t="s">
        <v>724</v>
      </c>
      <c r="G5" s="1586" t="s">
        <v>153</v>
      </c>
    </row>
    <row r="6" spans="1:8" x14ac:dyDescent="0.3">
      <c r="A6" s="1587" t="s">
        <v>725</v>
      </c>
      <c r="B6" s="1588">
        <v>4061946.1915320703</v>
      </c>
      <c r="C6" s="1589"/>
      <c r="D6" s="1590">
        <f>G6</f>
        <v>3318451.5300000021</v>
      </c>
      <c r="E6" s="1590"/>
      <c r="F6" s="1591" t="s">
        <v>725</v>
      </c>
      <c r="G6" s="1592">
        <v>3318451.5300000021</v>
      </c>
    </row>
    <row r="7" spans="1:8" x14ac:dyDescent="0.3">
      <c r="A7" s="1593" t="s">
        <v>726</v>
      </c>
      <c r="B7" s="1594">
        <v>1781</v>
      </c>
      <c r="C7" s="1595"/>
      <c r="D7" s="1590">
        <f>G7</f>
        <v>177774</v>
      </c>
      <c r="E7" s="1590"/>
      <c r="F7" s="1591" t="s">
        <v>726</v>
      </c>
      <c r="G7" s="1592">
        <v>177774</v>
      </c>
    </row>
    <row r="8" spans="1:8" x14ac:dyDescent="0.3">
      <c r="A8" s="1593" t="s">
        <v>858</v>
      </c>
      <c r="B8" s="1594">
        <v>80</v>
      </c>
      <c r="C8" s="1595"/>
      <c r="D8" s="1590">
        <f>G8</f>
        <v>80</v>
      </c>
      <c r="E8" s="1590"/>
      <c r="F8" s="1591" t="s">
        <v>727</v>
      </c>
      <c r="G8" s="1592">
        <v>80</v>
      </c>
    </row>
    <row r="9" spans="1:8" x14ac:dyDescent="0.3">
      <c r="A9" s="1593" t="s">
        <v>728</v>
      </c>
      <c r="B9" s="1594">
        <v>2.8</v>
      </c>
      <c r="C9" s="1595"/>
      <c r="D9" s="1590">
        <f>G9</f>
        <v>2.8</v>
      </c>
      <c r="E9" s="1590"/>
      <c r="F9" s="1591" t="s">
        <v>728</v>
      </c>
      <c r="G9" s="1592">
        <v>2.8</v>
      </c>
    </row>
    <row r="10" spans="1:8" x14ac:dyDescent="0.3">
      <c r="A10" s="1596" t="s">
        <v>859</v>
      </c>
      <c r="B10" s="1597">
        <v>0</v>
      </c>
      <c r="C10" s="1598"/>
      <c r="F10" s="1599" t="s">
        <v>729</v>
      </c>
      <c r="G10" s="1600" t="s">
        <v>153</v>
      </c>
    </row>
    <row r="11" spans="1:8" x14ac:dyDescent="0.3">
      <c r="A11" s="1601"/>
      <c r="B11" s="1602"/>
      <c r="C11" s="1603"/>
      <c r="F11" s="1604" t="s">
        <v>730</v>
      </c>
      <c r="G11" s="1605" t="s">
        <v>153</v>
      </c>
    </row>
    <row r="12" spans="1:8" x14ac:dyDescent="0.3">
      <c r="A12" s="1606" t="s">
        <v>731</v>
      </c>
      <c r="B12" s="1607">
        <v>7104719.3868004763</v>
      </c>
      <c r="C12" s="1608"/>
      <c r="D12" s="1590">
        <f>G12+G18</f>
        <v>5826499.6500000004</v>
      </c>
      <c r="E12" s="1590"/>
      <c r="F12" s="1609" t="s">
        <v>731</v>
      </c>
      <c r="G12" s="1610">
        <v>5368740</v>
      </c>
    </row>
    <row r="13" spans="1:8" x14ac:dyDescent="0.3">
      <c r="A13" s="1606" t="s">
        <v>860</v>
      </c>
      <c r="B13" s="1607">
        <v>29538751.98</v>
      </c>
      <c r="C13" s="1608"/>
      <c r="D13" s="1590">
        <f>G13</f>
        <v>34891141.019999996</v>
      </c>
      <c r="E13" s="1590"/>
      <c r="F13" s="1609" t="s">
        <v>732</v>
      </c>
      <c r="G13" s="1610">
        <v>34891141.019999996</v>
      </c>
    </row>
    <row r="14" spans="1:8" x14ac:dyDescent="0.3">
      <c r="A14" s="1606" t="s">
        <v>733</v>
      </c>
      <c r="B14" s="1607">
        <v>369260.61319952371</v>
      </c>
      <c r="C14" s="1608"/>
      <c r="D14" s="1590">
        <f>G14</f>
        <v>377290.12</v>
      </c>
      <c r="E14" s="1590"/>
      <c r="F14" s="1609" t="s">
        <v>733</v>
      </c>
      <c r="G14" s="1610">
        <v>377290.12</v>
      </c>
    </row>
    <row r="15" spans="1:8" x14ac:dyDescent="0.3">
      <c r="A15" s="1606" t="s">
        <v>861</v>
      </c>
      <c r="B15" s="1607">
        <v>1830584</v>
      </c>
      <c r="C15" s="1608"/>
      <c r="D15" s="1590">
        <f>G15</f>
        <v>3423351.0300000003</v>
      </c>
      <c r="E15" s="1590"/>
      <c r="F15" s="1609" t="s">
        <v>734</v>
      </c>
      <c r="G15" s="1610">
        <v>3423351.0300000003</v>
      </c>
    </row>
    <row r="16" spans="1:8" x14ac:dyDescent="0.3">
      <c r="A16" s="1606" t="s">
        <v>735</v>
      </c>
      <c r="B16" s="1607">
        <v>1579783</v>
      </c>
      <c r="C16" s="1608"/>
      <c r="D16" s="1590">
        <f>G16</f>
        <v>1767869.12</v>
      </c>
      <c r="E16" s="1590"/>
      <c r="F16" s="1609" t="s">
        <v>735</v>
      </c>
      <c r="G16" s="1610">
        <v>1767869.12</v>
      </c>
    </row>
    <row r="17" spans="1:7" x14ac:dyDescent="0.3">
      <c r="A17" s="1606" t="s">
        <v>862</v>
      </c>
      <c r="B17" s="1607">
        <v>0</v>
      </c>
      <c r="C17" s="1608"/>
      <c r="D17" s="1590">
        <f>G17</f>
        <v>0</v>
      </c>
      <c r="E17" s="1590"/>
      <c r="F17" s="1609" t="s">
        <v>736</v>
      </c>
      <c r="G17" s="1610">
        <v>0</v>
      </c>
    </row>
    <row r="18" spans="1:7" x14ac:dyDescent="0.3">
      <c r="A18" s="1606" t="s">
        <v>863</v>
      </c>
      <c r="B18" s="1607">
        <v>0</v>
      </c>
      <c r="C18" s="1608"/>
      <c r="E18" s="1611" t="s">
        <v>973</v>
      </c>
      <c r="F18" s="1609" t="s">
        <v>737</v>
      </c>
      <c r="G18" s="1610">
        <v>457759.65</v>
      </c>
    </row>
    <row r="19" spans="1:7" x14ac:dyDescent="0.3">
      <c r="A19" s="1587" t="s">
        <v>864</v>
      </c>
      <c r="B19" s="1588">
        <v>40423098.980000004</v>
      </c>
      <c r="C19" s="1589"/>
      <c r="D19" s="1590">
        <f>SUM(D12:D18)</f>
        <v>46286150.93999999</v>
      </c>
      <c r="F19" s="1612" t="s">
        <v>738</v>
      </c>
      <c r="G19" s="1613">
        <v>46286150.940000005</v>
      </c>
    </row>
    <row r="20" spans="1:7" x14ac:dyDescent="0.3">
      <c r="A20" s="1601"/>
      <c r="B20" s="1602"/>
      <c r="C20" s="1603"/>
      <c r="F20" s="1614" t="s">
        <v>739</v>
      </c>
      <c r="G20" s="1615" t="s">
        <v>153</v>
      </c>
    </row>
    <row r="21" spans="1:7" x14ac:dyDescent="0.3">
      <c r="A21" s="1616" t="s">
        <v>865</v>
      </c>
      <c r="B21" s="1617">
        <v>2397887.5122447452</v>
      </c>
      <c r="C21" s="1618">
        <f>B21/(B21+B24)</f>
        <v>0.87439419982449706</v>
      </c>
      <c r="D21" s="1590">
        <f>G21*C21</f>
        <v>2314359.6315448247</v>
      </c>
      <c r="F21" s="1609" t="s">
        <v>740</v>
      </c>
      <c r="G21" s="1610">
        <v>2646814.9400000004</v>
      </c>
    </row>
    <row r="22" spans="1:7" x14ac:dyDescent="0.3">
      <c r="A22" s="1616" t="s">
        <v>866</v>
      </c>
      <c r="B22" s="1617">
        <v>4113812</v>
      </c>
      <c r="C22" s="1619">
        <f>B22/(B22+B25)</f>
        <v>0.92333479598283874</v>
      </c>
      <c r="D22" s="1590">
        <f>G22*C22</f>
        <v>4179787.0411773617</v>
      </c>
      <c r="F22" s="1609" t="s">
        <v>741</v>
      </c>
      <c r="G22" s="1610">
        <v>4526838</v>
      </c>
    </row>
    <row r="23" spans="1:7" x14ac:dyDescent="0.3">
      <c r="A23" s="1620" t="s">
        <v>867</v>
      </c>
      <c r="B23" s="1621">
        <v>6511699.5122447452</v>
      </c>
      <c r="C23" s="1622"/>
      <c r="D23" s="1590">
        <f>SUM(D21:D22)</f>
        <v>6494146.6727221869</v>
      </c>
    </row>
    <row r="24" spans="1:7" x14ac:dyDescent="0.3">
      <c r="A24" s="1616" t="s">
        <v>868</v>
      </c>
      <c r="B24" s="1617">
        <v>344454</v>
      </c>
      <c r="C24" s="1618">
        <f>B24/(B21+B24)</f>
        <v>0.12560580017550294</v>
      </c>
      <c r="D24" s="1590">
        <f>G21*C24</f>
        <v>332455.30845517584</v>
      </c>
    </row>
    <row r="25" spans="1:7" x14ac:dyDescent="0.3">
      <c r="A25" s="1616" t="s">
        <v>869</v>
      </c>
      <c r="B25" s="1617">
        <v>341573</v>
      </c>
      <c r="C25" s="1619">
        <f>B25/(B25+B22)</f>
        <v>7.6665204017161259E-2</v>
      </c>
      <c r="D25" s="1590">
        <f>G22*C25</f>
        <v>347050.95882263826</v>
      </c>
    </row>
    <row r="26" spans="1:7" x14ac:dyDescent="0.3">
      <c r="A26" s="1620" t="s">
        <v>870</v>
      </c>
      <c r="B26" s="1621">
        <v>686027</v>
      </c>
      <c r="C26" s="1622"/>
      <c r="D26" s="1590">
        <f>SUM(D24:D25)</f>
        <v>679506.2672778141</v>
      </c>
      <c r="F26" s="1625"/>
      <c r="G26" s="1626"/>
    </row>
    <row r="27" spans="1:7" x14ac:dyDescent="0.3">
      <c r="A27" s="1587" t="s">
        <v>871</v>
      </c>
      <c r="B27" s="1588">
        <v>7197726.5122447452</v>
      </c>
      <c r="C27" s="1589"/>
      <c r="D27" s="1590">
        <f>D23+D26</f>
        <v>7173652.9400000013</v>
      </c>
      <c r="F27" s="1612" t="s">
        <v>742</v>
      </c>
      <c r="G27" s="1627">
        <v>7173652.9400000004</v>
      </c>
    </row>
    <row r="28" spans="1:7" x14ac:dyDescent="0.3">
      <c r="A28" s="1628" t="s">
        <v>872</v>
      </c>
      <c r="B28" s="1629">
        <v>47620825.49224475</v>
      </c>
      <c r="C28" s="1630"/>
      <c r="D28" s="1590">
        <f>D19+D27</f>
        <v>53459803.879999995</v>
      </c>
      <c r="F28" s="1612" t="s">
        <v>743</v>
      </c>
      <c r="G28" s="1627">
        <v>53459803.880000003</v>
      </c>
    </row>
    <row r="29" spans="1:7" x14ac:dyDescent="0.3">
      <c r="A29" s="1631" t="s">
        <v>873</v>
      </c>
      <c r="B29" s="1632">
        <v>51682771.683776818</v>
      </c>
      <c r="C29" s="1630"/>
      <c r="D29" s="1590">
        <f>D28+D6</f>
        <v>56778255.409999996</v>
      </c>
      <c r="F29" s="1612" t="s">
        <v>744</v>
      </c>
      <c r="G29" s="1627">
        <v>56778255.409999996</v>
      </c>
    </row>
    <row r="30" spans="1:7" x14ac:dyDescent="0.3">
      <c r="A30" s="1633" t="s">
        <v>874</v>
      </c>
      <c r="B30" s="1634"/>
      <c r="C30" s="1635"/>
      <c r="F30" s="1585" t="s">
        <v>745</v>
      </c>
      <c r="G30" s="1626"/>
    </row>
    <row r="31" spans="1:7" x14ac:dyDescent="0.3">
      <c r="A31" s="1636" t="s">
        <v>746</v>
      </c>
      <c r="B31" s="1637">
        <v>2549807.4998695524</v>
      </c>
      <c r="C31" s="1638"/>
      <c r="D31" s="1590">
        <f t="shared" ref="D31:D38" si="0">G31</f>
        <v>1999302</v>
      </c>
      <c r="F31" s="1639" t="s">
        <v>746</v>
      </c>
      <c r="G31" s="1640">
        <v>1999302</v>
      </c>
    </row>
    <row r="32" spans="1:7" x14ac:dyDescent="0.3">
      <c r="A32" s="1636" t="s">
        <v>747</v>
      </c>
      <c r="B32" s="1637">
        <v>22994655.039999999</v>
      </c>
      <c r="C32" s="1638"/>
      <c r="D32" s="1590">
        <f t="shared" si="0"/>
        <v>24305866.560000002</v>
      </c>
      <c r="F32" s="1639" t="s">
        <v>747</v>
      </c>
      <c r="G32" s="1640">
        <v>24305866.560000002</v>
      </c>
    </row>
    <row r="33" spans="1:7" x14ac:dyDescent="0.3">
      <c r="A33" s="1636" t="s">
        <v>875</v>
      </c>
      <c r="B33" s="1637">
        <v>577364.65013044793</v>
      </c>
      <c r="C33" s="1638"/>
      <c r="D33" s="1590">
        <f t="shared" si="0"/>
        <v>241557.46</v>
      </c>
      <c r="F33" s="1639" t="s">
        <v>748</v>
      </c>
      <c r="G33" s="1640">
        <v>241557.46</v>
      </c>
    </row>
    <row r="34" spans="1:7" x14ac:dyDescent="0.3">
      <c r="A34" s="1636" t="s">
        <v>749</v>
      </c>
      <c r="B34" s="1637">
        <v>2491249.58</v>
      </c>
      <c r="C34" s="1638"/>
      <c r="D34" s="1590">
        <f t="shared" si="0"/>
        <v>911475</v>
      </c>
      <c r="F34" s="1639" t="s">
        <v>749</v>
      </c>
      <c r="G34" s="1640">
        <v>911475</v>
      </c>
    </row>
    <row r="35" spans="1:7" x14ac:dyDescent="0.3">
      <c r="A35" s="1636" t="s">
        <v>876</v>
      </c>
      <c r="B35" s="1637">
        <v>2898333.6385964914</v>
      </c>
      <c r="C35" s="1638"/>
      <c r="D35" s="1590">
        <f t="shared" si="0"/>
        <v>5724035.3100000005</v>
      </c>
      <c r="F35" s="1639" t="s">
        <v>750</v>
      </c>
      <c r="G35" s="1640">
        <v>5724035.3100000005</v>
      </c>
    </row>
    <row r="36" spans="1:7" x14ac:dyDescent="0.3">
      <c r="A36" s="1636" t="s">
        <v>877</v>
      </c>
      <c r="B36" s="1637">
        <v>896660</v>
      </c>
      <c r="C36" s="1638"/>
      <c r="D36" s="1590">
        <f t="shared" si="0"/>
        <v>947100</v>
      </c>
      <c r="F36" s="1639" t="s">
        <v>751</v>
      </c>
      <c r="G36" s="1640">
        <v>947100</v>
      </c>
    </row>
    <row r="37" spans="1:7" x14ac:dyDescent="0.3">
      <c r="A37" s="1636" t="s">
        <v>878</v>
      </c>
      <c r="B37" s="1637">
        <v>8449503.2514035087</v>
      </c>
      <c r="C37" s="1638"/>
      <c r="D37" s="1590">
        <f>G37+G39</f>
        <v>8771473.629999999</v>
      </c>
      <c r="F37" s="1639" t="s">
        <v>752</v>
      </c>
      <c r="G37" s="1640">
        <v>1733450</v>
      </c>
    </row>
    <row r="38" spans="1:7" x14ac:dyDescent="0.3">
      <c r="A38" s="1636" t="s">
        <v>753</v>
      </c>
      <c r="B38" s="1637">
        <v>1814452.9841313788</v>
      </c>
      <c r="C38" s="1638"/>
      <c r="D38" s="1590">
        <f t="shared" si="0"/>
        <v>1940355.42</v>
      </c>
      <c r="F38" s="1639" t="s">
        <v>753</v>
      </c>
      <c r="G38" s="1640">
        <v>1940355.42</v>
      </c>
    </row>
    <row r="39" spans="1:7" x14ac:dyDescent="0.3">
      <c r="A39" s="1641"/>
      <c r="B39" s="1642"/>
      <c r="C39" s="1643"/>
      <c r="D39" s="1590"/>
      <c r="E39" s="1611" t="s">
        <v>973</v>
      </c>
      <c r="F39" s="1639" t="s">
        <v>754</v>
      </c>
      <c r="G39" s="1640">
        <v>7038023.6299999999</v>
      </c>
    </row>
    <row r="40" spans="1:7" x14ac:dyDescent="0.3">
      <c r="A40" s="1644" t="s">
        <v>879</v>
      </c>
      <c r="B40" s="1645">
        <v>42672026.644131377</v>
      </c>
      <c r="C40" s="1646"/>
      <c r="D40" s="1590">
        <f>SUM(D31:D38)</f>
        <v>44841165.38000001</v>
      </c>
      <c r="F40" s="1647" t="s">
        <v>755</v>
      </c>
      <c r="G40" s="1648">
        <v>44841165.379999995</v>
      </c>
    </row>
    <row r="41" spans="1:7" x14ac:dyDescent="0.3">
      <c r="A41" s="1561" t="s">
        <v>756</v>
      </c>
      <c r="B41" s="1562"/>
      <c r="C41" s="1563"/>
      <c r="F41" s="1599" t="s">
        <v>756</v>
      </c>
      <c r="G41" s="1600" t="s">
        <v>153</v>
      </c>
    </row>
    <row r="42" spans="1:7" x14ac:dyDescent="0.3">
      <c r="A42" s="1649" t="s">
        <v>880</v>
      </c>
      <c r="B42" s="1650">
        <v>2524503.2427179986</v>
      </c>
      <c r="C42" s="1651"/>
      <c r="D42" s="1590">
        <f>G42</f>
        <v>2149650.5</v>
      </c>
      <c r="F42" s="1649" t="s">
        <v>757</v>
      </c>
      <c r="G42" s="1652">
        <v>2149650.5</v>
      </c>
    </row>
    <row r="43" spans="1:7" x14ac:dyDescent="0.3">
      <c r="A43" s="1649" t="s">
        <v>758</v>
      </c>
      <c r="B43" s="1650">
        <v>803394</v>
      </c>
      <c r="C43" s="1651"/>
      <c r="D43" s="1590">
        <f>G43</f>
        <v>838840</v>
      </c>
      <c r="F43" s="1649" t="s">
        <v>758</v>
      </c>
      <c r="G43" s="1652">
        <v>838840</v>
      </c>
    </row>
    <row r="44" spans="1:7" x14ac:dyDescent="0.3">
      <c r="A44" s="1649" t="s">
        <v>759</v>
      </c>
      <c r="B44" s="1650">
        <v>16359653.699999999</v>
      </c>
      <c r="C44" s="1651"/>
      <c r="D44" s="1590">
        <f>G44</f>
        <v>19811054.829999998</v>
      </c>
      <c r="F44" s="1649" t="s">
        <v>759</v>
      </c>
      <c r="G44" s="1652">
        <v>19811054.829999998</v>
      </c>
    </row>
    <row r="45" spans="1:7" x14ac:dyDescent="0.3">
      <c r="A45" s="1649" t="s">
        <v>875</v>
      </c>
      <c r="B45" s="1650">
        <v>945306.41728200146</v>
      </c>
      <c r="C45" s="1651"/>
      <c r="D45" s="1590">
        <f>G45+G47</f>
        <v>743474.1</v>
      </c>
      <c r="F45" s="1649" t="s">
        <v>748</v>
      </c>
      <c r="G45" s="1652">
        <v>256098.22</v>
      </c>
    </row>
    <row r="46" spans="1:7" x14ac:dyDescent="0.3">
      <c r="A46" s="1649" t="s">
        <v>760</v>
      </c>
      <c r="B46" s="1650">
        <v>0</v>
      </c>
      <c r="C46" s="1651"/>
      <c r="D46" s="1590">
        <f>G46</f>
        <v>0</v>
      </c>
      <c r="F46" s="1649" t="s">
        <v>760</v>
      </c>
      <c r="G46" s="1652">
        <v>0</v>
      </c>
    </row>
    <row r="47" spans="1:7" x14ac:dyDescent="0.3">
      <c r="A47" s="1653"/>
      <c r="B47" s="1654"/>
      <c r="C47" s="1655"/>
      <c r="D47" s="1590"/>
      <c r="E47" s="1611" t="s">
        <v>973</v>
      </c>
      <c r="F47" s="1649" t="s">
        <v>754</v>
      </c>
      <c r="G47" s="1652">
        <v>487375.87999999995</v>
      </c>
    </row>
    <row r="48" spans="1:7" x14ac:dyDescent="0.3">
      <c r="A48" s="1656" t="s">
        <v>881</v>
      </c>
      <c r="B48" s="1657">
        <v>20632857.359999999</v>
      </c>
      <c r="C48" s="1658"/>
      <c r="D48" s="1590">
        <f>SUM(D42:D46)</f>
        <v>23543019.43</v>
      </c>
      <c r="F48" s="1659" t="s">
        <v>761</v>
      </c>
      <c r="G48" s="1660">
        <v>23543019.43</v>
      </c>
    </row>
    <row r="49" spans="1:7" x14ac:dyDescent="0.3">
      <c r="A49" s="1661" t="s">
        <v>762</v>
      </c>
      <c r="B49" s="1662"/>
      <c r="C49" s="1663"/>
      <c r="F49" s="1585" t="s">
        <v>762</v>
      </c>
      <c r="G49" s="1664" t="s">
        <v>153</v>
      </c>
    </row>
    <row r="50" spans="1:7" x14ac:dyDescent="0.3">
      <c r="A50" s="1665" t="s">
        <v>747</v>
      </c>
      <c r="B50" s="1666">
        <v>24107253</v>
      </c>
      <c r="C50" s="1667"/>
      <c r="D50" s="1590">
        <f>G50</f>
        <v>24692190.399999999</v>
      </c>
      <c r="F50" s="1668" t="s">
        <v>747</v>
      </c>
      <c r="G50" s="1669">
        <v>24692190.399999999</v>
      </c>
    </row>
    <row r="51" spans="1:7" x14ac:dyDescent="0.3">
      <c r="A51" s="1665" t="s">
        <v>882</v>
      </c>
      <c r="B51" s="1666">
        <v>2152800</v>
      </c>
      <c r="C51" s="1667"/>
      <c r="D51" s="1590">
        <f>G51</f>
        <v>2241150</v>
      </c>
      <c r="F51" s="1668" t="s">
        <v>763</v>
      </c>
      <c r="G51" s="1669">
        <v>2241150</v>
      </c>
    </row>
    <row r="52" spans="1:7" x14ac:dyDescent="0.3">
      <c r="A52" s="1665" t="s">
        <v>764</v>
      </c>
      <c r="B52" s="1666">
        <v>0</v>
      </c>
      <c r="C52" s="1667"/>
      <c r="D52" s="1590">
        <f>G52</f>
        <v>163217</v>
      </c>
      <c r="F52" s="1668" t="s">
        <v>764</v>
      </c>
      <c r="G52" s="1669">
        <v>163217</v>
      </c>
    </row>
    <row r="53" spans="1:7" x14ac:dyDescent="0.3">
      <c r="A53" s="1670" t="s">
        <v>765</v>
      </c>
      <c r="B53" s="1671">
        <v>26260053</v>
      </c>
      <c r="C53" s="1672"/>
      <c r="D53" s="1590">
        <f>SUM(D50:D52)</f>
        <v>27096557.399999999</v>
      </c>
      <c r="F53" s="1673" t="s">
        <v>765</v>
      </c>
      <c r="G53" s="1674">
        <v>27096557.399999999</v>
      </c>
    </row>
    <row r="54" spans="1:7" x14ac:dyDescent="0.3">
      <c r="A54" s="1675" t="s">
        <v>766</v>
      </c>
      <c r="B54" s="1676">
        <v>159405</v>
      </c>
      <c r="C54" s="1677"/>
      <c r="D54" s="1590">
        <f>G55</f>
        <v>47486</v>
      </c>
      <c r="F54" s="1678" t="s">
        <v>766</v>
      </c>
      <c r="G54" s="1679" t="s">
        <v>153</v>
      </c>
    </row>
    <row r="55" spans="1:7" x14ac:dyDescent="0.3">
      <c r="A55" s="1680" t="s">
        <v>883</v>
      </c>
      <c r="B55" s="1681">
        <v>35302176.003467277</v>
      </c>
      <c r="C55" s="1682"/>
      <c r="D55" s="1683" t="s">
        <v>974</v>
      </c>
      <c r="F55" s="1684" t="s">
        <v>766</v>
      </c>
      <c r="G55" s="1685">
        <v>47486</v>
      </c>
    </row>
    <row r="56" spans="1:7" x14ac:dyDescent="0.3">
      <c r="A56" s="1686"/>
      <c r="B56" s="1687"/>
      <c r="C56" s="1688"/>
      <c r="F56" s="1689" t="s">
        <v>767</v>
      </c>
      <c r="G56" s="1690">
        <v>47486</v>
      </c>
    </row>
    <row r="57" spans="1:7" x14ac:dyDescent="0.3">
      <c r="A57" s="1691" t="s">
        <v>884</v>
      </c>
      <c r="B57" s="1692"/>
      <c r="C57" s="1693"/>
      <c r="F57" s="1599" t="s">
        <v>768</v>
      </c>
      <c r="G57" s="1600" t="s">
        <v>153</v>
      </c>
    </row>
    <row r="58" spans="1:7" x14ac:dyDescent="0.3">
      <c r="A58" s="1694" t="s">
        <v>885</v>
      </c>
      <c r="B58" s="1695">
        <v>5045451.0670952592</v>
      </c>
      <c r="C58" s="1696"/>
      <c r="D58" s="1590">
        <f>G58+G59</f>
        <v>5066145.51</v>
      </c>
      <c r="F58" s="1694" t="s">
        <v>769</v>
      </c>
      <c r="G58" s="1695">
        <v>5039145.51</v>
      </c>
    </row>
    <row r="59" spans="1:7" x14ac:dyDescent="0.3">
      <c r="A59" s="1697"/>
      <c r="B59" s="1698"/>
      <c r="C59" s="1699"/>
      <c r="F59" s="1694" t="s">
        <v>770</v>
      </c>
      <c r="G59" s="1695">
        <v>27000</v>
      </c>
    </row>
    <row r="60" spans="1:7" x14ac:dyDescent="0.3">
      <c r="A60" s="1694" t="s">
        <v>771</v>
      </c>
      <c r="B60" s="1695">
        <v>834792</v>
      </c>
      <c r="C60" s="1696"/>
      <c r="D60" s="1590">
        <f>G60</f>
        <v>1489878.4</v>
      </c>
      <c r="F60" s="1694" t="s">
        <v>771</v>
      </c>
      <c r="G60" s="1695">
        <v>1489878.4</v>
      </c>
    </row>
    <row r="61" spans="1:7" x14ac:dyDescent="0.3">
      <c r="A61" s="1700" t="s">
        <v>886</v>
      </c>
      <c r="B61" s="1701">
        <v>5880243.0670952592</v>
      </c>
      <c r="C61" s="1702"/>
      <c r="D61" s="1590">
        <f>D58+D60</f>
        <v>6556023.9100000001</v>
      </c>
      <c r="F61" s="1700" t="s">
        <v>772</v>
      </c>
      <c r="G61" s="1701">
        <v>6556023.9100000001</v>
      </c>
    </row>
    <row r="62" spans="1:7" x14ac:dyDescent="0.3">
      <c r="A62" s="1694" t="s">
        <v>887</v>
      </c>
      <c r="B62" s="1695">
        <v>0</v>
      </c>
      <c r="C62" s="1696"/>
      <c r="F62" s="1599"/>
      <c r="G62" s="1703"/>
    </row>
    <row r="63" spans="1:7" x14ac:dyDescent="0.3">
      <c r="A63" s="1694" t="s">
        <v>888</v>
      </c>
      <c r="B63" s="1695">
        <v>0</v>
      </c>
      <c r="C63" s="1696"/>
      <c r="F63" s="1599"/>
      <c r="G63" s="1703"/>
    </row>
    <row r="64" spans="1:7" x14ac:dyDescent="0.3">
      <c r="A64" s="1700"/>
      <c r="B64" s="1701"/>
      <c r="C64" s="1702"/>
      <c r="F64" s="1599"/>
      <c r="G64" s="1703"/>
    </row>
    <row r="65" spans="1:7" x14ac:dyDescent="0.3">
      <c r="A65" s="1704" t="s">
        <v>773</v>
      </c>
      <c r="B65" s="1705"/>
      <c r="C65" s="1706"/>
      <c r="F65" s="1599" t="s">
        <v>773</v>
      </c>
      <c r="G65" s="1600" t="s">
        <v>153</v>
      </c>
    </row>
    <row r="66" spans="1:7" x14ac:dyDescent="0.3">
      <c r="A66" s="1606" t="s">
        <v>889</v>
      </c>
      <c r="B66" s="1607">
        <v>10705851</v>
      </c>
      <c r="C66" s="1608"/>
      <c r="D66" s="1590">
        <f>G66+G67</f>
        <v>12043666.01</v>
      </c>
      <c r="F66" s="1707" t="s">
        <v>774</v>
      </c>
      <c r="G66" s="1615">
        <v>11187677.01</v>
      </c>
    </row>
    <row r="67" spans="1:7" x14ac:dyDescent="0.3">
      <c r="A67" s="1606" t="s">
        <v>890</v>
      </c>
      <c r="B67" s="1607">
        <v>0</v>
      </c>
      <c r="C67" s="1608"/>
      <c r="F67" s="1707" t="s">
        <v>775</v>
      </c>
      <c r="G67" s="1615">
        <v>855989</v>
      </c>
    </row>
    <row r="68" spans="1:7" x14ac:dyDescent="0.3">
      <c r="A68" s="1606" t="s">
        <v>776</v>
      </c>
      <c r="B68" s="1607">
        <v>575820</v>
      </c>
      <c r="C68" s="1608"/>
      <c r="D68" s="1590">
        <f>G68</f>
        <v>263020</v>
      </c>
      <c r="F68" s="1707" t="s">
        <v>776</v>
      </c>
      <c r="G68" s="1615">
        <v>263020</v>
      </c>
    </row>
    <row r="69" spans="1:7" x14ac:dyDescent="0.3">
      <c r="A69" s="1606" t="s">
        <v>777</v>
      </c>
      <c r="B69" s="1607">
        <v>7742840</v>
      </c>
      <c r="C69" s="1608"/>
      <c r="D69" s="1590">
        <f>G69</f>
        <v>7959500.54</v>
      </c>
      <c r="F69" s="1707" t="s">
        <v>777</v>
      </c>
      <c r="G69" s="1615">
        <v>7959500.54</v>
      </c>
    </row>
    <row r="70" spans="1:7" x14ac:dyDescent="0.3">
      <c r="A70" s="1606" t="s">
        <v>891</v>
      </c>
      <c r="B70" s="1607">
        <v>0</v>
      </c>
      <c r="C70" s="1608"/>
      <c r="F70" s="1708"/>
      <c r="G70" s="1600"/>
    </row>
    <row r="71" spans="1:7" x14ac:dyDescent="0.3">
      <c r="A71" s="1709" t="s">
        <v>778</v>
      </c>
      <c r="B71" s="1710">
        <v>19024511</v>
      </c>
      <c r="C71" s="1711"/>
      <c r="D71" s="1590">
        <f>SUM(D66:D70)</f>
        <v>20266186.550000001</v>
      </c>
      <c r="F71" s="1614" t="s">
        <v>778</v>
      </c>
      <c r="G71" s="1712">
        <v>20266186.549999997</v>
      </c>
    </row>
    <row r="72" spans="1:7" x14ac:dyDescent="0.3">
      <c r="A72" s="1713" t="s">
        <v>779</v>
      </c>
      <c r="B72" s="1714"/>
      <c r="C72" s="1715"/>
      <c r="F72" s="1585" t="s">
        <v>779</v>
      </c>
      <c r="G72" s="1716" t="s">
        <v>153</v>
      </c>
    </row>
    <row r="73" spans="1:7" x14ac:dyDescent="0.3">
      <c r="A73" s="1717" t="s">
        <v>892</v>
      </c>
      <c r="B73" s="1718">
        <v>3530766.3</v>
      </c>
      <c r="C73" s="1719"/>
      <c r="D73" s="1590">
        <f>G73</f>
        <v>3631543.6799999997</v>
      </c>
      <c r="F73" s="1720" t="s">
        <v>780</v>
      </c>
      <c r="G73" s="1721">
        <v>3631543.6799999997</v>
      </c>
    </row>
    <row r="74" spans="1:7" x14ac:dyDescent="0.3">
      <c r="A74" s="1717" t="s">
        <v>781</v>
      </c>
      <c r="B74" s="1718">
        <v>25648</v>
      </c>
      <c r="C74" s="1719"/>
      <c r="D74" s="1590">
        <f>G74</f>
        <v>110246.51</v>
      </c>
      <c r="F74" s="1720" t="s">
        <v>781</v>
      </c>
      <c r="G74" s="1721">
        <v>110246.51</v>
      </c>
    </row>
    <row r="75" spans="1:7" x14ac:dyDescent="0.3">
      <c r="A75" s="1722" t="s">
        <v>782</v>
      </c>
      <c r="B75" s="1723">
        <v>3556414.3</v>
      </c>
      <c r="C75" s="1724"/>
      <c r="D75" s="1590">
        <f>D73+D74</f>
        <v>3741790.1899999995</v>
      </c>
      <c r="F75" s="1725" t="s">
        <v>782</v>
      </c>
      <c r="G75" s="1726">
        <v>3741790.19</v>
      </c>
    </row>
    <row r="76" spans="1:7" x14ac:dyDescent="0.3">
      <c r="A76" s="1727" t="s">
        <v>893</v>
      </c>
      <c r="B76" s="1728"/>
      <c r="C76" s="1729"/>
      <c r="F76" s="1599" t="s">
        <v>783</v>
      </c>
      <c r="G76" s="1600" t="s">
        <v>153</v>
      </c>
    </row>
    <row r="77" spans="1:7" x14ac:dyDescent="0.3">
      <c r="A77" s="1730" t="s">
        <v>894</v>
      </c>
      <c r="B77" s="1731">
        <v>398999.95999999996</v>
      </c>
      <c r="C77" s="1732"/>
      <c r="D77" s="1590">
        <f>G77</f>
        <v>429934.54</v>
      </c>
      <c r="F77" s="1733" t="s">
        <v>784</v>
      </c>
      <c r="G77" s="1734">
        <v>429934.54</v>
      </c>
    </row>
    <row r="78" spans="1:7" x14ac:dyDescent="0.3">
      <c r="A78" s="1735" t="s">
        <v>785</v>
      </c>
      <c r="B78" s="1736">
        <v>12523</v>
      </c>
      <c r="C78" s="1737"/>
      <c r="D78" s="1590">
        <f>G78</f>
        <v>7241</v>
      </c>
      <c r="F78" s="1733" t="s">
        <v>785</v>
      </c>
      <c r="G78" s="1734">
        <v>7241</v>
      </c>
    </row>
    <row r="79" spans="1:7" x14ac:dyDescent="0.3">
      <c r="A79" s="1735" t="s">
        <v>895</v>
      </c>
      <c r="B79" s="1736">
        <v>4760</v>
      </c>
      <c r="C79" s="1737"/>
      <c r="D79" s="1590">
        <f>G79</f>
        <v>2392.4499999999998</v>
      </c>
      <c r="F79" s="1733" t="s">
        <v>786</v>
      </c>
      <c r="G79" s="1734">
        <v>2392.4499999999998</v>
      </c>
    </row>
    <row r="80" spans="1:7" x14ac:dyDescent="0.3">
      <c r="A80" s="1735" t="s">
        <v>896</v>
      </c>
      <c r="B80" s="1736">
        <v>3980</v>
      </c>
      <c r="C80" s="1737"/>
      <c r="F80" s="1708"/>
      <c r="G80" s="1600"/>
    </row>
    <row r="81" spans="1:7" x14ac:dyDescent="0.3">
      <c r="A81" s="1738" t="s">
        <v>787</v>
      </c>
      <c r="B81" s="1739">
        <v>420262.95999999996</v>
      </c>
      <c r="C81" s="1740"/>
      <c r="D81" s="1590">
        <f>SUM(D77:D80)</f>
        <v>439567.99</v>
      </c>
      <c r="F81" s="1741" t="s">
        <v>787</v>
      </c>
      <c r="G81" s="1742">
        <v>439567.99</v>
      </c>
    </row>
    <row r="82" spans="1:7" x14ac:dyDescent="0.3">
      <c r="A82" s="1743" t="s">
        <v>788</v>
      </c>
      <c r="B82" s="1744"/>
      <c r="C82" s="1745"/>
      <c r="F82" s="1599" t="s">
        <v>788</v>
      </c>
      <c r="G82" s="1600" t="s">
        <v>153</v>
      </c>
    </row>
    <row r="83" spans="1:7" x14ac:dyDescent="0.3">
      <c r="A83" s="1746" t="s">
        <v>789</v>
      </c>
      <c r="B83" s="1747">
        <v>59742.425766751097</v>
      </c>
      <c r="C83" s="1748"/>
      <c r="D83" s="1590">
        <f>G83</f>
        <v>51321.01</v>
      </c>
      <c r="F83" s="1749" t="s">
        <v>789</v>
      </c>
      <c r="G83" s="1750">
        <v>51321.01</v>
      </c>
    </row>
    <row r="84" spans="1:7" x14ac:dyDescent="0.3">
      <c r="A84" s="1746" t="s">
        <v>897</v>
      </c>
      <c r="B84" s="1747">
        <v>31005.007318893855</v>
      </c>
      <c r="C84" s="1748"/>
      <c r="D84" s="1590">
        <f>G84</f>
        <v>46813.430000000008</v>
      </c>
      <c r="F84" s="1749" t="s">
        <v>790</v>
      </c>
      <c r="G84" s="1750">
        <v>46813.430000000008</v>
      </c>
    </row>
    <row r="85" spans="1:7" x14ac:dyDescent="0.3">
      <c r="A85" s="1746" t="s">
        <v>898</v>
      </c>
      <c r="B85" s="1747">
        <v>0</v>
      </c>
      <c r="C85" s="1748"/>
      <c r="F85" s="1708"/>
      <c r="G85" s="1600"/>
    </row>
    <row r="86" spans="1:7" x14ac:dyDescent="0.3">
      <c r="A86" s="1680" t="s">
        <v>791</v>
      </c>
      <c r="B86" s="1681">
        <v>90747.433085644952</v>
      </c>
      <c r="C86" s="1682"/>
      <c r="D86" s="1590">
        <f>D83+D84</f>
        <v>98134.44</v>
      </c>
      <c r="F86" s="1751" t="s">
        <v>791</v>
      </c>
      <c r="G86" s="1752">
        <v>98134.44</v>
      </c>
    </row>
    <row r="87" spans="1:7" x14ac:dyDescent="0.3">
      <c r="A87" s="1753" t="s">
        <v>792</v>
      </c>
      <c r="B87" s="1754"/>
      <c r="C87" s="1755"/>
      <c r="F87" s="1599" t="s">
        <v>792</v>
      </c>
      <c r="G87" s="1600" t="s">
        <v>153</v>
      </c>
    </row>
    <row r="88" spans="1:7" x14ac:dyDescent="0.3">
      <c r="A88" s="1620" t="s">
        <v>899</v>
      </c>
      <c r="B88" s="1621">
        <v>152715.42226951418</v>
      </c>
      <c r="C88" s="1622"/>
      <c r="D88" s="1590">
        <f>G88+G90</f>
        <v>127602.35</v>
      </c>
      <c r="F88" s="1756" t="s">
        <v>793</v>
      </c>
      <c r="G88" s="1757">
        <v>96782.35</v>
      </c>
    </row>
    <row r="89" spans="1:7" x14ac:dyDescent="0.3">
      <c r="A89" s="1620" t="s">
        <v>900</v>
      </c>
      <c r="B89" s="1621">
        <v>1783389</v>
      </c>
      <c r="C89" s="1758">
        <f>B89/SUM($B$89:$B$91)</f>
        <v>0.80755375059794277</v>
      </c>
      <c r="D89" s="1590">
        <f>$G$89*C89</f>
        <v>1799931.0844624608</v>
      </c>
      <c r="F89" s="1756" t="s">
        <v>794</v>
      </c>
      <c r="G89" s="1757">
        <v>2228868.46</v>
      </c>
    </row>
    <row r="90" spans="1:7" x14ac:dyDescent="0.3">
      <c r="A90" s="1620" t="s">
        <v>901</v>
      </c>
      <c r="B90" s="1621">
        <v>415203</v>
      </c>
      <c r="C90" s="1758">
        <f>B90/SUM($B$89:$B$91)</f>
        <v>0.18801211620656944</v>
      </c>
      <c r="D90" s="1590">
        <f>$G$89*C90</f>
        <v>419054.27591067745</v>
      </c>
      <c r="E90" s="1611" t="s">
        <v>973</v>
      </c>
      <c r="F90" s="1756" t="s">
        <v>795</v>
      </c>
      <c r="G90" s="1757">
        <v>30820</v>
      </c>
    </row>
    <row r="91" spans="1:7" x14ac:dyDescent="0.3">
      <c r="A91" s="1620" t="s">
        <v>902</v>
      </c>
      <c r="B91" s="1621">
        <v>9792.27</v>
      </c>
      <c r="C91" s="1758">
        <f>B91/SUM($B$89:$B$91)</f>
        <v>4.4341331954877586E-3</v>
      </c>
      <c r="D91" s="1590">
        <f>$G$89*C91</f>
        <v>9883.09962686168</v>
      </c>
      <c r="F91" s="1708"/>
      <c r="G91" s="1600"/>
    </row>
    <row r="92" spans="1:7" x14ac:dyDescent="0.3">
      <c r="A92" s="1759" t="s">
        <v>903</v>
      </c>
      <c r="B92" s="1760">
        <v>2361099.6922695143</v>
      </c>
      <c r="C92" s="1761"/>
      <c r="D92" s="1590">
        <f>SUM(D88:D91)</f>
        <v>2356470.81</v>
      </c>
      <c r="F92" s="1762" t="s">
        <v>796</v>
      </c>
      <c r="G92" s="1763">
        <v>2356470.81</v>
      </c>
    </row>
    <row r="93" spans="1:7" x14ac:dyDescent="0.3">
      <c r="A93" s="1764" t="s">
        <v>904</v>
      </c>
      <c r="B93" s="1765"/>
      <c r="C93" s="1766"/>
      <c r="F93" s="1585" t="s">
        <v>797</v>
      </c>
      <c r="G93" s="1716" t="s">
        <v>153</v>
      </c>
    </row>
    <row r="94" spans="1:7" x14ac:dyDescent="0.3">
      <c r="A94" s="1767" t="s">
        <v>905</v>
      </c>
      <c r="B94" s="1768">
        <v>290051.07772322628</v>
      </c>
      <c r="C94" s="1769"/>
      <c r="D94" s="1590">
        <f>G94</f>
        <v>312621.27999999997</v>
      </c>
      <c r="F94" s="1770" t="s">
        <v>798</v>
      </c>
      <c r="G94" s="1771">
        <v>312621.27999999997</v>
      </c>
    </row>
    <row r="95" spans="1:7" x14ac:dyDescent="0.3">
      <c r="A95" s="1767" t="s">
        <v>799</v>
      </c>
      <c r="B95" s="1768">
        <v>14368</v>
      </c>
      <c r="C95" s="1769"/>
      <c r="D95" s="1590">
        <f>G95</f>
        <v>19035</v>
      </c>
      <c r="F95" s="1770" t="s">
        <v>799</v>
      </c>
      <c r="G95" s="1771">
        <v>19035</v>
      </c>
    </row>
    <row r="96" spans="1:7" x14ac:dyDescent="0.3">
      <c r="A96" s="1772" t="s">
        <v>906</v>
      </c>
      <c r="B96" s="1773">
        <v>304419.07772322628</v>
      </c>
      <c r="C96" s="1774"/>
      <c r="D96" s="1590">
        <f>D94+D95</f>
        <v>331656.27999999997</v>
      </c>
      <c r="F96" s="1775" t="s">
        <v>800</v>
      </c>
      <c r="G96" s="1776">
        <v>331656.27999999997</v>
      </c>
    </row>
    <row r="97" spans="1:7" x14ac:dyDescent="0.3">
      <c r="A97" s="1777" t="s">
        <v>907</v>
      </c>
      <c r="B97" s="1778"/>
      <c r="C97" s="1779"/>
      <c r="F97" s="1599" t="s">
        <v>801</v>
      </c>
      <c r="G97" s="1600" t="s">
        <v>153</v>
      </c>
    </row>
    <row r="98" spans="1:7" x14ac:dyDescent="0.3">
      <c r="A98" s="1780" t="s">
        <v>908</v>
      </c>
      <c r="B98" s="1781">
        <v>236420</v>
      </c>
      <c r="C98" s="1782">
        <f>B98/(B98+B101+B112)</f>
        <v>0.21158007592612149</v>
      </c>
      <c r="D98" s="1590">
        <f>G98*C98</f>
        <v>358205.09393253282</v>
      </c>
      <c r="E98" s="1564" t="s">
        <v>973</v>
      </c>
      <c r="F98" s="1783" t="s">
        <v>802</v>
      </c>
      <c r="G98" s="1784">
        <v>1693000.12</v>
      </c>
    </row>
    <row r="99" spans="1:7" x14ac:dyDescent="0.3">
      <c r="A99" s="1780" t="s">
        <v>909</v>
      </c>
      <c r="B99" s="1781">
        <v>32060</v>
      </c>
      <c r="C99" s="1785">
        <f>B99/(B99+B102+B113)</f>
        <v>2.4902489648586674E-2</v>
      </c>
      <c r="D99" s="1590">
        <f>G99*C99</f>
        <v>28393.033521819903</v>
      </c>
      <c r="E99" s="1564" t="s">
        <v>973</v>
      </c>
      <c r="F99" s="1783" t="s">
        <v>803</v>
      </c>
      <c r="G99" s="1784">
        <v>1140168.47</v>
      </c>
    </row>
    <row r="100" spans="1:7" x14ac:dyDescent="0.3">
      <c r="A100" s="1777" t="s">
        <v>910</v>
      </c>
      <c r="B100" s="1778">
        <v>268480</v>
      </c>
      <c r="C100" s="1779"/>
      <c r="D100" s="1590">
        <f>SUM(D98:D99)</f>
        <v>386598.12745435274</v>
      </c>
    </row>
    <row r="101" spans="1:7" x14ac:dyDescent="0.3">
      <c r="A101" s="1780" t="s">
        <v>911</v>
      </c>
      <c r="B101" s="1781">
        <v>879822</v>
      </c>
      <c r="C101" s="1782">
        <f>B101/(B98+B101+B112)</f>
        <v>0.78738180171504968</v>
      </c>
      <c r="D101" s="1590">
        <f>G98*C101</f>
        <v>1333037.4847893955</v>
      </c>
      <c r="F101" s="1585"/>
      <c r="G101" s="1786"/>
    </row>
    <row r="102" spans="1:7" x14ac:dyDescent="0.3">
      <c r="A102" s="1780" t="s">
        <v>912</v>
      </c>
      <c r="B102" s="1781">
        <v>1168271.4768248904</v>
      </c>
      <c r="C102" s="1785">
        <f>B102/(B99+B102+B113)</f>
        <v>0.90745066619996562</v>
      </c>
      <c r="D102" s="1590">
        <f>G99*C102</f>
        <v>1034646.6376816955</v>
      </c>
      <c r="F102" s="1585"/>
      <c r="G102" s="1786"/>
    </row>
    <row r="103" spans="1:7" x14ac:dyDescent="0.3">
      <c r="A103" s="1777" t="s">
        <v>913</v>
      </c>
      <c r="B103" s="1778">
        <v>2048093.4768248904</v>
      </c>
      <c r="C103" s="1779"/>
      <c r="D103" s="1590">
        <f>SUM(D101:D102)</f>
        <v>2367684.1224710909</v>
      </c>
      <c r="F103" s="1787"/>
      <c r="G103" s="1786"/>
    </row>
    <row r="104" spans="1:7" x14ac:dyDescent="0.3">
      <c r="A104" s="1788" t="s">
        <v>914</v>
      </c>
      <c r="B104" s="1789">
        <v>2316573.4768248904</v>
      </c>
      <c r="C104" s="1790"/>
      <c r="D104" s="1590">
        <f>D100+D103</f>
        <v>2754282.2499254434</v>
      </c>
      <c r="F104" s="1791" t="s">
        <v>804</v>
      </c>
      <c r="G104" s="1792">
        <v>2833168.59</v>
      </c>
    </row>
    <row r="105" spans="1:7" x14ac:dyDescent="0.3">
      <c r="A105" s="1743" t="s">
        <v>805</v>
      </c>
      <c r="B105" s="1744"/>
      <c r="C105" s="1745"/>
      <c r="F105" s="1585" t="s">
        <v>805</v>
      </c>
      <c r="G105" s="1716" t="s">
        <v>153</v>
      </c>
    </row>
    <row r="106" spans="1:7" x14ac:dyDescent="0.3">
      <c r="A106" s="1746" t="s">
        <v>915</v>
      </c>
      <c r="B106" s="1747">
        <v>0</v>
      </c>
      <c r="C106" s="1748"/>
      <c r="D106" s="1590">
        <f>G106</f>
        <v>5900</v>
      </c>
      <c r="E106" s="1611" t="s">
        <v>973</v>
      </c>
      <c r="F106" s="1749" t="s">
        <v>806</v>
      </c>
      <c r="G106" s="1750">
        <v>5900</v>
      </c>
    </row>
    <row r="107" spans="1:7" x14ac:dyDescent="0.3">
      <c r="A107" s="1746" t="s">
        <v>807</v>
      </c>
      <c r="B107" s="1747">
        <v>963410</v>
      </c>
      <c r="C107" s="1793">
        <f>B107/SUM($B$107:$B$109)</f>
        <v>0.81531600392597259</v>
      </c>
      <c r="D107" s="1590">
        <f>$G$107*C107</f>
        <v>1040071.2886627516</v>
      </c>
      <c r="F107" s="1749" t="s">
        <v>807</v>
      </c>
      <c r="G107" s="1750">
        <v>1275666.47</v>
      </c>
    </row>
    <row r="108" spans="1:7" x14ac:dyDescent="0.3">
      <c r="A108" s="1746" t="s">
        <v>916</v>
      </c>
      <c r="B108" s="1747">
        <v>0</v>
      </c>
      <c r="C108" s="1793">
        <f>B108/SUM($B$107:$B$109)</f>
        <v>0</v>
      </c>
      <c r="D108" s="1590">
        <f>$G$107*C108</f>
        <v>0</v>
      </c>
    </row>
    <row r="109" spans="1:7" x14ac:dyDescent="0.3">
      <c r="A109" s="1746" t="s">
        <v>917</v>
      </c>
      <c r="B109" s="1747">
        <v>218229.99646874802</v>
      </c>
      <c r="C109" s="1793">
        <f>B109/SUM($B$107:$B$109)</f>
        <v>0.18468399607402741</v>
      </c>
      <c r="D109" s="1590">
        <f>$G$107*C109</f>
        <v>235595.18133724839</v>
      </c>
      <c r="F109" s="1585"/>
      <c r="G109" s="1786"/>
    </row>
    <row r="110" spans="1:7" x14ac:dyDescent="0.3">
      <c r="A110" s="1680" t="s">
        <v>808</v>
      </c>
      <c r="B110" s="1681">
        <v>1181639.996468748</v>
      </c>
      <c r="C110" s="1682"/>
      <c r="D110" s="1590">
        <f>SUM(D106:D109)</f>
        <v>1281566.47</v>
      </c>
      <c r="F110" s="1751" t="s">
        <v>808</v>
      </c>
      <c r="G110" s="1752">
        <v>1281566.47</v>
      </c>
    </row>
    <row r="111" spans="1:7" x14ac:dyDescent="0.3">
      <c r="A111" s="1628" t="s">
        <v>918</v>
      </c>
      <c r="B111" s="1629"/>
      <c r="C111" s="1794"/>
      <c r="F111" s="1585"/>
      <c r="G111" s="1786"/>
    </row>
    <row r="112" spans="1:7" x14ac:dyDescent="0.3">
      <c r="A112" s="1795" t="s">
        <v>919</v>
      </c>
      <c r="B112" s="1796">
        <v>1160</v>
      </c>
      <c r="C112" s="1797">
        <f>B112/(B98+B101+B112)</f>
        <v>1.0381223588287831E-3</v>
      </c>
      <c r="D112" s="1590">
        <f>G98*C112</f>
        <v>1757.5412780718129</v>
      </c>
      <c r="F112" s="1585"/>
      <c r="G112" s="1786"/>
    </row>
    <row r="113" spans="1:7" x14ac:dyDescent="0.3">
      <c r="A113" s="1795" t="s">
        <v>920</v>
      </c>
      <c r="B113" s="1796">
        <v>87090</v>
      </c>
      <c r="C113" s="1798">
        <f>B113/(B99+B102+B113)</f>
        <v>6.7646844151447699E-2</v>
      </c>
      <c r="D113" s="1590">
        <f>G99*C113</f>
        <v>77128.798796484567</v>
      </c>
      <c r="F113" s="1585"/>
      <c r="G113" s="1786"/>
    </row>
    <row r="114" spans="1:7" x14ac:dyDescent="0.3">
      <c r="A114" s="1631" t="s">
        <v>921</v>
      </c>
      <c r="B114" s="1632">
        <v>88250</v>
      </c>
      <c r="C114" s="1630"/>
      <c r="D114" s="1590">
        <f>D112+D113</f>
        <v>78886.340074556385</v>
      </c>
      <c r="F114" s="1585"/>
      <c r="G114" s="1786"/>
    </row>
    <row r="115" spans="1:7" x14ac:dyDescent="0.3">
      <c r="A115" s="1561" t="s">
        <v>922</v>
      </c>
      <c r="B115" s="1562"/>
      <c r="C115" s="1563"/>
      <c r="D115" s="1590"/>
      <c r="F115" s="1599" t="s">
        <v>809</v>
      </c>
      <c r="G115" s="1600" t="s">
        <v>153</v>
      </c>
    </row>
    <row r="116" spans="1:7" x14ac:dyDescent="0.3">
      <c r="A116" s="1649" t="s">
        <v>810</v>
      </c>
      <c r="B116" s="1650">
        <v>72870</v>
      </c>
      <c r="C116" s="1651"/>
      <c r="D116" s="1590">
        <f>G116</f>
        <v>73853</v>
      </c>
      <c r="F116" s="1799" t="s">
        <v>810</v>
      </c>
      <c r="G116" s="1652">
        <v>73853</v>
      </c>
    </row>
    <row r="117" spans="1:7" x14ac:dyDescent="0.3">
      <c r="A117" s="1649" t="s">
        <v>923</v>
      </c>
      <c r="B117" s="1650">
        <v>0</v>
      </c>
      <c r="C117" s="1651"/>
      <c r="D117" s="1590">
        <f>G117</f>
        <v>20180</v>
      </c>
      <c r="E117" s="1564" t="s">
        <v>973</v>
      </c>
      <c r="F117" s="1799" t="s">
        <v>811</v>
      </c>
      <c r="G117" s="1652">
        <v>20180</v>
      </c>
    </row>
    <row r="118" spans="1:7" x14ac:dyDescent="0.3">
      <c r="A118" s="1656" t="s">
        <v>924</v>
      </c>
      <c r="B118" s="1657">
        <v>72870</v>
      </c>
      <c r="C118" s="1658"/>
      <c r="D118" s="1590">
        <f>D116+D117</f>
        <v>94033</v>
      </c>
      <c r="F118" s="1659" t="s">
        <v>812</v>
      </c>
      <c r="G118" s="1660">
        <v>94033</v>
      </c>
    </row>
    <row r="119" spans="1:7" x14ac:dyDescent="0.3">
      <c r="A119" s="1800" t="s">
        <v>813</v>
      </c>
      <c r="B119" s="1801"/>
      <c r="C119" s="1802"/>
      <c r="F119" s="1585" t="s">
        <v>813</v>
      </c>
      <c r="G119" s="1716" t="s">
        <v>153</v>
      </c>
    </row>
    <row r="120" spans="1:7" x14ac:dyDescent="0.3">
      <c r="A120" s="1803" t="s">
        <v>925</v>
      </c>
      <c r="B120" s="1804">
        <v>5145</v>
      </c>
      <c r="C120" s="1805"/>
      <c r="D120" s="1590">
        <f>G120</f>
        <v>5280</v>
      </c>
      <c r="F120" s="1639" t="s">
        <v>975</v>
      </c>
      <c r="G120" s="1640">
        <v>5280</v>
      </c>
    </row>
    <row r="121" spans="1:7" x14ac:dyDescent="0.3">
      <c r="A121" s="1803" t="s">
        <v>923</v>
      </c>
      <c r="B121" s="1804">
        <v>0</v>
      </c>
      <c r="C121" s="1805"/>
      <c r="F121" s="1806"/>
      <c r="G121" s="1807"/>
    </row>
    <row r="122" spans="1:7" x14ac:dyDescent="0.3">
      <c r="A122" s="1808" t="s">
        <v>815</v>
      </c>
      <c r="B122" s="1809">
        <v>5145</v>
      </c>
      <c r="C122" s="1810"/>
      <c r="D122" s="1590">
        <f>D120</f>
        <v>5280</v>
      </c>
      <c r="F122" s="1647" t="s">
        <v>815</v>
      </c>
      <c r="G122" s="1648">
        <v>5280</v>
      </c>
    </row>
    <row r="123" spans="1:7" x14ac:dyDescent="0.3">
      <c r="A123" s="1722" t="s">
        <v>926</v>
      </c>
      <c r="B123" s="1723">
        <v>172647343.49984342</v>
      </c>
      <c r="C123" s="1724"/>
      <c r="D123" s="1590">
        <f>D19+D27+D40+D48+D53+D54+D61+D71+D75+D81+D86+D92+D96+D104+D110+D114+D118+D122</f>
        <v>186991910.32000002</v>
      </c>
      <c r="F123" s="1725" t="s">
        <v>816</v>
      </c>
      <c r="G123" s="1726">
        <v>186991910.32000002</v>
      </c>
    </row>
    <row r="124" spans="1:7" x14ac:dyDescent="0.3">
      <c r="A124" s="1722" t="s">
        <v>927</v>
      </c>
      <c r="B124" s="1723">
        <v>176709289.69137549</v>
      </c>
      <c r="C124" s="1724"/>
      <c r="D124" s="1590">
        <f>D29+D40+D48+D53+D54+D61+D71+D75+D81+D86+D92+D96+D104+D110+D114+D118+D122</f>
        <v>190310361.85000002</v>
      </c>
      <c r="F124" s="1725" t="s">
        <v>817</v>
      </c>
      <c r="G124" s="1726">
        <v>190310361.85000002</v>
      </c>
    </row>
    <row r="125" spans="1:7" x14ac:dyDescent="0.3">
      <c r="A125" s="1811" t="s">
        <v>818</v>
      </c>
      <c r="B125" s="1812"/>
      <c r="C125" s="1813"/>
      <c r="F125" s="1599" t="s">
        <v>818</v>
      </c>
      <c r="G125" s="1600" t="s">
        <v>153</v>
      </c>
    </row>
    <row r="126" spans="1:7" x14ac:dyDescent="0.3">
      <c r="A126" s="1814" t="s">
        <v>928</v>
      </c>
      <c r="B126" s="1815">
        <v>4953216.6476008594</v>
      </c>
      <c r="C126" s="1816"/>
      <c r="D126" s="1590">
        <f>G126</f>
        <v>3483723.9699999997</v>
      </c>
      <c r="F126" s="1817" t="s">
        <v>819</v>
      </c>
      <c r="G126" s="1716">
        <v>3483723.9699999997</v>
      </c>
    </row>
    <row r="127" spans="1:7" x14ac:dyDescent="0.3">
      <c r="A127" s="1814" t="s">
        <v>820</v>
      </c>
      <c r="B127" s="1815">
        <v>124682259.53022747</v>
      </c>
      <c r="C127" s="1816"/>
      <c r="D127" s="1590">
        <f>G127</f>
        <v>114916795.86</v>
      </c>
      <c r="F127" s="1817" t="s">
        <v>820</v>
      </c>
      <c r="G127" s="1716">
        <v>114916795.86</v>
      </c>
    </row>
    <row r="128" spans="1:7" x14ac:dyDescent="0.3">
      <c r="A128" s="1814" t="s">
        <v>929</v>
      </c>
      <c r="B128" s="1815">
        <v>1367877.708163254</v>
      </c>
      <c r="C128" s="1816"/>
      <c r="D128" s="1590">
        <f>G128</f>
        <v>730489.32000000007</v>
      </c>
      <c r="F128" s="1817" t="s">
        <v>821</v>
      </c>
      <c r="G128" s="1716">
        <v>730489.32000000007</v>
      </c>
    </row>
    <row r="129" spans="1:7" x14ac:dyDescent="0.3">
      <c r="A129" s="1814" t="s">
        <v>822</v>
      </c>
      <c r="B129" s="1815">
        <v>1070321</v>
      </c>
      <c r="C129" s="1816"/>
      <c r="D129" s="1590">
        <f>G129</f>
        <v>1363990</v>
      </c>
      <c r="F129" s="1817" t="s">
        <v>822</v>
      </c>
      <c r="G129" s="1716">
        <v>1363990</v>
      </c>
    </row>
    <row r="130" spans="1:7" x14ac:dyDescent="0.3">
      <c r="A130" s="1814" t="s">
        <v>930</v>
      </c>
      <c r="B130" s="1815">
        <v>7891628</v>
      </c>
      <c r="C130" s="1818">
        <f>B130/(B130+B146)</f>
        <v>0.70911091432625217</v>
      </c>
      <c r="D130" s="1590">
        <f>G130+G131*C130-D134</f>
        <v>8858214.1564373374</v>
      </c>
      <c r="F130" s="1817" t="s">
        <v>823</v>
      </c>
      <c r="G130" s="1716">
        <v>2059890.63</v>
      </c>
    </row>
    <row r="131" spans="1:7" x14ac:dyDescent="0.3">
      <c r="A131" s="1653"/>
      <c r="B131" s="1654"/>
      <c r="C131" s="1655"/>
      <c r="D131" s="1590"/>
      <c r="E131" s="1611" t="s">
        <v>973</v>
      </c>
      <c r="F131" s="1817" t="s">
        <v>824</v>
      </c>
      <c r="G131" s="1716">
        <v>11111313.289999999</v>
      </c>
    </row>
    <row r="132" spans="1:7" x14ac:dyDescent="0.3">
      <c r="A132" s="1814" t="s">
        <v>825</v>
      </c>
      <c r="B132" s="1815">
        <v>3922926</v>
      </c>
      <c r="C132" s="1816"/>
      <c r="D132" s="1590">
        <f>G132</f>
        <v>4182717</v>
      </c>
      <c r="F132" s="1817" t="s">
        <v>825</v>
      </c>
      <c r="G132" s="1716">
        <v>4182717</v>
      </c>
    </row>
    <row r="133" spans="1:7" x14ac:dyDescent="0.3">
      <c r="A133" s="1814" t="s">
        <v>931</v>
      </c>
      <c r="B133" s="1815">
        <v>0</v>
      </c>
      <c r="C133" s="1816"/>
      <c r="F133" s="1817"/>
      <c r="G133" s="1716"/>
    </row>
    <row r="134" spans="1:7" x14ac:dyDescent="0.3">
      <c r="A134" s="1814" t="s">
        <v>932</v>
      </c>
      <c r="B134" s="1815">
        <v>1080830</v>
      </c>
      <c r="C134" s="1816"/>
      <c r="D134" s="1819">
        <f>B134</f>
        <v>1080830</v>
      </c>
      <c r="F134" s="1817"/>
      <c r="G134" s="1716"/>
    </row>
    <row r="135" spans="1:7" x14ac:dyDescent="0.3">
      <c r="A135" s="1814" t="s">
        <v>933</v>
      </c>
      <c r="B135" s="1815">
        <v>93430</v>
      </c>
      <c r="C135" s="1816"/>
      <c r="D135" s="1590">
        <f>G135</f>
        <v>313260</v>
      </c>
      <c r="E135" s="1564" t="s">
        <v>976</v>
      </c>
      <c r="F135" s="1817" t="s">
        <v>831</v>
      </c>
      <c r="G135" s="1716">
        <v>313260</v>
      </c>
    </row>
    <row r="136" spans="1:7" x14ac:dyDescent="0.3">
      <c r="A136" s="1814" t="s">
        <v>826</v>
      </c>
      <c r="B136" s="1815">
        <v>1567350</v>
      </c>
      <c r="C136" s="1816"/>
      <c r="D136" s="1590">
        <f>G136</f>
        <v>1147704</v>
      </c>
      <c r="F136" s="1817" t="s">
        <v>826</v>
      </c>
      <c r="G136" s="1716">
        <v>1147704</v>
      </c>
    </row>
    <row r="137" spans="1:7" x14ac:dyDescent="0.3">
      <c r="A137" s="1814" t="s">
        <v>827</v>
      </c>
      <c r="B137" s="1815">
        <v>586680</v>
      </c>
      <c r="C137" s="1820">
        <f>B137/(B137+B145)</f>
        <v>0.34144280361626272</v>
      </c>
      <c r="D137" s="1590">
        <f>G137*C137</f>
        <v>502966.07773777557</v>
      </c>
      <c r="F137" s="1817" t="s">
        <v>827</v>
      </c>
      <c r="G137" s="1716">
        <v>1473061</v>
      </c>
    </row>
    <row r="138" spans="1:7" x14ac:dyDescent="0.3">
      <c r="A138" s="1814" t="s">
        <v>828</v>
      </c>
      <c r="B138" s="1815">
        <v>240</v>
      </c>
      <c r="C138" s="1816"/>
      <c r="D138" s="1590">
        <f>G138</f>
        <v>0</v>
      </c>
      <c r="F138" s="1817" t="s">
        <v>828</v>
      </c>
      <c r="G138" s="1716">
        <v>0</v>
      </c>
    </row>
    <row r="139" spans="1:7" x14ac:dyDescent="0.3">
      <c r="A139" s="1821" t="s">
        <v>934</v>
      </c>
      <c r="B139" s="1822">
        <v>0</v>
      </c>
      <c r="C139" s="1823"/>
      <c r="F139" s="1817"/>
      <c r="G139" s="1716"/>
    </row>
    <row r="140" spans="1:7" x14ac:dyDescent="0.3">
      <c r="A140" s="1814" t="s">
        <v>935</v>
      </c>
      <c r="B140" s="1815">
        <v>0</v>
      </c>
      <c r="C140" s="1816"/>
      <c r="D140" s="1590">
        <f>G140</f>
        <v>0</v>
      </c>
      <c r="F140" s="1817" t="s">
        <v>829</v>
      </c>
      <c r="G140" s="1716">
        <v>0</v>
      </c>
    </row>
    <row r="141" spans="1:7" x14ac:dyDescent="0.3">
      <c r="A141" s="1821" t="s">
        <v>936</v>
      </c>
      <c r="B141" s="1822">
        <v>29280</v>
      </c>
      <c r="C141" s="1823"/>
      <c r="F141" s="1817"/>
      <c r="G141" s="1716"/>
    </row>
    <row r="142" spans="1:7" x14ac:dyDescent="0.3">
      <c r="A142" s="1814" t="s">
        <v>937</v>
      </c>
      <c r="B142" s="1815">
        <v>0</v>
      </c>
      <c r="C142" s="1816"/>
      <c r="D142" s="1590"/>
      <c r="F142" s="1817" t="s">
        <v>830</v>
      </c>
      <c r="G142" s="1716">
        <v>828984</v>
      </c>
    </row>
    <row r="143" spans="1:7" x14ac:dyDescent="0.3">
      <c r="A143" s="1811" t="s">
        <v>938</v>
      </c>
      <c r="B143" s="1812">
        <v>147246038.88599157</v>
      </c>
      <c r="C143" s="1824"/>
      <c r="D143" s="1590">
        <f>SUM(D126:D142)</f>
        <v>136580690.38417509</v>
      </c>
    </row>
    <row r="144" spans="1:7" x14ac:dyDescent="0.3">
      <c r="A144" s="1811" t="s">
        <v>939</v>
      </c>
      <c r="B144" s="1812">
        <f>B145+B137</f>
        <v>1718238</v>
      </c>
      <c r="C144" s="1824"/>
      <c r="D144" s="1590"/>
      <c r="F144" s="1817"/>
      <c r="G144" s="1716"/>
    </row>
    <row r="145" spans="1:7" x14ac:dyDescent="0.3">
      <c r="A145" s="1814" t="s">
        <v>827</v>
      </c>
      <c r="B145" s="1815">
        <v>1131558</v>
      </c>
      <c r="C145" s="1824">
        <f>B145/(B137+B145)</f>
        <v>0.65855719638373733</v>
      </c>
      <c r="D145" s="1590">
        <f>G137*C145</f>
        <v>970094.92226222449</v>
      </c>
      <c r="F145" s="1817"/>
      <c r="G145" s="1716"/>
    </row>
    <row r="146" spans="1:7" x14ac:dyDescent="0.3">
      <c r="A146" s="1814" t="s">
        <v>940</v>
      </c>
      <c r="B146" s="1815">
        <v>3237277</v>
      </c>
      <c r="C146" s="1825">
        <f>B146/(B146+B130)</f>
        <v>0.29088908567374777</v>
      </c>
      <c r="D146" s="1590">
        <f>G131*C146</f>
        <v>3232159.7635626621</v>
      </c>
      <c r="F146" s="1817"/>
      <c r="G146" s="1716"/>
    </row>
    <row r="147" spans="1:7" x14ac:dyDescent="0.3">
      <c r="A147" s="1814" t="s">
        <v>937</v>
      </c>
      <c r="B147" s="1815">
        <v>1019294.1897547778</v>
      </c>
      <c r="C147" s="1824"/>
      <c r="D147" s="1590">
        <f>G142</f>
        <v>828984</v>
      </c>
      <c r="F147" s="1817"/>
      <c r="G147" s="1716"/>
    </row>
    <row r="148" spans="1:7" x14ac:dyDescent="0.3">
      <c r="A148" s="1811" t="s">
        <v>941</v>
      </c>
      <c r="B148" s="1812">
        <v>5388129.1897547776</v>
      </c>
      <c r="C148" s="1813"/>
      <c r="D148" s="1590">
        <f>SUM(D145:D147)</f>
        <v>5031238.6858248869</v>
      </c>
      <c r="F148" s="1817"/>
      <c r="G148" s="1716"/>
    </row>
    <row r="149" spans="1:7" ht="15" thickBot="1" x14ac:dyDescent="0.35">
      <c r="A149" s="1826" t="s">
        <v>942</v>
      </c>
      <c r="B149" s="1827">
        <v>152634168.07574633</v>
      </c>
      <c r="C149" s="1828"/>
      <c r="D149" s="1590">
        <f>D143+D148</f>
        <v>141611929.06999999</v>
      </c>
      <c r="F149" s="1585" t="s">
        <v>832</v>
      </c>
      <c r="G149" s="1786">
        <v>141611929.06999999</v>
      </c>
    </row>
    <row r="150" spans="1:7" x14ac:dyDescent="0.3">
      <c r="A150" s="1829" t="s">
        <v>943</v>
      </c>
      <c r="B150" s="1830">
        <v>325281511.57558972</v>
      </c>
      <c r="C150" s="1581"/>
      <c r="D150" s="1590">
        <f>D149+D123</f>
        <v>328603839.38999999</v>
      </c>
      <c r="F150" s="1831" t="s">
        <v>833</v>
      </c>
      <c r="G150" s="1832">
        <v>328603839.38999999</v>
      </c>
    </row>
    <row r="151" spans="1:7" x14ac:dyDescent="0.3">
      <c r="A151" s="1833" t="s">
        <v>944</v>
      </c>
      <c r="B151" s="1834">
        <v>329343457.76712179</v>
      </c>
      <c r="C151" s="1581"/>
      <c r="D151" s="1590">
        <f>D149+D124</f>
        <v>331922290.92000002</v>
      </c>
      <c r="F151" s="1831" t="s">
        <v>834</v>
      </c>
      <c r="G151" s="1832">
        <v>331922290.91999996</v>
      </c>
    </row>
    <row r="152" spans="1:7" x14ac:dyDescent="0.3">
      <c r="A152" s="1835" t="s">
        <v>926</v>
      </c>
      <c r="B152" s="1836">
        <v>172647343.49984342</v>
      </c>
      <c r="C152" s="1724"/>
      <c r="D152" s="1590">
        <f>D123</f>
        <v>186991910.32000002</v>
      </c>
      <c r="F152" s="1585"/>
      <c r="G152" s="1786"/>
    </row>
    <row r="153" spans="1:7" x14ac:dyDescent="0.3">
      <c r="A153" s="1722" t="s">
        <v>927</v>
      </c>
      <c r="B153" s="1723">
        <v>176709289.69137549</v>
      </c>
      <c r="C153" s="1724"/>
      <c r="D153" s="1590">
        <f>D124</f>
        <v>190310361.85000002</v>
      </c>
      <c r="F153" s="1585"/>
      <c r="G153" s="1786"/>
    </row>
    <row r="154" spans="1:7" ht="15" thickBot="1" x14ac:dyDescent="0.35">
      <c r="A154" s="1837" t="s">
        <v>945</v>
      </c>
      <c r="B154" s="1838">
        <v>0.53076285419229308</v>
      </c>
      <c r="C154" s="1839"/>
      <c r="D154" s="1590">
        <f>G154</f>
        <v>0.56904968203390549</v>
      </c>
      <c r="F154" s="1725" t="s">
        <v>835</v>
      </c>
      <c r="G154" s="1726">
        <v>0.56904968203390549</v>
      </c>
    </row>
    <row r="155" spans="1:7" x14ac:dyDescent="0.3">
      <c r="A155" s="1840"/>
      <c r="B155" s="1841"/>
      <c r="C155" s="1842"/>
    </row>
    <row r="156" spans="1:7" x14ac:dyDescent="0.3">
      <c r="A156" s="1843" t="s">
        <v>946</v>
      </c>
      <c r="B156" s="1844">
        <v>0</v>
      </c>
      <c r="C156" s="1845"/>
      <c r="D156" s="1590">
        <f>B143+B148</f>
        <v>152634168.07574636</v>
      </c>
    </row>
    <row r="157" spans="1:7" x14ac:dyDescent="0.3">
      <c r="A157" s="1843" t="s">
        <v>947</v>
      </c>
      <c r="B157" s="1844">
        <v>0</v>
      </c>
      <c r="C157" s="1845"/>
    </row>
    <row r="158" spans="1:7" x14ac:dyDescent="0.3">
      <c r="A158" s="1843" t="s">
        <v>948</v>
      </c>
      <c r="B158" s="1844">
        <v>0</v>
      </c>
      <c r="C158" s="1845"/>
    </row>
    <row r="159" spans="1:7" x14ac:dyDescent="0.3">
      <c r="A159" s="1843" t="s">
        <v>949</v>
      </c>
      <c r="B159" s="1844">
        <v>0</v>
      </c>
      <c r="C159" s="1845"/>
    </row>
    <row r="160" spans="1:7" x14ac:dyDescent="0.3">
      <c r="A160" s="1843" t="s">
        <v>950</v>
      </c>
      <c r="B160" s="1844">
        <v>0</v>
      </c>
      <c r="C160" s="1845"/>
    </row>
    <row r="161" spans="1:7" x14ac:dyDescent="0.3">
      <c r="A161" s="1843" t="s">
        <v>951</v>
      </c>
      <c r="B161" s="1844">
        <v>0</v>
      </c>
      <c r="C161" s="1845"/>
    </row>
    <row r="162" spans="1:7" x14ac:dyDescent="0.3">
      <c r="A162" s="1846" t="s">
        <v>952</v>
      </c>
      <c r="B162" s="1847">
        <v>0</v>
      </c>
      <c r="C162" s="1842"/>
    </row>
    <row r="163" spans="1:7" x14ac:dyDescent="0.3">
      <c r="A163" s="1848" t="s">
        <v>953</v>
      </c>
      <c r="B163" s="1849">
        <v>0</v>
      </c>
      <c r="C163" s="1850"/>
    </row>
    <row r="164" spans="1:7" ht="15" thickBot="1" x14ac:dyDescent="0.35">
      <c r="A164" s="1851" t="s">
        <v>954</v>
      </c>
      <c r="B164" s="1852">
        <v>0</v>
      </c>
      <c r="C164" s="1853"/>
    </row>
    <row r="165" spans="1:7" x14ac:dyDescent="0.3">
      <c r="A165" s="1854" t="s">
        <v>955</v>
      </c>
      <c r="B165" s="1855">
        <v>325281511.57558972</v>
      </c>
      <c r="C165" s="1856"/>
      <c r="D165" s="1590">
        <f>D150+D162</f>
        <v>328603839.38999999</v>
      </c>
    </row>
    <row r="166" spans="1:7" x14ac:dyDescent="0.3">
      <c r="A166" s="1857" t="s">
        <v>956</v>
      </c>
      <c r="B166" s="1858">
        <v>329343457.76712179</v>
      </c>
      <c r="C166" s="1856"/>
      <c r="D166" s="1590">
        <f>D151+D162</f>
        <v>331922290.92000002</v>
      </c>
    </row>
    <row r="167" spans="1:7" x14ac:dyDescent="0.3">
      <c r="A167" s="1859" t="s">
        <v>957</v>
      </c>
      <c r="B167" s="1860">
        <v>172647343.49984342</v>
      </c>
      <c r="C167" s="1861"/>
      <c r="D167" s="1590">
        <f>D152+D163</f>
        <v>186991910.32000002</v>
      </c>
    </row>
    <row r="168" spans="1:7" x14ac:dyDescent="0.3">
      <c r="A168" s="1859" t="s">
        <v>958</v>
      </c>
      <c r="B168" s="1860">
        <v>176709289.69137549</v>
      </c>
      <c r="C168" s="1861"/>
      <c r="D168" s="1590">
        <f>D153+D163</f>
        <v>190310361.85000002</v>
      </c>
    </row>
    <row r="169" spans="1:7" ht="15" thickBot="1" x14ac:dyDescent="0.35">
      <c r="A169" s="1862" t="s">
        <v>959</v>
      </c>
      <c r="B169" s="1863">
        <v>0.53076285419229308</v>
      </c>
      <c r="C169" s="1864"/>
      <c r="D169" s="1865">
        <f>D167/D165</f>
        <v>0.56904968203390549</v>
      </c>
    </row>
    <row r="170" spans="1:7" x14ac:dyDescent="0.3">
      <c r="A170" s="1866"/>
      <c r="B170" s="1867"/>
      <c r="C170" s="1584"/>
      <c r="F170" s="1585" t="s">
        <v>836</v>
      </c>
      <c r="G170" s="1716" t="s">
        <v>153</v>
      </c>
    </row>
    <row r="171" spans="1:7" x14ac:dyDescent="0.3">
      <c r="A171" s="1727" t="s">
        <v>836</v>
      </c>
      <c r="B171" s="1728"/>
      <c r="C171" s="1729"/>
      <c r="F171" s="1689" t="s">
        <v>836</v>
      </c>
      <c r="G171" s="1685" t="s">
        <v>153</v>
      </c>
    </row>
    <row r="172" spans="1:7" x14ac:dyDescent="0.3">
      <c r="A172" s="1735" t="s">
        <v>960</v>
      </c>
      <c r="B172" s="1736">
        <v>15560165.002538696</v>
      </c>
      <c r="C172" s="1737"/>
      <c r="D172" s="1590">
        <f>G172</f>
        <v>17645348.420000002</v>
      </c>
      <c r="F172" s="1684" t="s">
        <v>837</v>
      </c>
      <c r="G172" s="1685">
        <v>17645348.420000002</v>
      </c>
    </row>
    <row r="173" spans="1:7" x14ac:dyDescent="0.3">
      <c r="A173" s="1735" t="s">
        <v>961</v>
      </c>
      <c r="B173" s="1736">
        <v>0</v>
      </c>
      <c r="C173" s="1737"/>
      <c r="D173" s="1590">
        <f>G173</f>
        <v>0</v>
      </c>
      <c r="F173" s="1684" t="s">
        <v>977</v>
      </c>
      <c r="G173" s="1685">
        <v>0</v>
      </c>
    </row>
    <row r="174" spans="1:7" x14ac:dyDescent="0.3">
      <c r="A174" s="1727" t="s">
        <v>962</v>
      </c>
      <c r="B174" s="1728">
        <v>15560165.002538696</v>
      </c>
      <c r="C174" s="1729"/>
      <c r="D174" s="1590">
        <f>D172+D173</f>
        <v>17645348.420000002</v>
      </c>
      <c r="F174" s="1689" t="s">
        <v>839</v>
      </c>
      <c r="G174" s="1690">
        <v>17645348.420000002</v>
      </c>
    </row>
    <row r="175" spans="1:7" x14ac:dyDescent="0.3">
      <c r="A175" s="1735" t="s">
        <v>963</v>
      </c>
      <c r="B175" s="1736">
        <v>819550</v>
      </c>
      <c r="C175" s="1737"/>
      <c r="D175" s="1590">
        <f>G176+G177</f>
        <v>1962962</v>
      </c>
      <c r="F175" s="1689" t="s">
        <v>840</v>
      </c>
      <c r="G175" s="1685" t="s">
        <v>153</v>
      </c>
    </row>
    <row r="176" spans="1:7" x14ac:dyDescent="0.3">
      <c r="A176" s="1738" t="s">
        <v>839</v>
      </c>
      <c r="B176" s="1739">
        <v>16379715.002538696</v>
      </c>
      <c r="C176" s="1740"/>
      <c r="D176" s="1590">
        <f>D174+D175</f>
        <v>19608310.420000002</v>
      </c>
      <c r="E176" s="1611" t="s">
        <v>973</v>
      </c>
      <c r="F176" s="1684" t="s">
        <v>841</v>
      </c>
      <c r="G176" s="1685">
        <v>922742</v>
      </c>
    </row>
    <row r="177" spans="1:8" x14ac:dyDescent="0.3">
      <c r="A177" s="1868"/>
      <c r="B177" s="1869"/>
      <c r="C177" s="1655"/>
      <c r="E177" s="1611" t="s">
        <v>973</v>
      </c>
      <c r="F177" s="1684" t="s">
        <v>842</v>
      </c>
      <c r="G177" s="1685">
        <v>1040220</v>
      </c>
    </row>
    <row r="178" spans="1:8" x14ac:dyDescent="0.3">
      <c r="A178" s="1870"/>
      <c r="B178" s="1871"/>
      <c r="C178" s="1872"/>
      <c r="F178" s="1689" t="s">
        <v>843</v>
      </c>
      <c r="G178" s="1690">
        <v>1</v>
      </c>
    </row>
    <row r="179" spans="1:8" x14ac:dyDescent="0.3">
      <c r="A179" s="1540" t="s">
        <v>964</v>
      </c>
      <c r="B179" s="1869"/>
      <c r="C179" s="1655"/>
    </row>
    <row r="180" spans="1:8" x14ac:dyDescent="0.3">
      <c r="A180" s="1587" t="s">
        <v>965</v>
      </c>
      <c r="B180" s="1588"/>
      <c r="C180" s="1589"/>
    </row>
    <row r="181" spans="1:8" x14ac:dyDescent="0.3">
      <c r="A181" s="1873" t="s">
        <v>966</v>
      </c>
      <c r="B181" s="1874"/>
      <c r="C181" s="1874"/>
    </row>
    <row r="182" spans="1:8" x14ac:dyDescent="0.3">
      <c r="A182" s="1873" t="s">
        <v>967</v>
      </c>
      <c r="B182" s="1874"/>
      <c r="C182" s="1874"/>
    </row>
    <row r="183" spans="1:8" x14ac:dyDescent="0.3">
      <c r="A183" s="1873" t="s">
        <v>968</v>
      </c>
      <c r="B183" s="1874"/>
      <c r="C183" s="1874"/>
    </row>
    <row r="186" spans="1:8" x14ac:dyDescent="0.3">
      <c r="B186" s="1876"/>
      <c r="C186" s="1876"/>
    </row>
    <row r="187" spans="1:8" x14ac:dyDescent="0.3">
      <c r="B187" s="1876"/>
      <c r="C187" s="1876"/>
    </row>
    <row r="188" spans="1:8" x14ac:dyDescent="0.3">
      <c r="A188" s="1559"/>
      <c r="B188" s="1877"/>
      <c r="C188" s="1878"/>
    </row>
    <row r="189" spans="1:8" x14ac:dyDescent="0.3">
      <c r="A189" s="1559"/>
      <c r="B189" s="1877"/>
      <c r="C189" s="1878"/>
    </row>
    <row r="190" spans="1:8" x14ac:dyDescent="0.3">
      <c r="A190" s="1559"/>
      <c r="B190" s="1877"/>
      <c r="C190" s="1878"/>
    </row>
    <row r="191" spans="1:8" x14ac:dyDescent="0.3">
      <c r="A191" s="1559"/>
      <c r="B191" s="1877"/>
      <c r="C191" s="1878"/>
    </row>
    <row r="192" spans="1:8" s="1564" customFormat="1" x14ac:dyDescent="0.3">
      <c r="A192" s="1559"/>
      <c r="B192" s="1877"/>
      <c r="C192" s="1878"/>
      <c r="F192" s="1623"/>
      <c r="G192" s="1624"/>
      <c r="H192" s="1567"/>
    </row>
    <row r="193" spans="1:8" s="1564" customFormat="1" x14ac:dyDescent="0.3">
      <c r="A193" s="1559"/>
      <c r="B193" s="1877"/>
      <c r="C193" s="1878"/>
      <c r="F193" s="1623"/>
      <c r="G193" s="1624"/>
      <c r="H193" s="1567"/>
    </row>
    <row r="194" spans="1:8" s="1564" customFormat="1" x14ac:dyDescent="0.3">
      <c r="A194" s="1559"/>
      <c r="B194" s="1877"/>
      <c r="C194" s="1878"/>
      <c r="F194" s="1623"/>
      <c r="G194" s="1624"/>
      <c r="H194" s="1567"/>
    </row>
    <row r="195" spans="1:8" s="1564" customFormat="1" x14ac:dyDescent="0.3">
      <c r="A195" s="1559"/>
      <c r="B195" s="1877"/>
      <c r="C195" s="1878"/>
      <c r="F195" s="1623"/>
      <c r="G195" s="1624"/>
      <c r="H195" s="1567"/>
    </row>
    <row r="196" spans="1:8" s="1564" customFormat="1" x14ac:dyDescent="0.3">
      <c r="A196" s="1559"/>
      <c r="B196" s="1877"/>
      <c r="C196" s="1878"/>
      <c r="F196" s="1623"/>
      <c r="G196" s="1624"/>
      <c r="H196" s="1567"/>
    </row>
    <row r="197" spans="1:8" s="1564" customFormat="1" x14ac:dyDescent="0.3">
      <c r="A197" s="1875"/>
      <c r="B197" s="1876"/>
      <c r="C197" s="1876"/>
      <c r="F197" s="1623"/>
      <c r="G197" s="1624"/>
      <c r="H197" s="1567"/>
    </row>
    <row r="198" spans="1:8" s="1564" customFormat="1" x14ac:dyDescent="0.3">
      <c r="A198" s="1875"/>
      <c r="B198" s="1876"/>
      <c r="C198" s="1876"/>
      <c r="F198" s="1623"/>
      <c r="G198" s="1624"/>
      <c r="H198" s="1567"/>
    </row>
    <row r="199" spans="1:8" s="1564" customFormat="1" x14ac:dyDescent="0.3">
      <c r="A199" s="1875"/>
      <c r="B199" s="1876"/>
      <c r="C199" s="1876"/>
      <c r="F199" s="1623"/>
      <c r="G199" s="1624"/>
      <c r="H199" s="1567"/>
    </row>
    <row r="200" spans="1:8" s="1564" customFormat="1" x14ac:dyDescent="0.3">
      <c r="A200" s="1875"/>
      <c r="B200" s="1876"/>
      <c r="C200" s="1876"/>
      <c r="F200" s="1623"/>
      <c r="G200" s="1624"/>
      <c r="H200" s="1567"/>
    </row>
    <row r="201" spans="1:8" s="1564" customFormat="1" x14ac:dyDescent="0.3">
      <c r="A201" s="1875"/>
      <c r="B201" s="1876"/>
      <c r="C201" s="1876"/>
      <c r="F201" s="1623"/>
      <c r="G201" s="1624"/>
      <c r="H201" s="1567"/>
    </row>
    <row r="202" spans="1:8" s="1564" customFormat="1" x14ac:dyDescent="0.3">
      <c r="A202" s="1875"/>
      <c r="B202" s="1876"/>
      <c r="C202" s="1876"/>
      <c r="F202" s="1623"/>
      <c r="G202" s="1624"/>
      <c r="H202" s="1567"/>
    </row>
  </sheetData>
  <autoFilter ref="A1:B4" xr:uid="{00000000-0009-0000-0000-00003C000000}"/>
  <pageMargins left="0.7" right="0.7" top="0.75" bottom="0.75" header="0.3" footer="0.3"/>
  <pageSetup paperSize="9" orientation="portrait" r:id="rId1"/>
  <legacy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oja58">
    <tabColor rgb="FF92D050"/>
  </sheetPr>
  <dimension ref="A1:W148"/>
  <sheetViews>
    <sheetView workbookViewId="0"/>
  </sheetViews>
  <sheetFormatPr baseColWidth="10" defaultColWidth="11.44140625" defaultRowHeight="13.2" x14ac:dyDescent="0.25"/>
  <cols>
    <col min="1" max="1" width="11.44140625" style="1"/>
    <col min="2" max="2" width="21.88671875" style="1" bestFit="1" customWidth="1"/>
    <col min="3" max="3" width="59.109375" style="1" bestFit="1" customWidth="1"/>
    <col min="4" max="4" width="11.44140625" style="1"/>
    <col min="5" max="5" width="32.88671875" style="1" bestFit="1" customWidth="1"/>
    <col min="6" max="10" width="11.44140625" style="1"/>
    <col min="11" max="11" width="32.88671875" style="1" bestFit="1" customWidth="1"/>
    <col min="12" max="18" width="11.44140625" style="1"/>
    <col min="19" max="19" width="24.109375" style="1" customWidth="1"/>
    <col min="20" max="16384" width="11.44140625" style="1"/>
  </cols>
  <sheetData>
    <row r="1" spans="2:22" x14ac:dyDescent="0.25">
      <c r="L1" s="1">
        <f>71628777+9524365</f>
        <v>81153142</v>
      </c>
    </row>
    <row r="2" spans="2:22" ht="13.8" thickBot="1" x14ac:dyDescent="0.3">
      <c r="K2" s="512">
        <f>L5+L13+L27</f>
        <v>93290142</v>
      </c>
      <c r="M2" s="512">
        <f>L16+L17+L27</f>
        <v>13023054</v>
      </c>
    </row>
    <row r="3" spans="2:22" x14ac:dyDescent="0.25">
      <c r="F3" s="3975" t="s">
        <v>978</v>
      </c>
      <c r="G3" s="3976"/>
      <c r="H3" s="3976"/>
      <c r="L3" s="3982">
        <v>2016</v>
      </c>
      <c r="M3" s="3983"/>
      <c r="N3" s="3984"/>
      <c r="O3" s="1880">
        <v>2017</v>
      </c>
      <c r="P3" s="1881">
        <v>2018</v>
      </c>
    </row>
    <row r="4" spans="2:22" ht="13.8" thickBot="1" x14ac:dyDescent="0.3">
      <c r="F4" s="1882" t="s">
        <v>154</v>
      </c>
      <c r="G4" s="1882" t="s">
        <v>126</v>
      </c>
      <c r="H4" s="1883" t="s">
        <v>121</v>
      </c>
      <c r="L4" s="1884" t="s">
        <v>154</v>
      </c>
      <c r="M4" s="1885" t="s">
        <v>126</v>
      </c>
      <c r="N4" s="1886" t="s">
        <v>121</v>
      </c>
      <c r="O4" s="1887" t="s">
        <v>126</v>
      </c>
      <c r="P4" s="1887" t="s">
        <v>126</v>
      </c>
    </row>
    <row r="5" spans="2:22" ht="14.4" x14ac:dyDescent="0.3">
      <c r="B5" s="1888" t="s">
        <v>401</v>
      </c>
      <c r="C5" s="643" t="s">
        <v>979</v>
      </c>
      <c r="D5" s="1" t="s">
        <v>330</v>
      </c>
      <c r="E5" s="1888" t="s">
        <v>401</v>
      </c>
      <c r="F5" s="640">
        <v>92832068</v>
      </c>
      <c r="G5" s="640">
        <f>F5/1000</f>
        <v>92832.067999999999</v>
      </c>
      <c r="H5" s="1889">
        <f>G5/$G$18</f>
        <v>0.6712481313769999</v>
      </c>
      <c r="J5" s="3985" t="s">
        <v>980</v>
      </c>
      <c r="K5" s="1890" t="s">
        <v>137</v>
      </c>
      <c r="L5" s="1891">
        <v>80659597</v>
      </c>
      <c r="M5" s="609">
        <f>L5/1000</f>
        <v>80659.596999999994</v>
      </c>
      <c r="N5" s="1892">
        <f>M5/SUM($M$5:$M$12)</f>
        <v>0.76189786059220899</v>
      </c>
      <c r="O5" s="1893">
        <v>79437.463308249164</v>
      </c>
      <c r="P5" s="1894">
        <f>$U$17*N5</f>
        <v>80911.651097832553</v>
      </c>
      <c r="R5" s="1895"/>
      <c r="S5" s="512"/>
    </row>
    <row r="6" spans="2:22" ht="14.4" x14ac:dyDescent="0.3">
      <c r="B6" s="1896" t="s">
        <v>981</v>
      </c>
      <c r="C6" s="643" t="s">
        <v>982</v>
      </c>
      <c r="D6" s="1" t="s">
        <v>330</v>
      </c>
      <c r="E6" s="1896" t="s">
        <v>981</v>
      </c>
      <c r="F6" s="640">
        <v>87050</v>
      </c>
      <c r="G6" s="640">
        <f t="shared" ref="G6:G18" si="0">F6/1000</f>
        <v>87.05</v>
      </c>
      <c r="H6" s="1889">
        <f t="shared" ref="H6:H18" si="1">G6/$G$18</f>
        <v>6.2943927777594957E-4</v>
      </c>
      <c r="J6" s="3986"/>
      <c r="K6" s="1897" t="s">
        <v>303</v>
      </c>
      <c r="L6" s="1898">
        <v>9288161</v>
      </c>
      <c r="M6" s="615">
        <f t="shared" ref="M6:M27" si="2">L6/1000</f>
        <v>9288.1610000000001</v>
      </c>
      <c r="N6" s="1899">
        <f t="shared" ref="N6:N12" si="3">M6/SUM($M$5:$M$12)</f>
        <v>8.7734507212278698E-2</v>
      </c>
      <c r="O6" s="1900">
        <v>9147.4291476885373</v>
      </c>
      <c r="P6" s="1901">
        <f t="shared" ref="P6:P12" si="4">$U$17*N6</f>
        <v>9317.1856806139967</v>
      </c>
      <c r="R6" s="1895"/>
    </row>
    <row r="7" spans="2:22" ht="14.4" x14ac:dyDescent="0.3">
      <c r="B7" s="1902" t="s">
        <v>983</v>
      </c>
      <c r="C7" s="643" t="s">
        <v>984</v>
      </c>
      <c r="D7" s="1" t="s">
        <v>330</v>
      </c>
      <c r="E7" s="1902" t="s">
        <v>983</v>
      </c>
      <c r="F7" s="640">
        <v>7173903</v>
      </c>
      <c r="G7" s="640">
        <f t="shared" si="0"/>
        <v>7173.9030000000002</v>
      </c>
      <c r="H7" s="1889">
        <f t="shared" si="1"/>
        <v>5.1872904344109343E-2</v>
      </c>
      <c r="J7" s="3986"/>
      <c r="K7" s="1903" t="s">
        <v>12</v>
      </c>
      <c r="L7" s="1898">
        <v>7101536</v>
      </c>
      <c r="M7" s="1904">
        <f t="shared" si="2"/>
        <v>7101.5360000000001</v>
      </c>
      <c r="N7" s="1899">
        <f t="shared" si="3"/>
        <v>6.7079991551638352E-2</v>
      </c>
      <c r="O7" s="1900">
        <v>6993.9353333517229</v>
      </c>
      <c r="P7" s="1905">
        <f t="shared" si="4"/>
        <v>7123.7276711250797</v>
      </c>
      <c r="R7" s="1895"/>
    </row>
    <row r="8" spans="2:22" ht="14.4" x14ac:dyDescent="0.3">
      <c r="B8" s="1906" t="s">
        <v>985</v>
      </c>
      <c r="C8" s="643" t="s">
        <v>986</v>
      </c>
      <c r="D8" s="1" t="s">
        <v>330</v>
      </c>
      <c r="E8" s="1906" t="s">
        <v>985</v>
      </c>
      <c r="F8" s="640">
        <v>3639884</v>
      </c>
      <c r="G8" s="640">
        <f t="shared" si="0"/>
        <v>3639.884</v>
      </c>
      <c r="H8" s="1889">
        <f t="shared" si="1"/>
        <v>2.6319195360691952E-2</v>
      </c>
      <c r="J8" s="3986"/>
      <c r="K8" s="1897" t="s">
        <v>175</v>
      </c>
      <c r="L8" s="1898">
        <v>5747971</v>
      </c>
      <c r="M8" s="615">
        <f t="shared" si="2"/>
        <v>5747.9709999999995</v>
      </c>
      <c r="N8" s="1899">
        <f t="shared" si="3"/>
        <v>5.4294429559895524E-2</v>
      </c>
      <c r="O8" s="1900">
        <v>5660.8792058480067</v>
      </c>
      <c r="P8" s="1901">
        <f t="shared" si="4"/>
        <v>5765.9329003647235</v>
      </c>
      <c r="R8" s="1907"/>
    </row>
    <row r="9" spans="2:22" ht="14.4" x14ac:dyDescent="0.3">
      <c r="B9" s="1908" t="s">
        <v>987</v>
      </c>
      <c r="C9" s="643" t="s">
        <v>988</v>
      </c>
      <c r="D9" s="1" t="s">
        <v>330</v>
      </c>
      <c r="E9" s="1908" t="s">
        <v>987</v>
      </c>
      <c r="F9" s="640">
        <v>3658068</v>
      </c>
      <c r="G9" s="640">
        <f t="shared" si="0"/>
        <v>3658.0680000000002</v>
      </c>
      <c r="H9" s="1889">
        <f t="shared" si="1"/>
        <v>2.6450679838889289E-2</v>
      </c>
      <c r="J9" s="3986"/>
      <c r="K9" s="1897" t="s">
        <v>989</v>
      </c>
      <c r="L9" s="1898">
        <v>2061670</v>
      </c>
      <c r="M9" s="615">
        <f t="shared" si="2"/>
        <v>2061.67</v>
      </c>
      <c r="N9" s="1899">
        <f t="shared" si="3"/>
        <v>1.9474210393676274E-2</v>
      </c>
      <c r="O9" s="1900">
        <v>2030.4321007048679</v>
      </c>
      <c r="P9" s="1901">
        <f t="shared" si="4"/>
        <v>2068.1125361792779</v>
      </c>
      <c r="R9" s="1895"/>
    </row>
    <row r="10" spans="2:22" ht="14.4" x14ac:dyDescent="0.3">
      <c r="B10" s="1909" t="s">
        <v>990</v>
      </c>
      <c r="C10" s="643" t="s">
        <v>991</v>
      </c>
      <c r="D10" s="1" t="s">
        <v>330</v>
      </c>
      <c r="E10" s="1909" t="s">
        <v>990</v>
      </c>
      <c r="F10" s="640">
        <v>3428542</v>
      </c>
      <c r="G10" s="640">
        <f t="shared" si="0"/>
        <v>3428.5419999999999</v>
      </c>
      <c r="H10" s="1889">
        <f t="shared" si="1"/>
        <v>2.4791028148242501E-2</v>
      </c>
      <c r="J10" s="3986"/>
      <c r="K10" s="1897" t="s">
        <v>992</v>
      </c>
      <c r="L10" s="1898">
        <v>954021</v>
      </c>
      <c r="M10" s="615">
        <f t="shared" si="2"/>
        <v>954.02099999999996</v>
      </c>
      <c r="N10" s="1899">
        <f t="shared" si="3"/>
        <v>9.0115322403611798E-3</v>
      </c>
      <c r="O10" s="1900">
        <v>939.56591653686519</v>
      </c>
      <c r="P10" s="1901">
        <f t="shared" si="4"/>
        <v>957.00223114188532</v>
      </c>
      <c r="R10" s="1895"/>
    </row>
    <row r="11" spans="2:22" ht="14.4" x14ac:dyDescent="0.3">
      <c r="B11" s="1910" t="s">
        <v>383</v>
      </c>
      <c r="C11" s="643" t="s">
        <v>993</v>
      </c>
      <c r="D11" s="1" t="s">
        <v>330</v>
      </c>
      <c r="E11" s="1910" t="s">
        <v>383</v>
      </c>
      <c r="F11" s="640">
        <v>8053760</v>
      </c>
      <c r="G11" s="640">
        <f t="shared" si="0"/>
        <v>8053.76</v>
      </c>
      <c r="H11" s="1889">
        <f t="shared" si="1"/>
        <v>5.8234955517298473E-2</v>
      </c>
      <c r="J11" s="3986"/>
      <c r="K11" s="1897" t="s">
        <v>994</v>
      </c>
      <c r="L11" s="1898">
        <v>48119</v>
      </c>
      <c r="M11" s="615">
        <f t="shared" si="2"/>
        <v>48.119</v>
      </c>
      <c r="N11" s="1899">
        <f t="shared" si="3"/>
        <v>4.5452450194905522E-4</v>
      </c>
      <c r="O11" s="1900">
        <v>47.389913154781098</v>
      </c>
      <c r="P11" s="1901">
        <f t="shared" si="4"/>
        <v>48.269367613832799</v>
      </c>
      <c r="R11" s="1907"/>
    </row>
    <row r="12" spans="2:22" ht="15" thickBot="1" x14ac:dyDescent="0.35">
      <c r="B12" s="1911" t="s">
        <v>995</v>
      </c>
      <c r="C12" s="643" t="s">
        <v>384</v>
      </c>
      <c r="D12" s="1" t="s">
        <v>330</v>
      </c>
      <c r="E12" s="1911" t="s">
        <v>995</v>
      </c>
      <c r="F12" s="640">
        <v>13285576</v>
      </c>
      <c r="G12" s="640">
        <f t="shared" si="0"/>
        <v>13285.575999999999</v>
      </c>
      <c r="H12" s="1889">
        <f t="shared" si="1"/>
        <v>9.6065058728058456E-2</v>
      </c>
      <c r="J12" s="3987"/>
      <c r="K12" s="1912" t="s">
        <v>996</v>
      </c>
      <c r="L12" s="1913">
        <v>5605</v>
      </c>
      <c r="M12" s="634">
        <f t="shared" si="2"/>
        <v>5.6050000000000004</v>
      </c>
      <c r="N12" s="1914">
        <f t="shared" si="3"/>
        <v>5.2943947991946103E-5</v>
      </c>
      <c r="O12" s="1915">
        <v>5.5200744660643002</v>
      </c>
      <c r="P12" s="1916">
        <f t="shared" si="4"/>
        <v>5.6225151286504884</v>
      </c>
      <c r="Q12" s="512"/>
      <c r="R12" s="1907"/>
    </row>
    <row r="13" spans="2:22" ht="14.4" x14ac:dyDescent="0.3">
      <c r="B13" s="1917" t="s">
        <v>997</v>
      </c>
      <c r="C13" s="643" t="s">
        <v>998</v>
      </c>
      <c r="D13" s="1" t="s">
        <v>330</v>
      </c>
      <c r="E13" s="1917" t="s">
        <v>997</v>
      </c>
      <c r="F13" s="640"/>
      <c r="G13" s="640">
        <f t="shared" si="0"/>
        <v>0</v>
      </c>
      <c r="H13" s="1889">
        <f t="shared" si="1"/>
        <v>0</v>
      </c>
      <c r="J13" s="3988"/>
      <c r="K13" s="1890" t="s">
        <v>999</v>
      </c>
      <c r="L13" s="1891">
        <v>9524365</v>
      </c>
      <c r="M13" s="609">
        <f t="shared" si="2"/>
        <v>9524.3649999999998</v>
      </c>
      <c r="N13" s="1918">
        <f>M13/SUM($M$13:$M$15)</f>
        <v>0.95802677785413448</v>
      </c>
      <c r="O13" s="1893">
        <v>8669.7093114763284</v>
      </c>
      <c r="P13" s="1894">
        <f>$U$18*N13</f>
        <v>9902.692648654931</v>
      </c>
      <c r="R13" s="1895"/>
    </row>
    <row r="14" spans="2:22" ht="14.4" x14ac:dyDescent="0.3">
      <c r="B14" s="1919" t="s">
        <v>1000</v>
      </c>
      <c r="C14" s="643" t="s">
        <v>1001</v>
      </c>
      <c r="D14" s="1" t="s">
        <v>330</v>
      </c>
      <c r="E14" s="1919" t="s">
        <v>1000</v>
      </c>
      <c r="F14" s="640">
        <v>1115336</v>
      </c>
      <c r="G14" s="640">
        <f t="shared" si="0"/>
        <v>1115.336</v>
      </c>
      <c r="H14" s="1889">
        <f t="shared" si="1"/>
        <v>8.0647476888858882E-3</v>
      </c>
      <c r="J14" s="3989"/>
      <c r="K14" s="1897" t="s">
        <v>1002</v>
      </c>
      <c r="L14" s="1898">
        <v>202900</v>
      </c>
      <c r="M14" s="615">
        <f t="shared" si="2"/>
        <v>202.9</v>
      </c>
      <c r="N14" s="1920">
        <f>M14/SUM($M$13:$M$15)</f>
        <v>2.0409091128553335E-2</v>
      </c>
      <c r="O14" s="1900">
        <v>184.69304980421759</v>
      </c>
      <c r="P14" s="1901">
        <f>$U$18*N14</f>
        <v>210.95961131393909</v>
      </c>
    </row>
    <row r="15" spans="2:22" ht="15" thickBot="1" x14ac:dyDescent="0.35">
      <c r="B15" s="1921" t="s">
        <v>392</v>
      </c>
      <c r="C15" s="643" t="s">
        <v>1003</v>
      </c>
      <c r="D15" s="1" t="s">
        <v>330</v>
      </c>
      <c r="E15" s="1921" t="s">
        <v>392</v>
      </c>
      <c r="F15" s="640">
        <v>1490838</v>
      </c>
      <c r="G15" s="640">
        <f t="shared" si="0"/>
        <v>1490.838</v>
      </c>
      <c r="H15" s="1889">
        <f t="shared" si="1"/>
        <v>1.0779919517529478E-2</v>
      </c>
      <c r="J15" s="3990"/>
      <c r="K15" s="1912" t="s">
        <v>1004</v>
      </c>
      <c r="L15" s="1913">
        <v>214383</v>
      </c>
      <c r="M15" s="634">
        <f t="shared" si="2"/>
        <v>214.38300000000001</v>
      </c>
      <c r="N15" s="1914">
        <f>M15/SUM($M$13:$M$15)</f>
        <v>2.1564131017312221E-2</v>
      </c>
      <c r="O15" s="1922">
        <v>195.1456387194558</v>
      </c>
      <c r="P15" s="1923">
        <f>$U$18*N15</f>
        <v>222.89874003112965</v>
      </c>
      <c r="Q15" s="512"/>
      <c r="T15" s="3972">
        <v>2018</v>
      </c>
      <c r="U15" s="3973"/>
      <c r="V15" s="3974"/>
    </row>
    <row r="16" spans="2:22" ht="14.4" x14ac:dyDescent="0.3">
      <c r="B16" s="1924" t="s">
        <v>1005</v>
      </c>
      <c r="C16" s="643" t="s">
        <v>1006</v>
      </c>
      <c r="D16" s="1" t="s">
        <v>330</v>
      </c>
      <c r="E16" s="1924" t="s">
        <v>1005</v>
      </c>
      <c r="F16" s="640">
        <v>3346263</v>
      </c>
      <c r="G16" s="640">
        <f t="shared" si="0"/>
        <v>3346.2629999999999</v>
      </c>
      <c r="H16" s="1889">
        <f t="shared" si="1"/>
        <v>2.4196086915202555E-2</v>
      </c>
      <c r="J16" s="3979" t="s">
        <v>1007</v>
      </c>
      <c r="K16" s="1890" t="s">
        <v>607</v>
      </c>
      <c r="L16" s="1891">
        <v>5537232</v>
      </c>
      <c r="M16" s="609">
        <f t="shared" si="2"/>
        <v>5537.232</v>
      </c>
      <c r="N16" s="1892">
        <f>M16/SUM($M$16:$M$26)</f>
        <v>0.32923288977843385</v>
      </c>
      <c r="O16" s="1893">
        <v>5443.1419999999998</v>
      </c>
      <c r="P16" s="1894">
        <f>U19</f>
        <v>5243.6580000000004</v>
      </c>
      <c r="S16" s="1925" t="s">
        <v>1008</v>
      </c>
      <c r="T16" s="1926" t="s">
        <v>1009</v>
      </c>
      <c r="U16" s="1926" t="s">
        <v>126</v>
      </c>
      <c r="V16" s="1927" t="s">
        <v>1010</v>
      </c>
    </row>
    <row r="17" spans="2:23" ht="14.4" x14ac:dyDescent="0.3">
      <c r="B17" s="1928" t="s">
        <v>411</v>
      </c>
      <c r="C17" s="643" t="s">
        <v>1011</v>
      </c>
      <c r="D17" s="1" t="s">
        <v>330</v>
      </c>
      <c r="E17" s="1928" t="s">
        <v>411</v>
      </c>
      <c r="F17" s="640">
        <v>186405</v>
      </c>
      <c r="G17" s="640">
        <f t="shared" si="0"/>
        <v>186.405</v>
      </c>
      <c r="H17" s="1889">
        <f t="shared" si="1"/>
        <v>1.3478532863162077E-3</v>
      </c>
      <c r="J17" s="3980"/>
      <c r="K17" s="1897" t="s">
        <v>1012</v>
      </c>
      <c r="L17" s="1898">
        <v>4379642</v>
      </c>
      <c r="M17" s="615">
        <f t="shared" si="2"/>
        <v>4379.6419999999998</v>
      </c>
      <c r="N17" s="1920">
        <f t="shared" ref="N17:N26" si="5">M17/SUM($M$16:$M$26)</f>
        <v>0.26040487229991438</v>
      </c>
      <c r="O17" s="1900">
        <v>4137.88</v>
      </c>
      <c r="P17" s="1901">
        <f>U23</f>
        <v>1965.32</v>
      </c>
      <c r="S17" s="1929" t="s">
        <v>1013</v>
      </c>
      <c r="T17" s="512">
        <v>106197504</v>
      </c>
      <c r="U17" s="1930">
        <f>T17/1000</f>
        <v>106197.504</v>
      </c>
      <c r="V17" s="1931">
        <v>0.77</v>
      </c>
      <c r="W17" s="1932">
        <f t="shared" ref="W17:W26" si="6">U17/$U$27</f>
        <v>0.76789064008464702</v>
      </c>
    </row>
    <row r="18" spans="2:23" ht="14.4" x14ac:dyDescent="0.3">
      <c r="E18" s="643" t="s">
        <v>389</v>
      </c>
      <c r="F18" s="640">
        <f>SUM(F5:F17)</f>
        <v>138297693</v>
      </c>
      <c r="G18" s="640">
        <f t="shared" si="0"/>
        <v>138297.693</v>
      </c>
      <c r="H18" s="1889">
        <f t="shared" si="1"/>
        <v>1</v>
      </c>
      <c r="J18" s="3980"/>
      <c r="K18" s="1897" t="s">
        <v>1014</v>
      </c>
      <c r="L18" s="1898">
        <v>1909303</v>
      </c>
      <c r="M18" s="615">
        <f t="shared" si="2"/>
        <v>1909.3030000000001</v>
      </c>
      <c r="N18" s="1920">
        <f t="shared" si="5"/>
        <v>0.11352338933110137</v>
      </c>
      <c r="O18" s="1900">
        <v>2163.5562478077295</v>
      </c>
      <c r="P18" s="1933">
        <f>M18/(M18+M19+M21+M22+M23)*(U20+U25)</f>
        <v>2599.2671999509193</v>
      </c>
      <c r="Q18" s="1934"/>
      <c r="R18" s="1934"/>
      <c r="S18" s="1935" t="s">
        <v>1015</v>
      </c>
      <c r="T18" s="512">
        <v>10336551</v>
      </c>
      <c r="U18" s="1930">
        <f t="shared" ref="U18:U26" si="7">T18/1000</f>
        <v>10336.550999999999</v>
      </c>
      <c r="V18" s="1931">
        <v>7.0000000000000007E-2</v>
      </c>
      <c r="W18" s="1932">
        <f t="shared" si="6"/>
        <v>7.4741311845310382E-2</v>
      </c>
    </row>
    <row r="19" spans="2:23" ht="14.4" x14ac:dyDescent="0.3">
      <c r="E19" s="644" t="s">
        <v>1016</v>
      </c>
      <c r="F19" s="615">
        <v>328868</v>
      </c>
      <c r="G19" s="1" t="s">
        <v>330</v>
      </c>
      <c r="J19" s="3980"/>
      <c r="K19" s="1897" t="s">
        <v>1017</v>
      </c>
      <c r="L19" s="1898">
        <v>1243000</v>
      </c>
      <c r="M19" s="615">
        <f t="shared" si="2"/>
        <v>1243</v>
      </c>
      <c r="N19" s="1920">
        <f t="shared" si="5"/>
        <v>7.3906327564854296E-2</v>
      </c>
      <c r="O19" s="1900">
        <v>1408.5246899130248</v>
      </c>
      <c r="P19" s="1933">
        <f>M19/(M18+M19+M21+M22+M23)*(U20+U25)</f>
        <v>1692.1825030071145</v>
      </c>
      <c r="Q19" s="512"/>
      <c r="S19" s="1936" t="s">
        <v>1018</v>
      </c>
      <c r="T19" s="512">
        <v>5243658</v>
      </c>
      <c r="U19" s="1930">
        <f t="shared" si="7"/>
        <v>5243.6580000000004</v>
      </c>
      <c r="V19" s="1931">
        <v>0.04</v>
      </c>
      <c r="W19" s="1932">
        <f t="shared" si="6"/>
        <v>3.7915730091029068E-2</v>
      </c>
    </row>
    <row r="20" spans="2:23" ht="14.4" x14ac:dyDescent="0.3">
      <c r="E20" s="643" t="s">
        <v>1019</v>
      </c>
      <c r="F20" s="643">
        <v>420.53</v>
      </c>
      <c r="G20" s="1" t="s">
        <v>330</v>
      </c>
      <c r="J20" s="3980"/>
      <c r="K20" s="1897" t="s">
        <v>1020</v>
      </c>
      <c r="L20" s="1898">
        <v>722290</v>
      </c>
      <c r="M20" s="615">
        <f t="shared" si="2"/>
        <v>722.29</v>
      </c>
      <c r="N20" s="1920">
        <f t="shared" si="5"/>
        <v>4.294593832406967E-2</v>
      </c>
      <c r="O20" s="1900">
        <v>1518.9759125977073</v>
      </c>
      <c r="P20" s="1901">
        <f>M20/(M20+M24)*U22</f>
        <v>1760.0926976758956</v>
      </c>
      <c r="S20" s="1937" t="s">
        <v>1021</v>
      </c>
      <c r="T20" s="652">
        <v>4728144</v>
      </c>
      <c r="U20" s="512">
        <f t="shared" si="7"/>
        <v>4728.1440000000002</v>
      </c>
      <c r="V20" s="1931">
        <v>0.03</v>
      </c>
      <c r="W20" s="1932">
        <f t="shared" si="6"/>
        <v>3.4188162488003326E-2</v>
      </c>
    </row>
    <row r="21" spans="2:23" ht="14.4" x14ac:dyDescent="0.3">
      <c r="J21" s="3980"/>
      <c r="K21" s="1897" t="s">
        <v>1022</v>
      </c>
      <c r="L21" s="1898">
        <v>437000</v>
      </c>
      <c r="M21" s="615">
        <f t="shared" si="2"/>
        <v>437</v>
      </c>
      <c r="N21" s="1920">
        <f t="shared" si="5"/>
        <v>2.5983157800355049E-2</v>
      </c>
      <c r="O21" s="1900">
        <v>495.19331415284933</v>
      </c>
      <c r="P21" s="1933">
        <f>M21/($M$18+$M$19+$M$21+$M$22+$M$23)*($U$20+U25)</f>
        <v>594.91854691400567</v>
      </c>
      <c r="S21" s="1938" t="s">
        <v>1023</v>
      </c>
      <c r="T21" s="652">
        <v>3364770</v>
      </c>
      <c r="U21" s="1930">
        <f t="shared" si="7"/>
        <v>3364.77</v>
      </c>
      <c r="V21" s="1931">
        <v>0.02</v>
      </c>
      <c r="W21" s="1932">
        <f t="shared" si="6"/>
        <v>2.4329906934890084E-2</v>
      </c>
    </row>
    <row r="22" spans="2:23" ht="14.4" x14ac:dyDescent="0.3">
      <c r="F22" s="1939"/>
      <c r="G22" s="512"/>
      <c r="J22" s="3980"/>
      <c r="K22" s="1903" t="s">
        <v>1024</v>
      </c>
      <c r="L22" s="1898">
        <v>542722</v>
      </c>
      <c r="M22" s="1904">
        <f t="shared" si="2"/>
        <v>542.72199999999998</v>
      </c>
      <c r="N22" s="1920">
        <f t="shared" si="5"/>
        <v>3.2269179331176873E-2</v>
      </c>
      <c r="O22" s="1900">
        <v>614.9938348825234</v>
      </c>
      <c r="P22" s="1940">
        <f>M22/($M$18+$M$19+$M$21+$M$22+$M$23)*($U$20+U25)</f>
        <v>738.84527143767275</v>
      </c>
      <c r="S22" s="1937" t="s">
        <v>1025</v>
      </c>
      <c r="T22" s="652">
        <v>5371464</v>
      </c>
      <c r="U22" s="1930">
        <f t="shared" si="7"/>
        <v>5371.4639999999999</v>
      </c>
      <c r="V22" s="1931">
        <v>0.04</v>
      </c>
      <c r="W22" s="1932">
        <f t="shared" si="6"/>
        <v>3.8839866981729046E-2</v>
      </c>
    </row>
    <row r="23" spans="2:23" ht="14.4" x14ac:dyDescent="0.3">
      <c r="J23" s="3980"/>
      <c r="K23" s="1897" t="s">
        <v>1026</v>
      </c>
      <c r="L23" s="1898">
        <v>4000</v>
      </c>
      <c r="M23" s="615">
        <f t="shared" si="2"/>
        <v>4</v>
      </c>
      <c r="N23" s="1920">
        <f t="shared" si="5"/>
        <v>2.3783210801240319E-4</v>
      </c>
      <c r="O23" s="1900">
        <v>4.5326619144425564</v>
      </c>
      <c r="P23" s="1933">
        <f>M23/($M$18+$M$19+$M$21+$M$22+$M$23)*($U$20+U25)</f>
        <v>5.4454786902883816</v>
      </c>
      <c r="S23" s="1941" t="s">
        <v>1027</v>
      </c>
      <c r="T23" s="652">
        <v>1965320</v>
      </c>
      <c r="U23" s="1930">
        <f t="shared" si="7"/>
        <v>1965.32</v>
      </c>
      <c r="V23" s="1931">
        <v>0.01</v>
      </c>
      <c r="W23" s="1932">
        <f t="shared" si="6"/>
        <v>1.4210793812735545E-2</v>
      </c>
    </row>
    <row r="24" spans="2:23" ht="14.4" x14ac:dyDescent="0.3">
      <c r="F24" s="3975" t="s">
        <v>1028</v>
      </c>
      <c r="G24" s="3976"/>
      <c r="H24" s="3976"/>
      <c r="J24" s="3980"/>
      <c r="K24" s="1897" t="s">
        <v>1029</v>
      </c>
      <c r="L24" s="1898">
        <v>1482000</v>
      </c>
      <c r="M24" s="615">
        <f t="shared" si="2"/>
        <v>1482</v>
      </c>
      <c r="N24" s="1920">
        <f t="shared" si="5"/>
        <v>8.8116796018595386E-2</v>
      </c>
      <c r="O24" s="1900">
        <v>3116.6460874022932</v>
      </c>
      <c r="P24" s="1901">
        <f>M24/(M20+M24)*U22</f>
        <v>3611.3713023241044</v>
      </c>
      <c r="Q24" s="512"/>
      <c r="S24" s="1941" t="s">
        <v>351</v>
      </c>
      <c r="T24" s="652">
        <v>100000</v>
      </c>
      <c r="U24" s="1930">
        <f t="shared" si="7"/>
        <v>100</v>
      </c>
      <c r="V24" s="1942">
        <v>1E-3</v>
      </c>
      <c r="W24" s="1932">
        <f t="shared" si="6"/>
        <v>7.2307786074204429E-4</v>
      </c>
    </row>
    <row r="25" spans="2:23" ht="14.4" x14ac:dyDescent="0.3">
      <c r="E25" s="644" t="s">
        <v>1030</v>
      </c>
      <c r="F25" s="1882" t="s">
        <v>154</v>
      </c>
      <c r="G25" s="1882" t="s">
        <v>126</v>
      </c>
      <c r="H25" s="1882" t="s">
        <v>1019</v>
      </c>
      <c r="J25" s="3980"/>
      <c r="K25" s="1897" t="s">
        <v>1031</v>
      </c>
      <c r="L25" s="1898">
        <v>114476</v>
      </c>
      <c r="M25" s="615">
        <f t="shared" si="2"/>
        <v>114.476</v>
      </c>
      <c r="N25" s="1920">
        <f t="shared" si="5"/>
        <v>6.8065170992069671E-3</v>
      </c>
      <c r="O25" s="1900">
        <v>129.72025132943153</v>
      </c>
      <c r="P25" s="1901">
        <f>U26</f>
        <v>87.766999999999996</v>
      </c>
      <c r="S25" s="1937" t="s">
        <v>1032</v>
      </c>
      <c r="T25" s="652">
        <v>902515</v>
      </c>
      <c r="U25" s="512">
        <f t="shared" si="7"/>
        <v>902.51499999999999</v>
      </c>
      <c r="V25" s="1931">
        <v>0.01</v>
      </c>
      <c r="W25" s="1932">
        <f t="shared" si="6"/>
        <v>6.5258861548760615E-3</v>
      </c>
    </row>
    <row r="26" spans="2:23" ht="15" thickBot="1" x14ac:dyDescent="0.35">
      <c r="E26" s="1888" t="s">
        <v>401</v>
      </c>
      <c r="F26" s="1943">
        <v>3602732</v>
      </c>
      <c r="G26" s="615">
        <f>F26/1000</f>
        <v>3602.732</v>
      </c>
      <c r="H26" s="1944">
        <f>F26/8944</f>
        <v>402.80992844364937</v>
      </c>
      <c r="I26" s="1" t="s">
        <v>330</v>
      </c>
      <c r="J26" s="3981"/>
      <c r="K26" s="1912" t="s">
        <v>1033</v>
      </c>
      <c r="L26" s="1913">
        <v>446922</v>
      </c>
      <c r="M26" s="634">
        <f t="shared" si="2"/>
        <v>446.92200000000003</v>
      </c>
      <c r="N26" s="1914">
        <f t="shared" si="5"/>
        <v>2.6573100344279815E-2</v>
      </c>
      <c r="O26" s="1922">
        <v>538.17700000000002</v>
      </c>
      <c r="P26" s="1923">
        <f>U24</f>
        <v>100</v>
      </c>
      <c r="Q26" s="512"/>
      <c r="S26" s="1937" t="s">
        <v>1031</v>
      </c>
      <c r="T26" s="652">
        <v>87767</v>
      </c>
      <c r="U26" s="1930">
        <f t="shared" si="7"/>
        <v>87.766999999999996</v>
      </c>
      <c r="V26" s="1942">
        <v>1E-3</v>
      </c>
      <c r="W26" s="1932">
        <f t="shared" si="6"/>
        <v>6.3462374603747004E-4</v>
      </c>
    </row>
    <row r="27" spans="2:23" ht="15" thickBot="1" x14ac:dyDescent="0.35">
      <c r="E27" s="1896" t="s">
        <v>981</v>
      </c>
      <c r="F27" s="1943">
        <v>2098</v>
      </c>
      <c r="G27" s="615">
        <f t="shared" ref="G27:G39" si="8">F27/1000</f>
        <v>2.0979999999999999</v>
      </c>
      <c r="H27" s="1944">
        <f t="shared" ref="H27:H39" si="9">F27/8944</f>
        <v>0.23457066189624329</v>
      </c>
      <c r="I27" s="1" t="s">
        <v>330</v>
      </c>
      <c r="J27" s="1945"/>
      <c r="K27" s="1946" t="s">
        <v>1034</v>
      </c>
      <c r="L27" s="1947">
        <v>3106180</v>
      </c>
      <c r="M27" s="1948">
        <f t="shared" si="2"/>
        <v>3106.18</v>
      </c>
      <c r="N27" s="1949">
        <f>M27/M27</f>
        <v>1</v>
      </c>
      <c r="O27" s="1950">
        <v>3538.56</v>
      </c>
      <c r="P27" s="1951">
        <f>U21</f>
        <v>3364.77</v>
      </c>
      <c r="Q27" s="512"/>
      <c r="S27" s="1952" t="s">
        <v>1035</v>
      </c>
      <c r="T27" s="1953">
        <f>SUM(T17:T26)</f>
        <v>138297693</v>
      </c>
      <c r="U27" s="1953">
        <f>SUM(U17:U26)</f>
        <v>138297.693</v>
      </c>
      <c r="V27" s="1954">
        <v>1</v>
      </c>
    </row>
    <row r="28" spans="2:23" ht="13.8" thickBot="1" x14ac:dyDescent="0.3">
      <c r="E28" s="1902" t="s">
        <v>983</v>
      </c>
      <c r="F28" s="1943">
        <v>194680</v>
      </c>
      <c r="G28" s="615">
        <f t="shared" si="8"/>
        <v>194.68</v>
      </c>
      <c r="H28" s="1944">
        <f t="shared" si="9"/>
        <v>21.766547406082289</v>
      </c>
      <c r="I28" s="1" t="s">
        <v>330</v>
      </c>
      <c r="K28" s="1955" t="s">
        <v>1036</v>
      </c>
      <c r="L28" s="1956">
        <f>SUM(L5:L27)</f>
        <v>135733095</v>
      </c>
      <c r="O28" s="512">
        <f>SUM(O5:O27)</f>
        <v>136422.06500000003</v>
      </c>
      <c r="P28" s="512">
        <f>SUM(P5:P27)</f>
        <v>138297.693</v>
      </c>
      <c r="Q28" s="512"/>
    </row>
    <row r="29" spans="2:23" x14ac:dyDescent="0.25">
      <c r="E29" s="1906" t="s">
        <v>985</v>
      </c>
      <c r="F29" s="1943">
        <v>373620</v>
      </c>
      <c r="G29" s="615">
        <f t="shared" si="8"/>
        <v>373.62</v>
      </c>
      <c r="H29" s="1944">
        <f t="shared" si="9"/>
        <v>41.77325581395349</v>
      </c>
      <c r="I29" s="1" t="s">
        <v>330</v>
      </c>
    </row>
    <row r="30" spans="2:23" x14ac:dyDescent="0.25">
      <c r="E30" s="1908" t="s">
        <v>987</v>
      </c>
      <c r="F30" s="1943">
        <v>45000</v>
      </c>
      <c r="G30" s="615">
        <f t="shared" si="8"/>
        <v>45</v>
      </c>
      <c r="H30" s="1944">
        <f t="shared" si="9"/>
        <v>5.0313059033989269</v>
      </c>
      <c r="I30" s="1" t="s">
        <v>330</v>
      </c>
      <c r="M30" s="512">
        <f>M18+M19+M21+M22+M23+M25</f>
        <v>4250.5009999999993</v>
      </c>
      <c r="N30" s="1">
        <f>M23/M30</f>
        <v>9.4106553556863072E-4</v>
      </c>
      <c r="O30" s="512">
        <f>O18+O19+O21+O22+O23+O25</f>
        <v>4816.5210000000006</v>
      </c>
      <c r="P30" s="1">
        <f>O23/O30</f>
        <v>9.410655355686305E-4</v>
      </c>
      <c r="T30" s="512">
        <f>T19+T20+T22+T23+T24</f>
        <v>17408586</v>
      </c>
      <c r="U30" s="512">
        <f>U19+U20+U22+U23+U24</f>
        <v>17408.585999999999</v>
      </c>
    </row>
    <row r="31" spans="2:23" x14ac:dyDescent="0.25">
      <c r="E31" s="1909" t="s">
        <v>990</v>
      </c>
      <c r="F31" s="1943">
        <v>452812</v>
      </c>
      <c r="G31" s="615">
        <f t="shared" si="8"/>
        <v>452.81200000000001</v>
      </c>
      <c r="H31" s="1944">
        <f t="shared" si="9"/>
        <v>50.62745974955277</v>
      </c>
      <c r="I31" s="1" t="s">
        <v>330</v>
      </c>
    </row>
    <row r="32" spans="2:23" x14ac:dyDescent="0.25">
      <c r="E32" s="1910" t="s">
        <v>383</v>
      </c>
      <c r="F32" s="1943">
        <v>252116</v>
      </c>
      <c r="G32" s="615">
        <f t="shared" si="8"/>
        <v>252.11600000000001</v>
      </c>
      <c r="H32" s="1944">
        <f t="shared" si="9"/>
        <v>28.188282647584973</v>
      </c>
      <c r="I32" s="1" t="s">
        <v>330</v>
      </c>
      <c r="L32" s="3975" t="s">
        <v>1037</v>
      </c>
      <c r="M32" s="3976"/>
      <c r="N32" s="3976"/>
      <c r="O32" s="1957"/>
      <c r="P32" s="1957"/>
      <c r="Q32" s="1957"/>
    </row>
    <row r="33" spans="5:18" x14ac:dyDescent="0.25">
      <c r="E33" s="1911" t="s">
        <v>995</v>
      </c>
      <c r="F33" s="1943">
        <v>256580</v>
      </c>
      <c r="G33" s="615">
        <f t="shared" si="8"/>
        <v>256.58</v>
      </c>
      <c r="H33" s="1944">
        <f t="shared" si="9"/>
        <v>28.687388193202146</v>
      </c>
      <c r="I33" s="1" t="s">
        <v>330</v>
      </c>
      <c r="K33" s="644" t="s">
        <v>1038</v>
      </c>
      <c r="L33" s="1882" t="s">
        <v>154</v>
      </c>
      <c r="M33" s="1882" t="s">
        <v>126</v>
      </c>
      <c r="N33" s="1882" t="s">
        <v>1019</v>
      </c>
      <c r="O33" s="1957"/>
      <c r="P33" s="1957"/>
      <c r="Q33" s="1957"/>
      <c r="R33" s="1" t="s">
        <v>330</v>
      </c>
    </row>
    <row r="34" spans="5:18" x14ac:dyDescent="0.25">
      <c r="E34" s="1917" t="s">
        <v>997</v>
      </c>
      <c r="F34" s="1943"/>
      <c r="G34" s="615">
        <f t="shared" si="8"/>
        <v>0</v>
      </c>
      <c r="H34" s="1944">
        <f t="shared" si="9"/>
        <v>0</v>
      </c>
      <c r="I34" s="1" t="s">
        <v>330</v>
      </c>
      <c r="K34" s="1888" t="s">
        <v>401</v>
      </c>
      <c r="L34" s="615">
        <v>3075668</v>
      </c>
      <c r="M34" s="615">
        <f>L34/1000</f>
        <v>3075.6680000000001</v>
      </c>
      <c r="N34" s="1958">
        <f>L34/9684</f>
        <v>317.60305658818669</v>
      </c>
      <c r="O34" s="1959"/>
      <c r="P34" s="1959"/>
      <c r="Q34" s="1959"/>
      <c r="R34" s="1" t="s">
        <v>330</v>
      </c>
    </row>
    <row r="35" spans="5:18" x14ac:dyDescent="0.25">
      <c r="E35" s="1919" t="s">
        <v>1000</v>
      </c>
      <c r="F35" s="1943">
        <v>30353</v>
      </c>
      <c r="G35" s="615">
        <f t="shared" si="8"/>
        <v>30.353000000000002</v>
      </c>
      <c r="H35" s="1944">
        <f t="shared" si="9"/>
        <v>3.3936717352415027</v>
      </c>
      <c r="I35" s="1" t="s">
        <v>330</v>
      </c>
      <c r="K35" s="1896" t="s">
        <v>981</v>
      </c>
      <c r="L35" s="615">
        <v>4812</v>
      </c>
      <c r="M35" s="615">
        <f t="shared" ref="M35:M47" si="10">L35/1000</f>
        <v>4.8120000000000003</v>
      </c>
      <c r="N35" s="1958">
        <f t="shared" ref="N35:N47" si="11">L35/9684</f>
        <v>0.49690210656753409</v>
      </c>
      <c r="O35" s="1959"/>
      <c r="P35" s="1959"/>
      <c r="Q35" s="1959"/>
      <c r="R35" s="1" t="s">
        <v>330</v>
      </c>
    </row>
    <row r="36" spans="5:18" x14ac:dyDescent="0.25">
      <c r="E36" s="1921" t="s">
        <v>392</v>
      </c>
      <c r="F36" s="1943">
        <v>1021</v>
      </c>
      <c r="G36" s="615">
        <f t="shared" si="8"/>
        <v>1.0209999999999999</v>
      </c>
      <c r="H36" s="1944">
        <f t="shared" si="9"/>
        <v>0.11415474060822899</v>
      </c>
      <c r="I36" s="1" t="s">
        <v>330</v>
      </c>
      <c r="K36" s="1902" t="s">
        <v>983</v>
      </c>
      <c r="L36" s="615">
        <v>244482</v>
      </c>
      <c r="M36" s="615">
        <f t="shared" si="10"/>
        <v>244.482</v>
      </c>
      <c r="N36" s="1958">
        <f t="shared" si="11"/>
        <v>25.245972738537795</v>
      </c>
      <c r="O36" s="1959"/>
      <c r="P36" s="1959"/>
      <c r="Q36" s="1959"/>
      <c r="R36" s="1" t="s">
        <v>330</v>
      </c>
    </row>
    <row r="37" spans="5:18" x14ac:dyDescent="0.25">
      <c r="E37" s="1924" t="s">
        <v>1005</v>
      </c>
      <c r="F37" s="1943">
        <v>98731</v>
      </c>
      <c r="G37" s="615">
        <f t="shared" si="8"/>
        <v>98.730999999999995</v>
      </c>
      <c r="H37" s="1944">
        <f t="shared" si="9"/>
        <v>11.038796958855098</v>
      </c>
      <c r="I37" s="1" t="s">
        <v>330</v>
      </c>
      <c r="K37" s="1906" t="s">
        <v>985</v>
      </c>
      <c r="L37" s="615">
        <v>200791</v>
      </c>
      <c r="M37" s="615">
        <f t="shared" si="10"/>
        <v>200.791</v>
      </c>
      <c r="N37" s="1958">
        <f t="shared" si="11"/>
        <v>20.734304006608838</v>
      </c>
      <c r="O37" s="1959"/>
      <c r="P37" s="1959"/>
      <c r="Q37" s="1959"/>
      <c r="R37" s="1" t="s">
        <v>330</v>
      </c>
    </row>
    <row r="38" spans="5:18" x14ac:dyDescent="0.25">
      <c r="E38" s="1928" t="s">
        <v>411</v>
      </c>
      <c r="F38" s="1943">
        <v>17895</v>
      </c>
      <c r="G38" s="615">
        <f t="shared" si="8"/>
        <v>17.895</v>
      </c>
      <c r="H38" s="1944">
        <f t="shared" si="9"/>
        <v>2.0007826475849733</v>
      </c>
      <c r="I38" s="1" t="s">
        <v>330</v>
      </c>
      <c r="K38" s="1908" t="s">
        <v>987</v>
      </c>
      <c r="L38" s="615">
        <v>100605</v>
      </c>
      <c r="M38" s="615">
        <f t="shared" si="10"/>
        <v>100.605</v>
      </c>
      <c r="N38" s="1958">
        <f t="shared" si="11"/>
        <v>10.388785625774473</v>
      </c>
      <c r="O38" s="1959"/>
      <c r="P38" s="1959"/>
      <c r="Q38" s="1959"/>
      <c r="R38" s="1" t="s">
        <v>330</v>
      </c>
    </row>
    <row r="39" spans="5:18" x14ac:dyDescent="0.25">
      <c r="E39" s="643" t="s">
        <v>389</v>
      </c>
      <c r="F39" s="1943">
        <v>5327638</v>
      </c>
      <c r="G39" s="615">
        <f t="shared" si="8"/>
        <v>5327.6379999999999</v>
      </c>
      <c r="H39" s="1944">
        <f t="shared" si="9"/>
        <v>595.66614490160998</v>
      </c>
      <c r="I39" s="1" t="s">
        <v>330</v>
      </c>
      <c r="K39" s="1909" t="s">
        <v>990</v>
      </c>
      <c r="L39" s="615">
        <v>627990</v>
      </c>
      <c r="M39" s="615">
        <f t="shared" si="10"/>
        <v>627.99</v>
      </c>
      <c r="N39" s="1958">
        <f t="shared" si="11"/>
        <v>64.848203221809172</v>
      </c>
      <c r="O39" s="1959"/>
      <c r="P39" s="1959"/>
      <c r="Q39" s="1959"/>
      <c r="R39" s="1" t="s">
        <v>330</v>
      </c>
    </row>
    <row r="40" spans="5:18" x14ac:dyDescent="0.25">
      <c r="I40" s="1" t="s">
        <v>330</v>
      </c>
      <c r="K40" s="1910" t="s">
        <v>383</v>
      </c>
      <c r="L40" s="615">
        <v>381709</v>
      </c>
      <c r="M40" s="615">
        <f t="shared" si="10"/>
        <v>381.709</v>
      </c>
      <c r="N40" s="1958">
        <f t="shared" si="11"/>
        <v>39.416460140437835</v>
      </c>
      <c r="O40" s="1959"/>
      <c r="P40" s="1959"/>
      <c r="Q40" s="1959"/>
      <c r="R40" s="1" t="s">
        <v>330</v>
      </c>
    </row>
    <row r="41" spans="5:18" x14ac:dyDescent="0.25">
      <c r="G41" s="1081"/>
      <c r="K41" s="1911" t="s">
        <v>995</v>
      </c>
      <c r="L41" s="615">
        <v>266911</v>
      </c>
      <c r="M41" s="615">
        <f t="shared" si="10"/>
        <v>266.911</v>
      </c>
      <c r="N41" s="1958">
        <f t="shared" si="11"/>
        <v>27.562061131763734</v>
      </c>
      <c r="O41" s="1959"/>
      <c r="P41" s="1959"/>
      <c r="Q41" s="1959"/>
      <c r="R41" s="1" t="s">
        <v>330</v>
      </c>
    </row>
    <row r="42" spans="5:18" x14ac:dyDescent="0.25">
      <c r="F42" s="3975" t="s">
        <v>1039</v>
      </c>
      <c r="G42" s="3976"/>
      <c r="H42" s="3976"/>
      <c r="K42" s="1917" t="s">
        <v>997</v>
      </c>
      <c r="L42" s="615"/>
      <c r="M42" s="615">
        <f t="shared" si="10"/>
        <v>0</v>
      </c>
      <c r="N42" s="1958">
        <f t="shared" si="11"/>
        <v>0</v>
      </c>
      <c r="O42" s="1959"/>
      <c r="P42" s="1959"/>
      <c r="Q42" s="1959"/>
      <c r="R42" s="1" t="s">
        <v>330</v>
      </c>
    </row>
    <row r="43" spans="5:18" x14ac:dyDescent="0.25">
      <c r="E43" s="644" t="s">
        <v>1040</v>
      </c>
      <c r="F43" s="1882" t="s">
        <v>154</v>
      </c>
      <c r="G43" s="1882" t="s">
        <v>126</v>
      </c>
      <c r="H43" s="1882" t="s">
        <v>1019</v>
      </c>
      <c r="I43" s="1" t="s">
        <v>330</v>
      </c>
      <c r="K43" s="1919" t="s">
        <v>1000</v>
      </c>
      <c r="L43" s="615">
        <v>35336</v>
      </c>
      <c r="M43" s="615">
        <f t="shared" si="10"/>
        <v>35.335999999999999</v>
      </c>
      <c r="N43" s="1958">
        <f t="shared" si="11"/>
        <v>3.6489054109871955</v>
      </c>
      <c r="O43" s="1959"/>
      <c r="P43" s="1959"/>
      <c r="Q43" s="1959"/>
      <c r="R43" s="1" t="s">
        <v>330</v>
      </c>
    </row>
    <row r="44" spans="5:18" x14ac:dyDescent="0.25">
      <c r="E44" s="1888" t="s">
        <v>401</v>
      </c>
      <c r="F44" s="640">
        <v>8823964</v>
      </c>
      <c r="G44" s="615">
        <f>F44/1000</f>
        <v>8823.9639999999999</v>
      </c>
      <c r="H44" s="1958">
        <f>F44/34451</f>
        <v>256.13085251516645</v>
      </c>
      <c r="I44" s="1" t="s">
        <v>330</v>
      </c>
      <c r="K44" s="1921" t="s">
        <v>392</v>
      </c>
      <c r="L44" s="615">
        <v>7086</v>
      </c>
      <c r="M44" s="615">
        <f t="shared" si="10"/>
        <v>7.0860000000000003</v>
      </c>
      <c r="N44" s="1958">
        <f t="shared" si="11"/>
        <v>0.73172242874845106</v>
      </c>
      <c r="O44" s="1959"/>
      <c r="P44" s="1959"/>
      <c r="Q44" s="1959"/>
      <c r="R44" s="1" t="s">
        <v>330</v>
      </c>
    </row>
    <row r="45" spans="5:18" x14ac:dyDescent="0.25">
      <c r="E45" s="1896" t="s">
        <v>981</v>
      </c>
      <c r="F45" s="615">
        <v>22504</v>
      </c>
      <c r="G45" s="615">
        <f t="shared" ref="G45:G57" si="12">F45/1000</f>
        <v>22.504000000000001</v>
      </c>
      <c r="H45" s="1958">
        <f t="shared" ref="H45:H57" si="13">F45/34451</f>
        <v>0.65321761342196161</v>
      </c>
      <c r="I45" s="1" t="s">
        <v>330</v>
      </c>
      <c r="K45" s="1924" t="s">
        <v>1005</v>
      </c>
      <c r="L45" s="615">
        <v>452</v>
      </c>
      <c r="M45" s="615">
        <f t="shared" si="10"/>
        <v>0.45200000000000001</v>
      </c>
      <c r="N45" s="1958">
        <f t="shared" si="11"/>
        <v>4.6674927715819908E-2</v>
      </c>
      <c r="O45" s="1959"/>
      <c r="P45" s="1959"/>
      <c r="Q45" s="1959"/>
      <c r="R45" s="1" t="s">
        <v>330</v>
      </c>
    </row>
    <row r="46" spans="5:18" x14ac:dyDescent="0.25">
      <c r="E46" s="1902" t="s">
        <v>983</v>
      </c>
      <c r="F46" s="615">
        <v>665959</v>
      </c>
      <c r="G46" s="615">
        <f t="shared" si="12"/>
        <v>665.95899999999995</v>
      </c>
      <c r="H46" s="1958">
        <f t="shared" si="13"/>
        <v>19.330614495950769</v>
      </c>
      <c r="I46" s="1" t="s">
        <v>330</v>
      </c>
      <c r="K46" s="1928" t="s">
        <v>411</v>
      </c>
      <c r="L46" s="615">
        <v>4600</v>
      </c>
      <c r="M46" s="615">
        <f t="shared" si="10"/>
        <v>4.5999999999999996</v>
      </c>
      <c r="N46" s="1958">
        <f t="shared" si="11"/>
        <v>0.47501032631144158</v>
      </c>
      <c r="O46" s="1959"/>
      <c r="P46" s="1959"/>
      <c r="Q46" s="1959"/>
      <c r="R46" s="1" t="s">
        <v>330</v>
      </c>
    </row>
    <row r="47" spans="5:18" x14ac:dyDescent="0.25">
      <c r="E47" s="1906" t="s">
        <v>985</v>
      </c>
      <c r="F47" s="615">
        <v>353053</v>
      </c>
      <c r="G47" s="615">
        <f t="shared" si="12"/>
        <v>353.053</v>
      </c>
      <c r="H47" s="1958">
        <f t="shared" si="13"/>
        <v>10.247975385329889</v>
      </c>
      <c r="I47" s="1" t="s">
        <v>330</v>
      </c>
      <c r="K47" s="643" t="s">
        <v>389</v>
      </c>
      <c r="L47" s="615">
        <v>4950443</v>
      </c>
      <c r="M47" s="615">
        <f t="shared" si="10"/>
        <v>4950.4430000000002</v>
      </c>
      <c r="N47" s="1958">
        <f t="shared" si="11"/>
        <v>511.19816191656338</v>
      </c>
      <c r="O47" s="1959"/>
      <c r="P47" s="1959"/>
      <c r="Q47" s="1959"/>
      <c r="R47" s="1" t="s">
        <v>330</v>
      </c>
    </row>
    <row r="48" spans="5:18" x14ac:dyDescent="0.25">
      <c r="E48" s="1908" t="s">
        <v>987</v>
      </c>
      <c r="F48" s="615">
        <v>147740</v>
      </c>
      <c r="G48" s="615">
        <f t="shared" si="12"/>
        <v>147.74</v>
      </c>
      <c r="H48" s="1958">
        <f t="shared" si="13"/>
        <v>4.2884096252648689</v>
      </c>
      <c r="I48" s="1" t="s">
        <v>330</v>
      </c>
    </row>
    <row r="49" spans="5:18" x14ac:dyDescent="0.25">
      <c r="E49" s="1909" t="s">
        <v>990</v>
      </c>
      <c r="F49" s="615">
        <v>69940</v>
      </c>
      <c r="G49" s="615">
        <f t="shared" si="12"/>
        <v>69.94</v>
      </c>
      <c r="H49" s="1958">
        <f t="shared" si="13"/>
        <v>2.0301297494992889</v>
      </c>
      <c r="I49" s="1" t="s">
        <v>330</v>
      </c>
    </row>
    <row r="50" spans="5:18" x14ac:dyDescent="0.25">
      <c r="E50" s="1910" t="s">
        <v>383</v>
      </c>
      <c r="F50" s="615">
        <v>871470</v>
      </c>
      <c r="G50" s="615">
        <f t="shared" si="12"/>
        <v>871.47</v>
      </c>
      <c r="H50" s="1958">
        <f t="shared" si="13"/>
        <v>25.295927549272879</v>
      </c>
      <c r="I50" s="1" t="s">
        <v>330</v>
      </c>
    </row>
    <row r="51" spans="5:18" x14ac:dyDescent="0.25">
      <c r="E51" s="1911" t="s">
        <v>995</v>
      </c>
      <c r="F51" s="615">
        <v>1036622</v>
      </c>
      <c r="G51" s="615">
        <f t="shared" si="12"/>
        <v>1036.6220000000001</v>
      </c>
      <c r="H51" s="1958">
        <f t="shared" si="13"/>
        <v>30.089750660358188</v>
      </c>
      <c r="I51" s="1" t="s">
        <v>330</v>
      </c>
      <c r="R51" s="1" t="s">
        <v>330</v>
      </c>
    </row>
    <row r="52" spans="5:18" x14ac:dyDescent="0.25">
      <c r="E52" s="1917" t="s">
        <v>997</v>
      </c>
      <c r="F52" s="615"/>
      <c r="G52" s="615">
        <f t="shared" si="12"/>
        <v>0</v>
      </c>
      <c r="H52" s="1958">
        <f t="shared" si="13"/>
        <v>0</v>
      </c>
      <c r="I52" s="1" t="s">
        <v>330</v>
      </c>
      <c r="R52" s="1" t="s">
        <v>330</v>
      </c>
    </row>
    <row r="53" spans="5:18" x14ac:dyDescent="0.25">
      <c r="E53" s="1919" t="s">
        <v>1000</v>
      </c>
      <c r="F53" s="615">
        <v>139486</v>
      </c>
      <c r="G53" s="615">
        <f t="shared" si="12"/>
        <v>139.48599999999999</v>
      </c>
      <c r="H53" s="1958">
        <f t="shared" si="13"/>
        <v>4.0488229659516417</v>
      </c>
      <c r="I53" s="1" t="s">
        <v>330</v>
      </c>
      <c r="R53" s="1" t="s">
        <v>330</v>
      </c>
    </row>
    <row r="54" spans="5:18" x14ac:dyDescent="0.25">
      <c r="E54" s="1921" t="s">
        <v>392</v>
      </c>
      <c r="F54" s="615">
        <v>19730</v>
      </c>
      <c r="G54" s="615">
        <f t="shared" si="12"/>
        <v>19.73</v>
      </c>
      <c r="H54" s="1958">
        <f t="shared" si="13"/>
        <v>0.57269745435546138</v>
      </c>
      <c r="I54" s="1" t="s">
        <v>330</v>
      </c>
      <c r="R54" s="1" t="s">
        <v>330</v>
      </c>
    </row>
    <row r="55" spans="5:18" x14ac:dyDescent="0.25">
      <c r="E55" s="1924" t="s">
        <v>1005</v>
      </c>
      <c r="F55" s="615">
        <v>740017</v>
      </c>
      <c r="G55" s="615">
        <f t="shared" si="12"/>
        <v>740.01700000000005</v>
      </c>
      <c r="H55" s="1958">
        <f t="shared" si="13"/>
        <v>21.480276334504079</v>
      </c>
      <c r="I55" s="1" t="s">
        <v>330</v>
      </c>
      <c r="R55" s="1" t="s">
        <v>330</v>
      </c>
    </row>
    <row r="56" spans="5:18" x14ac:dyDescent="0.25">
      <c r="E56" s="1928" t="s">
        <v>411</v>
      </c>
      <c r="F56" s="615">
        <v>23391</v>
      </c>
      <c r="G56" s="615">
        <f t="shared" si="12"/>
        <v>23.390999999999998</v>
      </c>
      <c r="H56" s="1958">
        <f t="shared" si="13"/>
        <v>0.67896432614437896</v>
      </c>
      <c r="I56" s="1" t="s">
        <v>330</v>
      </c>
      <c r="R56" s="1" t="s">
        <v>330</v>
      </c>
    </row>
    <row r="57" spans="5:18" x14ac:dyDescent="0.25">
      <c r="E57" s="643" t="s">
        <v>389</v>
      </c>
      <c r="F57" s="615">
        <v>12913876</v>
      </c>
      <c r="G57" s="615">
        <f t="shared" si="12"/>
        <v>12913.876</v>
      </c>
      <c r="H57" s="1958">
        <f t="shared" si="13"/>
        <v>374.84763867521986</v>
      </c>
      <c r="I57" s="1" t="s">
        <v>330</v>
      </c>
      <c r="R57" s="1" t="s">
        <v>330</v>
      </c>
    </row>
    <row r="58" spans="5:18" ht="27.75" customHeight="1" x14ac:dyDescent="0.25">
      <c r="L58" s="3977" t="s">
        <v>1041</v>
      </c>
      <c r="M58" s="3978"/>
      <c r="N58" s="3978" t="s">
        <v>330</v>
      </c>
      <c r="O58" s="1960"/>
      <c r="P58" s="1960"/>
      <c r="Q58" s="1960"/>
      <c r="R58" s="1" t="s">
        <v>330</v>
      </c>
    </row>
    <row r="59" spans="5:18" x14ac:dyDescent="0.25">
      <c r="K59" s="644" t="s">
        <v>1042</v>
      </c>
      <c r="L59" s="1882" t="s">
        <v>154</v>
      </c>
      <c r="M59" s="1882" t="s">
        <v>126</v>
      </c>
      <c r="N59" s="1882" t="s">
        <v>1043</v>
      </c>
      <c r="O59" s="1957"/>
      <c r="P59" s="1957"/>
      <c r="Q59" s="1957"/>
      <c r="R59" s="1" t="s">
        <v>330</v>
      </c>
    </row>
    <row r="60" spans="5:18" x14ac:dyDescent="0.25">
      <c r="F60" s="3975" t="s">
        <v>1044</v>
      </c>
      <c r="G60" s="3976"/>
      <c r="H60" s="3976" t="s">
        <v>330</v>
      </c>
      <c r="K60" s="1888" t="s">
        <v>401</v>
      </c>
      <c r="L60" s="615">
        <v>1148660</v>
      </c>
      <c r="M60" s="615">
        <f>L60/1000</f>
        <v>1148.6600000000001</v>
      </c>
      <c r="N60" s="1958">
        <f>L60/2912</f>
        <v>394.45741758241758</v>
      </c>
      <c r="O60" s="1959"/>
      <c r="P60" s="1959"/>
      <c r="Q60" s="1959"/>
      <c r="R60" s="1" t="s">
        <v>330</v>
      </c>
    </row>
    <row r="61" spans="5:18" x14ac:dyDescent="0.25">
      <c r="E61" s="644" t="s">
        <v>1045</v>
      </c>
      <c r="F61" s="1882" t="s">
        <v>154</v>
      </c>
      <c r="G61" s="1882" t="s">
        <v>126</v>
      </c>
      <c r="H61" s="1882" t="s">
        <v>1019</v>
      </c>
      <c r="I61" s="1" t="s">
        <v>330</v>
      </c>
      <c r="K61" s="1896" t="s">
        <v>981</v>
      </c>
      <c r="L61" s="615">
        <v>810</v>
      </c>
      <c r="M61" s="615">
        <f t="shared" ref="M61:M73" si="14">L61/1000</f>
        <v>0.81</v>
      </c>
      <c r="N61" s="1958">
        <f t="shared" ref="N61:N73" si="15">L61/2912</f>
        <v>0.27815934065934067</v>
      </c>
      <c r="O61" s="1959"/>
      <c r="P61" s="1959"/>
      <c r="Q61" s="1959"/>
      <c r="R61" s="1" t="s">
        <v>330</v>
      </c>
    </row>
    <row r="62" spans="5:18" x14ac:dyDescent="0.25">
      <c r="E62" s="1888" t="s">
        <v>401</v>
      </c>
      <c r="F62" s="615">
        <v>3355340</v>
      </c>
      <c r="G62" s="615">
        <f>F62/1000</f>
        <v>3355.34</v>
      </c>
      <c r="H62" s="1958">
        <f>F62/12446</f>
        <v>269.59183673469386</v>
      </c>
      <c r="I62" s="1" t="s">
        <v>330</v>
      </c>
      <c r="K62" s="1902" t="s">
        <v>983</v>
      </c>
      <c r="L62" s="615">
        <v>81680</v>
      </c>
      <c r="M62" s="615">
        <f t="shared" si="14"/>
        <v>81.680000000000007</v>
      </c>
      <c r="N62" s="1958">
        <f t="shared" si="15"/>
        <v>28.049450549450551</v>
      </c>
      <c r="O62" s="1959"/>
      <c r="P62" s="1959"/>
      <c r="Q62" s="1959"/>
      <c r="R62" s="1" t="s">
        <v>330</v>
      </c>
    </row>
    <row r="63" spans="5:18" x14ac:dyDescent="0.25">
      <c r="E63" s="1896" t="s">
        <v>981</v>
      </c>
      <c r="F63" s="615">
        <v>6798</v>
      </c>
      <c r="G63" s="615">
        <f t="shared" ref="G63:G75" si="16">F63/1000</f>
        <v>6.798</v>
      </c>
      <c r="H63" s="1958">
        <f t="shared" ref="H63:H75" si="17">F63/12446</f>
        <v>0.5461995821950828</v>
      </c>
      <c r="I63" s="1" t="s">
        <v>330</v>
      </c>
      <c r="K63" s="1906" t="s">
        <v>985</v>
      </c>
      <c r="L63" s="615">
        <v>167180</v>
      </c>
      <c r="M63" s="615">
        <f t="shared" si="14"/>
        <v>167.18</v>
      </c>
      <c r="N63" s="1958">
        <f t="shared" si="15"/>
        <v>57.410714285714285</v>
      </c>
      <c r="O63" s="1959"/>
      <c r="P63" s="1959"/>
      <c r="Q63" s="1959"/>
      <c r="R63" s="1" t="s">
        <v>330</v>
      </c>
    </row>
    <row r="64" spans="5:18" x14ac:dyDescent="0.25">
      <c r="E64" s="1902" t="s">
        <v>983</v>
      </c>
      <c r="F64" s="615">
        <v>308180</v>
      </c>
      <c r="G64" s="615">
        <f t="shared" si="16"/>
        <v>308.18</v>
      </c>
      <c r="H64" s="1958">
        <f t="shared" si="17"/>
        <v>24.761369114574965</v>
      </c>
      <c r="I64" s="1" t="s">
        <v>330</v>
      </c>
      <c r="K64" s="1908" t="s">
        <v>987</v>
      </c>
      <c r="L64" s="615">
        <v>0</v>
      </c>
      <c r="M64" s="615">
        <f t="shared" si="14"/>
        <v>0</v>
      </c>
      <c r="N64" s="1958">
        <f t="shared" si="15"/>
        <v>0</v>
      </c>
      <c r="O64" s="1959"/>
      <c r="P64" s="1959"/>
      <c r="Q64" s="1959"/>
      <c r="R64" s="1" t="s">
        <v>330</v>
      </c>
    </row>
    <row r="65" spans="5:18" x14ac:dyDescent="0.25">
      <c r="E65" s="1906" t="s">
        <v>985</v>
      </c>
      <c r="F65" s="615">
        <v>262430</v>
      </c>
      <c r="G65" s="615">
        <f t="shared" si="16"/>
        <v>262.43</v>
      </c>
      <c r="H65" s="1958">
        <f t="shared" si="17"/>
        <v>21.085489313835769</v>
      </c>
      <c r="I65" s="1" t="s">
        <v>330</v>
      </c>
      <c r="K65" s="1909" t="s">
        <v>990</v>
      </c>
      <c r="L65" s="615">
        <v>84080</v>
      </c>
      <c r="M65" s="615">
        <f t="shared" si="14"/>
        <v>84.08</v>
      </c>
      <c r="N65" s="1958">
        <f t="shared" si="15"/>
        <v>28.873626373626372</v>
      </c>
      <c r="O65" s="1959"/>
      <c r="P65" s="1959"/>
      <c r="Q65" s="1959"/>
      <c r="R65" s="1" t="s">
        <v>330</v>
      </c>
    </row>
    <row r="66" spans="5:18" x14ac:dyDescent="0.25">
      <c r="E66" s="1908" t="s">
        <v>987</v>
      </c>
      <c r="F66" s="615">
        <v>28103</v>
      </c>
      <c r="G66" s="615">
        <f t="shared" si="16"/>
        <v>28.103000000000002</v>
      </c>
      <c r="H66" s="1958">
        <f t="shared" si="17"/>
        <v>2.257994536397236</v>
      </c>
      <c r="I66" s="1" t="s">
        <v>330</v>
      </c>
      <c r="K66" s="1910" t="s">
        <v>383</v>
      </c>
      <c r="L66" s="615">
        <v>143735</v>
      </c>
      <c r="M66" s="615">
        <f t="shared" si="14"/>
        <v>143.73500000000001</v>
      </c>
      <c r="N66" s="1958">
        <f t="shared" si="15"/>
        <v>49.359546703296701</v>
      </c>
      <c r="O66" s="1959"/>
      <c r="P66" s="1959"/>
      <c r="Q66" s="1959"/>
    </row>
    <row r="67" spans="5:18" x14ac:dyDescent="0.25">
      <c r="E67" s="1909" t="s">
        <v>990</v>
      </c>
      <c r="F67" s="615">
        <v>621140</v>
      </c>
      <c r="G67" s="615">
        <f t="shared" si="16"/>
        <v>621.14</v>
      </c>
      <c r="H67" s="1958">
        <f t="shared" si="17"/>
        <v>49.906797364615137</v>
      </c>
      <c r="I67" s="1" t="s">
        <v>330</v>
      </c>
      <c r="K67" s="1911" t="s">
        <v>995</v>
      </c>
      <c r="L67" s="615">
        <v>82127</v>
      </c>
      <c r="M67" s="615">
        <f t="shared" si="14"/>
        <v>82.126999999999995</v>
      </c>
      <c r="N67" s="1958">
        <f t="shared" si="15"/>
        <v>28.202953296703296</v>
      </c>
      <c r="O67" s="1959"/>
      <c r="P67" s="1959"/>
      <c r="Q67" s="1959"/>
    </row>
    <row r="68" spans="5:18" x14ac:dyDescent="0.25">
      <c r="E68" s="1910" t="s">
        <v>383</v>
      </c>
      <c r="F68" s="615">
        <v>373925</v>
      </c>
      <c r="G68" s="615">
        <f t="shared" si="16"/>
        <v>373.92500000000001</v>
      </c>
      <c r="H68" s="1958">
        <f t="shared" si="17"/>
        <v>30.043789169210992</v>
      </c>
      <c r="I68" s="1" t="s">
        <v>330</v>
      </c>
      <c r="K68" s="1917" t="s">
        <v>997</v>
      </c>
      <c r="L68" s="615"/>
      <c r="M68" s="615">
        <f t="shared" si="14"/>
        <v>0</v>
      </c>
      <c r="N68" s="1958">
        <f t="shared" si="15"/>
        <v>0</v>
      </c>
      <c r="O68" s="1959"/>
      <c r="P68" s="1959"/>
      <c r="Q68" s="1959"/>
    </row>
    <row r="69" spans="5:18" x14ac:dyDescent="0.25">
      <c r="E69" s="1911" t="s">
        <v>995</v>
      </c>
      <c r="F69" s="615">
        <v>354986</v>
      </c>
      <c r="G69" s="615">
        <f t="shared" si="16"/>
        <v>354.98599999999999</v>
      </c>
      <c r="H69" s="1958">
        <f t="shared" si="17"/>
        <v>28.522095452354169</v>
      </c>
      <c r="I69" s="1" t="s">
        <v>330</v>
      </c>
      <c r="K69" s="1919" t="s">
        <v>1000</v>
      </c>
      <c r="L69" s="615">
        <v>12440</v>
      </c>
      <c r="M69" s="615">
        <f t="shared" si="14"/>
        <v>12.44</v>
      </c>
      <c r="N69" s="1958">
        <f t="shared" si="15"/>
        <v>4.2719780219780219</v>
      </c>
      <c r="O69" s="1959"/>
      <c r="P69" s="1959"/>
      <c r="Q69" s="1959"/>
    </row>
    <row r="70" spans="5:18" x14ac:dyDescent="0.25">
      <c r="E70" s="1917" t="s">
        <v>997</v>
      </c>
      <c r="F70" s="615"/>
      <c r="G70" s="615">
        <f t="shared" si="16"/>
        <v>0</v>
      </c>
      <c r="H70" s="1958">
        <f t="shared" si="17"/>
        <v>0</v>
      </c>
      <c r="I70" s="1" t="s">
        <v>330</v>
      </c>
      <c r="K70" s="1921" t="s">
        <v>392</v>
      </c>
      <c r="L70" s="615">
        <v>4602</v>
      </c>
      <c r="M70" s="615">
        <f t="shared" si="14"/>
        <v>4.6020000000000003</v>
      </c>
      <c r="N70" s="1958">
        <f t="shared" si="15"/>
        <v>1.5803571428571428</v>
      </c>
      <c r="O70" s="1959"/>
      <c r="P70" s="1959"/>
      <c r="Q70" s="1959"/>
    </row>
    <row r="71" spans="5:18" x14ac:dyDescent="0.25">
      <c r="E71" s="1919" t="s">
        <v>1000</v>
      </c>
      <c r="F71" s="615">
        <v>40135</v>
      </c>
      <c r="G71" s="615">
        <f t="shared" si="16"/>
        <v>40.134999999999998</v>
      </c>
      <c r="H71" s="1958">
        <f t="shared" si="17"/>
        <v>3.2247308372167764</v>
      </c>
      <c r="I71" s="1" t="s">
        <v>330</v>
      </c>
      <c r="K71" s="1924" t="s">
        <v>1005</v>
      </c>
      <c r="L71" s="615">
        <v>304</v>
      </c>
      <c r="M71" s="615">
        <f t="shared" si="14"/>
        <v>0.30399999999999999</v>
      </c>
      <c r="N71" s="1958">
        <f t="shared" si="15"/>
        <v>0.1043956043956044</v>
      </c>
      <c r="O71" s="1959"/>
      <c r="P71" s="1959"/>
      <c r="Q71" s="1959"/>
    </row>
    <row r="72" spans="5:18" x14ac:dyDescent="0.25">
      <c r="E72" s="1921" t="s">
        <v>392</v>
      </c>
      <c r="F72" s="615">
        <v>47166</v>
      </c>
      <c r="G72" s="615">
        <f t="shared" si="16"/>
        <v>47.165999999999997</v>
      </c>
      <c r="H72" s="1958">
        <f t="shared" si="17"/>
        <v>3.7896512935883013</v>
      </c>
      <c r="I72" s="1" t="s">
        <v>330</v>
      </c>
      <c r="K72" s="1928" t="s">
        <v>411</v>
      </c>
      <c r="L72" s="615">
        <v>3092</v>
      </c>
      <c r="M72" s="615">
        <f t="shared" si="14"/>
        <v>3.0920000000000001</v>
      </c>
      <c r="N72" s="1958">
        <f t="shared" si="15"/>
        <v>1.0618131868131868</v>
      </c>
      <c r="O72" s="1959"/>
      <c r="P72" s="1959"/>
      <c r="Q72" s="1959"/>
    </row>
    <row r="73" spans="5:18" x14ac:dyDescent="0.25">
      <c r="E73" s="1924" t="s">
        <v>1005</v>
      </c>
      <c r="F73" s="615">
        <v>168560</v>
      </c>
      <c r="G73" s="615">
        <f t="shared" si="16"/>
        <v>168.56</v>
      </c>
      <c r="H73" s="1958">
        <f t="shared" si="17"/>
        <v>13.543307086614174</v>
      </c>
      <c r="I73" s="1" t="s">
        <v>330</v>
      </c>
      <c r="K73" s="643" t="s">
        <v>389</v>
      </c>
      <c r="L73" s="615">
        <v>1728710</v>
      </c>
      <c r="M73" s="615">
        <f t="shared" si="14"/>
        <v>1728.71</v>
      </c>
      <c r="N73" s="1958">
        <f t="shared" si="15"/>
        <v>593.65041208791206</v>
      </c>
      <c r="O73" s="1959"/>
      <c r="P73" s="1959"/>
      <c r="Q73" s="1959"/>
    </row>
    <row r="74" spans="5:18" x14ac:dyDescent="0.25">
      <c r="E74" s="1928" t="s">
        <v>411</v>
      </c>
      <c r="F74" s="615">
        <v>14314</v>
      </c>
      <c r="G74" s="615">
        <f t="shared" si="16"/>
        <v>14.314</v>
      </c>
      <c r="H74" s="1958">
        <f t="shared" si="17"/>
        <v>1.1500883818094167</v>
      </c>
      <c r="I74" s="1" t="s">
        <v>330</v>
      </c>
    </row>
    <row r="75" spans="5:18" x14ac:dyDescent="0.25">
      <c r="E75" s="643" t="s">
        <v>389</v>
      </c>
      <c r="F75" s="615">
        <v>5581076</v>
      </c>
      <c r="G75" s="615">
        <f t="shared" si="16"/>
        <v>5581.076</v>
      </c>
      <c r="H75" s="1958">
        <f t="shared" si="17"/>
        <v>448.42326852000645</v>
      </c>
      <c r="I75" s="1" t="s">
        <v>330</v>
      </c>
    </row>
    <row r="78" spans="5:18" ht="25.5" customHeight="1" x14ac:dyDescent="0.25">
      <c r="F78" s="3977" t="s">
        <v>1046</v>
      </c>
      <c r="G78" s="3978"/>
      <c r="H78" s="3978"/>
      <c r="L78" s="3991" t="s">
        <v>1047</v>
      </c>
      <c r="M78" s="3992"/>
      <c r="N78" s="3992" t="s">
        <v>330</v>
      </c>
      <c r="O78" s="1961"/>
      <c r="P78" s="1961"/>
      <c r="Q78" s="1961"/>
    </row>
    <row r="79" spans="5:18" x14ac:dyDescent="0.25">
      <c r="E79" s="644" t="s">
        <v>1048</v>
      </c>
      <c r="F79" s="1882" t="s">
        <v>154</v>
      </c>
      <c r="G79" s="1882" t="s">
        <v>126</v>
      </c>
      <c r="H79" s="1882" t="s">
        <v>1019</v>
      </c>
      <c r="I79" s="1" t="s">
        <v>330</v>
      </c>
      <c r="K79" s="644" t="s">
        <v>1049</v>
      </c>
      <c r="L79" s="1882" t="s">
        <v>154</v>
      </c>
      <c r="M79" s="1882" t="s">
        <v>126</v>
      </c>
      <c r="N79" s="1882" t="s">
        <v>1019</v>
      </c>
      <c r="O79" s="1957"/>
      <c r="P79" s="1957"/>
      <c r="Q79" s="1957"/>
      <c r="R79" s="1" t="s">
        <v>330</v>
      </c>
    </row>
    <row r="80" spans="5:18" x14ac:dyDescent="0.25">
      <c r="E80" s="1888" t="s">
        <v>401</v>
      </c>
      <c r="F80" s="615">
        <v>5090020</v>
      </c>
      <c r="G80" s="615">
        <f>F80/1000</f>
        <v>5090.0200000000004</v>
      </c>
      <c r="H80" s="1958">
        <f>F80/11203</f>
        <v>454.34437204320272</v>
      </c>
      <c r="I80" s="1" t="s">
        <v>330</v>
      </c>
      <c r="K80" s="1888" t="s">
        <v>401</v>
      </c>
      <c r="L80" s="615">
        <v>67602984</v>
      </c>
      <c r="M80" s="615">
        <f>L80/1000</f>
        <v>67602.983999999997</v>
      </c>
      <c r="N80" s="1958">
        <f>L80/249176</f>
        <v>271.30616110700868</v>
      </c>
      <c r="O80" s="1959"/>
      <c r="P80" s="1959"/>
      <c r="Q80" s="1959"/>
      <c r="R80" s="1" t="s">
        <v>330</v>
      </c>
    </row>
    <row r="81" spans="5:18" x14ac:dyDescent="0.25">
      <c r="E81" s="1896" t="s">
        <v>981</v>
      </c>
      <c r="F81" s="615">
        <v>968</v>
      </c>
      <c r="G81" s="615">
        <f t="shared" ref="G81:G93" si="18">F81/1000</f>
        <v>0.96799999999999997</v>
      </c>
      <c r="H81" s="1958">
        <f t="shared" ref="H81:H93" si="19">F81/11203</f>
        <v>8.6405427117736328E-2</v>
      </c>
      <c r="I81" s="1" t="s">
        <v>330</v>
      </c>
      <c r="K81" s="1896" t="s">
        <v>981</v>
      </c>
      <c r="L81" s="615">
        <v>49060</v>
      </c>
      <c r="M81" s="615">
        <f t="shared" ref="M81:M93" si="20">L81/1000</f>
        <v>49.06</v>
      </c>
      <c r="N81" s="1958">
        <f t="shared" ref="N81:N93" si="21">L81/249176</f>
        <v>0.19688894596590362</v>
      </c>
      <c r="O81" s="1959"/>
      <c r="P81" s="1959"/>
      <c r="Q81" s="1959"/>
      <c r="R81" s="1" t="s">
        <v>330</v>
      </c>
    </row>
    <row r="82" spans="5:18" x14ac:dyDescent="0.25">
      <c r="E82" s="1902" t="s">
        <v>983</v>
      </c>
      <c r="F82" s="615">
        <v>210760</v>
      </c>
      <c r="G82" s="615">
        <f t="shared" si="18"/>
        <v>210.76</v>
      </c>
      <c r="H82" s="1958">
        <f t="shared" si="19"/>
        <v>18.812817995179863</v>
      </c>
      <c r="I82" s="1" t="s">
        <v>330</v>
      </c>
      <c r="K82" s="1902" t="s">
        <v>983</v>
      </c>
      <c r="L82" s="615">
        <v>4823275</v>
      </c>
      <c r="M82" s="615">
        <f t="shared" si="20"/>
        <v>4823.2749999999996</v>
      </c>
      <c r="N82" s="1958">
        <f t="shared" si="21"/>
        <v>19.356900343532281</v>
      </c>
      <c r="O82" s="1959"/>
      <c r="P82" s="1959"/>
      <c r="Q82" s="1959"/>
      <c r="R82" s="1" t="s">
        <v>330</v>
      </c>
    </row>
    <row r="83" spans="5:18" x14ac:dyDescent="0.25">
      <c r="E83" s="1906" t="s">
        <v>985</v>
      </c>
      <c r="F83" s="615">
        <v>157360</v>
      </c>
      <c r="G83" s="615">
        <f t="shared" si="18"/>
        <v>157.36000000000001</v>
      </c>
      <c r="H83" s="1958">
        <f t="shared" si="19"/>
        <v>14.046237614924573</v>
      </c>
      <c r="I83" s="1" t="s">
        <v>330</v>
      </c>
      <c r="K83" s="1906" t="s">
        <v>985</v>
      </c>
      <c r="L83" s="615">
        <v>2125450</v>
      </c>
      <c r="M83" s="615">
        <f t="shared" si="20"/>
        <v>2125.4499999999998</v>
      </c>
      <c r="N83" s="1958">
        <f t="shared" si="21"/>
        <v>8.5299145985167115</v>
      </c>
      <c r="O83" s="1959"/>
      <c r="P83" s="1959"/>
      <c r="Q83" s="1959"/>
      <c r="R83" s="1" t="s">
        <v>330</v>
      </c>
    </row>
    <row r="84" spans="5:18" x14ac:dyDescent="0.25">
      <c r="E84" s="1908" t="s">
        <v>987</v>
      </c>
      <c r="F84" s="615">
        <v>68000</v>
      </c>
      <c r="G84" s="615">
        <f t="shared" si="18"/>
        <v>68</v>
      </c>
      <c r="H84" s="1958">
        <f t="shared" si="19"/>
        <v>6.0698027314112295</v>
      </c>
      <c r="I84" s="1" t="s">
        <v>330</v>
      </c>
      <c r="K84" s="1908" t="s">
        <v>987</v>
      </c>
      <c r="L84" s="615">
        <v>3268620</v>
      </c>
      <c r="M84" s="615">
        <f t="shared" si="20"/>
        <v>3268.62</v>
      </c>
      <c r="N84" s="1958">
        <f t="shared" si="21"/>
        <v>13.117715991909334</v>
      </c>
      <c r="O84" s="1959"/>
      <c r="P84" s="1959"/>
      <c r="Q84" s="1959"/>
      <c r="R84" s="1" t="s">
        <v>330</v>
      </c>
    </row>
    <row r="85" spans="5:18" x14ac:dyDescent="0.25">
      <c r="E85" s="1909" t="s">
        <v>990</v>
      </c>
      <c r="F85" s="615">
        <v>52040</v>
      </c>
      <c r="G85" s="615">
        <f t="shared" si="18"/>
        <v>52.04</v>
      </c>
      <c r="H85" s="1958">
        <f t="shared" si="19"/>
        <v>4.6451843256270644</v>
      </c>
      <c r="I85" s="1" t="s">
        <v>330</v>
      </c>
      <c r="K85" s="1909" t="s">
        <v>990</v>
      </c>
      <c r="L85" s="615">
        <v>1520540</v>
      </c>
      <c r="M85" s="615">
        <f t="shared" si="20"/>
        <v>1520.54</v>
      </c>
      <c r="N85" s="1958">
        <f t="shared" si="21"/>
        <v>6.1022730921115995</v>
      </c>
      <c r="O85" s="1959"/>
      <c r="P85" s="1959"/>
      <c r="Q85" s="1959"/>
      <c r="R85" s="1" t="s">
        <v>330</v>
      </c>
    </row>
    <row r="86" spans="5:18" x14ac:dyDescent="0.25">
      <c r="E86" s="1910" t="s">
        <v>383</v>
      </c>
      <c r="F86" s="615">
        <v>549185</v>
      </c>
      <c r="G86" s="615">
        <f t="shared" si="18"/>
        <v>549.18499999999995</v>
      </c>
      <c r="H86" s="1958">
        <f t="shared" si="19"/>
        <v>49.02124430955994</v>
      </c>
      <c r="I86" s="1" t="s">
        <v>330</v>
      </c>
      <c r="K86" s="1910" t="s">
        <v>383</v>
      </c>
      <c r="L86" s="615">
        <v>5481620</v>
      </c>
      <c r="M86" s="615">
        <f t="shared" si="20"/>
        <v>5481.62</v>
      </c>
      <c r="N86" s="1958">
        <f t="shared" si="21"/>
        <v>21.998988666645264</v>
      </c>
      <c r="O86" s="1959"/>
      <c r="P86" s="1959"/>
      <c r="Q86" s="1959"/>
      <c r="R86" s="1" t="s">
        <v>330</v>
      </c>
    </row>
    <row r="87" spans="5:18" x14ac:dyDescent="0.25">
      <c r="E87" s="1911" t="s">
        <v>995</v>
      </c>
      <c r="F87" s="615">
        <v>404361</v>
      </c>
      <c r="G87" s="615">
        <f t="shared" si="18"/>
        <v>404.36099999999999</v>
      </c>
      <c r="H87" s="1958">
        <f t="shared" si="19"/>
        <v>36.093992680531997</v>
      </c>
      <c r="I87" s="1" t="s">
        <v>330</v>
      </c>
      <c r="K87" s="1911" t="s">
        <v>995</v>
      </c>
      <c r="L87" s="615">
        <v>10766695</v>
      </c>
      <c r="M87" s="615">
        <f t="shared" si="20"/>
        <v>10766.695</v>
      </c>
      <c r="N87" s="1958">
        <f t="shared" si="21"/>
        <v>43.209197515009471</v>
      </c>
      <c r="O87" s="1959"/>
      <c r="P87" s="1959"/>
      <c r="Q87" s="1959"/>
      <c r="R87" s="1" t="s">
        <v>330</v>
      </c>
    </row>
    <row r="88" spans="5:18" x14ac:dyDescent="0.25">
      <c r="E88" s="1917" t="s">
        <v>997</v>
      </c>
      <c r="F88" s="615"/>
      <c r="G88" s="615">
        <f t="shared" si="18"/>
        <v>0</v>
      </c>
      <c r="H88" s="1958">
        <f t="shared" si="19"/>
        <v>0</v>
      </c>
      <c r="I88" s="1" t="s">
        <v>330</v>
      </c>
      <c r="K88" s="1917" t="s">
        <v>997</v>
      </c>
      <c r="L88" s="615"/>
      <c r="M88" s="615">
        <f t="shared" si="20"/>
        <v>0</v>
      </c>
      <c r="N88" s="1958">
        <f t="shared" si="21"/>
        <v>0</v>
      </c>
      <c r="O88" s="1959"/>
      <c r="P88" s="1959"/>
      <c r="Q88" s="1959"/>
      <c r="R88" s="1" t="s">
        <v>330</v>
      </c>
    </row>
    <row r="89" spans="5:18" x14ac:dyDescent="0.25">
      <c r="E89" s="1919" t="s">
        <v>1000</v>
      </c>
      <c r="F89" s="615">
        <v>45586</v>
      </c>
      <c r="G89" s="615">
        <f t="shared" si="18"/>
        <v>45.585999999999999</v>
      </c>
      <c r="H89" s="1958">
        <f t="shared" si="19"/>
        <v>4.0690886369722392</v>
      </c>
      <c r="I89" s="1" t="s">
        <v>330</v>
      </c>
      <c r="K89" s="1919" t="s">
        <v>1000</v>
      </c>
      <c r="L89" s="615">
        <v>812000</v>
      </c>
      <c r="M89" s="615">
        <f t="shared" si="20"/>
        <v>812</v>
      </c>
      <c r="N89" s="1958">
        <f t="shared" si="21"/>
        <v>3.2587408097088004</v>
      </c>
      <c r="O89" s="1959"/>
      <c r="P89" s="1959"/>
      <c r="Q89" s="1959"/>
      <c r="R89" s="1" t="s">
        <v>330</v>
      </c>
    </row>
    <row r="90" spans="5:18" x14ac:dyDescent="0.25">
      <c r="E90" s="1921" t="s">
        <v>392</v>
      </c>
      <c r="F90" s="615">
        <v>7563</v>
      </c>
      <c r="G90" s="615">
        <f t="shared" si="18"/>
        <v>7.5629999999999997</v>
      </c>
      <c r="H90" s="1958">
        <f t="shared" si="19"/>
        <v>0.67508703025975181</v>
      </c>
      <c r="I90" s="1" t="s">
        <v>330</v>
      </c>
      <c r="K90" s="1921" t="s">
        <v>392</v>
      </c>
      <c r="L90" s="615">
        <v>504644</v>
      </c>
      <c r="M90" s="615">
        <f t="shared" si="20"/>
        <v>504.64400000000001</v>
      </c>
      <c r="N90" s="1958">
        <f t="shared" si="21"/>
        <v>2.0252512280476451</v>
      </c>
      <c r="O90" s="1959"/>
      <c r="P90" s="1959"/>
      <c r="Q90" s="1959"/>
      <c r="R90" s="1" t="s">
        <v>330</v>
      </c>
    </row>
    <row r="91" spans="5:18" x14ac:dyDescent="0.25">
      <c r="E91" s="1924" t="s">
        <v>1005</v>
      </c>
      <c r="F91" s="615">
        <v>95424</v>
      </c>
      <c r="G91" s="615">
        <f t="shared" si="18"/>
        <v>95.424000000000007</v>
      </c>
      <c r="H91" s="1958">
        <f t="shared" si="19"/>
        <v>8.5177184682674287</v>
      </c>
      <c r="I91" s="1" t="s">
        <v>330</v>
      </c>
      <c r="K91" s="1924" t="s">
        <v>1005</v>
      </c>
      <c r="L91" s="615">
        <v>2242775</v>
      </c>
      <c r="M91" s="615">
        <f t="shared" si="20"/>
        <v>2242.7750000000001</v>
      </c>
      <c r="N91" s="1958">
        <f t="shared" si="21"/>
        <v>9.0007665264712493</v>
      </c>
      <c r="O91" s="1959"/>
      <c r="P91" s="1959"/>
      <c r="Q91" s="1959"/>
      <c r="R91" s="1" t="s">
        <v>330</v>
      </c>
    </row>
    <row r="92" spans="5:18" x14ac:dyDescent="0.25">
      <c r="E92" s="1928" t="s">
        <v>411</v>
      </c>
      <c r="F92" s="615">
        <v>8343</v>
      </c>
      <c r="G92" s="615">
        <f t="shared" si="18"/>
        <v>8.343</v>
      </c>
      <c r="H92" s="1958">
        <f t="shared" si="19"/>
        <v>0.74471123806123363</v>
      </c>
      <c r="I92" s="1" t="s">
        <v>330</v>
      </c>
      <c r="K92" s="1928" t="s">
        <v>411</v>
      </c>
      <c r="L92" s="615">
        <v>114769</v>
      </c>
      <c r="M92" s="615">
        <f t="shared" si="20"/>
        <v>114.76900000000001</v>
      </c>
      <c r="N92" s="1958">
        <f t="shared" si="21"/>
        <v>0.46059411821363211</v>
      </c>
      <c r="O92" s="1959"/>
      <c r="P92" s="1959"/>
      <c r="Q92" s="1959"/>
      <c r="R92" s="1" t="s">
        <v>330</v>
      </c>
    </row>
    <row r="93" spans="5:18" x14ac:dyDescent="0.25">
      <c r="E93" s="643" t="s">
        <v>389</v>
      </c>
      <c r="F93" s="615">
        <v>6689611</v>
      </c>
      <c r="G93" s="615">
        <f t="shared" si="18"/>
        <v>6689.6109999999999</v>
      </c>
      <c r="H93" s="1958">
        <f t="shared" si="19"/>
        <v>597.12675176292066</v>
      </c>
      <c r="I93" s="1" t="s">
        <v>330</v>
      </c>
      <c r="K93" s="643" t="s">
        <v>389</v>
      </c>
      <c r="L93" s="615">
        <v>99312432</v>
      </c>
      <c r="M93" s="615">
        <f t="shared" si="20"/>
        <v>99312.432000000001</v>
      </c>
      <c r="N93" s="1958">
        <f t="shared" si="21"/>
        <v>398.56339294314057</v>
      </c>
      <c r="O93" s="1959"/>
      <c r="P93" s="1959"/>
      <c r="Q93" s="1959"/>
      <c r="R93" s="1" t="s">
        <v>330</v>
      </c>
    </row>
    <row r="97" spans="5:6" x14ac:dyDescent="0.25">
      <c r="E97" s="1962" t="s">
        <v>1050</v>
      </c>
      <c r="F97" s="1962"/>
    </row>
    <row r="102" spans="5:6" x14ac:dyDescent="0.25">
      <c r="F102" s="512"/>
    </row>
    <row r="146" spans="1:9" x14ac:dyDescent="0.25">
      <c r="F146" s="1962" t="s">
        <v>1051</v>
      </c>
      <c r="G146" s="1962"/>
      <c r="H146" s="1962"/>
      <c r="I146" s="1962"/>
    </row>
    <row r="147" spans="1:9" x14ac:dyDescent="0.25">
      <c r="F147" s="1962"/>
      <c r="G147" s="1962"/>
      <c r="H147" s="1962"/>
      <c r="I147" s="1962"/>
    </row>
    <row r="148" spans="1:9" x14ac:dyDescent="0.25">
      <c r="A148" s="655" t="s">
        <v>1052</v>
      </c>
      <c r="F148" s="1963" t="s">
        <v>1053</v>
      </c>
      <c r="G148" s="1962"/>
      <c r="H148" s="1962"/>
      <c r="I148" s="1962"/>
    </row>
  </sheetData>
  <mergeCells count="13">
    <mergeCell ref="F3:H3"/>
    <mergeCell ref="L3:N3"/>
    <mergeCell ref="J5:J12"/>
    <mergeCell ref="J13:J15"/>
    <mergeCell ref="F78:H78"/>
    <mergeCell ref="L78:N78"/>
    <mergeCell ref="T15:V15"/>
    <mergeCell ref="L32:N32"/>
    <mergeCell ref="F42:H42"/>
    <mergeCell ref="L58:N58"/>
    <mergeCell ref="F60:H60"/>
    <mergeCell ref="J16:J26"/>
    <mergeCell ref="F24:H24"/>
  </mergeCell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Hoja59">
    <tabColor rgb="FF92D050"/>
  </sheetPr>
  <dimension ref="B2:N18"/>
  <sheetViews>
    <sheetView workbookViewId="0"/>
  </sheetViews>
  <sheetFormatPr baseColWidth="10" defaultColWidth="11.44140625" defaultRowHeight="13.2" x14ac:dyDescent="0.25"/>
  <cols>
    <col min="1" max="2" width="11.44140625" style="1"/>
    <col min="3" max="3" width="17.44140625" style="1" customWidth="1"/>
    <col min="4" max="4" width="13" style="1" bestFit="1" customWidth="1"/>
    <col min="5" max="7" width="13" style="1" customWidth="1"/>
    <col min="8" max="8" width="13" style="1" bestFit="1" customWidth="1"/>
    <col min="9" max="16384" width="11.44140625" style="1"/>
  </cols>
  <sheetData>
    <row r="2" spans="2:14" x14ac:dyDescent="0.25">
      <c r="H2" s="1964"/>
    </row>
    <row r="3" spans="2:14" x14ac:dyDescent="0.25">
      <c r="H3" s="655"/>
    </row>
    <row r="4" spans="2:14" ht="13.8" thickBot="1" x14ac:dyDescent="0.3"/>
    <row r="5" spans="2:14" ht="13.8" thickBot="1" x14ac:dyDescent="0.3">
      <c r="B5" s="1965" t="s">
        <v>1054</v>
      </c>
      <c r="C5" s="1966"/>
      <c r="D5" s="1967">
        <v>2014</v>
      </c>
      <c r="E5" s="1967">
        <v>2015</v>
      </c>
      <c r="F5" s="1967">
        <v>2016</v>
      </c>
      <c r="G5" s="1967">
        <v>2017</v>
      </c>
      <c r="H5" s="1968">
        <v>2018</v>
      </c>
    </row>
    <row r="6" spans="2:14" ht="14.4" x14ac:dyDescent="0.3">
      <c r="B6" s="1969"/>
      <c r="C6" s="1970"/>
      <c r="D6" s="1971"/>
      <c r="E6" s="1972"/>
      <c r="F6" s="1973"/>
      <c r="G6" s="1973"/>
      <c r="H6" s="1973"/>
    </row>
    <row r="7" spans="2:14" ht="14.4" x14ac:dyDescent="0.3">
      <c r="B7" s="1974" t="s">
        <v>410</v>
      </c>
      <c r="C7" s="1975"/>
      <c r="D7" s="1976">
        <v>53218.720000000001</v>
      </c>
      <c r="E7" s="1976">
        <v>42716.718999999997</v>
      </c>
      <c r="F7" s="1977">
        <v>42716.718999999997</v>
      </c>
      <c r="G7" s="1977">
        <v>15622.67</v>
      </c>
      <c r="H7" s="1977">
        <v>18184.358</v>
      </c>
      <c r="I7" s="1978"/>
    </row>
    <row r="8" spans="2:14" ht="14.4" x14ac:dyDescent="0.3">
      <c r="B8" s="1979"/>
      <c r="C8" s="1980">
        <v>2013</v>
      </c>
      <c r="D8" s="1971"/>
      <c r="E8" s="1972"/>
      <c r="F8" s="1973"/>
      <c r="G8" s="1973"/>
      <c r="H8" s="1973"/>
    </row>
    <row r="9" spans="2:14" ht="14.4" x14ac:dyDescent="0.3">
      <c r="B9" s="1974" t="s">
        <v>1055</v>
      </c>
      <c r="C9" s="1975" t="e">
        <f>#REF!+#REF!</f>
        <v>#REF!</v>
      </c>
      <c r="D9" s="1976">
        <v>38088.508000000002</v>
      </c>
      <c r="E9" s="1976">
        <v>46881.964999999997</v>
      </c>
      <c r="F9" s="1977">
        <v>46881.964999999997</v>
      </c>
      <c r="G9" s="1977">
        <v>28100.972000000002</v>
      </c>
      <c r="H9" s="1977">
        <v>41055.383999999998</v>
      </c>
      <c r="I9" s="1981">
        <f>E9/6</f>
        <v>7813.6608333333324</v>
      </c>
      <c r="J9" s="1982" t="s">
        <v>117</v>
      </c>
      <c r="K9" s="1983">
        <f>D9/6</f>
        <v>6348.0846666666666</v>
      </c>
      <c r="M9" s="1983">
        <f>H9/6</f>
        <v>6842.5639999999994</v>
      </c>
    </row>
    <row r="10" spans="2:14" ht="14.4" x14ac:dyDescent="0.3">
      <c r="B10" s="1979"/>
      <c r="C10" s="1984"/>
      <c r="D10" s="1971"/>
      <c r="E10" s="1972"/>
      <c r="F10" s="1973"/>
      <c r="G10" s="1973"/>
      <c r="H10" s="1973"/>
      <c r="I10" s="1981">
        <f>E9*5/6</f>
        <v>39068.304166666661</v>
      </c>
      <c r="J10" s="1982" t="s">
        <v>114</v>
      </c>
      <c r="K10" s="1983">
        <f>D9*5/6</f>
        <v>31740.423333333336</v>
      </c>
      <c r="M10" s="1983">
        <f>H9*5/6</f>
        <v>34212.82</v>
      </c>
    </row>
    <row r="11" spans="2:14" ht="14.4" x14ac:dyDescent="0.3">
      <c r="B11" s="1974" t="s">
        <v>1056</v>
      </c>
      <c r="C11" s="1985"/>
      <c r="D11" s="1976">
        <v>812.17899999999997</v>
      </c>
      <c r="E11" s="1976">
        <v>3191.46</v>
      </c>
      <c r="F11" s="1977">
        <v>3191.46</v>
      </c>
      <c r="G11" s="1977">
        <v>2513.7339999999999</v>
      </c>
      <c r="H11" s="1977">
        <v>4384.473</v>
      </c>
      <c r="I11" s="1981">
        <f>SUM(I9:I10)</f>
        <v>46881.964999999997</v>
      </c>
      <c r="J11" s="1982" t="s">
        <v>1057</v>
      </c>
      <c r="K11" s="1983">
        <f>SUM(K9:K10)</f>
        <v>38088.508000000002</v>
      </c>
      <c r="L11" s="1986">
        <v>2014</v>
      </c>
      <c r="M11" s="1983">
        <f>SUM(M9:M10)</f>
        <v>41055.383999999998</v>
      </c>
      <c r="N11" s="1986">
        <v>2018</v>
      </c>
    </row>
    <row r="12" spans="2:14" ht="14.4" x14ac:dyDescent="0.3">
      <c r="B12" s="1979"/>
      <c r="C12" s="1987"/>
      <c r="D12" s="1971"/>
      <c r="E12" s="1972"/>
      <c r="F12" s="1973"/>
      <c r="G12" s="1973"/>
      <c r="H12" s="1973"/>
    </row>
    <row r="13" spans="2:14" ht="14.4" x14ac:dyDescent="0.3">
      <c r="B13" s="1974" t="s">
        <v>1058</v>
      </c>
      <c r="C13" s="1985"/>
      <c r="D13" s="1976">
        <v>73.906000000000006</v>
      </c>
      <c r="E13" s="1976">
        <v>77.793000000000006</v>
      </c>
      <c r="F13" s="1977">
        <v>77.793000000000006</v>
      </c>
      <c r="G13" s="1977">
        <f>E13</f>
        <v>77.793000000000006</v>
      </c>
      <c r="H13" s="1977">
        <f>E13</f>
        <v>77.793000000000006</v>
      </c>
    </row>
    <row r="14" spans="2:14" ht="14.4" x14ac:dyDescent="0.3">
      <c r="B14" s="1979"/>
      <c r="C14" s="1988"/>
      <c r="D14" s="1971"/>
      <c r="E14" s="1972"/>
      <c r="F14" s="1973"/>
      <c r="G14" s="1973"/>
      <c r="H14" s="1973"/>
    </row>
    <row r="15" spans="2:14" ht="14.4" x14ac:dyDescent="0.3">
      <c r="B15" s="1974" t="s">
        <v>406</v>
      </c>
      <c r="C15" s="1985"/>
      <c r="D15" s="1976">
        <v>900</v>
      </c>
      <c r="E15" s="1976">
        <v>1404.32</v>
      </c>
      <c r="F15" s="1977">
        <v>1676.3</v>
      </c>
      <c r="G15" s="1989">
        <v>744.75800000000004</v>
      </c>
      <c r="H15" s="1989">
        <v>1022.44</v>
      </c>
    </row>
    <row r="16" spans="2:14" ht="14.4" x14ac:dyDescent="0.3">
      <c r="B16" s="1979"/>
      <c r="C16" s="1984"/>
      <c r="D16" s="1971"/>
      <c r="E16" s="1972"/>
      <c r="F16" s="1973"/>
      <c r="G16" s="1973"/>
      <c r="H16" s="1973"/>
    </row>
    <row r="17" spans="2:8" ht="15" thickBot="1" x14ac:dyDescent="0.35">
      <c r="B17" s="1990" t="s">
        <v>1059</v>
      </c>
      <c r="C17" s="1991"/>
      <c r="D17" s="1992">
        <v>2.8740000000000001</v>
      </c>
      <c r="E17" s="1992">
        <v>8.02</v>
      </c>
      <c r="F17" s="1993">
        <v>8.02</v>
      </c>
      <c r="G17" s="1993">
        <f>E17</f>
        <v>8.02</v>
      </c>
      <c r="H17" s="1993">
        <f>E17</f>
        <v>8.02</v>
      </c>
    </row>
    <row r="18" spans="2:8" ht="13.8" thickBot="1" x14ac:dyDescent="0.3">
      <c r="B18" s="1994" t="s">
        <v>125</v>
      </c>
      <c r="C18" s="1995"/>
      <c r="D18" s="1996">
        <v>93096.187000000005</v>
      </c>
      <c r="E18" s="1996">
        <v>94225.956999999995</v>
      </c>
      <c r="F18" s="1996">
        <v>94225.956999999995</v>
      </c>
      <c r="G18" s="1996">
        <f>G7+G9+G11+G13+G15+G17</f>
        <v>47067.946999999993</v>
      </c>
      <c r="H18" s="1996">
        <f>H7+H9+H11+H13+H15+H17</f>
        <v>64732.467999999993</v>
      </c>
    </row>
  </sheetData>
  <pageMargins left="0.75" right="0.75" top="1" bottom="1" header="0.4921259845" footer="0.4921259845"/>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Hoja60">
    <tabColor rgb="FF92D050"/>
  </sheetPr>
  <dimension ref="A1:AE91"/>
  <sheetViews>
    <sheetView workbookViewId="0">
      <selection sqref="A1:B1"/>
    </sheetView>
  </sheetViews>
  <sheetFormatPr baseColWidth="10" defaultColWidth="11.44140625" defaultRowHeight="13.2" x14ac:dyDescent="0.25"/>
  <cols>
    <col min="1" max="9" width="11.44140625" style="1"/>
    <col min="10" max="10" width="12.88671875" style="1" bestFit="1" customWidth="1"/>
    <col min="11" max="11" width="12.5546875" style="1" customWidth="1"/>
    <col min="12" max="16384" width="11.44140625" style="1"/>
  </cols>
  <sheetData>
    <row r="1" spans="1:31" ht="13.8" thickBot="1" x14ac:dyDescent="0.3">
      <c r="A1" s="3993" t="s">
        <v>1060</v>
      </c>
      <c r="B1" s="3994"/>
    </row>
    <row r="3" spans="1:31" ht="14.4" thickBot="1" x14ac:dyDescent="0.3">
      <c r="A3" s="1997" t="s">
        <v>1061</v>
      </c>
      <c r="M3" s="1907"/>
      <c r="N3" s="1907"/>
      <c r="O3" s="1907"/>
      <c r="P3" s="1907"/>
      <c r="Q3" s="1907"/>
      <c r="R3" s="1907"/>
      <c r="S3" s="1907"/>
    </row>
    <row r="4" spans="1:31" ht="16.2" thickBot="1" x14ac:dyDescent="0.3">
      <c r="A4" s="1998"/>
      <c r="B4" s="1999" t="s">
        <v>1062</v>
      </c>
      <c r="C4" s="2000">
        <v>1756.8</v>
      </c>
      <c r="F4" s="2001" t="s">
        <v>1062</v>
      </c>
      <c r="G4" s="655" t="s">
        <v>322</v>
      </c>
      <c r="I4" s="655" t="s">
        <v>393</v>
      </c>
      <c r="J4" s="655" t="s">
        <v>180</v>
      </c>
      <c r="K4" s="655" t="s">
        <v>120</v>
      </c>
      <c r="L4" s="655" t="s">
        <v>1063</v>
      </c>
      <c r="M4" s="1907"/>
      <c r="N4" s="1907"/>
      <c r="O4" s="1907"/>
      <c r="P4" s="1907"/>
      <c r="Q4" s="1907"/>
      <c r="R4" s="1907"/>
      <c r="S4" s="1907"/>
    </row>
    <row r="5" spans="1:31" ht="16.2" thickBot="1" x14ac:dyDescent="0.35">
      <c r="A5" s="1998"/>
      <c r="B5" s="2002" t="s">
        <v>1064</v>
      </c>
      <c r="C5" s="2003">
        <v>239.76</v>
      </c>
      <c r="F5" s="2004" t="s">
        <v>1064</v>
      </c>
      <c r="G5" s="655" t="s">
        <v>132</v>
      </c>
      <c r="I5" s="655" t="s">
        <v>1061</v>
      </c>
      <c r="J5" s="2005">
        <v>18841</v>
      </c>
      <c r="K5" s="2005">
        <v>14703</v>
      </c>
      <c r="L5" s="521">
        <v>0.78</v>
      </c>
      <c r="M5" s="1907"/>
      <c r="N5" s="1907"/>
      <c r="O5" s="1907"/>
      <c r="P5" s="1907"/>
      <c r="Q5" s="1907"/>
      <c r="R5" s="1907"/>
      <c r="S5" s="1907"/>
    </row>
    <row r="6" spans="1:31" ht="16.2" thickBot="1" x14ac:dyDescent="0.35">
      <c r="A6" s="1998"/>
      <c r="B6" s="2002" t="s">
        <v>1065</v>
      </c>
      <c r="C6" s="2003">
        <v>1888.96</v>
      </c>
      <c r="F6" s="2004" t="s">
        <v>1065</v>
      </c>
      <c r="G6" s="655" t="s">
        <v>1066</v>
      </c>
      <c r="I6" s="655" t="s">
        <v>398</v>
      </c>
      <c r="J6" s="2005">
        <v>5690</v>
      </c>
      <c r="K6" s="2005">
        <v>3888</v>
      </c>
      <c r="L6" s="521">
        <v>0.68300000000000005</v>
      </c>
      <c r="M6" s="1907"/>
      <c r="N6" s="1907"/>
      <c r="O6" s="1907"/>
      <c r="P6" s="1907"/>
      <c r="Q6" s="1907"/>
      <c r="R6" s="1907"/>
      <c r="S6" s="1907"/>
    </row>
    <row r="7" spans="1:31" ht="16.2" thickBot="1" x14ac:dyDescent="0.35">
      <c r="A7" s="1998"/>
      <c r="B7" s="2002" t="s">
        <v>1067</v>
      </c>
      <c r="C7" s="2003">
        <v>2874.22</v>
      </c>
      <c r="F7" s="2004" t="s">
        <v>1067</v>
      </c>
      <c r="G7" s="655" t="s">
        <v>329</v>
      </c>
      <c r="I7" s="655" t="s">
        <v>1068</v>
      </c>
      <c r="J7" s="2005">
        <v>9903</v>
      </c>
      <c r="K7" s="2005">
        <v>6943</v>
      </c>
      <c r="L7" s="521">
        <v>0.70099999999999996</v>
      </c>
    </row>
    <row r="8" spans="1:31" ht="16.2" thickBot="1" x14ac:dyDescent="0.35">
      <c r="A8" s="1998"/>
      <c r="B8" s="2002" t="s">
        <v>165</v>
      </c>
      <c r="C8" s="2003">
        <v>1056.78</v>
      </c>
      <c r="F8" s="2004" t="s">
        <v>165</v>
      </c>
      <c r="G8" s="655" t="s">
        <v>165</v>
      </c>
      <c r="I8" s="655" t="s">
        <v>1069</v>
      </c>
      <c r="J8" s="2005">
        <v>13228</v>
      </c>
      <c r="K8" s="2005">
        <v>3930</v>
      </c>
      <c r="L8" s="521">
        <v>0.74299999999999999</v>
      </c>
    </row>
    <row r="9" spans="1:31" ht="16.2" thickBot="1" x14ac:dyDescent="0.3">
      <c r="A9" s="1998"/>
      <c r="B9" s="2002" t="s">
        <v>1070</v>
      </c>
      <c r="C9" s="2003">
        <v>5052.0789999999997</v>
      </c>
      <c r="F9" s="2004" t="s">
        <v>1070</v>
      </c>
      <c r="G9" s="655" t="s">
        <v>1070</v>
      </c>
    </row>
    <row r="10" spans="1:31" ht="16.2" thickBot="1" x14ac:dyDescent="0.3">
      <c r="A10" s="1998"/>
      <c r="B10" s="2002" t="s">
        <v>127</v>
      </c>
      <c r="C10" s="2003">
        <v>1834.16</v>
      </c>
      <c r="D10" s="655" t="s">
        <v>123</v>
      </c>
      <c r="E10" s="1" t="s">
        <v>1071</v>
      </c>
      <c r="F10" s="2004" t="s">
        <v>127</v>
      </c>
      <c r="G10" s="655" t="s">
        <v>127</v>
      </c>
    </row>
    <row r="11" spans="1:31" ht="16.2" thickBot="1" x14ac:dyDescent="0.3">
      <c r="A11" s="1998"/>
      <c r="B11" s="2002" t="s">
        <v>125</v>
      </c>
      <c r="C11" s="2006">
        <f>SUM(C4:C10)</f>
        <v>14702.758999999998</v>
      </c>
      <c r="D11" s="512">
        <f>+E11-C11</f>
        <v>4146.9320256410247</v>
      </c>
      <c r="E11" s="512">
        <f>+C11/L5</f>
        <v>18849.691025641023</v>
      </c>
      <c r="F11" s="2004" t="s">
        <v>1072</v>
      </c>
      <c r="G11" s="655" t="s">
        <v>1073</v>
      </c>
    </row>
    <row r="12" spans="1:31" ht="16.2" thickBot="1" x14ac:dyDescent="0.3">
      <c r="A12" s="2007" t="s">
        <v>398</v>
      </c>
      <c r="B12" s="2008"/>
      <c r="C12" s="2008"/>
      <c r="F12" s="2008"/>
    </row>
    <row r="13" spans="1:31" ht="29.4" thickBot="1" x14ac:dyDescent="0.35">
      <c r="A13" s="1998"/>
      <c r="B13" s="2002" t="s">
        <v>1062</v>
      </c>
      <c r="C13" s="2003">
        <v>437.56</v>
      </c>
      <c r="H13" s="2009" t="s">
        <v>1074</v>
      </c>
      <c r="I13" s="2009" t="s">
        <v>441</v>
      </c>
      <c r="J13" s="2009" t="s">
        <v>1075</v>
      </c>
      <c r="K13" s="2009" t="s">
        <v>1076</v>
      </c>
      <c r="L13" s="2009" t="s">
        <v>1077</v>
      </c>
      <c r="M13" s="2009" t="s">
        <v>1078</v>
      </c>
      <c r="N13" s="2009" t="s">
        <v>1079</v>
      </c>
      <c r="U13" s="2010"/>
      <c r="V13" s="2010"/>
      <c r="W13" s="2010"/>
      <c r="X13" s="2010"/>
      <c r="Y13" s="2010"/>
      <c r="Z13" s="2010"/>
      <c r="AA13" s="2010"/>
    </row>
    <row r="14" spans="1:31" ht="16.2" thickBot="1" x14ac:dyDescent="0.35">
      <c r="A14" s="1998"/>
      <c r="B14" s="2002" t="s">
        <v>1064</v>
      </c>
      <c r="C14" s="2003">
        <v>52.04</v>
      </c>
      <c r="H14" s="2011"/>
      <c r="I14" s="2011">
        <v>2018</v>
      </c>
      <c r="J14" s="2012" t="s">
        <v>1080</v>
      </c>
      <c r="K14" s="2013" t="s">
        <v>1081</v>
      </c>
      <c r="L14" s="2014">
        <f>+C4+C5</f>
        <v>1996.56</v>
      </c>
      <c r="M14" s="2013" t="s">
        <v>1082</v>
      </c>
      <c r="N14" s="2015"/>
      <c r="O14" s="1" t="s">
        <v>1083</v>
      </c>
      <c r="Q14" s="1" t="s">
        <v>135</v>
      </c>
      <c r="R14" s="512">
        <v>0</v>
      </c>
      <c r="U14" s="2016"/>
      <c r="V14" s="2016"/>
      <c r="W14" s="2017"/>
      <c r="X14" s="2018"/>
      <c r="Y14" s="2019"/>
      <c r="Z14" s="2018"/>
      <c r="AA14" s="2015"/>
      <c r="AE14" s="512"/>
    </row>
    <row r="15" spans="1:31" ht="16.2" thickBot="1" x14ac:dyDescent="0.35">
      <c r="A15" s="1998"/>
      <c r="B15" s="2002" t="s">
        <v>1065</v>
      </c>
      <c r="C15" s="2003">
        <v>582.70000000000005</v>
      </c>
      <c r="I15" s="2011">
        <v>2018</v>
      </c>
      <c r="J15" s="2012" t="s">
        <v>1080</v>
      </c>
      <c r="K15" s="655" t="s">
        <v>1084</v>
      </c>
      <c r="L15" s="512">
        <f>+C6</f>
        <v>1888.96</v>
      </c>
      <c r="M15" s="655" t="s">
        <v>1082</v>
      </c>
      <c r="O15" s="1" t="s">
        <v>1083</v>
      </c>
      <c r="Q15" s="1" t="s">
        <v>135</v>
      </c>
      <c r="V15" s="2016"/>
      <c r="W15" s="2017"/>
      <c r="X15" s="655"/>
      <c r="Y15" s="512"/>
      <c r="Z15" s="655"/>
    </row>
    <row r="16" spans="1:31" ht="16.2" thickBot="1" x14ac:dyDescent="0.35">
      <c r="A16" s="1998"/>
      <c r="B16" s="2002" t="s">
        <v>1067</v>
      </c>
      <c r="C16" s="2003">
        <v>593.02</v>
      </c>
      <c r="I16" s="2011">
        <v>2018</v>
      </c>
      <c r="J16" s="2012" t="s">
        <v>1080</v>
      </c>
      <c r="K16" s="655" t="s">
        <v>1085</v>
      </c>
      <c r="L16" s="512">
        <f>+C7+C8+C9+C10</f>
        <v>10817.239</v>
      </c>
      <c r="M16" s="655" t="s">
        <v>1082</v>
      </c>
      <c r="O16" s="1" t="s">
        <v>1083</v>
      </c>
      <c r="Q16" s="1" t="s">
        <v>135</v>
      </c>
      <c r="V16" s="2016"/>
      <c r="W16" s="2017"/>
      <c r="X16" s="655"/>
      <c r="Y16" s="512"/>
      <c r="Z16" s="655"/>
      <c r="AE16" s="512"/>
    </row>
    <row r="17" spans="1:31" ht="16.2" thickBot="1" x14ac:dyDescent="0.35">
      <c r="A17" s="1998"/>
      <c r="B17" s="2002" t="s">
        <v>165</v>
      </c>
      <c r="C17" s="2003">
        <v>255.1</v>
      </c>
      <c r="I17" s="2011">
        <v>2018</v>
      </c>
      <c r="J17" s="2012" t="s">
        <v>1080</v>
      </c>
      <c r="K17" s="655" t="s">
        <v>1082</v>
      </c>
      <c r="L17" s="512">
        <f>+D11</f>
        <v>4146.9320256410247</v>
      </c>
      <c r="M17" s="655" t="s">
        <v>1086</v>
      </c>
      <c r="O17" s="1" t="s">
        <v>153</v>
      </c>
      <c r="Q17" s="1" t="s">
        <v>134</v>
      </c>
      <c r="R17" s="512">
        <v>0</v>
      </c>
      <c r="V17" s="2016"/>
      <c r="W17" s="2017"/>
      <c r="X17" s="655"/>
      <c r="Y17" s="512"/>
      <c r="Z17" s="655"/>
    </row>
    <row r="18" spans="1:31" ht="16.2" thickBot="1" x14ac:dyDescent="0.35">
      <c r="A18" s="1998"/>
      <c r="B18" s="2002" t="s">
        <v>1070</v>
      </c>
      <c r="C18" s="2003">
        <v>1495.56</v>
      </c>
      <c r="I18" s="2011">
        <v>2018</v>
      </c>
      <c r="J18" s="2012" t="s">
        <v>1087</v>
      </c>
      <c r="K18" s="655" t="s">
        <v>1081</v>
      </c>
      <c r="L18" s="512">
        <f>+C13+C14</f>
        <v>489.6</v>
      </c>
      <c r="M18" s="2013" t="s">
        <v>1082</v>
      </c>
      <c r="O18" s="1" t="s">
        <v>1083</v>
      </c>
      <c r="Q18" s="1" t="s">
        <v>135</v>
      </c>
      <c r="V18" s="2016"/>
      <c r="W18" s="2017"/>
      <c r="X18" s="655"/>
      <c r="Y18" s="512"/>
      <c r="Z18" s="2018"/>
    </row>
    <row r="19" spans="1:31" ht="16.2" thickBot="1" x14ac:dyDescent="0.35">
      <c r="A19" s="1998"/>
      <c r="B19" s="2002" t="s">
        <v>127</v>
      </c>
      <c r="C19" s="2003">
        <v>471.9</v>
      </c>
      <c r="D19" s="655" t="s">
        <v>123</v>
      </c>
      <c r="E19" s="1" t="s">
        <v>1071</v>
      </c>
      <c r="I19" s="2011">
        <v>2018</v>
      </c>
      <c r="J19" s="2012" t="s">
        <v>1087</v>
      </c>
      <c r="K19" s="655" t="s">
        <v>1084</v>
      </c>
      <c r="L19" s="512">
        <f>+C15</f>
        <v>582.70000000000005</v>
      </c>
      <c r="M19" s="655" t="s">
        <v>1082</v>
      </c>
      <c r="O19" s="1" t="s">
        <v>1083</v>
      </c>
      <c r="Q19" s="1" t="s">
        <v>135</v>
      </c>
      <c r="V19" s="2016"/>
      <c r="W19" s="2017"/>
      <c r="X19" s="655"/>
      <c r="Y19" s="512"/>
      <c r="Z19" s="655"/>
    </row>
    <row r="20" spans="1:31" ht="16.2" thickBot="1" x14ac:dyDescent="0.35">
      <c r="A20" s="1998"/>
      <c r="B20" s="2002" t="s">
        <v>125</v>
      </c>
      <c r="C20" s="2006">
        <f>SUM(C13:C19)</f>
        <v>3887.88</v>
      </c>
      <c r="D20" s="512">
        <f>+E20-C20</f>
        <v>1804.4772474377742</v>
      </c>
      <c r="E20" s="512">
        <f>+C20/L6</f>
        <v>5692.3572474377743</v>
      </c>
      <c r="I20" s="2011">
        <v>2018</v>
      </c>
      <c r="J20" s="2012" t="s">
        <v>1087</v>
      </c>
      <c r="K20" s="655" t="s">
        <v>1085</v>
      </c>
      <c r="L20" s="512">
        <f>+C16+C17+C18+C19</f>
        <v>2815.58</v>
      </c>
      <c r="M20" s="655" t="s">
        <v>1082</v>
      </c>
      <c r="O20" s="1" t="s">
        <v>1083</v>
      </c>
      <c r="Q20" s="1" t="s">
        <v>135</v>
      </c>
      <c r="V20" s="2016"/>
      <c r="W20" s="2017"/>
      <c r="X20" s="655"/>
      <c r="Y20" s="512"/>
      <c r="Z20" s="655"/>
    </row>
    <row r="21" spans="1:31" ht="16.2" thickBot="1" x14ac:dyDescent="0.35">
      <c r="A21" s="2020" t="s">
        <v>1068</v>
      </c>
      <c r="B21" s="2008"/>
      <c r="C21" s="2008"/>
      <c r="I21" s="2011">
        <v>2018</v>
      </c>
      <c r="J21" s="2012" t="s">
        <v>1087</v>
      </c>
      <c r="K21" s="655" t="s">
        <v>1082</v>
      </c>
      <c r="L21" s="512">
        <f>+D20</f>
        <v>1804.4772474377742</v>
      </c>
      <c r="M21" s="655" t="s">
        <v>1088</v>
      </c>
      <c r="O21" s="1" t="s">
        <v>153</v>
      </c>
      <c r="Q21" s="1" t="s">
        <v>133</v>
      </c>
      <c r="V21" s="2016"/>
      <c r="W21" s="2017"/>
      <c r="X21" s="655"/>
      <c r="Y21" s="512"/>
      <c r="Z21" s="655"/>
    </row>
    <row r="22" spans="1:31" ht="16.2" thickBot="1" x14ac:dyDescent="0.35">
      <c r="A22" s="1998"/>
      <c r="B22" s="2002" t="s">
        <v>1062</v>
      </c>
      <c r="C22" s="2003">
        <v>496.51</v>
      </c>
      <c r="I22" s="2011">
        <v>2018</v>
      </c>
      <c r="J22" s="2012" t="s">
        <v>1089</v>
      </c>
      <c r="K22" s="655" t="s">
        <v>1081</v>
      </c>
      <c r="L22" s="512">
        <f>+C22</f>
        <v>496.51</v>
      </c>
      <c r="M22" s="2013" t="s">
        <v>1082</v>
      </c>
      <c r="O22" s="1" t="s">
        <v>1083</v>
      </c>
      <c r="Q22" s="1" t="s">
        <v>135</v>
      </c>
      <c r="R22" s="512">
        <v>-59.945000000000597</v>
      </c>
      <c r="V22" s="2016"/>
      <c r="W22" s="2017"/>
      <c r="X22" s="655"/>
      <c r="Y22" s="512"/>
      <c r="Z22" s="2018"/>
      <c r="AE22" s="512"/>
    </row>
    <row r="23" spans="1:31" ht="16.2" thickBot="1" x14ac:dyDescent="0.35">
      <c r="A23" s="1998"/>
      <c r="B23" s="2002" t="s">
        <v>1064</v>
      </c>
      <c r="C23" s="2003">
        <v>59.945</v>
      </c>
      <c r="I23" s="2011">
        <v>2018</v>
      </c>
      <c r="J23" s="2012" t="s">
        <v>1089</v>
      </c>
      <c r="K23" s="655" t="s">
        <v>1084</v>
      </c>
      <c r="L23" s="512">
        <f>+C24</f>
        <v>407.94600000000003</v>
      </c>
      <c r="M23" s="655" t="s">
        <v>1082</v>
      </c>
      <c r="O23" s="1" t="s">
        <v>1083</v>
      </c>
      <c r="Q23" s="1" t="s">
        <v>135</v>
      </c>
      <c r="V23" s="2016"/>
      <c r="W23" s="2017"/>
      <c r="X23" s="655"/>
      <c r="Y23" s="512"/>
      <c r="Z23" s="655"/>
    </row>
    <row r="24" spans="1:31" ht="16.2" thickBot="1" x14ac:dyDescent="0.35">
      <c r="A24" s="1998"/>
      <c r="B24" s="2002" t="s">
        <v>1065</v>
      </c>
      <c r="C24" s="2003">
        <v>407.94600000000003</v>
      </c>
      <c r="I24" s="2011">
        <v>2018</v>
      </c>
      <c r="J24" s="2012" t="s">
        <v>1089</v>
      </c>
      <c r="K24" s="655" t="s">
        <v>1085</v>
      </c>
      <c r="L24" s="512">
        <f>+C25+C26+C27+C28</f>
        <v>5978.5</v>
      </c>
      <c r="M24" s="655" t="s">
        <v>1082</v>
      </c>
      <c r="O24" s="1" t="s">
        <v>1083</v>
      </c>
      <c r="Q24" s="1" t="s">
        <v>135</v>
      </c>
      <c r="V24" s="2016"/>
      <c r="W24" s="2017"/>
      <c r="X24" s="655"/>
      <c r="Y24" s="512"/>
      <c r="Z24" s="655"/>
    </row>
    <row r="25" spans="1:31" ht="16.2" thickBot="1" x14ac:dyDescent="0.35">
      <c r="A25" s="1998"/>
      <c r="B25" s="2002" t="s">
        <v>1067</v>
      </c>
      <c r="C25" s="2003">
        <v>1375.23</v>
      </c>
      <c r="I25" s="2011">
        <v>2018</v>
      </c>
      <c r="J25" s="2012" t="s">
        <v>1089</v>
      </c>
      <c r="K25" s="655" t="s">
        <v>1082</v>
      </c>
      <c r="L25" s="512">
        <f>+D29</f>
        <v>2961.3800271041373</v>
      </c>
      <c r="M25" s="655" t="s">
        <v>1088</v>
      </c>
      <c r="O25" s="1" t="s">
        <v>153</v>
      </c>
      <c r="Q25" s="1" t="s">
        <v>133</v>
      </c>
      <c r="V25" s="2016"/>
      <c r="W25" s="2017"/>
      <c r="X25" s="655"/>
      <c r="Y25" s="512"/>
      <c r="Z25" s="655"/>
    </row>
    <row r="26" spans="1:31" ht="16.2" thickBot="1" x14ac:dyDescent="0.35">
      <c r="A26" s="1998"/>
      <c r="B26" s="2002" t="s">
        <v>165</v>
      </c>
      <c r="C26" s="2003">
        <v>271.8</v>
      </c>
      <c r="I26" s="2011">
        <v>2018</v>
      </c>
      <c r="J26" s="2012" t="s">
        <v>1090</v>
      </c>
      <c r="K26" s="655" t="s">
        <v>1081</v>
      </c>
      <c r="L26" s="512">
        <f>+C31+C32</f>
        <v>1260.78</v>
      </c>
      <c r="M26" s="2013" t="s">
        <v>1082</v>
      </c>
      <c r="O26" s="1" t="s">
        <v>1083</v>
      </c>
      <c r="Q26" s="1" t="s">
        <v>135</v>
      </c>
      <c r="R26" s="512">
        <v>0</v>
      </c>
      <c r="V26" s="2016"/>
      <c r="W26" s="2017"/>
      <c r="X26" s="655"/>
      <c r="Y26" s="512"/>
      <c r="Z26" s="2018"/>
      <c r="AE26" s="512"/>
    </row>
    <row r="27" spans="1:31" ht="16.2" thickBot="1" x14ac:dyDescent="0.35">
      <c r="A27" s="1998"/>
      <c r="B27" s="2002" t="s">
        <v>1070</v>
      </c>
      <c r="C27" s="2003">
        <v>3714.44</v>
      </c>
      <c r="I27" s="2011">
        <v>2018</v>
      </c>
      <c r="J27" s="2012" t="s">
        <v>1090</v>
      </c>
      <c r="K27" s="655" t="s">
        <v>1084</v>
      </c>
      <c r="L27" s="512">
        <f>+C33</f>
        <v>829.74</v>
      </c>
      <c r="M27" s="655" t="s">
        <v>1082</v>
      </c>
      <c r="O27" s="1" t="s">
        <v>1083</v>
      </c>
      <c r="Q27" s="1" t="s">
        <v>135</v>
      </c>
      <c r="V27" s="2016"/>
      <c r="W27" s="2017"/>
      <c r="X27" s="655"/>
      <c r="Y27" s="512"/>
      <c r="Z27" s="655"/>
    </row>
    <row r="28" spans="1:31" ht="16.2" thickBot="1" x14ac:dyDescent="0.35">
      <c r="A28" s="1998"/>
      <c r="B28" s="2002" t="s">
        <v>127</v>
      </c>
      <c r="C28" s="2003">
        <v>617.03</v>
      </c>
      <c r="D28" s="655" t="s">
        <v>123</v>
      </c>
      <c r="E28" s="1" t="s">
        <v>1071</v>
      </c>
      <c r="I28" s="2011">
        <v>2018</v>
      </c>
      <c r="J28" s="2012" t="s">
        <v>1090</v>
      </c>
      <c r="K28" s="655" t="s">
        <v>1085</v>
      </c>
      <c r="L28" s="512">
        <f>+C34+C35+C36+C37+C38</f>
        <v>7811.92</v>
      </c>
      <c r="M28" s="655" t="s">
        <v>1082</v>
      </c>
      <c r="O28" s="1" t="s">
        <v>1083</v>
      </c>
      <c r="Q28" s="1" t="s">
        <v>135</v>
      </c>
      <c r="V28" s="2016"/>
      <c r="W28" s="2017"/>
      <c r="X28" s="655"/>
      <c r="Y28" s="512"/>
      <c r="Z28" s="655"/>
    </row>
    <row r="29" spans="1:31" ht="15" thickBot="1" x14ac:dyDescent="0.35">
      <c r="B29" s="2001" t="s">
        <v>125</v>
      </c>
      <c r="C29" s="2006">
        <f>SUM(C22:C28)</f>
        <v>6942.9010000000007</v>
      </c>
      <c r="D29" s="512">
        <f>+E29-C29</f>
        <v>2961.3800271041373</v>
      </c>
      <c r="E29" s="512">
        <f>+C29/L7</f>
        <v>9904.281027104138</v>
      </c>
      <c r="F29" s="2021">
        <f>+E29/G39</f>
        <v>0.42632199975105123</v>
      </c>
      <c r="I29" s="2011">
        <v>2018</v>
      </c>
      <c r="J29" s="2012" t="s">
        <v>1090</v>
      </c>
      <c r="K29" s="655" t="s">
        <v>1082</v>
      </c>
      <c r="L29" s="512">
        <f>+D39</f>
        <v>3425.20468371467</v>
      </c>
      <c r="M29" s="655" t="s">
        <v>1088</v>
      </c>
      <c r="O29" s="1" t="s">
        <v>153</v>
      </c>
      <c r="Q29" s="1" t="s">
        <v>133</v>
      </c>
      <c r="V29" s="2016"/>
      <c r="W29" s="2017"/>
      <c r="X29" s="655"/>
      <c r="Y29" s="512"/>
      <c r="Z29" s="655"/>
    </row>
    <row r="30" spans="1:31" ht="16.2" thickBot="1" x14ac:dyDescent="0.3">
      <c r="A30" s="2007" t="s">
        <v>1069</v>
      </c>
      <c r="B30" s="2008"/>
      <c r="C30" s="2008"/>
      <c r="J30" s="2022"/>
      <c r="L30" s="512">
        <f>SUM(L14:L29)</f>
        <v>47714.028983897602</v>
      </c>
    </row>
    <row r="31" spans="1:31" ht="16.2" thickBot="1" x14ac:dyDescent="0.3">
      <c r="A31" s="1998"/>
      <c r="B31" s="2002" t="s">
        <v>1062</v>
      </c>
      <c r="C31" s="2003">
        <v>1133.42</v>
      </c>
      <c r="J31" s="2022"/>
    </row>
    <row r="32" spans="1:31" ht="16.2" thickBot="1" x14ac:dyDescent="0.3">
      <c r="A32" s="1998"/>
      <c r="B32" s="2002" t="s">
        <v>1064</v>
      </c>
      <c r="C32" s="2003">
        <v>127.36</v>
      </c>
      <c r="J32" s="2022"/>
    </row>
    <row r="33" spans="1:14" ht="16.2" thickBot="1" x14ac:dyDescent="0.3">
      <c r="A33" s="1998"/>
      <c r="B33" s="2002" t="s">
        <v>1065</v>
      </c>
      <c r="C33" s="2003">
        <v>829.74</v>
      </c>
      <c r="J33" s="2022"/>
    </row>
    <row r="34" spans="1:14" ht="16.2" thickBot="1" x14ac:dyDescent="0.3">
      <c r="A34" s="1998"/>
      <c r="B34" s="2002" t="s">
        <v>1067</v>
      </c>
      <c r="C34" s="2003">
        <v>1577.7</v>
      </c>
    </row>
    <row r="35" spans="1:14" ht="16.2" thickBot="1" x14ac:dyDescent="0.3">
      <c r="A35" s="1998"/>
      <c r="B35" s="2002" t="s">
        <v>1072</v>
      </c>
      <c r="C35" s="2003">
        <v>72.400000000000006</v>
      </c>
      <c r="I35" s="1" t="s">
        <v>1091</v>
      </c>
      <c r="J35" s="1" t="s">
        <v>1092</v>
      </c>
      <c r="K35" s="1" t="s">
        <v>1093</v>
      </c>
    </row>
    <row r="36" spans="1:14" ht="16.2" thickBot="1" x14ac:dyDescent="0.3">
      <c r="A36" s="1998"/>
      <c r="B36" s="2002" t="s">
        <v>165</v>
      </c>
      <c r="C36" s="2003">
        <v>624.12</v>
      </c>
      <c r="H36" s="1" t="s">
        <v>183</v>
      </c>
      <c r="I36" s="2023" t="e">
        <f>+#REF!+#REF!+#REF!</f>
        <v>#REF!</v>
      </c>
      <c r="J36" s="1895">
        <f>+E29+G49</f>
        <v>9904.281027104138</v>
      </c>
      <c r="K36" s="512" t="e">
        <f>+I36-J36</f>
        <v>#REF!</v>
      </c>
    </row>
    <row r="37" spans="1:14" ht="16.2" thickBot="1" x14ac:dyDescent="0.3">
      <c r="A37" s="1998"/>
      <c r="B37" s="2002" t="s">
        <v>1070</v>
      </c>
      <c r="C37" s="2003">
        <v>4295.12</v>
      </c>
      <c r="H37" s="1" t="s">
        <v>182</v>
      </c>
      <c r="I37" s="2023" t="e">
        <f>+#REF!+#REF!+#REF!</f>
        <v>#REF!</v>
      </c>
      <c r="J37" s="1895">
        <f>+E11-G49+D53</f>
        <v>18849.691025641023</v>
      </c>
      <c r="K37" s="512" t="e">
        <f>+I37-J37</f>
        <v>#REF!</v>
      </c>
    </row>
    <row r="38" spans="1:14" ht="16.2" thickBot="1" x14ac:dyDescent="0.3">
      <c r="A38" s="1998"/>
      <c r="B38" s="2002" t="s">
        <v>127</v>
      </c>
      <c r="C38" s="2003">
        <v>1242.58</v>
      </c>
      <c r="D38" s="655" t="s">
        <v>123</v>
      </c>
      <c r="E38" s="1" t="s">
        <v>1071</v>
      </c>
      <c r="H38" s="1" t="s">
        <v>184</v>
      </c>
      <c r="I38" s="2023" t="e">
        <f>+#REF!+#REF!+#REF!</f>
        <v>#REF!</v>
      </c>
      <c r="J38" s="1895">
        <f>E29+E39-D53</f>
        <v>23231.92571081881</v>
      </c>
      <c r="K38" s="512" t="e">
        <f>+I38-J38</f>
        <v>#REF!</v>
      </c>
    </row>
    <row r="39" spans="1:14" ht="15" thickBot="1" x14ac:dyDescent="0.35">
      <c r="A39" s="1" t="s">
        <v>1094</v>
      </c>
      <c r="B39" s="2002" t="s">
        <v>125</v>
      </c>
      <c r="C39" s="2006">
        <f>SUM(C31:C38)</f>
        <v>9902.44</v>
      </c>
      <c r="D39" s="512">
        <f>+E39-C39</f>
        <v>3425.20468371467</v>
      </c>
      <c r="E39" s="512">
        <f>+C39/L8</f>
        <v>13327.64468371467</v>
      </c>
      <c r="F39" s="2021">
        <f>+E39/G39</f>
        <v>0.57367800024894866</v>
      </c>
      <c r="G39" s="512">
        <f>+E29+E39</f>
        <v>23231.92571081881</v>
      </c>
      <c r="I39" s="1081" t="e">
        <f>SUM(I36:I38)</f>
        <v>#REF!</v>
      </c>
      <c r="J39" s="1081">
        <f>SUM(J36:J38)</f>
        <v>51985.897763563975</v>
      </c>
    </row>
    <row r="40" spans="1:14" x14ac:dyDescent="0.25">
      <c r="C40" s="512">
        <f>+C11+C20+C29+C39</f>
        <v>35435.980000000003</v>
      </c>
      <c r="D40" s="512">
        <f>+E11+E20+E29+E39</f>
        <v>47773.973983897609</v>
      </c>
    </row>
    <row r="42" spans="1:14" x14ac:dyDescent="0.25">
      <c r="A42" s="655" t="s">
        <v>393</v>
      </c>
      <c r="D42" s="655" t="s">
        <v>1095</v>
      </c>
      <c r="E42" s="655" t="s">
        <v>1086</v>
      </c>
      <c r="F42" s="655" t="s">
        <v>1096</v>
      </c>
      <c r="G42" s="655" t="s">
        <v>1088</v>
      </c>
      <c r="H42" s="655" t="s">
        <v>159</v>
      </c>
    </row>
    <row r="43" spans="1:14" x14ac:dyDescent="0.25">
      <c r="A43" s="655" t="s">
        <v>1061</v>
      </c>
      <c r="B43" s="655" t="s">
        <v>1097</v>
      </c>
      <c r="C43" s="655" t="s">
        <v>1082</v>
      </c>
      <c r="D43" s="2024">
        <v>0</v>
      </c>
      <c r="E43" s="521">
        <f>1-C44</f>
        <v>0.21999999999999997</v>
      </c>
      <c r="F43" s="2024">
        <v>0</v>
      </c>
    </row>
    <row r="44" spans="1:14" x14ac:dyDescent="0.25">
      <c r="A44" s="655" t="s">
        <v>398</v>
      </c>
      <c r="B44" s="2024">
        <v>0</v>
      </c>
      <c r="C44" s="521">
        <f>+L5</f>
        <v>0.78</v>
      </c>
      <c r="D44" s="2024">
        <v>0</v>
      </c>
      <c r="F44" s="2024">
        <v>0</v>
      </c>
      <c r="G44" s="521">
        <f>1-C45</f>
        <v>0.31699999999999995</v>
      </c>
    </row>
    <row r="45" spans="1:14" x14ac:dyDescent="0.25">
      <c r="A45" s="655" t="s">
        <v>1068</v>
      </c>
      <c r="B45" s="2024">
        <v>0</v>
      </c>
      <c r="C45" s="521">
        <f>+L6</f>
        <v>0.68300000000000005</v>
      </c>
      <c r="D45" s="2024">
        <v>0</v>
      </c>
      <c r="F45" s="2024">
        <v>0</v>
      </c>
      <c r="G45" s="521">
        <f>1-C46</f>
        <v>0.29900000000000004</v>
      </c>
    </row>
    <row r="46" spans="1:14" x14ac:dyDescent="0.25">
      <c r="A46" s="655" t="s">
        <v>1069</v>
      </c>
      <c r="B46" s="2024">
        <v>0</v>
      </c>
      <c r="C46" s="521">
        <f>+L7</f>
        <v>0.70099999999999996</v>
      </c>
      <c r="D46" s="2024">
        <v>0</v>
      </c>
      <c r="E46" s="2025"/>
      <c r="F46" s="2024">
        <v>0</v>
      </c>
      <c r="G46" s="2025"/>
      <c r="K46" s="655" t="s">
        <v>183</v>
      </c>
      <c r="L46" s="655" t="s">
        <v>182</v>
      </c>
      <c r="M46" s="655" t="s">
        <v>184</v>
      </c>
    </row>
    <row r="47" spans="1:14" x14ac:dyDescent="0.25">
      <c r="B47" s="2024">
        <v>0</v>
      </c>
      <c r="C47" s="521">
        <f>+L8</f>
        <v>0.74299999999999999</v>
      </c>
      <c r="J47" s="655" t="s">
        <v>155</v>
      </c>
      <c r="K47" s="1081" t="e">
        <f>+#REF!</f>
        <v>#REF!</v>
      </c>
      <c r="L47" s="1081" t="e">
        <f>+#REF!</f>
        <v>#REF!</v>
      </c>
      <c r="M47" s="1081" t="e">
        <f>+#REF!</f>
        <v>#REF!</v>
      </c>
      <c r="N47" s="1081" t="e">
        <f>SUM(K47:M47)</f>
        <v>#REF!</v>
      </c>
    </row>
    <row r="48" spans="1:14" x14ac:dyDescent="0.25">
      <c r="A48" s="2026"/>
      <c r="J48" s="655" t="s">
        <v>117</v>
      </c>
      <c r="K48" s="1081" t="e">
        <f>+#REF!</f>
        <v>#REF!</v>
      </c>
      <c r="L48" s="2023" t="e">
        <f>+#REF!</f>
        <v>#REF!</v>
      </c>
      <c r="M48" s="1081" t="e">
        <f>+#REF!</f>
        <v>#REF!</v>
      </c>
      <c r="N48" s="1081" t="e">
        <f>SUM(K48:M48)</f>
        <v>#REF!</v>
      </c>
    </row>
    <row r="49" spans="1:14" x14ac:dyDescent="0.25">
      <c r="A49" s="2027"/>
      <c r="D49" s="1895"/>
      <c r="E49" s="1895"/>
      <c r="F49" s="1895"/>
      <c r="G49" s="1895"/>
      <c r="J49" s="655" t="s">
        <v>114</v>
      </c>
      <c r="K49" s="1081" t="e">
        <f>+#REF!</f>
        <v>#REF!</v>
      </c>
      <c r="L49" s="1081" t="e">
        <f>+#REF!</f>
        <v>#REF!</v>
      </c>
      <c r="M49" s="1081" t="e">
        <f>+#REF!</f>
        <v>#REF!</v>
      </c>
      <c r="N49" s="1081" t="e">
        <f>SUM(K49:M49)</f>
        <v>#REF!</v>
      </c>
    </row>
    <row r="50" spans="1:14" x14ac:dyDescent="0.25">
      <c r="A50" s="2028"/>
      <c r="B50" s="1895"/>
      <c r="C50" s="1895"/>
      <c r="J50" s="655" t="s">
        <v>159</v>
      </c>
      <c r="K50" s="1081" t="e">
        <f>SUM(K47:K49)</f>
        <v>#REF!</v>
      </c>
      <c r="L50" s="1081" t="e">
        <f>SUM(L47:L49)</f>
        <v>#REF!</v>
      </c>
      <c r="M50" s="1081" t="e">
        <f>SUM(M47:M49)</f>
        <v>#REF!</v>
      </c>
      <c r="N50" s="1081" t="e">
        <f>SUM(K50:M50)</f>
        <v>#REF!</v>
      </c>
    </row>
    <row r="51" spans="1:14" x14ac:dyDescent="0.25">
      <c r="A51" s="2028"/>
    </row>
    <row r="52" spans="1:14" x14ac:dyDescent="0.25">
      <c r="A52" s="2028"/>
    </row>
    <row r="53" spans="1:14" ht="14.4" x14ac:dyDescent="0.3">
      <c r="A53" s="2027"/>
      <c r="D53" s="1895"/>
      <c r="E53" s="1907"/>
      <c r="J53" s="2029"/>
      <c r="K53" s="2029"/>
    </row>
    <row r="54" spans="1:14" ht="14.4" x14ac:dyDescent="0.3">
      <c r="B54" s="1895"/>
      <c r="C54" s="1895"/>
      <c r="J54" s="2030"/>
      <c r="K54" s="2030"/>
    </row>
    <row r="55" spans="1:14" ht="14.4" x14ac:dyDescent="0.3">
      <c r="D55" s="1" t="s">
        <v>1075</v>
      </c>
      <c r="E55" s="1" t="s">
        <v>1098</v>
      </c>
      <c r="F55" s="1" t="s">
        <v>1099</v>
      </c>
      <c r="J55" s="2030"/>
      <c r="K55" s="2030"/>
    </row>
    <row r="56" spans="1:14" ht="14.4" x14ac:dyDescent="0.3">
      <c r="A56" s="1" t="s">
        <v>183</v>
      </c>
      <c r="B56" s="652" t="e">
        <f>+#REF!-G49</f>
        <v>#REF!</v>
      </c>
      <c r="C56" s="655" t="s">
        <v>398</v>
      </c>
      <c r="D56" s="2031" t="s">
        <v>1087</v>
      </c>
      <c r="E56" s="1" t="s">
        <v>1100</v>
      </c>
      <c r="F56" s="1" t="s">
        <v>1083</v>
      </c>
      <c r="H56" s="512"/>
      <c r="J56" s="2030"/>
      <c r="K56" s="2030"/>
    </row>
    <row r="57" spans="1:14" ht="14.4" x14ac:dyDescent="0.3">
      <c r="A57" s="1" t="s">
        <v>183</v>
      </c>
      <c r="B57" s="652" t="e">
        <f>+#REF!</f>
        <v>#REF!</v>
      </c>
      <c r="C57" s="655" t="s">
        <v>398</v>
      </c>
      <c r="D57" s="2031" t="s">
        <v>1087</v>
      </c>
      <c r="E57" s="1" t="s">
        <v>1101</v>
      </c>
      <c r="F57" s="1" t="s">
        <v>1083</v>
      </c>
      <c r="H57" s="512"/>
      <c r="J57" s="2030"/>
      <c r="K57" s="2030"/>
    </row>
    <row r="58" spans="1:14" ht="14.4" x14ac:dyDescent="0.3">
      <c r="A58" s="1" t="s">
        <v>183</v>
      </c>
      <c r="B58" s="652" t="e">
        <f>+#REF!</f>
        <v>#REF!</v>
      </c>
      <c r="C58" s="655" t="s">
        <v>398</v>
      </c>
      <c r="D58" s="2031" t="s">
        <v>1087</v>
      </c>
      <c r="E58" s="1" t="s">
        <v>1095</v>
      </c>
      <c r="F58" s="1" t="s">
        <v>1083</v>
      </c>
      <c r="H58" s="512"/>
      <c r="J58" s="2030"/>
      <c r="K58" s="2030"/>
    </row>
    <row r="59" spans="1:14" ht="14.4" x14ac:dyDescent="0.3">
      <c r="A59" s="1" t="s">
        <v>183</v>
      </c>
      <c r="B59" s="652">
        <f>+G49</f>
        <v>0</v>
      </c>
      <c r="C59" s="655" t="s">
        <v>399</v>
      </c>
      <c r="D59" s="2031" t="s">
        <v>1080</v>
      </c>
      <c r="E59" s="1" t="s">
        <v>1100</v>
      </c>
      <c r="F59" s="1" t="s">
        <v>1083</v>
      </c>
      <c r="H59" s="512"/>
      <c r="J59" s="2030"/>
      <c r="K59" s="2030"/>
    </row>
    <row r="60" spans="1:14" ht="14.4" x14ac:dyDescent="0.3">
      <c r="A60" s="1" t="s">
        <v>182</v>
      </c>
      <c r="B60" s="652" t="e">
        <f>+#REF!-D53</f>
        <v>#REF!</v>
      </c>
      <c r="C60" s="655" t="s">
        <v>399</v>
      </c>
      <c r="D60" s="2031" t="s">
        <v>1080</v>
      </c>
      <c r="E60" s="1" t="s">
        <v>1100</v>
      </c>
      <c r="F60" s="1" t="s">
        <v>1083</v>
      </c>
      <c r="H60" s="512"/>
      <c r="J60" s="2030"/>
      <c r="K60" s="2030"/>
    </row>
    <row r="61" spans="1:14" ht="14.4" x14ac:dyDescent="0.3">
      <c r="A61" s="1" t="s">
        <v>182</v>
      </c>
      <c r="B61" s="652" t="e">
        <f>+#REF!</f>
        <v>#REF!</v>
      </c>
      <c r="C61" s="655" t="s">
        <v>399</v>
      </c>
      <c r="D61" s="2031" t="s">
        <v>1080</v>
      </c>
      <c r="E61" s="1" t="s">
        <v>1101</v>
      </c>
      <c r="F61" s="1" t="s">
        <v>1083</v>
      </c>
      <c r="H61" s="512"/>
      <c r="J61" s="2030"/>
      <c r="K61" s="2030"/>
    </row>
    <row r="62" spans="1:14" x14ac:dyDescent="0.25">
      <c r="A62" s="1" t="s">
        <v>182</v>
      </c>
      <c r="B62" s="652" t="e">
        <f>+#REF!</f>
        <v>#REF!</v>
      </c>
      <c r="C62" s="655" t="s">
        <v>399</v>
      </c>
      <c r="D62" s="2031" t="s">
        <v>1080</v>
      </c>
      <c r="E62" s="1" t="s">
        <v>1095</v>
      </c>
      <c r="F62" s="1" t="s">
        <v>1083</v>
      </c>
      <c r="H62" s="512"/>
    </row>
    <row r="63" spans="1:14" x14ac:dyDescent="0.25">
      <c r="A63" s="1" t="s">
        <v>182</v>
      </c>
      <c r="B63" s="652">
        <f>+D53</f>
        <v>0</v>
      </c>
      <c r="C63" s="655" t="s">
        <v>1069</v>
      </c>
      <c r="D63" s="2031" t="s">
        <v>1090</v>
      </c>
      <c r="E63" s="1" t="s">
        <v>1100</v>
      </c>
      <c r="F63" s="1" t="s">
        <v>1083</v>
      </c>
      <c r="H63" s="512"/>
    </row>
    <row r="64" spans="1:14" x14ac:dyDescent="0.25">
      <c r="A64" s="1" t="s">
        <v>184</v>
      </c>
      <c r="B64" s="652" t="e">
        <f>#REF!*F39</f>
        <v>#REF!</v>
      </c>
      <c r="C64" s="655" t="s">
        <v>1069</v>
      </c>
      <c r="D64" s="2031" t="s">
        <v>1090</v>
      </c>
      <c r="E64" s="1" t="s">
        <v>1100</v>
      </c>
      <c r="F64" s="1" t="s">
        <v>1083</v>
      </c>
      <c r="H64" s="512"/>
    </row>
    <row r="65" spans="1:14" x14ac:dyDescent="0.25">
      <c r="A65" s="1" t="s">
        <v>184</v>
      </c>
      <c r="B65" s="652" t="e">
        <f>+#REF!*F39</f>
        <v>#REF!</v>
      </c>
      <c r="C65" s="655" t="s">
        <v>1069</v>
      </c>
      <c r="D65" s="2031" t="s">
        <v>1090</v>
      </c>
      <c r="E65" s="1" t="s">
        <v>1101</v>
      </c>
      <c r="F65" s="1" t="s">
        <v>1083</v>
      </c>
      <c r="H65" s="512"/>
    </row>
    <row r="66" spans="1:14" x14ac:dyDescent="0.25">
      <c r="A66" s="1" t="s">
        <v>184</v>
      </c>
      <c r="B66" s="652" t="e">
        <f>+#REF!*F39</f>
        <v>#REF!</v>
      </c>
      <c r="C66" s="655" t="s">
        <v>1069</v>
      </c>
      <c r="D66" s="2031" t="s">
        <v>1090</v>
      </c>
      <c r="E66" s="1" t="s">
        <v>1095</v>
      </c>
      <c r="F66" s="1" t="s">
        <v>1083</v>
      </c>
      <c r="H66" s="512"/>
    </row>
    <row r="67" spans="1:14" x14ac:dyDescent="0.25">
      <c r="A67" s="655" t="s">
        <v>184</v>
      </c>
      <c r="B67" s="652" t="e">
        <f>#REF!*F29</f>
        <v>#REF!</v>
      </c>
      <c r="C67" s="655" t="s">
        <v>1068</v>
      </c>
      <c r="D67" s="2031" t="s">
        <v>1089</v>
      </c>
      <c r="E67" s="1" t="s">
        <v>1100</v>
      </c>
      <c r="F67" s="1" t="s">
        <v>1083</v>
      </c>
      <c r="H67" s="512"/>
    </row>
    <row r="68" spans="1:14" x14ac:dyDescent="0.25">
      <c r="A68" s="655" t="s">
        <v>184</v>
      </c>
      <c r="B68" s="652" t="e">
        <f>+#REF!*F29</f>
        <v>#REF!</v>
      </c>
      <c r="C68" s="655" t="s">
        <v>1068</v>
      </c>
      <c r="D68" s="2031" t="s">
        <v>1089</v>
      </c>
      <c r="E68" s="1" t="s">
        <v>1101</v>
      </c>
      <c r="F68" s="1" t="s">
        <v>1083</v>
      </c>
      <c r="H68" s="512"/>
    </row>
    <row r="69" spans="1:14" x14ac:dyDescent="0.25">
      <c r="A69" s="655" t="s">
        <v>184</v>
      </c>
      <c r="B69" s="652" t="e">
        <f>+#REF!*F29</f>
        <v>#REF!</v>
      </c>
      <c r="C69" s="655" t="s">
        <v>1068</v>
      </c>
      <c r="D69" s="2031" t="s">
        <v>1089</v>
      </c>
      <c r="E69" s="1" t="s">
        <v>1095</v>
      </c>
      <c r="F69" s="1" t="s">
        <v>1083</v>
      </c>
      <c r="H69" s="512"/>
    </row>
    <row r="70" spans="1:14" x14ac:dyDescent="0.25">
      <c r="B70" s="652">
        <v>48816.922429999991</v>
      </c>
      <c r="C70" s="655"/>
    </row>
    <row r="74" spans="1:14" x14ac:dyDescent="0.25">
      <c r="A74" s="655" t="s">
        <v>1102</v>
      </c>
    </row>
    <row r="75" spans="1:14" ht="28.8" x14ac:dyDescent="0.3">
      <c r="A75" s="2009" t="s">
        <v>1103</v>
      </c>
      <c r="B75" s="2009" t="s">
        <v>1104</v>
      </c>
      <c r="C75" s="2009" t="s">
        <v>1075</v>
      </c>
      <c r="D75" s="2009" t="s">
        <v>1105</v>
      </c>
      <c r="E75" s="2009" t="s">
        <v>1099</v>
      </c>
      <c r="F75" s="2009" t="s">
        <v>1098</v>
      </c>
      <c r="G75" s="2009" t="s">
        <v>1106</v>
      </c>
      <c r="H75" s="2009" t="s">
        <v>1107</v>
      </c>
      <c r="I75" s="2009" t="s">
        <v>1108</v>
      </c>
      <c r="J75" s="2009" t="s">
        <v>1109</v>
      </c>
      <c r="K75" s="2009" t="s">
        <v>1110</v>
      </c>
      <c r="L75" s="2009" t="s">
        <v>397</v>
      </c>
      <c r="M75" s="2032"/>
    </row>
    <row r="76" spans="1:14" ht="14.4" x14ac:dyDescent="0.3">
      <c r="A76" s="2012" t="s">
        <v>592</v>
      </c>
      <c r="B76" s="2011">
        <v>2018</v>
      </c>
      <c r="C76" s="2033" t="s">
        <v>1087</v>
      </c>
      <c r="D76" s="2013">
        <v>999</v>
      </c>
      <c r="E76" s="2013" t="s">
        <v>1083</v>
      </c>
      <c r="F76" s="2032" t="s">
        <v>1100</v>
      </c>
      <c r="G76" s="2013" t="s">
        <v>1111</v>
      </c>
      <c r="H76" s="2012" t="s">
        <v>1112</v>
      </c>
      <c r="I76" s="2034" t="e">
        <f>+#REF!</f>
        <v>#REF!</v>
      </c>
      <c r="J76" s="2035" t="e">
        <f>+#REF!-G49</f>
        <v>#REF!</v>
      </c>
      <c r="K76" s="2011" t="b">
        <v>1</v>
      </c>
      <c r="L76" s="2013" t="s">
        <v>153</v>
      </c>
      <c r="M76" s="2032"/>
      <c r="N76" s="512"/>
    </row>
    <row r="77" spans="1:14" ht="14.4" x14ac:dyDescent="0.3">
      <c r="A77" s="2033" t="s">
        <v>592</v>
      </c>
      <c r="B77" s="2011">
        <v>2018</v>
      </c>
      <c r="C77" s="2033" t="s">
        <v>1087</v>
      </c>
      <c r="D77" s="2013">
        <v>999</v>
      </c>
      <c r="E77" s="2013" t="s">
        <v>1083</v>
      </c>
      <c r="F77" s="2032" t="s">
        <v>1101</v>
      </c>
      <c r="G77" s="2013" t="s">
        <v>1111</v>
      </c>
      <c r="H77" s="2012" t="s">
        <v>1112</v>
      </c>
      <c r="I77" s="2032">
        <v>0</v>
      </c>
      <c r="J77" s="2035" t="e">
        <f>+#REF!</f>
        <v>#REF!</v>
      </c>
      <c r="K77" s="2011" t="b">
        <v>1</v>
      </c>
      <c r="L77" s="2032"/>
      <c r="M77" s="2032"/>
    </row>
    <row r="78" spans="1:14" ht="14.4" x14ac:dyDescent="0.3">
      <c r="A78" s="2033" t="s">
        <v>592</v>
      </c>
      <c r="B78" s="2011">
        <v>2018</v>
      </c>
      <c r="C78" s="2033" t="s">
        <v>1087</v>
      </c>
      <c r="D78" s="2013">
        <v>999</v>
      </c>
      <c r="E78" s="2013" t="s">
        <v>1083</v>
      </c>
      <c r="F78" s="2032" t="s">
        <v>1095</v>
      </c>
      <c r="G78" s="2013" t="s">
        <v>1111</v>
      </c>
      <c r="H78" s="2012" t="s">
        <v>1112</v>
      </c>
      <c r="I78" s="2032">
        <v>0</v>
      </c>
      <c r="J78" s="2035" t="e">
        <f>+#REF!</f>
        <v>#REF!</v>
      </c>
      <c r="K78" s="2011" t="b">
        <v>1</v>
      </c>
      <c r="L78" s="2032"/>
      <c r="M78" s="2032"/>
    </row>
    <row r="79" spans="1:14" ht="14.4" x14ac:dyDescent="0.3">
      <c r="A79" s="2033" t="s">
        <v>592</v>
      </c>
      <c r="B79" s="2011">
        <v>2018</v>
      </c>
      <c r="C79" s="2033" t="s">
        <v>1080</v>
      </c>
      <c r="D79" s="2013">
        <v>999</v>
      </c>
      <c r="E79" s="2013" t="s">
        <v>1083</v>
      </c>
      <c r="F79" s="2032" t="s">
        <v>1100</v>
      </c>
      <c r="G79" s="2013" t="s">
        <v>1111</v>
      </c>
      <c r="H79" s="2012" t="s">
        <v>1112</v>
      </c>
      <c r="I79" s="2032">
        <v>0</v>
      </c>
      <c r="J79" s="2035">
        <f>+G49</f>
        <v>0</v>
      </c>
      <c r="K79" s="2011" t="b">
        <v>1</v>
      </c>
      <c r="L79" s="2032"/>
      <c r="M79" s="2032"/>
    </row>
    <row r="80" spans="1:14" ht="14.4" x14ac:dyDescent="0.3">
      <c r="A80" s="2033" t="s">
        <v>594</v>
      </c>
      <c r="B80" s="2011">
        <v>2018</v>
      </c>
      <c r="C80" s="2033" t="s">
        <v>1080</v>
      </c>
      <c r="D80" s="2013">
        <v>999</v>
      </c>
      <c r="E80" s="2013" t="s">
        <v>1083</v>
      </c>
      <c r="F80" s="2032" t="s">
        <v>1100</v>
      </c>
      <c r="G80" s="2013" t="s">
        <v>1111</v>
      </c>
      <c r="H80" s="2033" t="s">
        <v>1113</v>
      </c>
      <c r="I80" s="2035" t="e">
        <f>+#REF!-D53</f>
        <v>#REF!</v>
      </c>
      <c r="J80" s="2035" t="e">
        <f>+#REF!-D53</f>
        <v>#REF!</v>
      </c>
      <c r="K80" s="2011" t="b">
        <v>1</v>
      </c>
      <c r="L80" s="2032" t="s">
        <v>1114</v>
      </c>
      <c r="N80" s="2035"/>
    </row>
    <row r="81" spans="1:14" ht="14.4" x14ac:dyDescent="0.3">
      <c r="A81" s="2033" t="s">
        <v>594</v>
      </c>
      <c r="B81" s="2011">
        <v>2018</v>
      </c>
      <c r="C81" s="2033" t="s">
        <v>1080</v>
      </c>
      <c r="D81" s="2013">
        <v>999</v>
      </c>
      <c r="E81" s="2013" t="s">
        <v>1083</v>
      </c>
      <c r="F81" s="2032" t="s">
        <v>1101</v>
      </c>
      <c r="G81" s="2013" t="s">
        <v>1111</v>
      </c>
      <c r="H81" s="2033" t="s">
        <v>1113</v>
      </c>
      <c r="I81" s="2035" t="e">
        <f>+#REF!</f>
        <v>#REF!</v>
      </c>
      <c r="J81" s="2035" t="e">
        <f>+#REF!</f>
        <v>#REF!</v>
      </c>
      <c r="K81" s="2011" t="b">
        <v>1</v>
      </c>
      <c r="L81" s="2032" t="s">
        <v>1114</v>
      </c>
      <c r="M81" s="2032"/>
      <c r="N81" s="2035"/>
    </row>
    <row r="82" spans="1:14" ht="14.4" x14ac:dyDescent="0.3">
      <c r="A82" s="2033" t="s">
        <v>594</v>
      </c>
      <c r="B82" s="2011">
        <v>2018</v>
      </c>
      <c r="C82" s="2033" t="s">
        <v>1080</v>
      </c>
      <c r="D82" s="2013">
        <v>999</v>
      </c>
      <c r="E82" s="2013" t="s">
        <v>1083</v>
      </c>
      <c r="F82" s="2032" t="s">
        <v>1095</v>
      </c>
      <c r="G82" s="2013" t="s">
        <v>1111</v>
      </c>
      <c r="H82" s="2033" t="s">
        <v>1113</v>
      </c>
      <c r="I82" s="2035" t="e">
        <f>+#REF!</f>
        <v>#REF!</v>
      </c>
      <c r="J82" s="2035" t="e">
        <f>+#REF!</f>
        <v>#REF!</v>
      </c>
      <c r="K82" s="2011" t="b">
        <v>1</v>
      </c>
      <c r="L82" s="2032" t="s">
        <v>1114</v>
      </c>
      <c r="M82" s="2032"/>
      <c r="N82" s="2035"/>
    </row>
    <row r="83" spans="1:14" ht="14.4" x14ac:dyDescent="0.3">
      <c r="A83" s="2033" t="s">
        <v>594</v>
      </c>
      <c r="B83" s="2011">
        <v>2018</v>
      </c>
      <c r="C83" s="2033" t="s">
        <v>1090</v>
      </c>
      <c r="D83" s="2013">
        <v>999</v>
      </c>
      <c r="E83" s="2013" t="s">
        <v>1083</v>
      </c>
      <c r="F83" s="2032" t="s">
        <v>1100</v>
      </c>
      <c r="G83" s="2013" t="s">
        <v>1111</v>
      </c>
      <c r="H83" s="2033" t="s">
        <v>1113</v>
      </c>
      <c r="I83" s="2035">
        <f>+D53</f>
        <v>0</v>
      </c>
      <c r="J83" s="2035">
        <f>+D53</f>
        <v>0</v>
      </c>
      <c r="K83" s="2011" t="b">
        <v>1</v>
      </c>
      <c r="L83" s="2032" t="s">
        <v>1114</v>
      </c>
      <c r="M83" s="2032"/>
      <c r="N83" s="2035"/>
    </row>
    <row r="84" spans="1:14" ht="14.4" x14ac:dyDescent="0.3">
      <c r="A84" s="2033" t="s">
        <v>593</v>
      </c>
      <c r="B84" s="2011">
        <v>2018</v>
      </c>
      <c r="C84" s="2033" t="s">
        <v>1090</v>
      </c>
      <c r="D84" s="2013">
        <v>999</v>
      </c>
      <c r="E84" s="2013" t="s">
        <v>1083</v>
      </c>
      <c r="F84" s="2032" t="s">
        <v>1100</v>
      </c>
      <c r="G84" s="2013" t="s">
        <v>1111</v>
      </c>
      <c r="H84" s="2033" t="s">
        <v>1115</v>
      </c>
      <c r="I84" s="2035" t="e">
        <f>+#REF!</f>
        <v>#REF!</v>
      </c>
      <c r="J84" s="2035" t="e">
        <f>#REF!*F39</f>
        <v>#REF!</v>
      </c>
      <c r="K84" s="2011" t="b">
        <v>1</v>
      </c>
      <c r="L84" s="2032"/>
      <c r="M84" s="2032"/>
    </row>
    <row r="85" spans="1:14" ht="14.4" x14ac:dyDescent="0.3">
      <c r="A85" s="2033" t="s">
        <v>593</v>
      </c>
      <c r="B85" s="2011">
        <v>2018</v>
      </c>
      <c r="C85" s="2033" t="s">
        <v>1090</v>
      </c>
      <c r="D85" s="2013">
        <v>999</v>
      </c>
      <c r="E85" s="2013" t="s">
        <v>1083</v>
      </c>
      <c r="F85" s="2032" t="s">
        <v>1101</v>
      </c>
      <c r="G85" s="2013" t="s">
        <v>1111</v>
      </c>
      <c r="H85" s="2033" t="s">
        <v>1115</v>
      </c>
      <c r="I85" s="2035" t="e">
        <f>+#REF!</f>
        <v>#REF!</v>
      </c>
      <c r="J85" s="2035" t="e">
        <f>+#REF!*F39</f>
        <v>#REF!</v>
      </c>
      <c r="K85" s="2011" t="b">
        <v>1</v>
      </c>
      <c r="L85" s="2032"/>
      <c r="M85" s="2032"/>
    </row>
    <row r="86" spans="1:14" ht="14.4" x14ac:dyDescent="0.3">
      <c r="A86" s="2033" t="s">
        <v>593</v>
      </c>
      <c r="B86" s="2011">
        <v>2018</v>
      </c>
      <c r="C86" s="2033" t="s">
        <v>1090</v>
      </c>
      <c r="D86" s="2013">
        <v>999</v>
      </c>
      <c r="E86" s="2013" t="s">
        <v>1083</v>
      </c>
      <c r="F86" s="2032" t="s">
        <v>1095</v>
      </c>
      <c r="G86" s="2013" t="s">
        <v>1111</v>
      </c>
      <c r="H86" s="2033" t="s">
        <v>1115</v>
      </c>
      <c r="I86" s="2032">
        <v>0</v>
      </c>
      <c r="J86" s="2035" t="e">
        <f>+#REF!*F39</f>
        <v>#REF!</v>
      </c>
      <c r="K86" s="2011" t="b">
        <v>1</v>
      </c>
      <c r="L86" s="2032"/>
      <c r="M86" s="2032"/>
    </row>
    <row r="87" spans="1:14" ht="14.4" x14ac:dyDescent="0.3">
      <c r="A87" s="2033" t="s">
        <v>593</v>
      </c>
      <c r="B87" s="2011">
        <v>2018</v>
      </c>
      <c r="C87" s="2033" t="s">
        <v>1089</v>
      </c>
      <c r="D87" s="2013">
        <v>999</v>
      </c>
      <c r="E87" s="2013" t="s">
        <v>1083</v>
      </c>
      <c r="F87" s="2032" t="s">
        <v>1100</v>
      </c>
      <c r="G87" s="2013" t="s">
        <v>1111</v>
      </c>
      <c r="H87" s="2033" t="s">
        <v>1115</v>
      </c>
      <c r="I87" s="2032">
        <v>0</v>
      </c>
      <c r="J87" s="2035" t="e">
        <f>#REF!*F29</f>
        <v>#REF!</v>
      </c>
      <c r="K87" s="2011" t="b">
        <v>1</v>
      </c>
      <c r="L87" s="2032"/>
      <c r="M87" s="2032"/>
    </row>
    <row r="88" spans="1:14" ht="14.4" x14ac:dyDescent="0.3">
      <c r="A88" s="2033" t="s">
        <v>593</v>
      </c>
      <c r="B88" s="2011">
        <v>2018</v>
      </c>
      <c r="C88" s="2033" t="s">
        <v>1089</v>
      </c>
      <c r="D88" s="2013">
        <v>999</v>
      </c>
      <c r="E88" s="2013" t="s">
        <v>1083</v>
      </c>
      <c r="F88" s="2032" t="s">
        <v>1101</v>
      </c>
      <c r="G88" s="2013" t="s">
        <v>1111</v>
      </c>
      <c r="H88" s="2033" t="s">
        <v>1115</v>
      </c>
      <c r="I88" s="2032">
        <v>0</v>
      </c>
      <c r="J88" s="2035" t="e">
        <f>+#REF!*F29</f>
        <v>#REF!</v>
      </c>
      <c r="K88" s="2011" t="b">
        <v>1</v>
      </c>
      <c r="L88" s="2032"/>
      <c r="M88" s="2032"/>
    </row>
    <row r="89" spans="1:14" ht="14.4" x14ac:dyDescent="0.3">
      <c r="A89" s="2033" t="s">
        <v>593</v>
      </c>
      <c r="B89" s="2011">
        <v>2018</v>
      </c>
      <c r="C89" s="2033" t="s">
        <v>1089</v>
      </c>
      <c r="D89" s="2013">
        <v>999</v>
      </c>
      <c r="E89" s="2013" t="s">
        <v>1083</v>
      </c>
      <c r="F89" s="2032" t="s">
        <v>1095</v>
      </c>
      <c r="G89" s="2013" t="s">
        <v>1111</v>
      </c>
      <c r="H89" s="2033" t="s">
        <v>1115</v>
      </c>
      <c r="I89" s="2032">
        <v>0</v>
      </c>
      <c r="J89" s="2035" t="e">
        <f>+#REF!*F29</f>
        <v>#REF!</v>
      </c>
      <c r="K89" s="2011" t="b">
        <v>1</v>
      </c>
      <c r="L89" s="2032"/>
      <c r="M89" s="2032"/>
    </row>
    <row r="90" spans="1:14" x14ac:dyDescent="0.25">
      <c r="A90" s="2022"/>
      <c r="H90" s="2022"/>
      <c r="I90" s="655"/>
      <c r="J90" s="655"/>
    </row>
    <row r="91" spans="1:14" x14ac:dyDescent="0.25">
      <c r="A91" s="2022"/>
      <c r="H91" s="2022"/>
    </row>
  </sheetData>
  <mergeCells count="1">
    <mergeCell ref="A1:B1"/>
  </mergeCell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Hoja62">
    <tabColor rgb="FF92D050"/>
  </sheetPr>
  <dimension ref="A1:P109"/>
  <sheetViews>
    <sheetView workbookViewId="0"/>
  </sheetViews>
  <sheetFormatPr baseColWidth="10" defaultColWidth="11.44140625" defaultRowHeight="13.2" x14ac:dyDescent="0.25"/>
  <cols>
    <col min="1" max="1" width="11.44140625" style="1"/>
    <col min="2" max="2" width="13.33203125" style="1" bestFit="1" customWidth="1"/>
    <col min="3" max="7" width="11.44140625" style="1"/>
    <col min="8" max="8" width="16.5546875" style="1" bestFit="1" customWidth="1"/>
    <col min="9" max="9" width="16.44140625" style="1" bestFit="1" customWidth="1"/>
    <col min="10" max="10" width="21.5546875" style="1" bestFit="1" customWidth="1"/>
    <col min="11" max="12" width="11.44140625" style="1"/>
    <col min="13" max="13" width="23.109375" style="1" customWidth="1"/>
    <col min="14" max="14" width="21.5546875" style="1" customWidth="1"/>
    <col min="15" max="15" width="16" style="1" customWidth="1"/>
    <col min="16" max="16" width="25.88671875" style="1" customWidth="1"/>
    <col min="17" max="16384" width="11.44140625" style="1"/>
  </cols>
  <sheetData>
    <row r="1" spans="1:16" ht="14.4" x14ac:dyDescent="0.3">
      <c r="A1" s="2036" t="s">
        <v>1104</v>
      </c>
      <c r="B1" s="2036" t="s">
        <v>1103</v>
      </c>
      <c r="C1" s="2036" t="s">
        <v>1098</v>
      </c>
      <c r="D1" s="2036" t="s">
        <v>1116</v>
      </c>
      <c r="E1" s="2036" t="s">
        <v>1117</v>
      </c>
      <c r="F1" s="2036" t="s">
        <v>1118</v>
      </c>
      <c r="G1" s="2036" t="s">
        <v>1119</v>
      </c>
      <c r="H1" s="2036" t="s">
        <v>1120</v>
      </c>
      <c r="I1" s="2036" t="s">
        <v>1121</v>
      </c>
      <c r="J1" s="2036" t="s">
        <v>1122</v>
      </c>
      <c r="K1" s="2036" t="s">
        <v>1123</v>
      </c>
      <c r="L1" s="2036" t="s">
        <v>1124</v>
      </c>
      <c r="M1" s="2036" t="s">
        <v>1125</v>
      </c>
      <c r="N1" s="2036" t="s">
        <v>1126</v>
      </c>
      <c r="O1" s="2036" t="s">
        <v>1127</v>
      </c>
      <c r="P1" s="2036" t="s">
        <v>1128</v>
      </c>
    </row>
    <row r="2" spans="1:16" ht="28.8" x14ac:dyDescent="0.3">
      <c r="A2" s="2037">
        <v>2013</v>
      </c>
      <c r="B2" s="2038" t="s">
        <v>593</v>
      </c>
      <c r="C2" s="2038" t="s">
        <v>588</v>
      </c>
      <c r="D2" s="2038" t="s">
        <v>1115</v>
      </c>
      <c r="E2" s="2038" t="s">
        <v>1129</v>
      </c>
      <c r="F2" s="2037">
        <v>7903.8882614780141</v>
      </c>
      <c r="G2" s="2038" t="s">
        <v>1130</v>
      </c>
      <c r="H2" s="2038" t="s">
        <v>1083</v>
      </c>
      <c r="I2" s="2038" t="s">
        <v>1111</v>
      </c>
      <c r="J2" s="2038" t="s">
        <v>1090</v>
      </c>
      <c r="K2" s="2038" t="s">
        <v>1129</v>
      </c>
      <c r="L2" s="2038" t="s">
        <v>153</v>
      </c>
      <c r="M2" s="2038" t="s">
        <v>14</v>
      </c>
      <c r="N2" s="2038" t="s">
        <v>1131</v>
      </c>
      <c r="O2" s="2038" t="s">
        <v>1132</v>
      </c>
      <c r="P2" s="2038" t="s">
        <v>1133</v>
      </c>
    </row>
    <row r="3" spans="1:16" ht="28.8" x14ac:dyDescent="0.3">
      <c r="A3" s="2037">
        <v>2013</v>
      </c>
      <c r="B3" s="2038" t="s">
        <v>593</v>
      </c>
      <c r="C3" s="2038" t="s">
        <v>1134</v>
      </c>
      <c r="D3" s="2038" t="s">
        <v>1115</v>
      </c>
      <c r="E3" s="2038" t="s">
        <v>1129</v>
      </c>
      <c r="F3" s="2037">
        <v>488.67234733292287</v>
      </c>
      <c r="G3" s="2038" t="s">
        <v>1130</v>
      </c>
      <c r="H3" s="2038" t="s">
        <v>1083</v>
      </c>
      <c r="I3" s="2038" t="s">
        <v>1111</v>
      </c>
      <c r="J3" s="2038" t="s">
        <v>1090</v>
      </c>
      <c r="K3" s="2038" t="s">
        <v>1129</v>
      </c>
      <c r="L3" s="2038" t="s">
        <v>153</v>
      </c>
      <c r="M3" s="2038" t="s">
        <v>14</v>
      </c>
      <c r="N3" s="2038" t="s">
        <v>1131</v>
      </c>
      <c r="O3" s="2038" t="s">
        <v>1132</v>
      </c>
      <c r="P3" s="2038" t="s">
        <v>1133</v>
      </c>
    </row>
    <row r="4" spans="1:16" ht="28.8" x14ac:dyDescent="0.3">
      <c r="A4" s="2037">
        <v>2013</v>
      </c>
      <c r="B4" s="2038" t="s">
        <v>593</v>
      </c>
      <c r="C4" s="2038" t="s">
        <v>586</v>
      </c>
      <c r="D4" s="2038" t="s">
        <v>1115</v>
      </c>
      <c r="E4" s="2038" t="s">
        <v>1129</v>
      </c>
      <c r="F4" s="2037">
        <v>439.10490341544522</v>
      </c>
      <c r="G4" s="2038" t="s">
        <v>1130</v>
      </c>
      <c r="H4" s="2038" t="s">
        <v>1083</v>
      </c>
      <c r="I4" s="2038" t="s">
        <v>1111</v>
      </c>
      <c r="J4" s="2038" t="s">
        <v>1090</v>
      </c>
      <c r="K4" s="2038" t="s">
        <v>1129</v>
      </c>
      <c r="L4" s="2038" t="s">
        <v>153</v>
      </c>
      <c r="M4" s="2038" t="s">
        <v>14</v>
      </c>
      <c r="N4" s="2038" t="s">
        <v>1131</v>
      </c>
      <c r="O4" s="2038" t="s">
        <v>1132</v>
      </c>
      <c r="P4" s="2038" t="s">
        <v>1133</v>
      </c>
    </row>
    <row r="5" spans="1:16" ht="28.8" x14ac:dyDescent="0.3">
      <c r="A5" s="2037">
        <v>2013</v>
      </c>
      <c r="B5" s="2038" t="s">
        <v>593</v>
      </c>
      <c r="C5" s="2038" t="s">
        <v>588</v>
      </c>
      <c r="D5" s="2038" t="s">
        <v>1115</v>
      </c>
      <c r="E5" s="2038" t="s">
        <v>1129</v>
      </c>
      <c r="F5" s="2037">
        <v>4188.5522385219865</v>
      </c>
      <c r="G5" s="2038" t="s">
        <v>1130</v>
      </c>
      <c r="H5" s="2038" t="s">
        <v>1083</v>
      </c>
      <c r="I5" s="2038" t="s">
        <v>1111</v>
      </c>
      <c r="J5" s="2038" t="s">
        <v>1089</v>
      </c>
      <c r="K5" s="2038" t="s">
        <v>1129</v>
      </c>
      <c r="L5" s="2038" t="s">
        <v>153</v>
      </c>
      <c r="M5" s="2038" t="s">
        <v>14</v>
      </c>
      <c r="N5" s="2038" t="s">
        <v>1131</v>
      </c>
      <c r="O5" s="2038" t="s">
        <v>1132</v>
      </c>
      <c r="P5" s="2038" t="s">
        <v>1135</v>
      </c>
    </row>
    <row r="6" spans="1:16" ht="28.8" x14ac:dyDescent="0.3">
      <c r="A6" s="2037">
        <v>2013</v>
      </c>
      <c r="B6" s="2038" t="s">
        <v>593</v>
      </c>
      <c r="C6" s="2038" t="s">
        <v>1134</v>
      </c>
      <c r="D6" s="2038" t="s">
        <v>1115</v>
      </c>
      <c r="E6" s="2038" t="s">
        <v>1129</v>
      </c>
      <c r="F6" s="2037">
        <v>258.96490266707724</v>
      </c>
      <c r="G6" s="2038" t="s">
        <v>1130</v>
      </c>
      <c r="H6" s="2038" t="s">
        <v>1083</v>
      </c>
      <c r="I6" s="2038" t="s">
        <v>1111</v>
      </c>
      <c r="J6" s="2038" t="s">
        <v>1089</v>
      </c>
      <c r="K6" s="2038" t="s">
        <v>1129</v>
      </c>
      <c r="L6" s="2038" t="s">
        <v>153</v>
      </c>
      <c r="M6" s="2038" t="s">
        <v>14</v>
      </c>
      <c r="N6" s="2038" t="s">
        <v>1131</v>
      </c>
      <c r="O6" s="2038" t="s">
        <v>1132</v>
      </c>
      <c r="P6" s="2038" t="s">
        <v>1135</v>
      </c>
    </row>
    <row r="7" spans="1:16" ht="28.8" x14ac:dyDescent="0.3">
      <c r="A7" s="2037">
        <v>2013</v>
      </c>
      <c r="B7" s="2038" t="s">
        <v>593</v>
      </c>
      <c r="C7" s="2038" t="s">
        <v>586</v>
      </c>
      <c r="D7" s="2038" t="s">
        <v>1115</v>
      </c>
      <c r="E7" s="2038" t="s">
        <v>1129</v>
      </c>
      <c r="F7" s="2037">
        <v>232.69734658455482</v>
      </c>
      <c r="G7" s="2038" t="s">
        <v>1130</v>
      </c>
      <c r="H7" s="2038" t="s">
        <v>1083</v>
      </c>
      <c r="I7" s="2038" t="s">
        <v>1111</v>
      </c>
      <c r="J7" s="2038" t="s">
        <v>1089</v>
      </c>
      <c r="K7" s="2038" t="s">
        <v>1129</v>
      </c>
      <c r="L7" s="2038" t="s">
        <v>153</v>
      </c>
      <c r="M7" s="2038" t="s">
        <v>14</v>
      </c>
      <c r="N7" s="2038" t="s">
        <v>1131</v>
      </c>
      <c r="O7" s="2038" t="s">
        <v>1132</v>
      </c>
      <c r="P7" s="2038" t="s">
        <v>1135</v>
      </c>
    </row>
    <row r="8" spans="1:16" ht="28.8" x14ac:dyDescent="0.3">
      <c r="A8" s="2037">
        <v>2013</v>
      </c>
      <c r="B8" s="2038" t="s">
        <v>593</v>
      </c>
      <c r="C8" s="2038" t="s">
        <v>588</v>
      </c>
      <c r="D8" s="2038" t="s">
        <v>1136</v>
      </c>
      <c r="E8" s="2038" t="s">
        <v>1129</v>
      </c>
      <c r="F8" s="2037">
        <v>135.51868527243644</v>
      </c>
      <c r="G8" s="2038" t="s">
        <v>1130</v>
      </c>
      <c r="H8" s="2038" t="s">
        <v>604</v>
      </c>
      <c r="I8" s="2038" t="s">
        <v>1111</v>
      </c>
      <c r="J8" s="2038" t="s">
        <v>1137</v>
      </c>
      <c r="K8" s="2038" t="s">
        <v>1129</v>
      </c>
      <c r="L8" s="2038" t="s">
        <v>153</v>
      </c>
      <c r="M8" s="2038" t="s">
        <v>1138</v>
      </c>
      <c r="N8" s="2038" t="s">
        <v>1131</v>
      </c>
      <c r="O8" s="2038" t="s">
        <v>1139</v>
      </c>
      <c r="P8" s="2038" t="s">
        <v>1140</v>
      </c>
    </row>
    <row r="9" spans="1:16" ht="28.8" x14ac:dyDescent="0.3">
      <c r="A9" s="2037">
        <v>2013</v>
      </c>
      <c r="B9" s="2038" t="s">
        <v>593</v>
      </c>
      <c r="C9" s="2038" t="s">
        <v>588</v>
      </c>
      <c r="D9" s="2038" t="s">
        <v>1136</v>
      </c>
      <c r="E9" s="2038" t="s">
        <v>1129</v>
      </c>
      <c r="F9" s="2037">
        <v>11.028026004499594</v>
      </c>
      <c r="G9" s="2038" t="s">
        <v>1130</v>
      </c>
      <c r="H9" s="2038" t="s">
        <v>605</v>
      </c>
      <c r="I9" s="2038" t="s">
        <v>1111</v>
      </c>
      <c r="J9" s="2038" t="s">
        <v>1137</v>
      </c>
      <c r="K9" s="2038" t="s">
        <v>1129</v>
      </c>
      <c r="L9" s="2038" t="s">
        <v>153</v>
      </c>
      <c r="M9" s="2038" t="s">
        <v>308</v>
      </c>
      <c r="N9" s="2038" t="s">
        <v>1131</v>
      </c>
      <c r="O9" s="2038" t="s">
        <v>1139</v>
      </c>
      <c r="P9" s="2038" t="s">
        <v>1140</v>
      </c>
    </row>
    <row r="10" spans="1:16" ht="14.4" x14ac:dyDescent="0.3">
      <c r="A10" s="2037">
        <v>2013</v>
      </c>
      <c r="B10" s="2038" t="s">
        <v>593</v>
      </c>
      <c r="C10" s="2038" t="s">
        <v>588</v>
      </c>
      <c r="D10" s="2038" t="s">
        <v>1141</v>
      </c>
      <c r="E10" s="2038" t="s">
        <v>153</v>
      </c>
      <c r="F10" s="2037">
        <v>68.103999999999999</v>
      </c>
      <c r="G10" s="2038" t="s">
        <v>1130</v>
      </c>
      <c r="H10" s="2038" t="s">
        <v>1142</v>
      </c>
      <c r="I10" s="2038" t="s">
        <v>153</v>
      </c>
      <c r="J10" s="2038" t="s">
        <v>1143</v>
      </c>
      <c r="K10" s="2038" t="s">
        <v>1129</v>
      </c>
      <c r="L10" s="2038" t="s">
        <v>153</v>
      </c>
      <c r="M10" s="2038" t="s">
        <v>73</v>
      </c>
      <c r="N10" s="2038" t="s">
        <v>153</v>
      </c>
      <c r="O10" s="2038" t="s">
        <v>1144</v>
      </c>
      <c r="P10" s="2038" t="s">
        <v>1145</v>
      </c>
    </row>
    <row r="11" spans="1:16" ht="14.4" x14ac:dyDescent="0.3">
      <c r="A11" s="2037">
        <v>2013</v>
      </c>
      <c r="B11" s="2038" t="s">
        <v>593</v>
      </c>
      <c r="C11" s="2038" t="s">
        <v>588</v>
      </c>
      <c r="D11" s="2038" t="s">
        <v>1146</v>
      </c>
      <c r="E11" s="2038" t="s">
        <v>153</v>
      </c>
      <c r="F11" s="2037">
        <v>269.57713688775084</v>
      </c>
      <c r="G11" s="2038" t="s">
        <v>1130</v>
      </c>
      <c r="H11" s="2038" t="s">
        <v>595</v>
      </c>
      <c r="I11" s="2038" t="s">
        <v>153</v>
      </c>
      <c r="J11" s="2038" t="s">
        <v>1147</v>
      </c>
      <c r="K11" s="2038" t="s">
        <v>1148</v>
      </c>
      <c r="L11" s="2038" t="s">
        <v>153</v>
      </c>
      <c r="M11" s="2038" t="s">
        <v>1149</v>
      </c>
      <c r="N11" s="2038" t="s">
        <v>153</v>
      </c>
      <c r="O11" s="2038" t="s">
        <v>1150</v>
      </c>
      <c r="P11" s="2038" t="s">
        <v>1151</v>
      </c>
    </row>
    <row r="12" spans="1:16" ht="14.4" x14ac:dyDescent="0.3">
      <c r="A12" s="2037">
        <v>2013</v>
      </c>
      <c r="B12" s="2038" t="s">
        <v>593</v>
      </c>
      <c r="C12" s="2038" t="s">
        <v>586</v>
      </c>
      <c r="D12" s="2038" t="s">
        <v>1146</v>
      </c>
      <c r="E12" s="2038" t="s">
        <v>153</v>
      </c>
      <c r="F12" s="2037">
        <v>487.81780464995313</v>
      </c>
      <c r="G12" s="2038" t="s">
        <v>1130</v>
      </c>
      <c r="H12" s="2038" t="s">
        <v>595</v>
      </c>
      <c r="I12" s="2038" t="s">
        <v>153</v>
      </c>
      <c r="J12" s="2038" t="s">
        <v>1147</v>
      </c>
      <c r="K12" s="2038" t="s">
        <v>1148</v>
      </c>
      <c r="L12" s="2038" t="s">
        <v>153</v>
      </c>
      <c r="M12" s="2038" t="s">
        <v>1149</v>
      </c>
      <c r="N12" s="2038" t="s">
        <v>153</v>
      </c>
      <c r="O12" s="2038" t="s">
        <v>1150</v>
      </c>
      <c r="P12" s="2038" t="s">
        <v>1151</v>
      </c>
    </row>
    <row r="13" spans="1:16" ht="14.4" x14ac:dyDescent="0.3">
      <c r="A13" s="2037">
        <v>2013</v>
      </c>
      <c r="B13" s="2038" t="s">
        <v>593</v>
      </c>
      <c r="C13" s="2038" t="s">
        <v>588</v>
      </c>
      <c r="D13" s="2038" t="s">
        <v>1146</v>
      </c>
      <c r="E13" s="2038" t="s">
        <v>153</v>
      </c>
      <c r="F13" s="2037">
        <v>0.75369683157544132</v>
      </c>
      <c r="G13" s="2038" t="s">
        <v>1130</v>
      </c>
      <c r="H13" s="2038" t="s">
        <v>597</v>
      </c>
      <c r="I13" s="2038" t="s">
        <v>153</v>
      </c>
      <c r="J13" s="2038" t="s">
        <v>1147</v>
      </c>
      <c r="K13" s="2038" t="s">
        <v>1152</v>
      </c>
      <c r="L13" s="2038" t="s">
        <v>153</v>
      </c>
      <c r="M13" s="2038" t="s">
        <v>1153</v>
      </c>
      <c r="N13" s="2038" t="s">
        <v>153</v>
      </c>
      <c r="O13" s="2038" t="s">
        <v>1150</v>
      </c>
      <c r="P13" s="2038" t="s">
        <v>1151</v>
      </c>
    </row>
    <row r="14" spans="1:16" ht="14.4" x14ac:dyDescent="0.3">
      <c r="A14" s="2037">
        <v>2013</v>
      </c>
      <c r="B14" s="2038" t="s">
        <v>593</v>
      </c>
      <c r="C14" s="2038" t="s">
        <v>586</v>
      </c>
      <c r="D14" s="2038" t="s">
        <v>1146</v>
      </c>
      <c r="E14" s="2038" t="s">
        <v>153</v>
      </c>
      <c r="F14" s="2037">
        <v>1.3638646733749158</v>
      </c>
      <c r="G14" s="2038" t="s">
        <v>1130</v>
      </c>
      <c r="H14" s="2038" t="s">
        <v>597</v>
      </c>
      <c r="I14" s="2038" t="s">
        <v>153</v>
      </c>
      <c r="J14" s="2038" t="s">
        <v>1147</v>
      </c>
      <c r="K14" s="2038" t="s">
        <v>1152</v>
      </c>
      <c r="L14" s="2038" t="s">
        <v>153</v>
      </c>
      <c r="M14" s="2038" t="s">
        <v>1153</v>
      </c>
      <c r="N14" s="2038" t="s">
        <v>153</v>
      </c>
      <c r="O14" s="2038" t="s">
        <v>1150</v>
      </c>
      <c r="P14" s="2038" t="s">
        <v>1151</v>
      </c>
    </row>
    <row r="15" spans="1:16" ht="14.4" x14ac:dyDescent="0.3">
      <c r="A15" s="2037">
        <v>2013</v>
      </c>
      <c r="B15" s="2038" t="s">
        <v>593</v>
      </c>
      <c r="C15" s="2038" t="s">
        <v>588</v>
      </c>
      <c r="D15" s="2038" t="s">
        <v>1146</v>
      </c>
      <c r="E15" s="2038" t="s">
        <v>153</v>
      </c>
      <c r="F15" s="2037">
        <v>6.9309416300320681</v>
      </c>
      <c r="G15" s="2038" t="s">
        <v>1130</v>
      </c>
      <c r="H15" s="2038" t="s">
        <v>599</v>
      </c>
      <c r="I15" s="2038" t="s">
        <v>153</v>
      </c>
      <c r="J15" s="2038" t="s">
        <v>1147</v>
      </c>
      <c r="K15" s="2038" t="s">
        <v>1154</v>
      </c>
      <c r="L15" s="2038" t="s">
        <v>153</v>
      </c>
      <c r="M15" s="2038" t="s">
        <v>1155</v>
      </c>
      <c r="N15" s="2038" t="s">
        <v>153</v>
      </c>
      <c r="O15" s="2038" t="s">
        <v>1150</v>
      </c>
      <c r="P15" s="2038" t="s">
        <v>1151</v>
      </c>
    </row>
    <row r="16" spans="1:16" ht="14.4" x14ac:dyDescent="0.3">
      <c r="A16" s="2037">
        <v>2013</v>
      </c>
      <c r="B16" s="2038" t="s">
        <v>593</v>
      </c>
      <c r="C16" s="2038" t="s">
        <v>586</v>
      </c>
      <c r="D16" s="2038" t="s">
        <v>1146</v>
      </c>
      <c r="E16" s="2038" t="s">
        <v>153</v>
      </c>
      <c r="F16" s="2037">
        <v>12.542001035967081</v>
      </c>
      <c r="G16" s="2038" t="s">
        <v>1130</v>
      </c>
      <c r="H16" s="2038" t="s">
        <v>599</v>
      </c>
      <c r="I16" s="2038" t="s">
        <v>153</v>
      </c>
      <c r="J16" s="2038" t="s">
        <v>1147</v>
      </c>
      <c r="K16" s="2038" t="s">
        <v>1154</v>
      </c>
      <c r="L16" s="2038" t="s">
        <v>153</v>
      </c>
      <c r="M16" s="2038" t="s">
        <v>1155</v>
      </c>
      <c r="N16" s="2038" t="s">
        <v>153</v>
      </c>
      <c r="O16" s="2038" t="s">
        <v>1150</v>
      </c>
      <c r="P16" s="2038" t="s">
        <v>1151</v>
      </c>
    </row>
    <row r="17" spans="1:16" ht="14.4" x14ac:dyDescent="0.3">
      <c r="A17" s="2037">
        <v>2013</v>
      </c>
      <c r="B17" s="2038" t="s">
        <v>593</v>
      </c>
      <c r="C17" s="2038" t="s">
        <v>588</v>
      </c>
      <c r="D17" s="2038" t="s">
        <v>1146</v>
      </c>
      <c r="E17" s="2038" t="s">
        <v>153</v>
      </c>
      <c r="F17" s="2037">
        <v>41.915865810559957</v>
      </c>
      <c r="G17" s="2038" t="s">
        <v>1130</v>
      </c>
      <c r="H17" s="2038" t="s">
        <v>602</v>
      </c>
      <c r="I17" s="2038" t="s">
        <v>153</v>
      </c>
      <c r="J17" s="2038" t="s">
        <v>1147</v>
      </c>
      <c r="K17" s="2038" t="s">
        <v>1156</v>
      </c>
      <c r="L17" s="2038" t="s">
        <v>153</v>
      </c>
      <c r="M17" s="2038" t="s">
        <v>431</v>
      </c>
      <c r="N17" s="2038" t="s">
        <v>153</v>
      </c>
      <c r="O17" s="2038" t="s">
        <v>1150</v>
      </c>
      <c r="P17" s="2038" t="s">
        <v>1151</v>
      </c>
    </row>
    <row r="18" spans="1:16" ht="14.4" x14ac:dyDescent="0.3">
      <c r="A18" s="2037">
        <v>2013</v>
      </c>
      <c r="B18" s="2038" t="s">
        <v>593</v>
      </c>
      <c r="C18" s="2038" t="s">
        <v>586</v>
      </c>
      <c r="D18" s="2038" t="s">
        <v>1146</v>
      </c>
      <c r="E18" s="2038" t="s">
        <v>153</v>
      </c>
      <c r="F18" s="2037">
        <v>75.849554141616366</v>
      </c>
      <c r="G18" s="2038" t="s">
        <v>1130</v>
      </c>
      <c r="H18" s="2038" t="s">
        <v>602</v>
      </c>
      <c r="I18" s="2038" t="s">
        <v>153</v>
      </c>
      <c r="J18" s="2038" t="s">
        <v>1147</v>
      </c>
      <c r="K18" s="2038" t="s">
        <v>1156</v>
      </c>
      <c r="L18" s="2038" t="s">
        <v>153</v>
      </c>
      <c r="M18" s="2038" t="s">
        <v>431</v>
      </c>
      <c r="N18" s="2038" t="s">
        <v>153</v>
      </c>
      <c r="O18" s="2038" t="s">
        <v>1150</v>
      </c>
      <c r="P18" s="2038" t="s">
        <v>1151</v>
      </c>
    </row>
    <row r="19" spans="1:16" ht="14.4" x14ac:dyDescent="0.3">
      <c r="A19" s="2037">
        <v>2013</v>
      </c>
      <c r="B19" s="2038" t="s">
        <v>593</v>
      </c>
      <c r="C19" s="2038" t="s">
        <v>588</v>
      </c>
      <c r="D19" s="2038" t="s">
        <v>1146</v>
      </c>
      <c r="E19" s="2038" t="s">
        <v>153</v>
      </c>
      <c r="F19" s="2037">
        <v>1.5323588400816812</v>
      </c>
      <c r="G19" s="2038" t="s">
        <v>1130</v>
      </c>
      <c r="H19" s="2038" t="s">
        <v>601</v>
      </c>
      <c r="I19" s="2038" t="s">
        <v>153</v>
      </c>
      <c r="J19" s="2038" t="s">
        <v>1147</v>
      </c>
      <c r="K19" s="2038" t="s">
        <v>1157</v>
      </c>
      <c r="L19" s="2038" t="s">
        <v>153</v>
      </c>
      <c r="M19" s="2038" t="s">
        <v>44</v>
      </c>
      <c r="N19" s="2038" t="s">
        <v>153</v>
      </c>
      <c r="O19" s="2038" t="s">
        <v>1150</v>
      </c>
      <c r="P19" s="2038" t="s">
        <v>1151</v>
      </c>
    </row>
    <row r="20" spans="1:16" ht="14.4" x14ac:dyDescent="0.3">
      <c r="A20" s="2037">
        <v>2013</v>
      </c>
      <c r="B20" s="2038" t="s">
        <v>593</v>
      </c>
      <c r="C20" s="2038" t="s">
        <v>586</v>
      </c>
      <c r="D20" s="2038" t="s">
        <v>1146</v>
      </c>
      <c r="E20" s="2038" t="s">
        <v>153</v>
      </c>
      <c r="F20" s="2037">
        <v>2.7729054990885618</v>
      </c>
      <c r="G20" s="2038" t="s">
        <v>1130</v>
      </c>
      <c r="H20" s="2038" t="s">
        <v>601</v>
      </c>
      <c r="I20" s="2038" t="s">
        <v>153</v>
      </c>
      <c r="J20" s="2038" t="s">
        <v>1147</v>
      </c>
      <c r="K20" s="2038" t="s">
        <v>1157</v>
      </c>
      <c r="L20" s="2038" t="s">
        <v>153</v>
      </c>
      <c r="M20" s="2038" t="s">
        <v>44</v>
      </c>
      <c r="N20" s="2038" t="s">
        <v>153</v>
      </c>
      <c r="O20" s="2038" t="s">
        <v>1150</v>
      </c>
      <c r="P20" s="2038" t="s">
        <v>1151</v>
      </c>
    </row>
    <row r="21" spans="1:16" ht="14.4" x14ac:dyDescent="0.3">
      <c r="A21" s="2037">
        <v>2013</v>
      </c>
      <c r="B21" s="2038" t="s">
        <v>593</v>
      </c>
      <c r="C21" s="2038" t="s">
        <v>588</v>
      </c>
      <c r="D21" s="2038" t="s">
        <v>1158</v>
      </c>
      <c r="E21" s="2038" t="s">
        <v>153</v>
      </c>
      <c r="F21" s="2037">
        <v>12.726226024859638</v>
      </c>
      <c r="G21" s="2038" t="s">
        <v>1130</v>
      </c>
      <c r="H21" s="2038" t="s">
        <v>595</v>
      </c>
      <c r="I21" s="2038" t="s">
        <v>153</v>
      </c>
      <c r="J21" s="2038" t="s">
        <v>1159</v>
      </c>
      <c r="K21" s="2038" t="s">
        <v>1148</v>
      </c>
      <c r="L21" s="2038" t="s">
        <v>153</v>
      </c>
      <c r="M21" s="2038" t="s">
        <v>1149</v>
      </c>
      <c r="N21" s="2038" t="s">
        <v>153</v>
      </c>
      <c r="O21" s="2038" t="s">
        <v>1160</v>
      </c>
      <c r="P21" s="2038" t="s">
        <v>1161</v>
      </c>
    </row>
    <row r="22" spans="1:16" ht="14.4" x14ac:dyDescent="0.3">
      <c r="A22" s="2037">
        <v>2013</v>
      </c>
      <c r="B22" s="2038" t="s">
        <v>593</v>
      </c>
      <c r="C22" s="2038" t="s">
        <v>588</v>
      </c>
      <c r="D22" s="2038" t="s">
        <v>1158</v>
      </c>
      <c r="E22" s="2038" t="s">
        <v>153</v>
      </c>
      <c r="F22" s="2037">
        <v>2.0907135034341806</v>
      </c>
      <c r="G22" s="2038" t="s">
        <v>1130</v>
      </c>
      <c r="H22" s="2038" t="s">
        <v>597</v>
      </c>
      <c r="I22" s="2038" t="s">
        <v>153</v>
      </c>
      <c r="J22" s="2038" t="s">
        <v>1159</v>
      </c>
      <c r="K22" s="2038" t="s">
        <v>1152</v>
      </c>
      <c r="L22" s="2038" t="s">
        <v>153</v>
      </c>
      <c r="M22" s="2038" t="s">
        <v>1153</v>
      </c>
      <c r="N22" s="2038" t="s">
        <v>153</v>
      </c>
      <c r="O22" s="2038" t="s">
        <v>1160</v>
      </c>
      <c r="P22" s="2038" t="s">
        <v>1161</v>
      </c>
    </row>
    <row r="23" spans="1:16" ht="14.4" x14ac:dyDescent="0.3">
      <c r="A23" s="2037">
        <v>2013</v>
      </c>
      <c r="B23" s="2038" t="s">
        <v>593</v>
      </c>
      <c r="C23" s="2038" t="s">
        <v>588</v>
      </c>
      <c r="D23" s="2038" t="s">
        <v>1158</v>
      </c>
      <c r="E23" s="2038" t="s">
        <v>153</v>
      </c>
      <c r="F23" s="2037">
        <v>2.7622559736828172</v>
      </c>
      <c r="G23" s="2038" t="s">
        <v>1130</v>
      </c>
      <c r="H23" s="2038" t="s">
        <v>599</v>
      </c>
      <c r="I23" s="2038" t="s">
        <v>153</v>
      </c>
      <c r="J23" s="2038" t="s">
        <v>1159</v>
      </c>
      <c r="K23" s="2038" t="s">
        <v>1154</v>
      </c>
      <c r="L23" s="2038" t="s">
        <v>153</v>
      </c>
      <c r="M23" s="2038" t="s">
        <v>1155</v>
      </c>
      <c r="N23" s="2038" t="s">
        <v>153</v>
      </c>
      <c r="O23" s="2038" t="s">
        <v>1160</v>
      </c>
      <c r="P23" s="2038" t="s">
        <v>1161</v>
      </c>
    </row>
    <row r="24" spans="1:16" ht="14.4" x14ac:dyDescent="0.3">
      <c r="A24" s="2037">
        <v>2013</v>
      </c>
      <c r="B24" s="2038" t="s">
        <v>593</v>
      </c>
      <c r="C24" s="2038" t="s">
        <v>588</v>
      </c>
      <c r="D24" s="2038" t="s">
        <v>1158</v>
      </c>
      <c r="E24" s="2038" t="s">
        <v>153</v>
      </c>
      <c r="F24" s="2037">
        <v>5.5575928572300999</v>
      </c>
      <c r="G24" s="2038" t="s">
        <v>1130</v>
      </c>
      <c r="H24" s="2038" t="s">
        <v>602</v>
      </c>
      <c r="I24" s="2038" t="s">
        <v>153</v>
      </c>
      <c r="J24" s="2038" t="s">
        <v>1159</v>
      </c>
      <c r="K24" s="2038" t="s">
        <v>1156</v>
      </c>
      <c r="L24" s="2038" t="s">
        <v>153</v>
      </c>
      <c r="M24" s="2038" t="s">
        <v>431</v>
      </c>
      <c r="N24" s="2038" t="s">
        <v>153</v>
      </c>
      <c r="O24" s="2038" t="s">
        <v>1160</v>
      </c>
      <c r="P24" s="2038" t="s">
        <v>1161</v>
      </c>
    </row>
    <row r="25" spans="1:16" ht="14.4" x14ac:dyDescent="0.3">
      <c r="A25" s="2037">
        <v>2013</v>
      </c>
      <c r="B25" s="2038" t="s">
        <v>593</v>
      </c>
      <c r="C25" s="2038" t="s">
        <v>588</v>
      </c>
      <c r="D25" s="2038" t="s">
        <v>1158</v>
      </c>
      <c r="E25" s="2038" t="s">
        <v>153</v>
      </c>
      <c r="F25" s="2037">
        <v>3.4271822619585612</v>
      </c>
      <c r="G25" s="2038" t="s">
        <v>1130</v>
      </c>
      <c r="H25" s="2038" t="s">
        <v>601</v>
      </c>
      <c r="I25" s="2038" t="s">
        <v>153</v>
      </c>
      <c r="J25" s="2038" t="s">
        <v>1159</v>
      </c>
      <c r="K25" s="2038" t="s">
        <v>1157</v>
      </c>
      <c r="L25" s="2038" t="s">
        <v>153</v>
      </c>
      <c r="M25" s="2038" t="s">
        <v>44</v>
      </c>
      <c r="N25" s="2038" t="s">
        <v>153</v>
      </c>
      <c r="O25" s="2038" t="s">
        <v>1160</v>
      </c>
      <c r="P25" s="2038" t="s">
        <v>1161</v>
      </c>
    </row>
    <row r="26" spans="1:16" ht="14.4" x14ac:dyDescent="0.3">
      <c r="A26" s="2037">
        <v>2013</v>
      </c>
      <c r="B26" s="2038" t="s">
        <v>593</v>
      </c>
      <c r="C26" s="2038" t="s">
        <v>588</v>
      </c>
      <c r="D26" s="2038" t="s">
        <v>1162</v>
      </c>
      <c r="E26" s="2038" t="s">
        <v>153</v>
      </c>
      <c r="F26" s="2037">
        <v>591.48900518669166</v>
      </c>
      <c r="G26" s="2038" t="s">
        <v>1130</v>
      </c>
      <c r="H26" s="2038" t="s">
        <v>595</v>
      </c>
      <c r="I26" s="2038" t="s">
        <v>153</v>
      </c>
      <c r="J26" s="2038" t="s">
        <v>1163</v>
      </c>
      <c r="K26" s="2038" t="s">
        <v>1148</v>
      </c>
      <c r="L26" s="2038" t="s">
        <v>153</v>
      </c>
      <c r="M26" s="2038" t="s">
        <v>1149</v>
      </c>
      <c r="N26" s="2038" t="s">
        <v>153</v>
      </c>
      <c r="O26" s="2038" t="s">
        <v>1164</v>
      </c>
      <c r="P26" s="2038" t="s">
        <v>1165</v>
      </c>
    </row>
    <row r="27" spans="1:16" ht="14.4" x14ac:dyDescent="0.3">
      <c r="A27" s="2037">
        <v>2013</v>
      </c>
      <c r="B27" s="2038" t="s">
        <v>593</v>
      </c>
      <c r="C27" s="2038" t="s">
        <v>588</v>
      </c>
      <c r="D27" s="2038" t="s">
        <v>1162</v>
      </c>
      <c r="E27" s="2038" t="s">
        <v>153</v>
      </c>
      <c r="F27" s="2037">
        <v>64.370886114721415</v>
      </c>
      <c r="G27" s="2038" t="s">
        <v>1130</v>
      </c>
      <c r="H27" s="2038" t="s">
        <v>597</v>
      </c>
      <c r="I27" s="2038" t="s">
        <v>153</v>
      </c>
      <c r="J27" s="2038" t="s">
        <v>1163</v>
      </c>
      <c r="K27" s="2038" t="s">
        <v>1152</v>
      </c>
      <c r="L27" s="2038" t="s">
        <v>153</v>
      </c>
      <c r="M27" s="2038" t="s">
        <v>1153</v>
      </c>
      <c r="N27" s="2038" t="s">
        <v>153</v>
      </c>
      <c r="O27" s="2038" t="s">
        <v>1164</v>
      </c>
      <c r="P27" s="2038" t="s">
        <v>1165</v>
      </c>
    </row>
    <row r="28" spans="1:16" ht="14.4" x14ac:dyDescent="0.3">
      <c r="A28" s="2037">
        <v>2013</v>
      </c>
      <c r="B28" s="2038" t="s">
        <v>593</v>
      </c>
      <c r="C28" s="2038" t="s">
        <v>588</v>
      </c>
      <c r="D28" s="2038" t="s">
        <v>1162</v>
      </c>
      <c r="E28" s="2038" t="s">
        <v>153</v>
      </c>
      <c r="F28" s="2037">
        <v>180.844527893372</v>
      </c>
      <c r="G28" s="2038" t="s">
        <v>1130</v>
      </c>
      <c r="H28" s="2038" t="s">
        <v>599</v>
      </c>
      <c r="I28" s="2038" t="s">
        <v>153</v>
      </c>
      <c r="J28" s="2038" t="s">
        <v>1163</v>
      </c>
      <c r="K28" s="2038" t="s">
        <v>1154</v>
      </c>
      <c r="L28" s="2038" t="s">
        <v>153</v>
      </c>
      <c r="M28" s="2038" t="s">
        <v>1155</v>
      </c>
      <c r="N28" s="2038" t="s">
        <v>153</v>
      </c>
      <c r="O28" s="2038" t="s">
        <v>1164</v>
      </c>
      <c r="P28" s="2038" t="s">
        <v>1165</v>
      </c>
    </row>
    <row r="29" spans="1:16" ht="14.4" x14ac:dyDescent="0.3">
      <c r="A29" s="2037">
        <v>2013</v>
      </c>
      <c r="B29" s="2038" t="s">
        <v>593</v>
      </c>
      <c r="C29" s="2038" t="s">
        <v>588</v>
      </c>
      <c r="D29" s="2038" t="s">
        <v>1162</v>
      </c>
      <c r="E29" s="2038" t="s">
        <v>153</v>
      </c>
      <c r="F29" s="2037">
        <v>24.409810541534952</v>
      </c>
      <c r="G29" s="2038" t="s">
        <v>1130</v>
      </c>
      <c r="H29" s="2038" t="s">
        <v>602</v>
      </c>
      <c r="I29" s="2038" t="s">
        <v>153</v>
      </c>
      <c r="J29" s="2038" t="s">
        <v>1163</v>
      </c>
      <c r="K29" s="2038" t="s">
        <v>1156</v>
      </c>
      <c r="L29" s="2038" t="s">
        <v>153</v>
      </c>
      <c r="M29" s="2038" t="s">
        <v>431</v>
      </c>
      <c r="N29" s="2038" t="s">
        <v>153</v>
      </c>
      <c r="O29" s="2038" t="s">
        <v>1164</v>
      </c>
      <c r="P29" s="2038" t="s">
        <v>1165</v>
      </c>
    </row>
    <row r="30" spans="1:16" ht="14.4" x14ac:dyDescent="0.3">
      <c r="A30" s="2037">
        <v>2013</v>
      </c>
      <c r="B30" s="2038" t="s">
        <v>593</v>
      </c>
      <c r="C30" s="2038" t="s">
        <v>588</v>
      </c>
      <c r="D30" s="2038" t="s">
        <v>1162</v>
      </c>
      <c r="E30" s="2038" t="s">
        <v>153</v>
      </c>
      <c r="F30" s="2037">
        <v>0</v>
      </c>
      <c r="G30" s="2038" t="s">
        <v>1130</v>
      </c>
      <c r="H30" s="2038" t="s">
        <v>601</v>
      </c>
      <c r="I30" s="2038" t="s">
        <v>153</v>
      </c>
      <c r="J30" s="2038" t="s">
        <v>1163</v>
      </c>
      <c r="K30" s="2038" t="s">
        <v>1157</v>
      </c>
      <c r="L30" s="2038" t="s">
        <v>153</v>
      </c>
      <c r="M30" s="2038" t="s">
        <v>44</v>
      </c>
      <c r="N30" s="2038" t="s">
        <v>153</v>
      </c>
      <c r="O30" s="2038" t="s">
        <v>1164</v>
      </c>
      <c r="P30" s="2038" t="s">
        <v>1165</v>
      </c>
    </row>
    <row r="31" spans="1:16" ht="14.4" x14ac:dyDescent="0.3">
      <c r="A31" s="2037">
        <v>2013</v>
      </c>
      <c r="B31" s="2038" t="s">
        <v>593</v>
      </c>
      <c r="C31" s="2038" t="s">
        <v>588</v>
      </c>
      <c r="D31" s="2038" t="s">
        <v>1166</v>
      </c>
      <c r="E31" s="2038" t="s">
        <v>153</v>
      </c>
      <c r="F31" s="2037">
        <v>11.680999999999999</v>
      </c>
      <c r="G31" s="2038" t="s">
        <v>1130</v>
      </c>
      <c r="H31" s="2038" t="s">
        <v>601</v>
      </c>
      <c r="I31" s="2038" t="s">
        <v>153</v>
      </c>
      <c r="J31" s="2038" t="s">
        <v>1167</v>
      </c>
      <c r="K31" s="2038" t="s">
        <v>1152</v>
      </c>
      <c r="L31" s="2038" t="s">
        <v>153</v>
      </c>
      <c r="M31" s="2038" t="s">
        <v>44</v>
      </c>
      <c r="N31" s="2038" t="s">
        <v>153</v>
      </c>
      <c r="O31" s="2038" t="s">
        <v>1168</v>
      </c>
      <c r="P31" s="2038" t="s">
        <v>1169</v>
      </c>
    </row>
    <row r="32" spans="1:16" ht="14.4" x14ac:dyDescent="0.3">
      <c r="A32" s="2037">
        <v>2013</v>
      </c>
      <c r="B32" s="2038" t="s">
        <v>593</v>
      </c>
      <c r="C32" s="2038" t="s">
        <v>586</v>
      </c>
      <c r="D32" s="2038" t="s">
        <v>1166</v>
      </c>
      <c r="E32" s="2038" t="s">
        <v>153</v>
      </c>
      <c r="F32" s="2037">
        <v>18.411899999999999</v>
      </c>
      <c r="G32" s="2038" t="s">
        <v>1130</v>
      </c>
      <c r="H32" s="2038" t="s">
        <v>601</v>
      </c>
      <c r="I32" s="2038" t="s">
        <v>153</v>
      </c>
      <c r="J32" s="2038" t="s">
        <v>1167</v>
      </c>
      <c r="K32" s="2038" t="s">
        <v>1152</v>
      </c>
      <c r="L32" s="2038" t="s">
        <v>153</v>
      </c>
      <c r="M32" s="2038" t="s">
        <v>44</v>
      </c>
      <c r="N32" s="2038" t="s">
        <v>153</v>
      </c>
      <c r="O32" s="2038" t="s">
        <v>1168</v>
      </c>
      <c r="P32" s="2038" t="s">
        <v>1169</v>
      </c>
    </row>
    <row r="33" spans="1:16" ht="14.4" x14ac:dyDescent="0.3">
      <c r="A33" s="2037">
        <v>2013</v>
      </c>
      <c r="B33" s="2038" t="s">
        <v>593</v>
      </c>
      <c r="C33" s="2038" t="s">
        <v>588</v>
      </c>
      <c r="D33" s="2038" t="s">
        <v>1170</v>
      </c>
      <c r="E33" s="2038" t="s">
        <v>153</v>
      </c>
      <c r="F33" s="2037">
        <v>14.097655159041302</v>
      </c>
      <c r="G33" s="2038" t="s">
        <v>1130</v>
      </c>
      <c r="H33" s="2038" t="s">
        <v>601</v>
      </c>
      <c r="I33" s="2038" t="s">
        <v>153</v>
      </c>
      <c r="J33" s="2038" t="s">
        <v>1167</v>
      </c>
      <c r="K33" s="2038" t="s">
        <v>1148</v>
      </c>
      <c r="L33" s="2038" t="s">
        <v>153</v>
      </c>
      <c r="M33" s="2038" t="s">
        <v>44</v>
      </c>
      <c r="N33" s="2038" t="s">
        <v>153</v>
      </c>
      <c r="O33" s="2038" t="s">
        <v>1171</v>
      </c>
      <c r="P33" s="2038" t="s">
        <v>1169</v>
      </c>
    </row>
    <row r="34" spans="1:16" ht="14.4" x14ac:dyDescent="0.3">
      <c r="A34" s="2037">
        <v>2013</v>
      </c>
      <c r="B34" s="2038" t="s">
        <v>593</v>
      </c>
      <c r="C34" s="2038" t="s">
        <v>586</v>
      </c>
      <c r="D34" s="2038" t="s">
        <v>1170</v>
      </c>
      <c r="E34" s="2038" t="s">
        <v>153</v>
      </c>
      <c r="F34" s="2037">
        <v>29.820273685324128</v>
      </c>
      <c r="G34" s="2038" t="s">
        <v>1130</v>
      </c>
      <c r="H34" s="2038" t="s">
        <v>601</v>
      </c>
      <c r="I34" s="2038" t="s">
        <v>153</v>
      </c>
      <c r="J34" s="2038" t="s">
        <v>1167</v>
      </c>
      <c r="K34" s="2038" t="s">
        <v>1148</v>
      </c>
      <c r="L34" s="2038" t="s">
        <v>153</v>
      </c>
      <c r="M34" s="2038" t="s">
        <v>44</v>
      </c>
      <c r="N34" s="2038" t="s">
        <v>153</v>
      </c>
      <c r="O34" s="2038" t="s">
        <v>1171</v>
      </c>
      <c r="P34" s="2038" t="s">
        <v>1169</v>
      </c>
    </row>
    <row r="35" spans="1:16" ht="14.4" x14ac:dyDescent="0.3">
      <c r="A35" s="2037">
        <v>2013</v>
      </c>
      <c r="B35" s="2038" t="s">
        <v>593</v>
      </c>
      <c r="C35" s="2038" t="s">
        <v>588</v>
      </c>
      <c r="D35" s="2038" t="s">
        <v>1170</v>
      </c>
      <c r="E35" s="2038" t="s">
        <v>153</v>
      </c>
      <c r="F35" s="2037">
        <v>6.7793080000000003</v>
      </c>
      <c r="G35" s="2038" t="s">
        <v>1130</v>
      </c>
      <c r="H35" s="2038" t="s">
        <v>601</v>
      </c>
      <c r="I35" s="2038" t="s">
        <v>153</v>
      </c>
      <c r="J35" s="2038" t="s">
        <v>1167</v>
      </c>
      <c r="K35" s="2038" t="s">
        <v>1152</v>
      </c>
      <c r="L35" s="2038" t="s">
        <v>153</v>
      </c>
      <c r="M35" s="2038" t="s">
        <v>44</v>
      </c>
      <c r="N35" s="2038" t="s">
        <v>153</v>
      </c>
      <c r="O35" s="2038" t="s">
        <v>1171</v>
      </c>
      <c r="P35" s="2038" t="s">
        <v>1169</v>
      </c>
    </row>
    <row r="36" spans="1:16" ht="14.4" x14ac:dyDescent="0.3">
      <c r="A36" s="2037">
        <v>2013</v>
      </c>
      <c r="B36" s="2038" t="s">
        <v>593</v>
      </c>
      <c r="C36" s="2038" t="s">
        <v>586</v>
      </c>
      <c r="D36" s="2038" t="s">
        <v>1170</v>
      </c>
      <c r="E36" s="2038" t="s">
        <v>153</v>
      </c>
      <c r="F36" s="2037">
        <v>5.591692000000001</v>
      </c>
      <c r="G36" s="2038" t="s">
        <v>1130</v>
      </c>
      <c r="H36" s="2038" t="s">
        <v>601</v>
      </c>
      <c r="I36" s="2038" t="s">
        <v>153</v>
      </c>
      <c r="J36" s="2038" t="s">
        <v>1167</v>
      </c>
      <c r="K36" s="2038" t="s">
        <v>1152</v>
      </c>
      <c r="L36" s="2038" t="s">
        <v>153</v>
      </c>
      <c r="M36" s="2038" t="s">
        <v>44</v>
      </c>
      <c r="N36" s="2038" t="s">
        <v>153</v>
      </c>
      <c r="O36" s="2038" t="s">
        <v>1171</v>
      </c>
      <c r="P36" s="2038" t="s">
        <v>1169</v>
      </c>
    </row>
    <row r="37" spans="1:16" ht="14.4" x14ac:dyDescent="0.3">
      <c r="A37" s="2037">
        <v>2013</v>
      </c>
      <c r="B37" s="2038" t="s">
        <v>593</v>
      </c>
      <c r="C37" s="2038" t="s">
        <v>588</v>
      </c>
      <c r="D37" s="2038" t="s">
        <v>1172</v>
      </c>
      <c r="E37" s="2038" t="s">
        <v>153</v>
      </c>
      <c r="F37" s="2037">
        <v>456.90600000000001</v>
      </c>
      <c r="G37" s="2038" t="s">
        <v>1130</v>
      </c>
      <c r="H37" s="2038" t="s">
        <v>595</v>
      </c>
      <c r="I37" s="2038" t="s">
        <v>153</v>
      </c>
      <c r="J37" s="2038" t="s">
        <v>1173</v>
      </c>
      <c r="K37" s="2038" t="s">
        <v>1148</v>
      </c>
      <c r="L37" s="2038" t="s">
        <v>153</v>
      </c>
      <c r="M37" s="2038" t="s">
        <v>1149</v>
      </c>
      <c r="N37" s="2038" t="s">
        <v>153</v>
      </c>
      <c r="O37" s="2038" t="s">
        <v>1174</v>
      </c>
      <c r="P37" s="2038" t="s">
        <v>1175</v>
      </c>
    </row>
    <row r="38" spans="1:16" ht="14.4" x14ac:dyDescent="0.3">
      <c r="A38" s="2037">
        <v>2013</v>
      </c>
      <c r="B38" s="2038" t="s">
        <v>593</v>
      </c>
      <c r="C38" s="2038" t="s">
        <v>588</v>
      </c>
      <c r="D38" s="2038" t="s">
        <v>1172</v>
      </c>
      <c r="E38" s="2038" t="s">
        <v>153</v>
      </c>
      <c r="F38" s="2037">
        <v>300.88498779489686</v>
      </c>
      <c r="G38" s="2038" t="s">
        <v>1130</v>
      </c>
      <c r="H38" s="2038" t="s">
        <v>597</v>
      </c>
      <c r="I38" s="2038" t="s">
        <v>153</v>
      </c>
      <c r="J38" s="2038" t="s">
        <v>1173</v>
      </c>
      <c r="K38" s="2038" t="s">
        <v>1152</v>
      </c>
      <c r="L38" s="2038" t="s">
        <v>153</v>
      </c>
      <c r="M38" s="2038" t="s">
        <v>1153</v>
      </c>
      <c r="N38" s="2038" t="s">
        <v>153</v>
      </c>
      <c r="O38" s="2038" t="s">
        <v>1174</v>
      </c>
      <c r="P38" s="2038" t="s">
        <v>1175</v>
      </c>
    </row>
    <row r="39" spans="1:16" ht="14.4" x14ac:dyDescent="0.3">
      <c r="A39" s="2037">
        <v>2013</v>
      </c>
      <c r="B39" s="2038" t="s">
        <v>593</v>
      </c>
      <c r="C39" s="2038" t="s">
        <v>588</v>
      </c>
      <c r="D39" s="2038" t="s">
        <v>1172</v>
      </c>
      <c r="E39" s="2038" t="s">
        <v>153</v>
      </c>
      <c r="F39" s="2037">
        <v>306.1593811573037</v>
      </c>
      <c r="G39" s="2038" t="s">
        <v>1130</v>
      </c>
      <c r="H39" s="2038" t="s">
        <v>599</v>
      </c>
      <c r="I39" s="2038" t="s">
        <v>153</v>
      </c>
      <c r="J39" s="2038" t="s">
        <v>1173</v>
      </c>
      <c r="K39" s="2038" t="s">
        <v>1154</v>
      </c>
      <c r="L39" s="2038" t="s">
        <v>153</v>
      </c>
      <c r="M39" s="2038" t="s">
        <v>1155</v>
      </c>
      <c r="N39" s="2038" t="s">
        <v>153</v>
      </c>
      <c r="O39" s="2038" t="s">
        <v>1174</v>
      </c>
      <c r="P39" s="2038" t="s">
        <v>1175</v>
      </c>
    </row>
    <row r="40" spans="1:16" ht="14.4" x14ac:dyDescent="0.3">
      <c r="A40" s="2037">
        <v>2013</v>
      </c>
      <c r="B40" s="2038" t="s">
        <v>593</v>
      </c>
      <c r="C40" s="2038" t="s">
        <v>588</v>
      </c>
      <c r="D40" s="2038" t="s">
        <v>1172</v>
      </c>
      <c r="E40" s="2038" t="s">
        <v>153</v>
      </c>
      <c r="F40" s="2037">
        <v>85.748631047799407</v>
      </c>
      <c r="G40" s="2038" t="s">
        <v>1130</v>
      </c>
      <c r="H40" s="2038" t="s">
        <v>602</v>
      </c>
      <c r="I40" s="2038" t="s">
        <v>153</v>
      </c>
      <c r="J40" s="2038" t="s">
        <v>1173</v>
      </c>
      <c r="K40" s="2038" t="s">
        <v>1156</v>
      </c>
      <c r="L40" s="2038" t="s">
        <v>153</v>
      </c>
      <c r="M40" s="2038" t="s">
        <v>431</v>
      </c>
      <c r="N40" s="2038" t="s">
        <v>153</v>
      </c>
      <c r="O40" s="2038" t="s">
        <v>1174</v>
      </c>
      <c r="P40" s="2038" t="s">
        <v>1175</v>
      </c>
    </row>
    <row r="41" spans="1:16" ht="14.4" x14ac:dyDescent="0.3">
      <c r="A41" s="2037">
        <v>2013</v>
      </c>
      <c r="B41" s="2038" t="s">
        <v>593</v>
      </c>
      <c r="C41" s="2038" t="s">
        <v>588</v>
      </c>
      <c r="D41" s="2038" t="s">
        <v>1172</v>
      </c>
      <c r="E41" s="2038" t="s">
        <v>153</v>
      </c>
      <c r="F41" s="2037">
        <v>0</v>
      </c>
      <c r="G41" s="2038" t="s">
        <v>1130</v>
      </c>
      <c r="H41" s="2038" t="s">
        <v>601</v>
      </c>
      <c r="I41" s="2038" t="s">
        <v>153</v>
      </c>
      <c r="J41" s="2038" t="s">
        <v>1173</v>
      </c>
      <c r="K41" s="2038" t="s">
        <v>1157</v>
      </c>
      <c r="L41" s="2038" t="s">
        <v>153</v>
      </c>
      <c r="M41" s="2038" t="s">
        <v>44</v>
      </c>
      <c r="N41" s="2038" t="s">
        <v>153</v>
      </c>
      <c r="O41" s="2038" t="s">
        <v>1174</v>
      </c>
      <c r="P41" s="2038" t="s">
        <v>1175</v>
      </c>
    </row>
    <row r="42" spans="1:16" ht="14.4" x14ac:dyDescent="0.3">
      <c r="A42" s="2037">
        <v>2013</v>
      </c>
      <c r="B42" s="2038" t="s">
        <v>593</v>
      </c>
      <c r="C42" s="2038" t="s">
        <v>586</v>
      </c>
      <c r="D42" s="2038" t="s">
        <v>1172</v>
      </c>
      <c r="E42" s="2038" t="s">
        <v>153</v>
      </c>
      <c r="F42" s="2037">
        <v>129.839</v>
      </c>
      <c r="G42" s="2038" t="s">
        <v>1130</v>
      </c>
      <c r="H42" s="2038" t="s">
        <v>595</v>
      </c>
      <c r="I42" s="2038" t="s">
        <v>153</v>
      </c>
      <c r="J42" s="2038" t="s">
        <v>1173</v>
      </c>
      <c r="K42" s="2038" t="s">
        <v>1148</v>
      </c>
      <c r="L42" s="2038" t="s">
        <v>153</v>
      </c>
      <c r="M42" s="2038" t="s">
        <v>1149</v>
      </c>
      <c r="N42" s="2038" t="s">
        <v>153</v>
      </c>
      <c r="O42" s="2038" t="s">
        <v>1174</v>
      </c>
      <c r="P42" s="2038" t="s">
        <v>1175</v>
      </c>
    </row>
    <row r="43" spans="1:16" ht="14.4" x14ac:dyDescent="0.3">
      <c r="A43" s="2037">
        <v>2013</v>
      </c>
      <c r="B43" s="2038" t="s">
        <v>593</v>
      </c>
      <c r="C43" s="2038" t="s">
        <v>586</v>
      </c>
      <c r="D43" s="2038" t="s">
        <v>1172</v>
      </c>
      <c r="E43" s="2038" t="s">
        <v>153</v>
      </c>
      <c r="F43" s="2037">
        <v>1.7643664831028987</v>
      </c>
      <c r="G43" s="2038" t="s">
        <v>1130</v>
      </c>
      <c r="H43" s="2038" t="s">
        <v>597</v>
      </c>
      <c r="I43" s="2038" t="s">
        <v>153</v>
      </c>
      <c r="J43" s="2038" t="s">
        <v>1173</v>
      </c>
      <c r="K43" s="2038" t="s">
        <v>1152</v>
      </c>
      <c r="L43" s="2038" t="s">
        <v>153</v>
      </c>
      <c r="M43" s="2038" t="s">
        <v>1153</v>
      </c>
      <c r="N43" s="2038" t="s">
        <v>153</v>
      </c>
      <c r="O43" s="2038" t="s">
        <v>1174</v>
      </c>
      <c r="P43" s="2038" t="s">
        <v>1175</v>
      </c>
    </row>
    <row r="44" spans="1:16" ht="14.4" x14ac:dyDescent="0.3">
      <c r="A44" s="2037">
        <v>2013</v>
      </c>
      <c r="B44" s="2038" t="s">
        <v>593</v>
      </c>
      <c r="C44" s="2038" t="s">
        <v>586</v>
      </c>
      <c r="D44" s="2038" t="s">
        <v>1172</v>
      </c>
      <c r="E44" s="2038" t="s">
        <v>153</v>
      </c>
      <c r="F44" s="2037">
        <v>1.8290230946069024</v>
      </c>
      <c r="G44" s="2038" t="s">
        <v>1130</v>
      </c>
      <c r="H44" s="2038" t="s">
        <v>599</v>
      </c>
      <c r="I44" s="2038" t="s">
        <v>153</v>
      </c>
      <c r="J44" s="2038" t="s">
        <v>1173</v>
      </c>
      <c r="K44" s="2038" t="s">
        <v>1154</v>
      </c>
      <c r="L44" s="2038" t="s">
        <v>153</v>
      </c>
      <c r="M44" s="2038" t="s">
        <v>1155</v>
      </c>
      <c r="N44" s="2038" t="s">
        <v>153</v>
      </c>
      <c r="O44" s="2038" t="s">
        <v>1174</v>
      </c>
      <c r="P44" s="2038" t="s">
        <v>1175</v>
      </c>
    </row>
    <row r="45" spans="1:16" ht="14.4" x14ac:dyDescent="0.3">
      <c r="A45" s="2037">
        <v>2013</v>
      </c>
      <c r="B45" s="2038" t="s">
        <v>593</v>
      </c>
      <c r="C45" s="2038" t="s">
        <v>586</v>
      </c>
      <c r="D45" s="2038" t="s">
        <v>1172</v>
      </c>
      <c r="E45" s="2038" t="s">
        <v>153</v>
      </c>
      <c r="F45" s="2037">
        <v>0.49561042229019903</v>
      </c>
      <c r="G45" s="2038" t="s">
        <v>1130</v>
      </c>
      <c r="H45" s="2038" t="s">
        <v>602</v>
      </c>
      <c r="I45" s="2038" t="s">
        <v>153</v>
      </c>
      <c r="J45" s="2038" t="s">
        <v>1173</v>
      </c>
      <c r="K45" s="2038" t="s">
        <v>1156</v>
      </c>
      <c r="L45" s="2038" t="s">
        <v>153</v>
      </c>
      <c r="M45" s="2038" t="s">
        <v>431</v>
      </c>
      <c r="N45" s="2038" t="s">
        <v>153</v>
      </c>
      <c r="O45" s="2038" t="s">
        <v>1174</v>
      </c>
      <c r="P45" s="2038" t="s">
        <v>1175</v>
      </c>
    </row>
    <row r="46" spans="1:16" ht="14.4" x14ac:dyDescent="0.3">
      <c r="A46" s="2037">
        <v>2013</v>
      </c>
      <c r="B46" s="2038" t="s">
        <v>593</v>
      </c>
      <c r="C46" s="2038" t="s">
        <v>586</v>
      </c>
      <c r="D46" s="2038" t="s">
        <v>1172</v>
      </c>
      <c r="E46" s="2038" t="s">
        <v>153</v>
      </c>
      <c r="F46" s="2037">
        <v>0</v>
      </c>
      <c r="G46" s="2038" t="s">
        <v>1130</v>
      </c>
      <c r="H46" s="2038" t="s">
        <v>601</v>
      </c>
      <c r="I46" s="2038" t="s">
        <v>153</v>
      </c>
      <c r="J46" s="2038" t="s">
        <v>1173</v>
      </c>
      <c r="K46" s="2038" t="s">
        <v>1157</v>
      </c>
      <c r="L46" s="2038" t="s">
        <v>153</v>
      </c>
      <c r="M46" s="2038" t="s">
        <v>44</v>
      </c>
      <c r="N46" s="2038" t="s">
        <v>153</v>
      </c>
      <c r="O46" s="2038" t="s">
        <v>1174</v>
      </c>
      <c r="P46" s="2038" t="s">
        <v>1175</v>
      </c>
    </row>
    <row r="47" spans="1:16" ht="14.4" x14ac:dyDescent="0.3">
      <c r="A47" s="2037">
        <v>2013</v>
      </c>
      <c r="B47" s="2038" t="s">
        <v>593</v>
      </c>
      <c r="C47" s="2038" t="s">
        <v>588</v>
      </c>
      <c r="D47" s="2038" t="s">
        <v>1176</v>
      </c>
      <c r="E47" s="2038" t="s">
        <v>153</v>
      </c>
      <c r="F47" s="2037">
        <v>29.287852739405338</v>
      </c>
      <c r="G47" s="2038" t="s">
        <v>1130</v>
      </c>
      <c r="H47" s="2038" t="s">
        <v>597</v>
      </c>
      <c r="I47" s="2038" t="s">
        <v>153</v>
      </c>
      <c r="J47" s="2038" t="s">
        <v>1177</v>
      </c>
      <c r="K47" s="2038" t="s">
        <v>1129</v>
      </c>
      <c r="L47" s="2038" t="s">
        <v>153</v>
      </c>
      <c r="M47" s="2038" t="s">
        <v>1153</v>
      </c>
      <c r="N47" s="2038" t="s">
        <v>153</v>
      </c>
      <c r="O47" s="2038" t="s">
        <v>1178</v>
      </c>
      <c r="P47" s="2038" t="s">
        <v>1179</v>
      </c>
    </row>
    <row r="48" spans="1:16" ht="14.4" x14ac:dyDescent="0.3">
      <c r="A48" s="2037">
        <v>2013</v>
      </c>
      <c r="B48" s="2038" t="s">
        <v>593</v>
      </c>
      <c r="C48" s="2038" t="s">
        <v>586</v>
      </c>
      <c r="D48" s="2038" t="s">
        <v>1176</v>
      </c>
      <c r="E48" s="2038" t="s">
        <v>153</v>
      </c>
      <c r="F48" s="2037">
        <v>1.7360861496871169</v>
      </c>
      <c r="G48" s="2038" t="s">
        <v>1130</v>
      </c>
      <c r="H48" s="2038" t="s">
        <v>597</v>
      </c>
      <c r="I48" s="2038" t="s">
        <v>153</v>
      </c>
      <c r="J48" s="2038" t="s">
        <v>1177</v>
      </c>
      <c r="K48" s="2038" t="s">
        <v>1129</v>
      </c>
      <c r="L48" s="2038" t="s">
        <v>153</v>
      </c>
      <c r="M48" s="2038" t="s">
        <v>1153</v>
      </c>
      <c r="N48" s="2038" t="s">
        <v>153</v>
      </c>
      <c r="O48" s="2038" t="s">
        <v>1178</v>
      </c>
      <c r="P48" s="2038" t="s">
        <v>1179</v>
      </c>
    </row>
    <row r="49" spans="1:16" ht="14.4" x14ac:dyDescent="0.3">
      <c r="A49" s="2037">
        <v>2013</v>
      </c>
      <c r="B49" s="2038" t="s">
        <v>593</v>
      </c>
      <c r="C49" s="2038" t="s">
        <v>588</v>
      </c>
      <c r="D49" s="2038" t="s">
        <v>1180</v>
      </c>
      <c r="E49" s="2038" t="s">
        <v>153</v>
      </c>
      <c r="F49" s="2037">
        <v>5.6756917054462397</v>
      </c>
      <c r="G49" s="2038" t="s">
        <v>1130</v>
      </c>
      <c r="H49" s="2038" t="s">
        <v>597</v>
      </c>
      <c r="I49" s="2038" t="s">
        <v>153</v>
      </c>
      <c r="J49" s="2038" t="s">
        <v>1181</v>
      </c>
      <c r="K49" s="2038" t="s">
        <v>1129</v>
      </c>
      <c r="L49" s="2038" t="s">
        <v>153</v>
      </c>
      <c r="M49" s="2038" t="s">
        <v>1153</v>
      </c>
      <c r="N49" s="2038" t="s">
        <v>153</v>
      </c>
      <c r="O49" s="2038" t="s">
        <v>1182</v>
      </c>
      <c r="P49" s="2038" t="s">
        <v>1183</v>
      </c>
    </row>
    <row r="50" spans="1:16" ht="14.4" x14ac:dyDescent="0.3">
      <c r="A50" s="2037">
        <v>2013</v>
      </c>
      <c r="B50" s="2038" t="s">
        <v>593</v>
      </c>
      <c r="C50" s="2038" t="s">
        <v>586</v>
      </c>
      <c r="D50" s="2038" t="s">
        <v>1180</v>
      </c>
      <c r="E50" s="2038" t="s">
        <v>153</v>
      </c>
      <c r="F50" s="2037">
        <v>7.9724992773360356E-2</v>
      </c>
      <c r="G50" s="2038" t="s">
        <v>1130</v>
      </c>
      <c r="H50" s="2038" t="s">
        <v>597</v>
      </c>
      <c r="I50" s="2038" t="s">
        <v>153</v>
      </c>
      <c r="J50" s="2038" t="s">
        <v>1181</v>
      </c>
      <c r="K50" s="2038" t="s">
        <v>1129</v>
      </c>
      <c r="L50" s="2038" t="s">
        <v>153</v>
      </c>
      <c r="M50" s="2038" t="s">
        <v>1153</v>
      </c>
      <c r="N50" s="2038" t="s">
        <v>153</v>
      </c>
      <c r="O50" s="2038" t="s">
        <v>1182</v>
      </c>
      <c r="P50" s="2038" t="s">
        <v>1183</v>
      </c>
    </row>
    <row r="51" spans="1:16" ht="14.4" x14ac:dyDescent="0.3">
      <c r="A51" s="2037">
        <v>2013</v>
      </c>
      <c r="B51" s="2038" t="s">
        <v>593</v>
      </c>
      <c r="C51" s="2038" t="s">
        <v>588</v>
      </c>
      <c r="D51" s="2038" t="s">
        <v>1184</v>
      </c>
      <c r="E51" s="2038" t="s">
        <v>153</v>
      </c>
      <c r="F51" s="2037">
        <v>3.9697091837357854E-3</v>
      </c>
      <c r="G51" s="2038" t="s">
        <v>1130</v>
      </c>
      <c r="H51" s="2038" t="s">
        <v>595</v>
      </c>
      <c r="I51" s="2038" t="s">
        <v>153</v>
      </c>
      <c r="J51" s="2038" t="s">
        <v>1185</v>
      </c>
      <c r="K51" s="2038" t="s">
        <v>1148</v>
      </c>
      <c r="L51" s="2038" t="s">
        <v>153</v>
      </c>
      <c r="M51" s="2038" t="s">
        <v>1149</v>
      </c>
      <c r="N51" s="2038" t="s">
        <v>153</v>
      </c>
      <c r="O51" s="2038" t="s">
        <v>1186</v>
      </c>
      <c r="P51" s="2038" t="s">
        <v>1187</v>
      </c>
    </row>
    <row r="52" spans="1:16" ht="14.4" x14ac:dyDescent="0.3">
      <c r="A52" s="2037">
        <v>2013</v>
      </c>
      <c r="B52" s="2038" t="s">
        <v>593</v>
      </c>
      <c r="C52" s="2038" t="s">
        <v>588</v>
      </c>
      <c r="D52" s="2038" t="s">
        <v>1184</v>
      </c>
      <c r="E52" s="2038" t="s">
        <v>153</v>
      </c>
      <c r="F52" s="2037">
        <v>22.856262243556074</v>
      </c>
      <c r="G52" s="2038" t="s">
        <v>1130</v>
      </c>
      <c r="H52" s="2038" t="s">
        <v>597</v>
      </c>
      <c r="I52" s="2038" t="s">
        <v>153</v>
      </c>
      <c r="J52" s="2038" t="s">
        <v>1185</v>
      </c>
      <c r="K52" s="2038" t="s">
        <v>1152</v>
      </c>
      <c r="L52" s="2038" t="s">
        <v>153</v>
      </c>
      <c r="M52" s="2038" t="s">
        <v>1153</v>
      </c>
      <c r="N52" s="2038" t="s">
        <v>153</v>
      </c>
      <c r="O52" s="2038" t="s">
        <v>1186</v>
      </c>
      <c r="P52" s="2038" t="s">
        <v>1187</v>
      </c>
    </row>
    <row r="53" spans="1:16" ht="14.4" x14ac:dyDescent="0.3">
      <c r="A53" s="2037">
        <v>2013</v>
      </c>
      <c r="B53" s="2038" t="s">
        <v>593</v>
      </c>
      <c r="C53" s="2038" t="s">
        <v>588</v>
      </c>
      <c r="D53" s="2038" t="s">
        <v>1184</v>
      </c>
      <c r="E53" s="2038" t="s">
        <v>153</v>
      </c>
      <c r="F53" s="2037">
        <v>6.1656199805389651</v>
      </c>
      <c r="G53" s="2038" t="s">
        <v>1130</v>
      </c>
      <c r="H53" s="2038" t="s">
        <v>599</v>
      </c>
      <c r="I53" s="2038" t="s">
        <v>153</v>
      </c>
      <c r="J53" s="2038" t="s">
        <v>1185</v>
      </c>
      <c r="K53" s="2038" t="s">
        <v>1154</v>
      </c>
      <c r="L53" s="2038" t="s">
        <v>153</v>
      </c>
      <c r="M53" s="2038" t="s">
        <v>1155</v>
      </c>
      <c r="N53" s="2038" t="s">
        <v>153</v>
      </c>
      <c r="O53" s="2038" t="s">
        <v>1186</v>
      </c>
      <c r="P53" s="2038" t="s">
        <v>1187</v>
      </c>
    </row>
    <row r="54" spans="1:16" ht="14.4" x14ac:dyDescent="0.3">
      <c r="A54" s="2037">
        <v>2013</v>
      </c>
      <c r="B54" s="2038" t="s">
        <v>593</v>
      </c>
      <c r="C54" s="2038" t="s">
        <v>588</v>
      </c>
      <c r="D54" s="2038" t="s">
        <v>1184</v>
      </c>
      <c r="E54" s="2038" t="s">
        <v>153</v>
      </c>
      <c r="F54" s="2037">
        <v>0.10056596598797324</v>
      </c>
      <c r="G54" s="2038" t="s">
        <v>1130</v>
      </c>
      <c r="H54" s="2038" t="s">
        <v>602</v>
      </c>
      <c r="I54" s="2038" t="s">
        <v>153</v>
      </c>
      <c r="J54" s="2038" t="s">
        <v>1185</v>
      </c>
      <c r="K54" s="2038" t="s">
        <v>1156</v>
      </c>
      <c r="L54" s="2038" t="s">
        <v>153</v>
      </c>
      <c r="M54" s="2038" t="s">
        <v>431</v>
      </c>
      <c r="N54" s="2038" t="s">
        <v>153</v>
      </c>
      <c r="O54" s="2038" t="s">
        <v>1186</v>
      </c>
      <c r="P54" s="2038" t="s">
        <v>1187</v>
      </c>
    </row>
    <row r="55" spans="1:16" ht="14.4" x14ac:dyDescent="0.3">
      <c r="A55" s="2037">
        <v>2013</v>
      </c>
      <c r="B55" s="2038" t="s">
        <v>593</v>
      </c>
      <c r="C55" s="2038" t="s">
        <v>586</v>
      </c>
      <c r="D55" s="2038" t="s">
        <v>1184</v>
      </c>
      <c r="E55" s="2038" t="s">
        <v>153</v>
      </c>
      <c r="F55" s="2037">
        <v>0.15184137627789382</v>
      </c>
      <c r="G55" s="2038" t="s">
        <v>1130</v>
      </c>
      <c r="H55" s="2038" t="s">
        <v>595</v>
      </c>
      <c r="I55" s="2038" t="s">
        <v>153</v>
      </c>
      <c r="J55" s="2038" t="s">
        <v>1185</v>
      </c>
      <c r="K55" s="2038" t="s">
        <v>1148</v>
      </c>
      <c r="L55" s="2038" t="s">
        <v>153</v>
      </c>
      <c r="M55" s="2038" t="s">
        <v>1149</v>
      </c>
      <c r="N55" s="2038" t="s">
        <v>153</v>
      </c>
      <c r="O55" s="2038" t="s">
        <v>1186</v>
      </c>
      <c r="P55" s="2038" t="s">
        <v>1187</v>
      </c>
    </row>
    <row r="56" spans="1:16" ht="14.4" x14ac:dyDescent="0.3">
      <c r="A56" s="2037">
        <v>2013</v>
      </c>
      <c r="B56" s="2038" t="s">
        <v>593</v>
      </c>
      <c r="C56" s="2038" t="s">
        <v>586</v>
      </c>
      <c r="D56" s="2038" t="s">
        <v>1184</v>
      </c>
      <c r="E56" s="2038" t="s">
        <v>153</v>
      </c>
      <c r="F56" s="2037">
        <v>143.96745811195387</v>
      </c>
      <c r="G56" s="2038" t="s">
        <v>1130</v>
      </c>
      <c r="H56" s="2038" t="s">
        <v>597</v>
      </c>
      <c r="I56" s="2038" t="s">
        <v>153</v>
      </c>
      <c r="J56" s="2038" t="s">
        <v>1185</v>
      </c>
      <c r="K56" s="2038" t="s">
        <v>1152</v>
      </c>
      <c r="L56" s="2038" t="s">
        <v>153</v>
      </c>
      <c r="M56" s="2038" t="s">
        <v>1153</v>
      </c>
      <c r="N56" s="2038" t="s">
        <v>153</v>
      </c>
      <c r="O56" s="2038" t="s">
        <v>1186</v>
      </c>
      <c r="P56" s="2038" t="s">
        <v>1187</v>
      </c>
    </row>
    <row r="57" spans="1:16" ht="14.4" x14ac:dyDescent="0.3">
      <c r="A57" s="2037">
        <v>2013</v>
      </c>
      <c r="B57" s="2038" t="s">
        <v>593</v>
      </c>
      <c r="C57" s="2038" t="s">
        <v>586</v>
      </c>
      <c r="D57" s="2038" t="s">
        <v>1184</v>
      </c>
      <c r="E57" s="2038" t="s">
        <v>153</v>
      </c>
      <c r="F57" s="2037">
        <v>18.400263684812657</v>
      </c>
      <c r="G57" s="2038" t="s">
        <v>1130</v>
      </c>
      <c r="H57" s="2038" t="s">
        <v>599</v>
      </c>
      <c r="I57" s="2038" t="s">
        <v>153</v>
      </c>
      <c r="J57" s="2038" t="s">
        <v>1185</v>
      </c>
      <c r="K57" s="2038" t="s">
        <v>1154</v>
      </c>
      <c r="L57" s="2038" t="s">
        <v>153</v>
      </c>
      <c r="M57" s="2038" t="s">
        <v>1155</v>
      </c>
      <c r="N57" s="2038" t="s">
        <v>153</v>
      </c>
      <c r="O57" s="2038" t="s">
        <v>1186</v>
      </c>
      <c r="P57" s="2038" t="s">
        <v>1187</v>
      </c>
    </row>
    <row r="58" spans="1:16" ht="14.4" x14ac:dyDescent="0.3">
      <c r="A58" s="2037">
        <v>2013</v>
      </c>
      <c r="B58" s="2038" t="s">
        <v>593</v>
      </c>
      <c r="C58" s="2038" t="s">
        <v>586</v>
      </c>
      <c r="D58" s="2038" t="s">
        <v>1184</v>
      </c>
      <c r="E58" s="2038" t="s">
        <v>153</v>
      </c>
      <c r="F58" s="2037">
        <v>4.0021284754029613</v>
      </c>
      <c r="G58" s="2038" t="s">
        <v>1130</v>
      </c>
      <c r="H58" s="2038" t="s">
        <v>602</v>
      </c>
      <c r="I58" s="2038" t="s">
        <v>153</v>
      </c>
      <c r="J58" s="2038" t="s">
        <v>1185</v>
      </c>
      <c r="K58" s="2038" t="s">
        <v>1156</v>
      </c>
      <c r="L58" s="2038" t="s">
        <v>153</v>
      </c>
      <c r="M58" s="2038" t="s">
        <v>431</v>
      </c>
      <c r="N58" s="2038" t="s">
        <v>153</v>
      </c>
      <c r="O58" s="2038" t="s">
        <v>1186</v>
      </c>
      <c r="P58" s="2038" t="s">
        <v>1187</v>
      </c>
    </row>
    <row r="59" spans="1:16" ht="28.8" x14ac:dyDescent="0.3">
      <c r="A59" s="2037">
        <v>2013</v>
      </c>
      <c r="B59" s="2038" t="s">
        <v>593</v>
      </c>
      <c r="C59" s="2038" t="s">
        <v>588</v>
      </c>
      <c r="D59" s="2038" t="s">
        <v>1115</v>
      </c>
      <c r="E59" s="2038" t="s">
        <v>1129</v>
      </c>
      <c r="F59" s="2037">
        <v>147857.9688</v>
      </c>
      <c r="G59" s="2038" t="s">
        <v>1130</v>
      </c>
      <c r="H59" s="2038" t="s">
        <v>1188</v>
      </c>
      <c r="I59" s="2038" t="s">
        <v>1111</v>
      </c>
      <c r="J59" s="2038" t="s">
        <v>1189</v>
      </c>
      <c r="K59" s="2038" t="s">
        <v>1129</v>
      </c>
      <c r="L59" s="2038" t="s">
        <v>153</v>
      </c>
      <c r="M59" s="2038" t="s">
        <v>1190</v>
      </c>
      <c r="N59" s="2038" t="s">
        <v>1131</v>
      </c>
      <c r="O59" s="2038" t="s">
        <v>1132</v>
      </c>
      <c r="P59" s="2038" t="s">
        <v>1191</v>
      </c>
    </row>
    <row r="60" spans="1:16" ht="28.8" x14ac:dyDescent="0.3">
      <c r="A60" s="2037">
        <v>2013</v>
      </c>
      <c r="B60" s="2038" t="s">
        <v>593</v>
      </c>
      <c r="C60" s="2038" t="s">
        <v>588</v>
      </c>
      <c r="D60" s="2038" t="s">
        <v>1115</v>
      </c>
      <c r="E60" s="2038" t="s">
        <v>1129</v>
      </c>
      <c r="F60" s="2037">
        <v>3760.03</v>
      </c>
      <c r="G60" s="2038" t="s">
        <v>1130</v>
      </c>
      <c r="H60" s="2038" t="s">
        <v>1192</v>
      </c>
      <c r="I60" s="2038" t="s">
        <v>1111</v>
      </c>
      <c r="J60" s="2038" t="s">
        <v>1193</v>
      </c>
      <c r="K60" s="2038" t="s">
        <v>1129</v>
      </c>
      <c r="L60" s="2038" t="s">
        <v>153</v>
      </c>
      <c r="M60" s="2038" t="s">
        <v>118</v>
      </c>
      <c r="N60" s="2038" t="s">
        <v>1131</v>
      </c>
      <c r="O60" s="2038" t="s">
        <v>1132</v>
      </c>
      <c r="P60" s="2038" t="s">
        <v>1194</v>
      </c>
    </row>
    <row r="61" spans="1:16" ht="28.8" x14ac:dyDescent="0.3">
      <c r="A61" s="2037">
        <v>2013</v>
      </c>
      <c r="B61" s="2038" t="s">
        <v>593</v>
      </c>
      <c r="C61" s="2038" t="s">
        <v>588</v>
      </c>
      <c r="D61" s="2038" t="s">
        <v>1115</v>
      </c>
      <c r="E61" s="2038" t="s">
        <v>1129</v>
      </c>
      <c r="F61" s="2037">
        <v>13102.359</v>
      </c>
      <c r="G61" s="2038" t="s">
        <v>1130</v>
      </c>
      <c r="H61" s="2038" t="s">
        <v>1195</v>
      </c>
      <c r="I61" s="2038" t="s">
        <v>1111</v>
      </c>
      <c r="J61" s="2038" t="s">
        <v>1193</v>
      </c>
      <c r="K61" s="2038" t="s">
        <v>1129</v>
      </c>
      <c r="L61" s="2038" t="s">
        <v>153</v>
      </c>
      <c r="M61" s="2038" t="s">
        <v>438</v>
      </c>
      <c r="N61" s="2038" t="s">
        <v>1131</v>
      </c>
      <c r="O61" s="2038" t="s">
        <v>1132</v>
      </c>
      <c r="P61" s="2038" t="s">
        <v>1194</v>
      </c>
    </row>
    <row r="62" spans="1:16" ht="28.8" x14ac:dyDescent="0.3">
      <c r="A62" s="2037">
        <v>2013</v>
      </c>
      <c r="B62" s="2038" t="s">
        <v>593</v>
      </c>
      <c r="C62" s="2038" t="s">
        <v>588</v>
      </c>
      <c r="D62" s="2038" t="s">
        <v>1115</v>
      </c>
      <c r="E62" s="2038" t="s">
        <v>1129</v>
      </c>
      <c r="F62" s="2037">
        <v>13998.893999999998</v>
      </c>
      <c r="G62" s="2038" t="s">
        <v>1130</v>
      </c>
      <c r="H62" s="2038" t="s">
        <v>1196</v>
      </c>
      <c r="I62" s="2038" t="s">
        <v>1111</v>
      </c>
      <c r="J62" s="2038" t="s">
        <v>1197</v>
      </c>
      <c r="K62" s="2038" t="s">
        <v>1129</v>
      </c>
      <c r="L62" s="2038" t="s">
        <v>153</v>
      </c>
      <c r="M62" s="2038" t="s">
        <v>1198</v>
      </c>
      <c r="N62" s="2038" t="s">
        <v>1131</v>
      </c>
      <c r="O62" s="2038" t="s">
        <v>1132</v>
      </c>
      <c r="P62" s="2038" t="s">
        <v>1199</v>
      </c>
    </row>
    <row r="63" spans="1:16" ht="28.8" x14ac:dyDescent="0.3">
      <c r="A63" s="2037">
        <v>2013</v>
      </c>
      <c r="B63" s="2038" t="s">
        <v>593</v>
      </c>
      <c r="C63" s="2038" t="s">
        <v>588</v>
      </c>
      <c r="D63" s="2038" t="s">
        <v>1115</v>
      </c>
      <c r="E63" s="2038" t="s">
        <v>1129</v>
      </c>
      <c r="F63" s="2037">
        <v>11646.31832</v>
      </c>
      <c r="G63" s="2038" t="s">
        <v>1130</v>
      </c>
      <c r="H63" s="2038" t="s">
        <v>1200</v>
      </c>
      <c r="I63" s="2038" t="s">
        <v>1111</v>
      </c>
      <c r="J63" s="2038" t="s">
        <v>1201</v>
      </c>
      <c r="K63" s="2038" t="s">
        <v>1129</v>
      </c>
      <c r="L63" s="2038" t="s">
        <v>153</v>
      </c>
      <c r="M63" s="2038" t="s">
        <v>312</v>
      </c>
      <c r="N63" s="2038" t="s">
        <v>1131</v>
      </c>
      <c r="O63" s="2038" t="s">
        <v>1132</v>
      </c>
      <c r="P63" s="2038" t="s">
        <v>1202</v>
      </c>
    </row>
    <row r="64" spans="1:16" ht="28.8" x14ac:dyDescent="0.3">
      <c r="A64" s="2037">
        <v>2013</v>
      </c>
      <c r="B64" s="2038" t="s">
        <v>593</v>
      </c>
      <c r="C64" s="2038" t="s">
        <v>588</v>
      </c>
      <c r="D64" s="2038" t="s">
        <v>1115</v>
      </c>
      <c r="E64" s="2038" t="s">
        <v>1129</v>
      </c>
      <c r="F64" s="2037">
        <v>0</v>
      </c>
      <c r="G64" s="2038" t="s">
        <v>1130</v>
      </c>
      <c r="H64" s="2038" t="s">
        <v>1203</v>
      </c>
      <c r="I64" s="2038" t="s">
        <v>1111</v>
      </c>
      <c r="J64" s="2038" t="s">
        <v>1204</v>
      </c>
      <c r="K64" s="2038" t="s">
        <v>1129</v>
      </c>
      <c r="L64" s="2038" t="s">
        <v>153</v>
      </c>
      <c r="M64" s="2038" t="s">
        <v>16</v>
      </c>
      <c r="N64" s="2038" t="s">
        <v>1131</v>
      </c>
      <c r="O64" s="2038" t="s">
        <v>1132</v>
      </c>
      <c r="P64" s="2038" t="s">
        <v>1205</v>
      </c>
    </row>
    <row r="65" spans="1:16" ht="28.8" x14ac:dyDescent="0.3">
      <c r="A65" s="2037">
        <v>2013</v>
      </c>
      <c r="B65" s="2038" t="s">
        <v>593</v>
      </c>
      <c r="C65" s="2038" t="s">
        <v>588</v>
      </c>
      <c r="D65" s="2038" t="s">
        <v>1115</v>
      </c>
      <c r="E65" s="2038" t="s">
        <v>1129</v>
      </c>
      <c r="F65" s="2037">
        <v>610.3125</v>
      </c>
      <c r="G65" s="2038" t="s">
        <v>1130</v>
      </c>
      <c r="H65" s="2038" t="s">
        <v>1206</v>
      </c>
      <c r="I65" s="2038" t="s">
        <v>1111</v>
      </c>
      <c r="J65" s="2038" t="s">
        <v>1207</v>
      </c>
      <c r="K65" s="2038" t="s">
        <v>1129</v>
      </c>
      <c r="L65" s="2038" t="s">
        <v>153</v>
      </c>
      <c r="M65" s="2038" t="s">
        <v>17</v>
      </c>
      <c r="N65" s="2038" t="s">
        <v>1131</v>
      </c>
      <c r="O65" s="2038" t="s">
        <v>1132</v>
      </c>
      <c r="P65" s="2038" t="s">
        <v>1208</v>
      </c>
    </row>
    <row r="66" spans="1:16" ht="28.8" x14ac:dyDescent="0.3">
      <c r="A66" s="2037">
        <v>2013</v>
      </c>
      <c r="B66" s="2038" t="s">
        <v>593</v>
      </c>
      <c r="C66" s="2038" t="s">
        <v>588</v>
      </c>
      <c r="D66" s="2038" t="s">
        <v>1115</v>
      </c>
      <c r="E66" s="2038" t="s">
        <v>1129</v>
      </c>
      <c r="F66" s="2037">
        <v>208.017</v>
      </c>
      <c r="G66" s="2038" t="s">
        <v>1130</v>
      </c>
      <c r="H66" s="2038" t="s">
        <v>1209</v>
      </c>
      <c r="I66" s="2038" t="s">
        <v>1111</v>
      </c>
      <c r="J66" s="2038" t="s">
        <v>1210</v>
      </c>
      <c r="K66" s="2038" t="s">
        <v>1129</v>
      </c>
      <c r="L66" s="2038" t="s">
        <v>153</v>
      </c>
      <c r="M66" s="2038" t="s">
        <v>695</v>
      </c>
      <c r="N66" s="2038" t="s">
        <v>1131</v>
      </c>
      <c r="O66" s="2038" t="s">
        <v>1132</v>
      </c>
      <c r="P66" s="2038" t="s">
        <v>1211</v>
      </c>
    </row>
    <row r="67" spans="1:16" ht="28.8" x14ac:dyDescent="0.3">
      <c r="A67" s="2037">
        <v>2013</v>
      </c>
      <c r="B67" s="2038" t="s">
        <v>593</v>
      </c>
      <c r="C67" s="2038" t="s">
        <v>588</v>
      </c>
      <c r="D67" s="2038" t="s">
        <v>1115</v>
      </c>
      <c r="E67" s="2038" t="s">
        <v>1129</v>
      </c>
      <c r="F67" s="2037">
        <v>13.933999999999999</v>
      </c>
      <c r="G67" s="2038" t="s">
        <v>1130</v>
      </c>
      <c r="H67" s="2038" t="s">
        <v>1212</v>
      </c>
      <c r="I67" s="2038" t="s">
        <v>1111</v>
      </c>
      <c r="J67" s="2038" t="s">
        <v>1210</v>
      </c>
      <c r="K67" s="2038" t="s">
        <v>1129</v>
      </c>
      <c r="L67" s="2038" t="s">
        <v>153</v>
      </c>
      <c r="M67" s="2038" t="s">
        <v>1213</v>
      </c>
      <c r="N67" s="2038" t="s">
        <v>1131</v>
      </c>
      <c r="O67" s="2038" t="s">
        <v>1132</v>
      </c>
      <c r="P67" s="2038" t="s">
        <v>1211</v>
      </c>
    </row>
    <row r="68" spans="1:16" ht="28.8" x14ac:dyDescent="0.3">
      <c r="A68" s="2037">
        <v>2013</v>
      </c>
      <c r="B68" s="2038" t="s">
        <v>593</v>
      </c>
      <c r="C68" s="2038" t="s">
        <v>588</v>
      </c>
      <c r="D68" s="2038" t="s">
        <v>1115</v>
      </c>
      <c r="E68" s="2038" t="s">
        <v>1129</v>
      </c>
      <c r="F68" s="2037">
        <v>61.93</v>
      </c>
      <c r="G68" s="2038" t="s">
        <v>1130</v>
      </c>
      <c r="H68" s="2038" t="s">
        <v>1214</v>
      </c>
      <c r="I68" s="2038" t="s">
        <v>1111</v>
      </c>
      <c r="J68" s="2038" t="s">
        <v>1137</v>
      </c>
      <c r="K68" s="2038" t="s">
        <v>1129</v>
      </c>
      <c r="L68" s="2038" t="s">
        <v>153</v>
      </c>
      <c r="M68" s="2038" t="s">
        <v>102</v>
      </c>
      <c r="N68" s="2038" t="s">
        <v>1131</v>
      </c>
      <c r="O68" s="2038" t="s">
        <v>1132</v>
      </c>
      <c r="P68" s="2038" t="s">
        <v>1140</v>
      </c>
    </row>
    <row r="69" spans="1:16" ht="28.8" x14ac:dyDescent="0.3">
      <c r="A69" s="2037">
        <v>2013</v>
      </c>
      <c r="B69" s="2038" t="s">
        <v>593</v>
      </c>
      <c r="C69" s="2038" t="s">
        <v>588</v>
      </c>
      <c r="D69" s="2038" t="s">
        <v>1115</v>
      </c>
      <c r="E69" s="2038" t="s">
        <v>1129</v>
      </c>
      <c r="F69" s="2037">
        <v>0</v>
      </c>
      <c r="G69" s="2038" t="s">
        <v>1130</v>
      </c>
      <c r="H69" s="2038" t="s">
        <v>1215</v>
      </c>
      <c r="I69" s="2038" t="s">
        <v>1111</v>
      </c>
      <c r="J69" s="2038" t="s">
        <v>1210</v>
      </c>
      <c r="K69" s="2038" t="s">
        <v>1129</v>
      </c>
      <c r="L69" s="2038" t="s">
        <v>153</v>
      </c>
      <c r="M69" s="2038" t="s">
        <v>1216</v>
      </c>
      <c r="N69" s="2038" t="s">
        <v>1131</v>
      </c>
      <c r="O69" s="2038" t="s">
        <v>1132</v>
      </c>
      <c r="P69" s="2038" t="s">
        <v>1211</v>
      </c>
    </row>
    <row r="70" spans="1:16" ht="28.8" x14ac:dyDescent="0.3">
      <c r="A70" s="2037">
        <v>2013</v>
      </c>
      <c r="B70" s="2038" t="s">
        <v>593</v>
      </c>
      <c r="C70" s="2038" t="s">
        <v>588</v>
      </c>
      <c r="D70" s="2038" t="s">
        <v>1115</v>
      </c>
      <c r="E70" s="2038" t="s">
        <v>1129</v>
      </c>
      <c r="F70" s="2037">
        <v>0</v>
      </c>
      <c r="G70" s="2038" t="s">
        <v>1130</v>
      </c>
      <c r="H70" s="2038" t="s">
        <v>1217</v>
      </c>
      <c r="I70" s="2038" t="s">
        <v>1111</v>
      </c>
      <c r="J70" s="2038" t="s">
        <v>1210</v>
      </c>
      <c r="K70" s="2038" t="s">
        <v>1129</v>
      </c>
      <c r="L70" s="2038" t="s">
        <v>153</v>
      </c>
      <c r="M70" s="2038" t="s">
        <v>326</v>
      </c>
      <c r="N70" s="2038" t="s">
        <v>1131</v>
      </c>
      <c r="O70" s="2038" t="s">
        <v>1132</v>
      </c>
      <c r="P70" s="2038" t="s">
        <v>1211</v>
      </c>
    </row>
    <row r="71" spans="1:16" ht="28.8" x14ac:dyDescent="0.3">
      <c r="A71" s="2037">
        <v>2013</v>
      </c>
      <c r="B71" s="2038" t="s">
        <v>593</v>
      </c>
      <c r="C71" s="2038" t="s">
        <v>588</v>
      </c>
      <c r="D71" s="2038" t="s">
        <v>1115</v>
      </c>
      <c r="E71" s="2038" t="s">
        <v>1129</v>
      </c>
      <c r="F71" s="2037">
        <v>2425.1620000000003</v>
      </c>
      <c r="G71" s="2038" t="s">
        <v>1130</v>
      </c>
      <c r="H71" s="2038" t="s">
        <v>1218</v>
      </c>
      <c r="I71" s="2038" t="s">
        <v>1111</v>
      </c>
      <c r="J71" s="2038" t="s">
        <v>1219</v>
      </c>
      <c r="K71" s="2038" t="s">
        <v>1129</v>
      </c>
      <c r="L71" s="2038" t="s">
        <v>153</v>
      </c>
      <c r="M71" s="2038" t="s">
        <v>25</v>
      </c>
      <c r="N71" s="2038" t="s">
        <v>1131</v>
      </c>
      <c r="O71" s="2038" t="s">
        <v>1132</v>
      </c>
      <c r="P71" s="2038" t="s">
        <v>1220</v>
      </c>
    </row>
    <row r="72" spans="1:16" ht="28.8" x14ac:dyDescent="0.3">
      <c r="A72" s="2037">
        <v>2013</v>
      </c>
      <c r="B72" s="2038" t="s">
        <v>593</v>
      </c>
      <c r="C72" s="2038" t="s">
        <v>588</v>
      </c>
      <c r="D72" s="2038" t="s">
        <v>1115</v>
      </c>
      <c r="E72" s="2038" t="s">
        <v>1129</v>
      </c>
      <c r="F72" s="2037">
        <v>4332.4164000000001</v>
      </c>
      <c r="G72" s="2038" t="s">
        <v>1130</v>
      </c>
      <c r="H72" s="2038" t="s">
        <v>1221</v>
      </c>
      <c r="I72" s="2038" t="s">
        <v>1111</v>
      </c>
      <c r="J72" s="2038" t="s">
        <v>1222</v>
      </c>
      <c r="K72" s="2038" t="s">
        <v>1129</v>
      </c>
      <c r="L72" s="2038" t="s">
        <v>153</v>
      </c>
      <c r="M72" s="2038" t="s">
        <v>1223</v>
      </c>
      <c r="N72" s="2038" t="s">
        <v>1131</v>
      </c>
      <c r="O72" s="2038" t="s">
        <v>1132</v>
      </c>
      <c r="P72" s="2038" t="s">
        <v>1224</v>
      </c>
    </row>
    <row r="73" spans="1:16" ht="43.2" x14ac:dyDescent="0.3">
      <c r="A73" s="2037">
        <v>2013</v>
      </c>
      <c r="B73" s="2038" t="s">
        <v>593</v>
      </c>
      <c r="C73" s="2038" t="s">
        <v>588</v>
      </c>
      <c r="D73" s="2038" t="s">
        <v>1115</v>
      </c>
      <c r="E73" s="2038" t="s">
        <v>1129</v>
      </c>
      <c r="F73" s="2037">
        <v>618</v>
      </c>
      <c r="G73" s="2038" t="s">
        <v>1130</v>
      </c>
      <c r="H73" s="2038" t="s">
        <v>1225</v>
      </c>
      <c r="I73" s="2038" t="s">
        <v>1111</v>
      </c>
      <c r="J73" s="2038" t="s">
        <v>1226</v>
      </c>
      <c r="K73" s="2038" t="s">
        <v>1129</v>
      </c>
      <c r="L73" s="2038" t="s">
        <v>153</v>
      </c>
      <c r="M73" s="2038" t="s">
        <v>33</v>
      </c>
      <c r="N73" s="2038" t="s">
        <v>1131</v>
      </c>
      <c r="O73" s="2038" t="s">
        <v>1132</v>
      </c>
      <c r="P73" s="2038" t="s">
        <v>1227</v>
      </c>
    </row>
    <row r="74" spans="1:16" ht="28.8" x14ac:dyDescent="0.3">
      <c r="A74" s="2037">
        <v>2013</v>
      </c>
      <c r="B74" s="2038" t="s">
        <v>593</v>
      </c>
      <c r="C74" s="2038" t="s">
        <v>588</v>
      </c>
      <c r="D74" s="2038" t="s">
        <v>1115</v>
      </c>
      <c r="E74" s="2038" t="s">
        <v>1129</v>
      </c>
      <c r="F74" s="2037">
        <v>0</v>
      </c>
      <c r="G74" s="2038" t="s">
        <v>1130</v>
      </c>
      <c r="H74" s="2038" t="s">
        <v>1228</v>
      </c>
      <c r="I74" s="2038" t="s">
        <v>1111</v>
      </c>
      <c r="J74" s="2038" t="s">
        <v>1229</v>
      </c>
      <c r="K74" s="2038" t="s">
        <v>1129</v>
      </c>
      <c r="L74" s="2038" t="s">
        <v>153</v>
      </c>
      <c r="M74" s="2038" t="s">
        <v>64</v>
      </c>
      <c r="N74" s="2038" t="s">
        <v>1131</v>
      </c>
      <c r="O74" s="2038" t="s">
        <v>1132</v>
      </c>
      <c r="P74" s="2038" t="s">
        <v>1230</v>
      </c>
    </row>
    <row r="75" spans="1:16" ht="28.8" x14ac:dyDescent="0.3">
      <c r="A75" s="2037">
        <v>2013</v>
      </c>
      <c r="B75" s="2038" t="s">
        <v>593</v>
      </c>
      <c r="C75" s="2038" t="s">
        <v>588</v>
      </c>
      <c r="D75" s="2038" t="s">
        <v>1115</v>
      </c>
      <c r="E75" s="2038" t="s">
        <v>1129</v>
      </c>
      <c r="F75" s="2037">
        <v>5</v>
      </c>
      <c r="G75" s="2038" t="s">
        <v>1130</v>
      </c>
      <c r="H75" s="2038" t="s">
        <v>1231</v>
      </c>
      <c r="I75" s="2038" t="s">
        <v>1111</v>
      </c>
      <c r="J75" s="2038" t="s">
        <v>1229</v>
      </c>
      <c r="K75" s="2038" t="s">
        <v>1129</v>
      </c>
      <c r="L75" s="2038" t="s">
        <v>153</v>
      </c>
      <c r="M75" s="2038" t="s">
        <v>65</v>
      </c>
      <c r="N75" s="2038" t="s">
        <v>1131</v>
      </c>
      <c r="O75" s="2038" t="s">
        <v>1132</v>
      </c>
      <c r="P75" s="2038" t="s">
        <v>1230</v>
      </c>
    </row>
    <row r="76" spans="1:16" ht="28.8" x14ac:dyDescent="0.3">
      <c r="A76" s="2037">
        <v>2013</v>
      </c>
      <c r="B76" s="2038" t="s">
        <v>593</v>
      </c>
      <c r="C76" s="2038" t="s">
        <v>588</v>
      </c>
      <c r="D76" s="2038" t="s">
        <v>1115</v>
      </c>
      <c r="E76" s="2038" t="s">
        <v>1129</v>
      </c>
      <c r="F76" s="2037">
        <v>62</v>
      </c>
      <c r="G76" s="2038" t="s">
        <v>1130</v>
      </c>
      <c r="H76" s="2038" t="s">
        <v>145</v>
      </c>
      <c r="I76" s="2038" t="s">
        <v>1111</v>
      </c>
      <c r="J76" s="2038" t="s">
        <v>1232</v>
      </c>
      <c r="K76" s="2038" t="s">
        <v>1129</v>
      </c>
      <c r="L76" s="2038" t="s">
        <v>153</v>
      </c>
      <c r="M76" s="2038" t="s">
        <v>66</v>
      </c>
      <c r="N76" s="2038" t="s">
        <v>1131</v>
      </c>
      <c r="O76" s="2038" t="s">
        <v>1132</v>
      </c>
      <c r="P76" s="2038" t="s">
        <v>1233</v>
      </c>
    </row>
    <row r="77" spans="1:16" ht="28.8" x14ac:dyDescent="0.3">
      <c r="A77" s="2037">
        <v>2013</v>
      </c>
      <c r="B77" s="2038" t="s">
        <v>593</v>
      </c>
      <c r="C77" s="2038" t="s">
        <v>588</v>
      </c>
      <c r="D77" s="2038" t="s">
        <v>1115</v>
      </c>
      <c r="E77" s="2038" t="s">
        <v>1129</v>
      </c>
      <c r="F77" s="2037">
        <v>0</v>
      </c>
      <c r="G77" s="2038" t="s">
        <v>1130</v>
      </c>
      <c r="H77" s="2038" t="s">
        <v>1234</v>
      </c>
      <c r="I77" s="2038" t="s">
        <v>1111</v>
      </c>
      <c r="J77" s="2038" t="s">
        <v>1229</v>
      </c>
      <c r="K77" s="2038" t="s">
        <v>1129</v>
      </c>
      <c r="L77" s="2038" t="s">
        <v>153</v>
      </c>
      <c r="M77" s="2038" t="s">
        <v>68</v>
      </c>
      <c r="N77" s="2038" t="s">
        <v>1131</v>
      </c>
      <c r="O77" s="2038" t="s">
        <v>1132</v>
      </c>
      <c r="P77" s="2038" t="s">
        <v>1230</v>
      </c>
    </row>
    <row r="78" spans="1:16" ht="28.8" x14ac:dyDescent="0.3">
      <c r="A78" s="2037">
        <v>2013</v>
      </c>
      <c r="B78" s="2038" t="s">
        <v>593</v>
      </c>
      <c r="C78" s="2038" t="s">
        <v>588</v>
      </c>
      <c r="D78" s="2038" t="s">
        <v>1115</v>
      </c>
      <c r="E78" s="2038" t="s">
        <v>1129</v>
      </c>
      <c r="F78" s="2037">
        <v>0</v>
      </c>
      <c r="G78" s="2038" t="s">
        <v>1130</v>
      </c>
      <c r="H78" s="2038" t="s">
        <v>1235</v>
      </c>
      <c r="I78" s="2038" t="s">
        <v>1111</v>
      </c>
      <c r="J78" s="2038" t="s">
        <v>1210</v>
      </c>
      <c r="K78" s="2038" t="s">
        <v>1129</v>
      </c>
      <c r="L78" s="2038" t="s">
        <v>153</v>
      </c>
      <c r="M78" s="2038" t="s">
        <v>1236</v>
      </c>
      <c r="N78" s="2038" t="s">
        <v>1131</v>
      </c>
      <c r="O78" s="2038" t="s">
        <v>1132</v>
      </c>
      <c r="P78" s="2038" t="s">
        <v>1211</v>
      </c>
    </row>
    <row r="79" spans="1:16" ht="28.8" x14ac:dyDescent="0.3">
      <c r="A79" s="2037">
        <v>2013</v>
      </c>
      <c r="B79" s="2038" t="s">
        <v>593</v>
      </c>
      <c r="C79" s="2038" t="s">
        <v>588</v>
      </c>
      <c r="D79" s="2038" t="s">
        <v>1115</v>
      </c>
      <c r="E79" s="2038" t="s">
        <v>1129</v>
      </c>
      <c r="F79" s="2037">
        <v>0</v>
      </c>
      <c r="G79" s="2038" t="s">
        <v>1130</v>
      </c>
      <c r="H79" s="2038" t="s">
        <v>1237</v>
      </c>
      <c r="I79" s="2038" t="s">
        <v>1111</v>
      </c>
      <c r="J79" s="2038" t="s">
        <v>1229</v>
      </c>
      <c r="K79" s="2038" t="s">
        <v>1129</v>
      </c>
      <c r="L79" s="2038" t="s">
        <v>153</v>
      </c>
      <c r="M79" s="2038" t="s">
        <v>1238</v>
      </c>
      <c r="N79" s="2038" t="s">
        <v>1131</v>
      </c>
      <c r="O79" s="2038" t="s">
        <v>1132</v>
      </c>
      <c r="P79" s="2038" t="s">
        <v>1230</v>
      </c>
    </row>
    <row r="80" spans="1:16" ht="28.8" x14ac:dyDescent="0.3">
      <c r="A80" s="2037">
        <v>2013</v>
      </c>
      <c r="B80" s="2038" t="s">
        <v>593</v>
      </c>
      <c r="C80" s="2038" t="s">
        <v>588</v>
      </c>
      <c r="D80" s="2038" t="s">
        <v>1115</v>
      </c>
      <c r="E80" s="2038" t="s">
        <v>1129</v>
      </c>
      <c r="F80" s="2037">
        <v>0</v>
      </c>
      <c r="G80" s="2038" t="s">
        <v>1130</v>
      </c>
      <c r="H80" s="2038" t="s">
        <v>1239</v>
      </c>
      <c r="I80" s="2038" t="s">
        <v>1111</v>
      </c>
      <c r="J80" s="2038" t="s">
        <v>1240</v>
      </c>
      <c r="K80" s="2038" t="s">
        <v>1129</v>
      </c>
      <c r="L80" s="2038" t="s">
        <v>153</v>
      </c>
      <c r="M80" s="2038" t="s">
        <v>74</v>
      </c>
      <c r="N80" s="2038" t="s">
        <v>1131</v>
      </c>
      <c r="O80" s="2038" t="s">
        <v>1132</v>
      </c>
      <c r="P80" s="2038" t="s">
        <v>1241</v>
      </c>
    </row>
    <row r="81" spans="1:16" ht="28.8" x14ac:dyDescent="0.3">
      <c r="A81" s="2037">
        <v>2013</v>
      </c>
      <c r="B81" s="2038" t="s">
        <v>593</v>
      </c>
      <c r="C81" s="2038" t="s">
        <v>588</v>
      </c>
      <c r="D81" s="2038" t="s">
        <v>1115</v>
      </c>
      <c r="E81" s="2038" t="s">
        <v>1129</v>
      </c>
      <c r="F81" s="2037">
        <v>0</v>
      </c>
      <c r="G81" s="2038" t="s">
        <v>1130</v>
      </c>
      <c r="H81" s="2038" t="s">
        <v>1242</v>
      </c>
      <c r="I81" s="2038" t="s">
        <v>1111</v>
      </c>
      <c r="J81" s="2038" t="s">
        <v>1229</v>
      </c>
      <c r="K81" s="2038" t="s">
        <v>1129</v>
      </c>
      <c r="L81" s="2038" t="s">
        <v>153</v>
      </c>
      <c r="M81" s="2038" t="s">
        <v>35</v>
      </c>
      <c r="N81" s="2038" t="s">
        <v>1131</v>
      </c>
      <c r="O81" s="2038" t="s">
        <v>1132</v>
      </c>
      <c r="P81" s="2038" t="s">
        <v>1230</v>
      </c>
    </row>
    <row r="82" spans="1:16" ht="28.8" x14ac:dyDescent="0.3">
      <c r="A82" s="2037">
        <v>2013</v>
      </c>
      <c r="B82" s="2038" t="s">
        <v>593</v>
      </c>
      <c r="C82" s="2038" t="s">
        <v>588</v>
      </c>
      <c r="D82" s="2038" t="s">
        <v>1115</v>
      </c>
      <c r="E82" s="2038" t="s">
        <v>1129</v>
      </c>
      <c r="F82" s="2037">
        <v>4799.0159999999996</v>
      </c>
      <c r="G82" s="2038" t="s">
        <v>1130</v>
      </c>
      <c r="H82" s="2038" t="s">
        <v>1243</v>
      </c>
      <c r="I82" s="2038" t="s">
        <v>1111</v>
      </c>
      <c r="J82" s="2038" t="s">
        <v>1244</v>
      </c>
      <c r="K82" s="2038" t="s">
        <v>1129</v>
      </c>
      <c r="L82" s="2038" t="s">
        <v>153</v>
      </c>
      <c r="M82" s="2038" t="s">
        <v>38</v>
      </c>
      <c r="N82" s="2038" t="s">
        <v>1131</v>
      </c>
      <c r="O82" s="2038" t="s">
        <v>1132</v>
      </c>
      <c r="P82" s="2038" t="s">
        <v>1245</v>
      </c>
    </row>
    <row r="83" spans="1:16" ht="28.8" x14ac:dyDescent="0.3">
      <c r="A83" s="2037">
        <v>2013</v>
      </c>
      <c r="B83" s="2038" t="s">
        <v>593</v>
      </c>
      <c r="C83" s="2038" t="s">
        <v>588</v>
      </c>
      <c r="D83" s="2038" t="s">
        <v>1115</v>
      </c>
      <c r="E83" s="2038" t="s">
        <v>1129</v>
      </c>
      <c r="F83" s="2037">
        <v>6235.2</v>
      </c>
      <c r="G83" s="2038" t="s">
        <v>1130</v>
      </c>
      <c r="H83" s="2038" t="s">
        <v>1246</v>
      </c>
      <c r="I83" s="2038" t="s">
        <v>1111</v>
      </c>
      <c r="J83" s="2038" t="s">
        <v>1247</v>
      </c>
      <c r="K83" s="2038" t="s">
        <v>1129</v>
      </c>
      <c r="L83" s="2038" t="s">
        <v>153</v>
      </c>
      <c r="M83" s="2038" t="s">
        <v>582</v>
      </c>
      <c r="N83" s="2038" t="s">
        <v>1131</v>
      </c>
      <c r="O83" s="2038" t="s">
        <v>1132</v>
      </c>
      <c r="P83" s="2038" t="s">
        <v>1248</v>
      </c>
    </row>
    <row r="84" spans="1:16" ht="43.2" x14ac:dyDescent="0.3">
      <c r="A84" s="2037">
        <v>2013</v>
      </c>
      <c r="B84" s="2038" t="s">
        <v>593</v>
      </c>
      <c r="C84" s="2038" t="s">
        <v>588</v>
      </c>
      <c r="D84" s="2038" t="s">
        <v>1115</v>
      </c>
      <c r="E84" s="2038" t="s">
        <v>1129</v>
      </c>
      <c r="F84" s="2037">
        <v>10125.2466</v>
      </c>
      <c r="G84" s="2038" t="s">
        <v>1130</v>
      </c>
      <c r="H84" s="2038" t="s">
        <v>1249</v>
      </c>
      <c r="I84" s="2038" t="s">
        <v>1111</v>
      </c>
      <c r="J84" s="2038" t="s">
        <v>1247</v>
      </c>
      <c r="K84" s="2038" t="s">
        <v>1129</v>
      </c>
      <c r="L84" s="2038" t="s">
        <v>153</v>
      </c>
      <c r="M84" s="2038" t="s">
        <v>1250</v>
      </c>
      <c r="N84" s="2038" t="s">
        <v>1131</v>
      </c>
      <c r="O84" s="2038" t="s">
        <v>1132</v>
      </c>
      <c r="P84" s="2038" t="s">
        <v>1248</v>
      </c>
    </row>
    <row r="85" spans="1:16" ht="28.8" x14ac:dyDescent="0.3">
      <c r="A85" s="2037">
        <v>2013</v>
      </c>
      <c r="B85" s="2038" t="s">
        <v>593</v>
      </c>
      <c r="C85" s="2038" t="s">
        <v>1134</v>
      </c>
      <c r="D85" s="2038" t="s">
        <v>1115</v>
      </c>
      <c r="E85" s="2038" t="s">
        <v>1129</v>
      </c>
      <c r="F85" s="2037">
        <v>5080.91</v>
      </c>
      <c r="G85" s="2038" t="s">
        <v>1130</v>
      </c>
      <c r="H85" s="2038" t="s">
        <v>1251</v>
      </c>
      <c r="I85" s="2038" t="s">
        <v>1111</v>
      </c>
      <c r="J85" s="2038" t="s">
        <v>1189</v>
      </c>
      <c r="K85" s="2038" t="s">
        <v>1129</v>
      </c>
      <c r="L85" s="2038" t="s">
        <v>153</v>
      </c>
      <c r="M85" s="2038" t="s">
        <v>1034</v>
      </c>
      <c r="N85" s="2038" t="s">
        <v>1131</v>
      </c>
      <c r="O85" s="2038" t="s">
        <v>1132</v>
      </c>
      <c r="P85" s="2038" t="s">
        <v>1191</v>
      </c>
    </row>
    <row r="86" spans="1:16" ht="28.8" x14ac:dyDescent="0.3">
      <c r="A86" s="2037">
        <v>2013</v>
      </c>
      <c r="B86" s="2038" t="s">
        <v>593</v>
      </c>
      <c r="C86" s="2038" t="s">
        <v>1134</v>
      </c>
      <c r="D86" s="2038" t="s">
        <v>1115</v>
      </c>
      <c r="E86" s="2038" t="s">
        <v>1129</v>
      </c>
      <c r="F86" s="2037">
        <v>24972.058639999996</v>
      </c>
      <c r="G86" s="2038" t="s">
        <v>1130</v>
      </c>
      <c r="H86" s="2038" t="s">
        <v>1188</v>
      </c>
      <c r="I86" s="2038" t="s">
        <v>1111</v>
      </c>
      <c r="J86" s="2038" t="s">
        <v>1189</v>
      </c>
      <c r="K86" s="2038" t="s">
        <v>1129</v>
      </c>
      <c r="L86" s="2038" t="s">
        <v>153</v>
      </c>
      <c r="M86" s="2038" t="s">
        <v>1190</v>
      </c>
      <c r="N86" s="2038" t="s">
        <v>1131</v>
      </c>
      <c r="O86" s="2038" t="s">
        <v>1132</v>
      </c>
      <c r="P86" s="2038" t="s">
        <v>1191</v>
      </c>
    </row>
    <row r="87" spans="1:16" ht="28.8" x14ac:dyDescent="0.3">
      <c r="A87" s="2037">
        <v>2013</v>
      </c>
      <c r="B87" s="2038" t="s">
        <v>593</v>
      </c>
      <c r="C87" s="2038" t="s">
        <v>1134</v>
      </c>
      <c r="D87" s="2038" t="s">
        <v>1115</v>
      </c>
      <c r="E87" s="2038" t="s">
        <v>1129</v>
      </c>
      <c r="F87" s="2037">
        <v>2795.335</v>
      </c>
      <c r="G87" s="2038" t="s">
        <v>1130</v>
      </c>
      <c r="H87" s="2038" t="s">
        <v>1192</v>
      </c>
      <c r="I87" s="2038" t="s">
        <v>1111</v>
      </c>
      <c r="J87" s="2038" t="s">
        <v>1193</v>
      </c>
      <c r="K87" s="2038" t="s">
        <v>1129</v>
      </c>
      <c r="L87" s="2038" t="s">
        <v>153</v>
      </c>
      <c r="M87" s="2038" t="s">
        <v>118</v>
      </c>
      <c r="N87" s="2038" t="s">
        <v>1131</v>
      </c>
      <c r="O87" s="2038" t="s">
        <v>1132</v>
      </c>
      <c r="P87" s="2038" t="s">
        <v>1194</v>
      </c>
    </row>
    <row r="88" spans="1:16" ht="28.8" x14ac:dyDescent="0.3">
      <c r="A88" s="2037">
        <v>2013</v>
      </c>
      <c r="B88" s="2038" t="s">
        <v>593</v>
      </c>
      <c r="C88" s="2038" t="s">
        <v>1134</v>
      </c>
      <c r="D88" s="2038" t="s">
        <v>1115</v>
      </c>
      <c r="E88" s="2038" t="s">
        <v>1129</v>
      </c>
      <c r="F88" s="2037">
        <v>606.93999999999994</v>
      </c>
      <c r="G88" s="2038" t="s">
        <v>1130</v>
      </c>
      <c r="H88" s="2038" t="s">
        <v>1195</v>
      </c>
      <c r="I88" s="2038" t="s">
        <v>1111</v>
      </c>
      <c r="J88" s="2038" t="s">
        <v>1193</v>
      </c>
      <c r="K88" s="2038" t="s">
        <v>1129</v>
      </c>
      <c r="L88" s="2038" t="s">
        <v>153</v>
      </c>
      <c r="M88" s="2038" t="s">
        <v>438</v>
      </c>
      <c r="N88" s="2038" t="s">
        <v>1131</v>
      </c>
      <c r="O88" s="2038" t="s">
        <v>1132</v>
      </c>
      <c r="P88" s="2038" t="s">
        <v>1194</v>
      </c>
    </row>
    <row r="89" spans="1:16" ht="28.8" x14ac:dyDescent="0.3">
      <c r="A89" s="2037">
        <v>2013</v>
      </c>
      <c r="B89" s="2038" t="s">
        <v>593</v>
      </c>
      <c r="C89" s="2038" t="s">
        <v>1134</v>
      </c>
      <c r="D89" s="2038" t="s">
        <v>1115</v>
      </c>
      <c r="E89" s="2038" t="s">
        <v>1129</v>
      </c>
      <c r="F89" s="2037">
        <v>888.73299999999995</v>
      </c>
      <c r="G89" s="2038" t="s">
        <v>1130</v>
      </c>
      <c r="H89" s="2038" t="s">
        <v>1203</v>
      </c>
      <c r="I89" s="2038" t="s">
        <v>1111</v>
      </c>
      <c r="J89" s="2038" t="s">
        <v>1204</v>
      </c>
      <c r="K89" s="2038" t="s">
        <v>1129</v>
      </c>
      <c r="L89" s="2038" t="s">
        <v>153</v>
      </c>
      <c r="M89" s="2038" t="s">
        <v>16</v>
      </c>
      <c r="N89" s="2038" t="s">
        <v>1131</v>
      </c>
      <c r="O89" s="2038" t="s">
        <v>1132</v>
      </c>
      <c r="P89" s="2038" t="s">
        <v>1205</v>
      </c>
    </row>
    <row r="90" spans="1:16" ht="28.8" x14ac:dyDescent="0.3">
      <c r="A90" s="2037">
        <v>2013</v>
      </c>
      <c r="B90" s="2038" t="s">
        <v>593</v>
      </c>
      <c r="C90" s="2038" t="s">
        <v>1134</v>
      </c>
      <c r="D90" s="2038" t="s">
        <v>1115</v>
      </c>
      <c r="E90" s="2038" t="s">
        <v>1129</v>
      </c>
      <c r="F90" s="2037">
        <v>1166.5744999999999</v>
      </c>
      <c r="G90" s="2038" t="s">
        <v>1130</v>
      </c>
      <c r="H90" s="2038" t="s">
        <v>1196</v>
      </c>
      <c r="I90" s="2038" t="s">
        <v>1111</v>
      </c>
      <c r="J90" s="2038" t="s">
        <v>1197</v>
      </c>
      <c r="K90" s="2038" t="s">
        <v>1129</v>
      </c>
      <c r="L90" s="2038" t="s">
        <v>153</v>
      </c>
      <c r="M90" s="2038" t="s">
        <v>1198</v>
      </c>
      <c r="N90" s="2038" t="s">
        <v>1131</v>
      </c>
      <c r="O90" s="2038" t="s">
        <v>1132</v>
      </c>
      <c r="P90" s="2038" t="s">
        <v>1199</v>
      </c>
    </row>
    <row r="91" spans="1:16" ht="28.8" x14ac:dyDescent="0.3">
      <c r="A91" s="2037">
        <v>2013</v>
      </c>
      <c r="B91" s="2038" t="s">
        <v>593</v>
      </c>
      <c r="C91" s="2038" t="s">
        <v>1134</v>
      </c>
      <c r="D91" s="2038" t="s">
        <v>1115</v>
      </c>
      <c r="E91" s="2038" t="s">
        <v>1129</v>
      </c>
      <c r="F91" s="2037">
        <v>898.93063999999993</v>
      </c>
      <c r="G91" s="2038" t="s">
        <v>1130</v>
      </c>
      <c r="H91" s="2038" t="s">
        <v>1200</v>
      </c>
      <c r="I91" s="2038" t="s">
        <v>1111</v>
      </c>
      <c r="J91" s="2038" t="s">
        <v>1201</v>
      </c>
      <c r="K91" s="2038" t="s">
        <v>1129</v>
      </c>
      <c r="L91" s="2038" t="s">
        <v>153</v>
      </c>
      <c r="M91" s="2038" t="s">
        <v>312</v>
      </c>
      <c r="N91" s="2038" t="s">
        <v>1131</v>
      </c>
      <c r="O91" s="2038" t="s">
        <v>1132</v>
      </c>
      <c r="P91" s="2038" t="s">
        <v>1202</v>
      </c>
    </row>
    <row r="92" spans="1:16" ht="28.8" x14ac:dyDescent="0.3">
      <c r="A92" s="2037">
        <v>2013</v>
      </c>
      <c r="B92" s="2038" t="s">
        <v>593</v>
      </c>
      <c r="C92" s="2038" t="s">
        <v>1134</v>
      </c>
      <c r="D92" s="2038" t="s">
        <v>1115</v>
      </c>
      <c r="E92" s="2038" t="s">
        <v>1129</v>
      </c>
      <c r="F92" s="2037">
        <v>8268.75</v>
      </c>
      <c r="G92" s="2038" t="s">
        <v>1130</v>
      </c>
      <c r="H92" s="2038" t="s">
        <v>1221</v>
      </c>
      <c r="I92" s="2038" t="s">
        <v>1111</v>
      </c>
      <c r="J92" s="2038" t="s">
        <v>1222</v>
      </c>
      <c r="K92" s="2038" t="s">
        <v>1129</v>
      </c>
      <c r="L92" s="2038" t="s">
        <v>153</v>
      </c>
      <c r="M92" s="2038" t="s">
        <v>1223</v>
      </c>
      <c r="N92" s="2038" t="s">
        <v>1131</v>
      </c>
      <c r="O92" s="2038" t="s">
        <v>1132</v>
      </c>
      <c r="P92" s="2038" t="s">
        <v>1224</v>
      </c>
    </row>
    <row r="93" spans="1:16" ht="28.8" x14ac:dyDescent="0.3">
      <c r="A93" s="2037">
        <v>2013</v>
      </c>
      <c r="B93" s="2038" t="s">
        <v>593</v>
      </c>
      <c r="C93" s="2038" t="s">
        <v>1134</v>
      </c>
      <c r="D93" s="2038" t="s">
        <v>1115</v>
      </c>
      <c r="E93" s="2038" t="s">
        <v>1129</v>
      </c>
      <c r="F93" s="2037">
        <v>0</v>
      </c>
      <c r="G93" s="2038" t="s">
        <v>1130</v>
      </c>
      <c r="H93" s="2038" t="s">
        <v>1252</v>
      </c>
      <c r="I93" s="2038" t="s">
        <v>1111</v>
      </c>
      <c r="J93" s="2038" t="s">
        <v>1253</v>
      </c>
      <c r="K93" s="2038" t="s">
        <v>1129</v>
      </c>
      <c r="L93" s="2038" t="s">
        <v>153</v>
      </c>
      <c r="M93" s="2038" t="s">
        <v>95</v>
      </c>
      <c r="N93" s="2038" t="s">
        <v>1131</v>
      </c>
      <c r="O93" s="2038" t="s">
        <v>1132</v>
      </c>
      <c r="P93" s="2038" t="s">
        <v>1254</v>
      </c>
    </row>
    <row r="94" spans="1:16" ht="28.8" x14ac:dyDescent="0.3">
      <c r="A94" s="2037">
        <v>2013</v>
      </c>
      <c r="B94" s="2038" t="s">
        <v>593</v>
      </c>
      <c r="C94" s="2038" t="s">
        <v>1134</v>
      </c>
      <c r="D94" s="2038" t="s">
        <v>1115</v>
      </c>
      <c r="E94" s="2038" t="s">
        <v>1129</v>
      </c>
      <c r="F94" s="2037">
        <v>692.80000000000007</v>
      </c>
      <c r="G94" s="2038" t="s">
        <v>1130</v>
      </c>
      <c r="H94" s="2038" t="s">
        <v>1246</v>
      </c>
      <c r="I94" s="2038" t="s">
        <v>1111</v>
      </c>
      <c r="J94" s="2038" t="s">
        <v>1247</v>
      </c>
      <c r="K94" s="2038" t="s">
        <v>1129</v>
      </c>
      <c r="L94" s="2038" t="s">
        <v>153</v>
      </c>
      <c r="M94" s="2038" t="s">
        <v>582</v>
      </c>
      <c r="N94" s="2038" t="s">
        <v>1131</v>
      </c>
      <c r="O94" s="2038" t="s">
        <v>1132</v>
      </c>
      <c r="P94" s="2038" t="s">
        <v>1248</v>
      </c>
    </row>
    <row r="95" spans="1:16" ht="43.2" x14ac:dyDescent="0.3">
      <c r="A95" s="2037">
        <v>2013</v>
      </c>
      <c r="B95" s="2038" t="s">
        <v>593</v>
      </c>
      <c r="C95" s="2038" t="s">
        <v>1134</v>
      </c>
      <c r="D95" s="2038" t="s">
        <v>1115</v>
      </c>
      <c r="E95" s="2038" t="s">
        <v>1129</v>
      </c>
      <c r="F95" s="2037">
        <v>1125.0273999999999</v>
      </c>
      <c r="G95" s="2038" t="s">
        <v>1130</v>
      </c>
      <c r="H95" s="2038" t="s">
        <v>1249</v>
      </c>
      <c r="I95" s="2038" t="s">
        <v>1111</v>
      </c>
      <c r="J95" s="2038" t="s">
        <v>1247</v>
      </c>
      <c r="K95" s="2038" t="s">
        <v>1129</v>
      </c>
      <c r="L95" s="2038" t="s">
        <v>153</v>
      </c>
      <c r="M95" s="2038" t="s">
        <v>1250</v>
      </c>
      <c r="N95" s="2038" t="s">
        <v>1131</v>
      </c>
      <c r="O95" s="2038" t="s">
        <v>1132</v>
      </c>
      <c r="P95" s="2038" t="s">
        <v>1248</v>
      </c>
    </row>
    <row r="96" spans="1:16" ht="28.8" x14ac:dyDescent="0.3">
      <c r="A96" s="2037">
        <v>2013</v>
      </c>
      <c r="B96" s="2038" t="s">
        <v>593</v>
      </c>
      <c r="C96" s="2038" t="s">
        <v>586</v>
      </c>
      <c r="D96" s="2038" t="s">
        <v>1115</v>
      </c>
      <c r="E96" s="2038" t="s">
        <v>1129</v>
      </c>
      <c r="F96" s="2037">
        <v>14232.05056</v>
      </c>
      <c r="G96" s="2038" t="s">
        <v>1130</v>
      </c>
      <c r="H96" s="2038" t="s">
        <v>1188</v>
      </c>
      <c r="I96" s="2038" t="s">
        <v>1111</v>
      </c>
      <c r="J96" s="2038" t="s">
        <v>1189</v>
      </c>
      <c r="K96" s="2038" t="s">
        <v>1129</v>
      </c>
      <c r="L96" s="2038" t="s">
        <v>153</v>
      </c>
      <c r="M96" s="2038" t="s">
        <v>1190</v>
      </c>
      <c r="N96" s="2038" t="s">
        <v>1131</v>
      </c>
      <c r="O96" s="2038" t="s">
        <v>1132</v>
      </c>
      <c r="P96" s="2038" t="s">
        <v>1191</v>
      </c>
    </row>
    <row r="97" spans="1:16" ht="28.8" x14ac:dyDescent="0.3">
      <c r="A97" s="2037">
        <v>2013</v>
      </c>
      <c r="B97" s="2038" t="s">
        <v>593</v>
      </c>
      <c r="C97" s="2038" t="s">
        <v>586</v>
      </c>
      <c r="D97" s="2038" t="s">
        <v>1115</v>
      </c>
      <c r="E97" s="2038" t="s">
        <v>1129</v>
      </c>
      <c r="F97" s="2037">
        <v>460.4</v>
      </c>
      <c r="G97" s="2038" t="s">
        <v>1130</v>
      </c>
      <c r="H97" s="2038" t="s">
        <v>1195</v>
      </c>
      <c r="I97" s="2038" t="s">
        <v>1111</v>
      </c>
      <c r="J97" s="2038" t="s">
        <v>1193</v>
      </c>
      <c r="K97" s="2038" t="s">
        <v>1129</v>
      </c>
      <c r="L97" s="2038" t="s">
        <v>153</v>
      </c>
      <c r="M97" s="2038" t="s">
        <v>438</v>
      </c>
      <c r="N97" s="2038" t="s">
        <v>1131</v>
      </c>
      <c r="O97" s="2038" t="s">
        <v>1132</v>
      </c>
      <c r="P97" s="2038" t="s">
        <v>1194</v>
      </c>
    </row>
    <row r="98" spans="1:16" ht="28.8" x14ac:dyDescent="0.3">
      <c r="A98" s="2037">
        <v>2013</v>
      </c>
      <c r="B98" s="2038" t="s">
        <v>593</v>
      </c>
      <c r="C98" s="2038" t="s">
        <v>586</v>
      </c>
      <c r="D98" s="2038" t="s">
        <v>1115</v>
      </c>
      <c r="E98" s="2038" t="s">
        <v>1129</v>
      </c>
      <c r="F98" s="2037">
        <v>27360.61751</v>
      </c>
      <c r="G98" s="2038" t="s">
        <v>1130</v>
      </c>
      <c r="H98" s="2038" t="s">
        <v>1196</v>
      </c>
      <c r="I98" s="2038" t="s">
        <v>1111</v>
      </c>
      <c r="J98" s="2038" t="s">
        <v>1197</v>
      </c>
      <c r="K98" s="2038" t="s">
        <v>1129</v>
      </c>
      <c r="L98" s="2038" t="s">
        <v>153</v>
      </c>
      <c r="M98" s="2038" t="s">
        <v>1198</v>
      </c>
      <c r="N98" s="2038" t="s">
        <v>1131</v>
      </c>
      <c r="O98" s="2038" t="s">
        <v>1132</v>
      </c>
      <c r="P98" s="2038" t="s">
        <v>1199</v>
      </c>
    </row>
    <row r="99" spans="1:16" ht="28.8" x14ac:dyDescent="0.3">
      <c r="A99" s="2037">
        <v>2013</v>
      </c>
      <c r="B99" s="2038" t="s">
        <v>593</v>
      </c>
      <c r="C99" s="2038" t="s">
        <v>586</v>
      </c>
      <c r="D99" s="2038" t="s">
        <v>1115</v>
      </c>
      <c r="E99" s="2038" t="s">
        <v>1129</v>
      </c>
      <c r="F99" s="2037">
        <v>11632.04004</v>
      </c>
      <c r="G99" s="2038" t="s">
        <v>1130</v>
      </c>
      <c r="H99" s="2038" t="s">
        <v>1200</v>
      </c>
      <c r="I99" s="2038" t="s">
        <v>1111</v>
      </c>
      <c r="J99" s="2038" t="s">
        <v>1201</v>
      </c>
      <c r="K99" s="2038" t="s">
        <v>1129</v>
      </c>
      <c r="L99" s="2038" t="s">
        <v>153</v>
      </c>
      <c r="M99" s="2038" t="s">
        <v>312</v>
      </c>
      <c r="N99" s="2038" t="s">
        <v>1131</v>
      </c>
      <c r="O99" s="2038" t="s">
        <v>1132</v>
      </c>
      <c r="P99" s="2038" t="s">
        <v>1202</v>
      </c>
    </row>
    <row r="100" spans="1:16" ht="28.8" x14ac:dyDescent="0.3">
      <c r="A100" s="2037">
        <v>2013</v>
      </c>
      <c r="B100" s="2038" t="s">
        <v>593</v>
      </c>
      <c r="C100" s="2038" t="s">
        <v>586</v>
      </c>
      <c r="D100" s="2038" t="s">
        <v>1115</v>
      </c>
      <c r="E100" s="2038" t="s">
        <v>1129</v>
      </c>
      <c r="F100" s="2037">
        <v>0</v>
      </c>
      <c r="G100" s="2038" t="s">
        <v>1130</v>
      </c>
      <c r="H100" s="2038" t="s">
        <v>1203</v>
      </c>
      <c r="I100" s="2038" t="s">
        <v>1111</v>
      </c>
      <c r="J100" s="2038" t="s">
        <v>1204</v>
      </c>
      <c r="K100" s="2038" t="s">
        <v>1129</v>
      </c>
      <c r="L100" s="2038" t="s">
        <v>153</v>
      </c>
      <c r="M100" s="2038" t="s">
        <v>16</v>
      </c>
      <c r="N100" s="2038" t="s">
        <v>1131</v>
      </c>
      <c r="O100" s="2038" t="s">
        <v>1132</v>
      </c>
      <c r="P100" s="2038" t="s">
        <v>1205</v>
      </c>
    </row>
    <row r="101" spans="1:16" ht="28.8" x14ac:dyDescent="0.3">
      <c r="A101" s="2037">
        <v>2013</v>
      </c>
      <c r="B101" s="2038" t="s">
        <v>593</v>
      </c>
      <c r="C101" s="2038" t="s">
        <v>586</v>
      </c>
      <c r="D101" s="2038" t="s">
        <v>1115</v>
      </c>
      <c r="E101" s="2038" t="s">
        <v>1129</v>
      </c>
      <c r="F101" s="2037">
        <v>67.8125</v>
      </c>
      <c r="G101" s="2038" t="s">
        <v>1130</v>
      </c>
      <c r="H101" s="2038" t="s">
        <v>1206</v>
      </c>
      <c r="I101" s="2038" t="s">
        <v>1111</v>
      </c>
      <c r="J101" s="2038" t="s">
        <v>1207</v>
      </c>
      <c r="K101" s="2038" t="s">
        <v>1129</v>
      </c>
      <c r="L101" s="2038" t="s">
        <v>153</v>
      </c>
      <c r="M101" s="2038" t="s">
        <v>17</v>
      </c>
      <c r="N101" s="2038" t="s">
        <v>1131</v>
      </c>
      <c r="O101" s="2038" t="s">
        <v>1132</v>
      </c>
      <c r="P101" s="2038" t="s">
        <v>1208</v>
      </c>
    </row>
    <row r="102" spans="1:16" ht="28.8" x14ac:dyDescent="0.3">
      <c r="A102" s="2037">
        <v>2013</v>
      </c>
      <c r="B102" s="2038" t="s">
        <v>593</v>
      </c>
      <c r="C102" s="2038" t="s">
        <v>586</v>
      </c>
      <c r="D102" s="2038" t="s">
        <v>1115</v>
      </c>
      <c r="E102" s="2038" t="s">
        <v>1129</v>
      </c>
      <c r="F102" s="2037">
        <v>0</v>
      </c>
      <c r="G102" s="2038" t="s">
        <v>1130</v>
      </c>
      <c r="H102" s="2038" t="s">
        <v>1214</v>
      </c>
      <c r="I102" s="2038" t="s">
        <v>1111</v>
      </c>
      <c r="J102" s="2038" t="s">
        <v>1137</v>
      </c>
      <c r="K102" s="2038" t="s">
        <v>1129</v>
      </c>
      <c r="L102" s="2038" t="s">
        <v>153</v>
      </c>
      <c r="M102" s="2038" t="s">
        <v>102</v>
      </c>
      <c r="N102" s="2038" t="s">
        <v>1131</v>
      </c>
      <c r="O102" s="2038" t="s">
        <v>1132</v>
      </c>
      <c r="P102" s="2038" t="s">
        <v>1140</v>
      </c>
    </row>
    <row r="103" spans="1:16" ht="28.8" x14ac:dyDescent="0.3">
      <c r="A103" s="2037">
        <v>2013</v>
      </c>
      <c r="B103" s="2038" t="s">
        <v>593</v>
      </c>
      <c r="C103" s="2038" t="s">
        <v>586</v>
      </c>
      <c r="D103" s="2038" t="s">
        <v>1115</v>
      </c>
      <c r="E103" s="2038" t="s">
        <v>1129</v>
      </c>
      <c r="F103" s="2037">
        <v>0</v>
      </c>
      <c r="G103" s="2038" t="s">
        <v>1130</v>
      </c>
      <c r="H103" s="2038" t="s">
        <v>1217</v>
      </c>
      <c r="I103" s="2038" t="s">
        <v>1111</v>
      </c>
      <c r="J103" s="2038" t="s">
        <v>1210</v>
      </c>
      <c r="K103" s="2038" t="s">
        <v>1129</v>
      </c>
      <c r="L103" s="2038" t="s">
        <v>153</v>
      </c>
      <c r="M103" s="2038" t="s">
        <v>326</v>
      </c>
      <c r="N103" s="2038" t="s">
        <v>1131</v>
      </c>
      <c r="O103" s="2038" t="s">
        <v>1132</v>
      </c>
      <c r="P103" s="2038" t="s">
        <v>1211</v>
      </c>
    </row>
    <row r="104" spans="1:16" ht="28.8" x14ac:dyDescent="0.3">
      <c r="A104" s="2037">
        <v>2013</v>
      </c>
      <c r="B104" s="2038" t="s">
        <v>593</v>
      </c>
      <c r="C104" s="2038" t="s">
        <v>586</v>
      </c>
      <c r="D104" s="2038" t="s">
        <v>1115</v>
      </c>
      <c r="E104" s="2038" t="s">
        <v>1129</v>
      </c>
      <c r="F104" s="2037">
        <v>0</v>
      </c>
      <c r="G104" s="2038" t="s">
        <v>1130</v>
      </c>
      <c r="H104" s="2038" t="s">
        <v>1218</v>
      </c>
      <c r="I104" s="2038" t="s">
        <v>1111</v>
      </c>
      <c r="J104" s="2038" t="s">
        <v>1219</v>
      </c>
      <c r="K104" s="2038" t="s">
        <v>1129</v>
      </c>
      <c r="L104" s="2038" t="s">
        <v>153</v>
      </c>
      <c r="M104" s="2038" t="s">
        <v>25</v>
      </c>
      <c r="N104" s="2038" t="s">
        <v>1131</v>
      </c>
      <c r="O104" s="2038" t="s">
        <v>1132</v>
      </c>
      <c r="P104" s="2038" t="s">
        <v>1220</v>
      </c>
    </row>
    <row r="105" spans="1:16" ht="28.8" x14ac:dyDescent="0.3">
      <c r="A105" s="2037">
        <v>2013</v>
      </c>
      <c r="B105" s="2038" t="s">
        <v>593</v>
      </c>
      <c r="C105" s="2038" t="s">
        <v>586</v>
      </c>
      <c r="D105" s="2038" t="s">
        <v>1115</v>
      </c>
      <c r="E105" s="2038" t="s">
        <v>1129</v>
      </c>
      <c r="F105" s="2037">
        <v>27070.284599999999</v>
      </c>
      <c r="G105" s="2038" t="s">
        <v>1130</v>
      </c>
      <c r="H105" s="2038" t="s">
        <v>1221</v>
      </c>
      <c r="I105" s="2038" t="s">
        <v>1111</v>
      </c>
      <c r="J105" s="2038" t="s">
        <v>1222</v>
      </c>
      <c r="K105" s="2038" t="s">
        <v>1129</v>
      </c>
      <c r="L105" s="2038" t="s">
        <v>153</v>
      </c>
      <c r="M105" s="2038" t="s">
        <v>1223</v>
      </c>
      <c r="N105" s="2038" t="s">
        <v>1131</v>
      </c>
      <c r="O105" s="2038" t="s">
        <v>1132</v>
      </c>
      <c r="P105" s="2038" t="s">
        <v>1224</v>
      </c>
    </row>
    <row r="106" spans="1:16" ht="28.8" x14ac:dyDescent="0.3">
      <c r="A106" s="2037">
        <v>2013</v>
      </c>
      <c r="B106" s="2038" t="s">
        <v>593</v>
      </c>
      <c r="C106" s="2038" t="s">
        <v>586</v>
      </c>
      <c r="D106" s="2038" t="s">
        <v>1115</v>
      </c>
      <c r="E106" s="2038" t="s">
        <v>1129</v>
      </c>
      <c r="F106" s="2037">
        <v>0</v>
      </c>
      <c r="G106" s="2038" t="s">
        <v>1130</v>
      </c>
      <c r="H106" s="2038" t="s">
        <v>145</v>
      </c>
      <c r="I106" s="2038" t="s">
        <v>1111</v>
      </c>
      <c r="J106" s="2038" t="s">
        <v>1232</v>
      </c>
      <c r="K106" s="2038" t="s">
        <v>1129</v>
      </c>
      <c r="L106" s="2038" t="s">
        <v>153</v>
      </c>
      <c r="M106" s="2038" t="s">
        <v>66</v>
      </c>
      <c r="N106" s="2038" t="s">
        <v>1131</v>
      </c>
      <c r="O106" s="2038" t="s">
        <v>1132</v>
      </c>
      <c r="P106" s="2038" t="s">
        <v>1233</v>
      </c>
    </row>
    <row r="107" spans="1:16" ht="43.2" x14ac:dyDescent="0.3">
      <c r="A107" s="2037">
        <v>2013</v>
      </c>
      <c r="B107" s="2038" t="s">
        <v>593</v>
      </c>
      <c r="C107" s="2038" t="s">
        <v>586</v>
      </c>
      <c r="D107" s="2038" t="s">
        <v>1115</v>
      </c>
      <c r="E107" s="2038" t="s">
        <v>1129</v>
      </c>
      <c r="F107" s="2037">
        <v>896</v>
      </c>
      <c r="G107" s="2038" t="s">
        <v>1130</v>
      </c>
      <c r="H107" s="2038" t="s">
        <v>1225</v>
      </c>
      <c r="I107" s="2038" t="s">
        <v>1111</v>
      </c>
      <c r="J107" s="2038" t="s">
        <v>1226</v>
      </c>
      <c r="K107" s="2038" t="s">
        <v>1129</v>
      </c>
      <c r="L107" s="2038" t="s">
        <v>153</v>
      </c>
      <c r="M107" s="2038" t="s">
        <v>33</v>
      </c>
      <c r="N107" s="2038" t="s">
        <v>1131</v>
      </c>
      <c r="O107" s="2038" t="s">
        <v>1132</v>
      </c>
      <c r="P107" s="2038" t="s">
        <v>1227</v>
      </c>
    </row>
    <row r="108" spans="1:16" ht="28.8" x14ac:dyDescent="0.3">
      <c r="A108" s="2037">
        <v>2013</v>
      </c>
      <c r="B108" s="2038" t="s">
        <v>593</v>
      </c>
      <c r="C108" s="2038" t="s">
        <v>586</v>
      </c>
      <c r="D108" s="2038" t="s">
        <v>1115</v>
      </c>
      <c r="E108" s="2038" t="s">
        <v>1129</v>
      </c>
      <c r="F108" s="2037">
        <v>0</v>
      </c>
      <c r="G108" s="2038" t="s">
        <v>1130</v>
      </c>
      <c r="H108" s="2038" t="s">
        <v>1242</v>
      </c>
      <c r="I108" s="2038" t="s">
        <v>1111</v>
      </c>
      <c r="J108" s="2038" t="s">
        <v>1229</v>
      </c>
      <c r="K108" s="2038" t="s">
        <v>1129</v>
      </c>
      <c r="L108" s="2038" t="s">
        <v>153</v>
      </c>
      <c r="M108" s="2038" t="s">
        <v>35</v>
      </c>
      <c r="N108" s="2038" t="s">
        <v>1131</v>
      </c>
      <c r="O108" s="2038" t="s">
        <v>1132</v>
      </c>
      <c r="P108" s="2038" t="s">
        <v>1230</v>
      </c>
    </row>
    <row r="109" spans="1:16" ht="28.8" x14ac:dyDescent="0.3">
      <c r="A109" s="2037">
        <v>2013</v>
      </c>
      <c r="B109" s="2038" t="s">
        <v>593</v>
      </c>
      <c r="C109" s="2038" t="s">
        <v>586</v>
      </c>
      <c r="D109" s="2038" t="s">
        <v>1115</v>
      </c>
      <c r="E109" s="2038" t="s">
        <v>1129</v>
      </c>
      <c r="F109" s="2037">
        <v>0</v>
      </c>
      <c r="G109" s="2038" t="s">
        <v>1130</v>
      </c>
      <c r="H109" s="2038" t="s">
        <v>1243</v>
      </c>
      <c r="I109" s="2038" t="s">
        <v>1111</v>
      </c>
      <c r="J109" s="2038" t="s">
        <v>1255</v>
      </c>
      <c r="K109" s="2038" t="s">
        <v>1129</v>
      </c>
      <c r="L109" s="2038" t="s">
        <v>153</v>
      </c>
      <c r="M109" s="2038" t="s">
        <v>38</v>
      </c>
      <c r="N109" s="2038" t="s">
        <v>1131</v>
      </c>
      <c r="O109" s="2038" t="s">
        <v>1132</v>
      </c>
      <c r="P109" s="2038" t="s">
        <v>400</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Hoja63"/>
  <dimension ref="B5:U46"/>
  <sheetViews>
    <sheetView workbookViewId="0"/>
  </sheetViews>
  <sheetFormatPr baseColWidth="10" defaultColWidth="11.44140625" defaultRowHeight="14.4" x14ac:dyDescent="0.3"/>
  <cols>
    <col min="1" max="1" width="11.44140625" style="579"/>
    <col min="2" max="2" width="14.6640625" style="2039" bestFit="1" customWidth="1"/>
    <col min="3" max="3" width="26.6640625" style="2059" bestFit="1" customWidth="1"/>
    <col min="4" max="4" width="10.109375" style="2039" customWidth="1"/>
    <col min="5" max="9" width="11.5546875" style="2039" bestFit="1" customWidth="1"/>
    <col min="10" max="10" width="12.6640625" style="2039" bestFit="1" customWidth="1"/>
    <col min="11" max="12" width="11.5546875" style="579" bestFit="1" customWidth="1"/>
    <col min="13" max="13" width="12" style="579" bestFit="1" customWidth="1"/>
    <col min="14" max="14" width="12" style="2039" bestFit="1" customWidth="1"/>
    <col min="15" max="15" width="11.44140625" style="579"/>
    <col min="16" max="16" width="23.33203125" style="579" customWidth="1"/>
    <col min="17" max="17" width="11.44140625" style="579"/>
    <col min="18" max="19" width="15" style="579" customWidth="1"/>
    <col min="20" max="16384" width="11.44140625" style="579"/>
  </cols>
  <sheetData>
    <row r="5" spans="2:16" ht="15.6" x14ac:dyDescent="0.3">
      <c r="B5" s="3995" t="s">
        <v>1256</v>
      </c>
      <c r="C5" s="3996"/>
      <c r="D5" s="3996"/>
      <c r="E5" s="3996"/>
      <c r="F5" s="3996"/>
      <c r="G5" s="3996"/>
      <c r="H5" s="3996"/>
      <c r="I5" s="3996"/>
      <c r="J5" s="3997"/>
    </row>
    <row r="6" spans="2:16" x14ac:dyDescent="0.3">
      <c r="B6" s="2040" t="s">
        <v>1257</v>
      </c>
      <c r="C6" s="2041" t="s">
        <v>198</v>
      </c>
      <c r="D6" s="2040" t="s">
        <v>1258</v>
      </c>
      <c r="E6" s="2040" t="s">
        <v>1259</v>
      </c>
      <c r="F6" s="2042" t="s">
        <v>1260</v>
      </c>
      <c r="G6" s="2042" t="s">
        <v>1261</v>
      </c>
      <c r="H6" s="2042" t="s">
        <v>1262</v>
      </c>
      <c r="I6" s="2042" t="s">
        <v>1263</v>
      </c>
      <c r="J6" s="2043" t="s">
        <v>1264</v>
      </c>
    </row>
    <row r="7" spans="2:16" x14ac:dyDescent="0.3">
      <c r="B7" s="2044" t="s">
        <v>1265</v>
      </c>
      <c r="C7" s="2045" t="s">
        <v>1266</v>
      </c>
      <c r="D7" s="2046">
        <v>200108</v>
      </c>
      <c r="E7" s="2047">
        <v>163140</v>
      </c>
      <c r="F7" s="2048">
        <v>905630</v>
      </c>
      <c r="G7" s="2048">
        <v>1950660</v>
      </c>
      <c r="H7" s="2048">
        <v>2090824</v>
      </c>
      <c r="I7" s="2048">
        <v>1898910</v>
      </c>
      <c r="J7" s="2049">
        <v>7009164</v>
      </c>
    </row>
    <row r="8" spans="2:16" x14ac:dyDescent="0.3">
      <c r="B8" s="3998" t="s">
        <v>1267</v>
      </c>
      <c r="C8" s="2045" t="s">
        <v>1268</v>
      </c>
      <c r="D8" s="2046">
        <v>191212</v>
      </c>
      <c r="E8" s="2047">
        <v>12760</v>
      </c>
      <c r="F8" s="2048">
        <v>153960</v>
      </c>
      <c r="G8" s="2048">
        <v>166420</v>
      </c>
      <c r="H8" s="2048">
        <v>122800</v>
      </c>
      <c r="I8" s="2048">
        <v>164420</v>
      </c>
      <c r="J8" s="2049">
        <v>620360</v>
      </c>
    </row>
    <row r="9" spans="2:16" x14ac:dyDescent="0.3">
      <c r="B9" s="3999"/>
      <c r="C9" s="2041" t="s">
        <v>1269</v>
      </c>
      <c r="D9" s="2050">
        <v>190604</v>
      </c>
      <c r="E9" s="2051"/>
      <c r="F9" s="2052"/>
      <c r="G9" s="2052"/>
      <c r="H9" s="2052">
        <v>22920</v>
      </c>
      <c r="I9" s="2052">
        <v>969740</v>
      </c>
      <c r="J9" s="2053">
        <v>992660</v>
      </c>
    </row>
    <row r="10" spans="2:16" x14ac:dyDescent="0.3">
      <c r="B10" s="4000"/>
      <c r="C10" s="2054" t="s">
        <v>1270</v>
      </c>
      <c r="D10" s="2055">
        <v>191203</v>
      </c>
      <c r="E10" s="2056"/>
      <c r="F10" s="2057"/>
      <c r="G10" s="2057"/>
      <c r="H10" s="2057"/>
      <c r="I10" s="2057">
        <v>1000</v>
      </c>
      <c r="J10" s="2058">
        <v>1000</v>
      </c>
    </row>
    <row r="11" spans="2:16" ht="15" thickBot="1" x14ac:dyDescent="0.35"/>
    <row r="12" spans="2:16" x14ac:dyDescent="0.3">
      <c r="B12" s="2060" t="s">
        <v>1271</v>
      </c>
      <c r="C12" s="2059" t="s">
        <v>1272</v>
      </c>
      <c r="E12" s="2061">
        <v>163.13999999999999</v>
      </c>
      <c r="F12" s="2062">
        <v>905.63</v>
      </c>
      <c r="G12" s="2062">
        <v>1950.66</v>
      </c>
      <c r="H12" s="2062">
        <v>2090.8240000000001</v>
      </c>
      <c r="I12" s="2062">
        <v>1898.91</v>
      </c>
      <c r="J12" s="2063">
        <v>7009.1640000000007</v>
      </c>
    </row>
    <row r="13" spans="2:16" ht="15" thickBot="1" x14ac:dyDescent="0.35">
      <c r="B13" s="2060" t="s">
        <v>1273</v>
      </c>
      <c r="C13" s="2059" t="s">
        <v>1272</v>
      </c>
      <c r="E13" s="2064">
        <v>25.4</v>
      </c>
      <c r="F13" s="2065">
        <v>933</v>
      </c>
      <c r="G13" s="2065">
        <v>1915</v>
      </c>
      <c r="H13" s="2065">
        <v>2128</v>
      </c>
      <c r="I13" s="2065">
        <v>1917</v>
      </c>
      <c r="J13" s="2066">
        <v>6918.4</v>
      </c>
    </row>
    <row r="14" spans="2:16" ht="15" thickBot="1" x14ac:dyDescent="0.35">
      <c r="B14" s="2060" t="s">
        <v>1274</v>
      </c>
      <c r="E14" s="2064">
        <v>137.73999999999998</v>
      </c>
      <c r="F14" s="2065">
        <v>-27.370000000000005</v>
      </c>
      <c r="G14" s="2065">
        <v>35.660000000000082</v>
      </c>
      <c r="H14" s="2065">
        <v>-37.175999999999931</v>
      </c>
      <c r="I14" s="2065">
        <v>-18.089999999999918</v>
      </c>
      <c r="J14" s="2066">
        <v>90.764000000001033</v>
      </c>
    </row>
    <row r="15" spans="2:16" x14ac:dyDescent="0.3">
      <c r="P15" s="583"/>
    </row>
    <row r="16" spans="2:16" x14ac:dyDescent="0.3">
      <c r="D16" s="2039" t="s">
        <v>1275</v>
      </c>
      <c r="E16" s="2067">
        <v>0.17587863078447816</v>
      </c>
      <c r="F16" s="2067">
        <v>0.87980687655216028</v>
      </c>
      <c r="G16" s="2067">
        <v>0.82121274770712827</v>
      </c>
      <c r="H16" s="2067">
        <v>0.4029064996998783</v>
      </c>
      <c r="I16" s="2067">
        <v>0.32284386632510093</v>
      </c>
      <c r="J16" s="2067">
        <v>0.7288178643242671</v>
      </c>
      <c r="K16" s="2067">
        <v>0.34395119851008971</v>
      </c>
      <c r="L16" s="2067">
        <v>0.43014531797631583</v>
      </c>
      <c r="M16" s="2067">
        <v>0.47618626371055889</v>
      </c>
      <c r="N16" s="2067">
        <v>0.46934958969991913</v>
      </c>
      <c r="O16" s="2067"/>
    </row>
    <row r="17" spans="2:21" x14ac:dyDescent="0.3">
      <c r="D17" s="2039" t="s">
        <v>1276</v>
      </c>
      <c r="E17" s="2067">
        <v>0.82412136921552182</v>
      </c>
      <c r="F17" s="2067">
        <v>0.12019312344783969</v>
      </c>
      <c r="G17" s="2067">
        <v>0.17878725229287176</v>
      </c>
      <c r="H17" s="2067">
        <v>0.59709350030012165</v>
      </c>
      <c r="I17" s="2067">
        <v>0.67715613367489902</v>
      </c>
      <c r="J17" s="2067">
        <v>0.2711821356757329</v>
      </c>
      <c r="K17" s="2067">
        <v>0.65604880148991029</v>
      </c>
      <c r="L17" s="2067">
        <v>0.56985468202368417</v>
      </c>
      <c r="M17" s="2067">
        <v>0.52381373628944117</v>
      </c>
      <c r="N17" s="2067">
        <v>0.53065041030008087</v>
      </c>
    </row>
    <row r="18" spans="2:21" ht="15.6" x14ac:dyDescent="0.3">
      <c r="B18" s="4001" t="s">
        <v>1277</v>
      </c>
      <c r="C18" s="4002"/>
      <c r="D18" s="4002"/>
      <c r="E18" s="4002"/>
      <c r="F18" s="4002"/>
      <c r="G18" s="4002"/>
      <c r="H18" s="4002"/>
      <c r="I18" s="4002"/>
      <c r="J18" s="4002"/>
      <c r="K18" s="4002"/>
      <c r="L18" s="4002"/>
      <c r="M18" s="4002"/>
      <c r="N18" s="4003"/>
    </row>
    <row r="19" spans="2:21" x14ac:dyDescent="0.3">
      <c r="B19" s="2068" t="s">
        <v>1257</v>
      </c>
      <c r="C19" s="2069" t="s">
        <v>198</v>
      </c>
      <c r="D19" s="2068" t="s">
        <v>1258</v>
      </c>
      <c r="E19" s="2068" t="s">
        <v>1278</v>
      </c>
      <c r="F19" s="2070" t="s">
        <v>1279</v>
      </c>
      <c r="G19" s="2070" t="s">
        <v>1280</v>
      </c>
      <c r="H19" s="2071" t="s">
        <v>1281</v>
      </c>
      <c r="I19" s="2070" t="s">
        <v>1259</v>
      </c>
      <c r="J19" s="2070" t="s">
        <v>1260</v>
      </c>
      <c r="K19" s="2070" t="s">
        <v>1261</v>
      </c>
      <c r="L19" s="2070" t="s">
        <v>1262</v>
      </c>
      <c r="M19" s="2072" t="s">
        <v>1263</v>
      </c>
      <c r="N19" s="2072" t="s">
        <v>1264</v>
      </c>
      <c r="P19" s="579" t="s">
        <v>122</v>
      </c>
    </row>
    <row r="20" spans="2:21" ht="43.2" x14ac:dyDescent="0.3">
      <c r="B20" s="2073" t="s">
        <v>1265</v>
      </c>
      <c r="C20" s="2074" t="s">
        <v>1282</v>
      </c>
      <c r="D20" s="2075">
        <v>200301</v>
      </c>
      <c r="E20" s="2076">
        <v>262340</v>
      </c>
      <c r="F20" s="2076">
        <v>1296580</v>
      </c>
      <c r="G20" s="2076">
        <v>2273350</v>
      </c>
      <c r="H20" s="2076">
        <v>3631860</v>
      </c>
      <c r="I20" s="2076">
        <v>4824840</v>
      </c>
      <c r="J20" s="2076">
        <v>2834700</v>
      </c>
      <c r="K20" s="2076">
        <v>6062110</v>
      </c>
      <c r="L20" s="2076">
        <v>9250060</v>
      </c>
      <c r="M20" s="2077">
        <v>11756450</v>
      </c>
      <c r="N20" s="2078">
        <v>42192290</v>
      </c>
      <c r="Q20" s="2079" t="s">
        <v>1283</v>
      </c>
      <c r="R20" s="2079" t="s">
        <v>1284</v>
      </c>
      <c r="S20" s="2079" t="s">
        <v>1285</v>
      </c>
    </row>
    <row r="21" spans="2:21" x14ac:dyDescent="0.3">
      <c r="B21" s="4004" t="s">
        <v>1267</v>
      </c>
      <c r="C21" s="2080" t="s">
        <v>1286</v>
      </c>
      <c r="D21" s="2081">
        <v>191202</v>
      </c>
      <c r="E21" s="2052"/>
      <c r="F21" s="2052"/>
      <c r="G21" s="2052"/>
      <c r="H21" s="2052">
        <v>62900</v>
      </c>
      <c r="I21" s="2052">
        <v>86860</v>
      </c>
      <c r="J21" s="2052">
        <v>40200</v>
      </c>
      <c r="K21" s="2052">
        <v>66000</v>
      </c>
      <c r="L21" s="2052">
        <v>96820</v>
      </c>
      <c r="M21" s="2082">
        <v>93320</v>
      </c>
      <c r="N21" s="2083">
        <v>446100</v>
      </c>
      <c r="O21" s="583"/>
      <c r="P21" s="2084" t="s">
        <v>1287</v>
      </c>
      <c r="Q21" s="579">
        <f>+N21/1000</f>
        <v>446.1</v>
      </c>
      <c r="R21" s="2085">
        <v>2.0400000000000001E-2</v>
      </c>
    </row>
    <row r="22" spans="2:21" x14ac:dyDescent="0.3">
      <c r="B22" s="4004"/>
      <c r="C22" s="2080" t="s">
        <v>1288</v>
      </c>
      <c r="D22" s="2081">
        <v>191203</v>
      </c>
      <c r="E22" s="2052"/>
      <c r="F22" s="2052"/>
      <c r="G22" s="2052"/>
      <c r="H22" s="2052"/>
      <c r="I22" s="2052">
        <v>15130</v>
      </c>
      <c r="J22" s="2052">
        <v>37320</v>
      </c>
      <c r="K22" s="2052">
        <v>14120</v>
      </c>
      <c r="L22" s="2052">
        <v>49540</v>
      </c>
      <c r="M22" s="2082">
        <v>33060</v>
      </c>
      <c r="N22" s="2053">
        <v>149170</v>
      </c>
      <c r="P22" s="2084" t="s">
        <v>1289</v>
      </c>
      <c r="Q22" s="579">
        <f>+N22/1000</f>
        <v>149.16999999999999</v>
      </c>
      <c r="R22" s="2085">
        <v>5.1999999999999998E-3</v>
      </c>
    </row>
    <row r="23" spans="2:21" x14ac:dyDescent="0.3">
      <c r="B23" s="4004"/>
      <c r="C23" s="2080" t="s">
        <v>1290</v>
      </c>
      <c r="D23" s="2081">
        <v>191204</v>
      </c>
      <c r="E23" s="2052"/>
      <c r="F23" s="2052"/>
      <c r="G23" s="2052"/>
      <c r="H23" s="2052">
        <v>12700</v>
      </c>
      <c r="I23" s="2052">
        <v>33020</v>
      </c>
      <c r="J23" s="2052"/>
      <c r="K23" s="2052">
        <v>17320</v>
      </c>
      <c r="L23" s="2052">
        <v>64940</v>
      </c>
      <c r="M23" s="2082">
        <v>85480</v>
      </c>
      <c r="N23" s="2053">
        <v>213460</v>
      </c>
      <c r="P23" s="2084" t="s">
        <v>1291</v>
      </c>
      <c r="Q23" s="579">
        <f>+Q21+Q22</f>
        <v>595.27</v>
      </c>
    </row>
    <row r="24" spans="2:21" ht="15" thickBot="1" x14ac:dyDescent="0.35">
      <c r="B24" s="4004"/>
      <c r="C24" s="2080" t="s">
        <v>1292</v>
      </c>
      <c r="D24" s="2081">
        <v>191212</v>
      </c>
      <c r="E24" s="2052">
        <v>46140</v>
      </c>
      <c r="F24" s="2052">
        <v>1140740</v>
      </c>
      <c r="G24" s="2052">
        <v>1866904</v>
      </c>
      <c r="H24" s="2052"/>
      <c r="I24" s="2052"/>
      <c r="J24" s="2052"/>
      <c r="K24" s="2052"/>
      <c r="L24" s="2052"/>
      <c r="M24" s="2082">
        <v>42400</v>
      </c>
      <c r="N24" s="2053">
        <v>3096184</v>
      </c>
      <c r="P24" s="579" t="s">
        <v>128</v>
      </c>
      <c r="Q24" s="582">
        <f>+N23/1000</f>
        <v>213.46</v>
      </c>
      <c r="T24" s="579" t="s">
        <v>131</v>
      </c>
      <c r="U24" s="579" t="s">
        <v>1293</v>
      </c>
    </row>
    <row r="25" spans="2:21" ht="15" thickBot="1" x14ac:dyDescent="0.35">
      <c r="B25" s="4005"/>
      <c r="C25" s="2086" t="s">
        <v>1294</v>
      </c>
      <c r="D25" s="2087">
        <v>191210</v>
      </c>
      <c r="E25" s="2088"/>
      <c r="F25" s="2088"/>
      <c r="G25" s="2088"/>
      <c r="H25" s="2088">
        <v>1387700</v>
      </c>
      <c r="I25" s="2088">
        <v>1422660</v>
      </c>
      <c r="J25" s="2088">
        <v>1988460</v>
      </c>
      <c r="K25" s="2088">
        <v>1987630</v>
      </c>
      <c r="L25" s="2088">
        <v>3767570</v>
      </c>
      <c r="M25" s="2088">
        <v>5344000</v>
      </c>
      <c r="N25" s="2089">
        <v>15898020</v>
      </c>
      <c r="P25" s="579" t="s">
        <v>17</v>
      </c>
      <c r="Q25" s="580">
        <f>+Q23*S25/(S25+R26)</f>
        <v>157.37022988505748</v>
      </c>
      <c r="S25" s="2085">
        <v>9.1999999999999998E-3</v>
      </c>
      <c r="T25" s="2085">
        <v>7.3312500000000001E-3</v>
      </c>
      <c r="U25" s="2085">
        <v>1.8687499999999998E-3</v>
      </c>
    </row>
    <row r="26" spans="2:21" x14ac:dyDescent="0.3">
      <c r="D26" s="2059"/>
      <c r="E26" s="579"/>
      <c r="K26" s="2039"/>
      <c r="P26" s="579" t="s">
        <v>1295</v>
      </c>
      <c r="Q26" s="580">
        <f>+Q23*R26/(S25+R26)</f>
        <v>437.89977011494261</v>
      </c>
      <c r="R26" s="581">
        <v>2.5600000000000001E-2</v>
      </c>
    </row>
    <row r="27" spans="2:21" x14ac:dyDescent="0.3">
      <c r="B27" s="2090" t="s">
        <v>157</v>
      </c>
      <c r="C27" s="2091" t="s">
        <v>1272</v>
      </c>
      <c r="D27" s="2091"/>
      <c r="E27" s="2092">
        <v>262.33999999999997</v>
      </c>
      <c r="F27" s="2092">
        <v>1296.58</v>
      </c>
      <c r="G27" s="2092">
        <v>2273.35</v>
      </c>
      <c r="H27" s="2092">
        <v>3631.86</v>
      </c>
      <c r="I27" s="2092">
        <v>4824.84</v>
      </c>
      <c r="J27" s="2092">
        <v>2834.7</v>
      </c>
      <c r="K27" s="2092">
        <v>6062.11</v>
      </c>
      <c r="L27" s="2092">
        <v>9250.06</v>
      </c>
      <c r="M27" s="2092">
        <v>11756.45</v>
      </c>
      <c r="N27" s="2092">
        <v>42192.289999999994</v>
      </c>
      <c r="P27" s="579" t="s">
        <v>16</v>
      </c>
      <c r="Q27" s="580">
        <f>+Q24*S27/(S27+R28)</f>
        <v>69.172922465208742</v>
      </c>
      <c r="S27" s="2085">
        <v>3.2599999999999997E-2</v>
      </c>
    </row>
    <row r="28" spans="2:21" x14ac:dyDescent="0.3">
      <c r="B28" s="2093"/>
      <c r="C28" s="2091" t="s">
        <v>1296</v>
      </c>
      <c r="D28" s="2091"/>
      <c r="E28" s="2094">
        <v>46.14</v>
      </c>
      <c r="F28" s="2094">
        <v>1140.74</v>
      </c>
      <c r="G28" s="2094">
        <v>1866.904</v>
      </c>
      <c r="H28" s="2094">
        <v>1387.7</v>
      </c>
      <c r="I28" s="2094">
        <v>1422.66</v>
      </c>
      <c r="J28" s="2094">
        <v>1988.46</v>
      </c>
      <c r="K28" s="2094">
        <v>1987.63</v>
      </c>
      <c r="L28" s="2094">
        <v>3767.57</v>
      </c>
      <c r="M28" s="2094">
        <v>5550.82</v>
      </c>
      <c r="N28" s="2092">
        <v>19158.624</v>
      </c>
      <c r="P28" s="579" t="s">
        <v>1297</v>
      </c>
      <c r="Q28" s="580">
        <f>+Q24*R28/(S27+R28)</f>
        <v>144.28707753479125</v>
      </c>
      <c r="R28" s="581">
        <v>6.7999999999999991E-2</v>
      </c>
    </row>
    <row r="29" spans="2:21" x14ac:dyDescent="0.3">
      <c r="P29" s="579" t="s">
        <v>14</v>
      </c>
      <c r="Q29" s="582">
        <f>+Q26+Q28</f>
        <v>582.18684764973386</v>
      </c>
    </row>
    <row r="30" spans="2:21" x14ac:dyDescent="0.3">
      <c r="P30" s="579" t="s">
        <v>1298</v>
      </c>
      <c r="Q30" s="580">
        <f>+R21/(R21+(S25*R21/(R22+R21)))</f>
        <v>0.73563218390804597</v>
      </c>
    </row>
    <row r="31" spans="2:21" x14ac:dyDescent="0.3">
      <c r="B31" s="2060" t="s">
        <v>1273</v>
      </c>
      <c r="C31" s="2059" t="s">
        <v>1272</v>
      </c>
      <c r="E31" s="2095">
        <v>263</v>
      </c>
      <c r="F31" s="2095">
        <v>1297</v>
      </c>
      <c r="G31" s="2095">
        <v>2273</v>
      </c>
      <c r="H31" s="2095">
        <v>3632</v>
      </c>
      <c r="I31" s="2095">
        <v>4876</v>
      </c>
      <c r="J31" s="2095">
        <v>2803</v>
      </c>
      <c r="K31" s="2005">
        <v>6062</v>
      </c>
      <c r="L31" s="2005">
        <v>9250.2800000000007</v>
      </c>
      <c r="M31" s="2005">
        <v>11756</v>
      </c>
      <c r="N31" s="2095">
        <v>42212.28</v>
      </c>
    </row>
    <row r="32" spans="2:21" x14ac:dyDescent="0.3">
      <c r="C32" s="2059" t="s">
        <v>1296</v>
      </c>
      <c r="E32" s="2095">
        <v>50</v>
      </c>
      <c r="F32" s="2095">
        <v>1171</v>
      </c>
      <c r="G32" s="2095">
        <v>1900</v>
      </c>
      <c r="H32" s="2095">
        <v>1440</v>
      </c>
      <c r="I32" s="2095">
        <v>1439</v>
      </c>
      <c r="J32" s="2095">
        <v>2085</v>
      </c>
      <c r="K32" s="2005">
        <v>2031</v>
      </c>
      <c r="L32" s="2005">
        <v>3762</v>
      </c>
      <c r="M32" s="2005">
        <v>5563</v>
      </c>
      <c r="N32" s="2095">
        <v>19441</v>
      </c>
    </row>
    <row r="33" spans="2:19" ht="28.8" x14ac:dyDescent="0.3">
      <c r="P33" s="579" t="s">
        <v>1299</v>
      </c>
      <c r="Q33" s="2079" t="s">
        <v>618</v>
      </c>
      <c r="R33" s="2079" t="s">
        <v>134</v>
      </c>
      <c r="S33" s="2079" t="s">
        <v>133</v>
      </c>
    </row>
    <row r="34" spans="2:19" ht="15" thickBot="1" x14ac:dyDescent="0.35">
      <c r="E34" s="2096" t="s">
        <v>1278</v>
      </c>
      <c r="F34" s="2097" t="s">
        <v>1279</v>
      </c>
      <c r="G34" s="2097" t="s">
        <v>1280</v>
      </c>
      <c r="H34" s="2098" t="s">
        <v>1281</v>
      </c>
      <c r="I34" s="2097" t="s">
        <v>1259</v>
      </c>
      <c r="J34" s="2097" t="s">
        <v>1260</v>
      </c>
      <c r="K34" s="2097" t="s">
        <v>1261</v>
      </c>
      <c r="L34" s="2097" t="s">
        <v>1262</v>
      </c>
      <c r="M34" s="2099" t="s">
        <v>1263</v>
      </c>
      <c r="N34" s="2099" t="s">
        <v>125</v>
      </c>
      <c r="P34" s="579" t="s">
        <v>1297</v>
      </c>
      <c r="Q34" s="580">
        <v>144.287077534791</v>
      </c>
    </row>
    <row r="35" spans="2:19" ht="20.399999999999999" customHeight="1" x14ac:dyDescent="0.3">
      <c r="B35" s="2060" t="s">
        <v>1300</v>
      </c>
      <c r="C35" s="2059" t="s">
        <v>1272</v>
      </c>
      <c r="E35" s="2100">
        <v>-0.66000000000002501</v>
      </c>
      <c r="F35" s="2101">
        <v>-0.42000000000007276</v>
      </c>
      <c r="G35" s="2101">
        <v>0.34999999999990905</v>
      </c>
      <c r="H35" s="2101">
        <v>-0.13999999999987267</v>
      </c>
      <c r="I35" s="2101">
        <v>-51.159999999999854</v>
      </c>
      <c r="J35" s="2101">
        <v>31.699999999999818</v>
      </c>
      <c r="K35" s="2101">
        <v>0.10999999999967258</v>
      </c>
      <c r="L35" s="2101">
        <v>-0.22000000000116415</v>
      </c>
      <c r="M35" s="2101">
        <v>0.4500000000007276</v>
      </c>
      <c r="N35" s="2102">
        <v>-19.990000000000862</v>
      </c>
      <c r="P35" s="579" t="s">
        <v>16</v>
      </c>
      <c r="Q35" s="580">
        <v>69.172922465208742</v>
      </c>
    </row>
    <row r="36" spans="2:19" ht="15" thickBot="1" x14ac:dyDescent="0.35">
      <c r="C36" s="2059" t="s">
        <v>1296</v>
      </c>
      <c r="E36" s="2103">
        <v>-3.8599999999999994</v>
      </c>
      <c r="F36" s="2104">
        <v>-30.259999999999991</v>
      </c>
      <c r="G36" s="2104">
        <v>-33.096000000000004</v>
      </c>
      <c r="H36" s="2104">
        <v>-52.299999999999955</v>
      </c>
      <c r="I36" s="2104">
        <v>-16.339999999999918</v>
      </c>
      <c r="J36" s="2104">
        <v>-96.539999999999964</v>
      </c>
      <c r="K36" s="2104">
        <v>-43.369999999999891</v>
      </c>
      <c r="L36" s="2104">
        <v>5.5700000000001637</v>
      </c>
      <c r="M36" s="2104">
        <v>-12.180000000000291</v>
      </c>
      <c r="N36" s="2105">
        <v>-282.37599999999986</v>
      </c>
      <c r="P36" s="579" t="s">
        <v>128</v>
      </c>
      <c r="Q36" s="580">
        <v>213.45999999999998</v>
      </c>
    </row>
    <row r="37" spans="2:19" x14ac:dyDescent="0.3">
      <c r="P37" s="579" t="s">
        <v>17</v>
      </c>
      <c r="Q37" s="580">
        <v>157.37022988505748</v>
      </c>
    </row>
    <row r="38" spans="2:19" x14ac:dyDescent="0.3">
      <c r="P38" s="579" t="s">
        <v>1295</v>
      </c>
      <c r="Q38" s="580">
        <v>437.89977011494261</v>
      </c>
    </row>
    <row r="39" spans="2:19" x14ac:dyDescent="0.3">
      <c r="P39" s="579" t="s">
        <v>129</v>
      </c>
      <c r="Q39" s="580">
        <v>595.2700000000001</v>
      </c>
    </row>
    <row r="40" spans="2:19" x14ac:dyDescent="0.3">
      <c r="P40" s="579" t="s">
        <v>1298</v>
      </c>
      <c r="Q40" s="582">
        <v>328.16551724137929</v>
      </c>
    </row>
    <row r="41" spans="2:19" x14ac:dyDescent="0.3">
      <c r="P41" s="579" t="s">
        <v>245</v>
      </c>
      <c r="Q41" s="580">
        <v>34.832848722986242</v>
      </c>
    </row>
    <row r="44" spans="2:19" x14ac:dyDescent="0.3">
      <c r="O44" s="579" t="s">
        <v>1301</v>
      </c>
      <c r="P44" s="2085">
        <v>0.305540885780546</v>
      </c>
    </row>
    <row r="45" spans="2:19" x14ac:dyDescent="0.3">
      <c r="O45" s="579" t="s">
        <v>1302</v>
      </c>
      <c r="P45" s="2106">
        <v>0.69445911421945405</v>
      </c>
      <c r="Q45" s="583">
        <v>95898.197930000009</v>
      </c>
    </row>
    <row r="46" spans="2:19" x14ac:dyDescent="0.3">
      <c r="O46" s="579" t="s">
        <v>1303</v>
      </c>
    </row>
  </sheetData>
  <mergeCells count="4">
    <mergeCell ref="B5:J5"/>
    <mergeCell ref="B8:B10"/>
    <mergeCell ref="B18:N18"/>
    <mergeCell ref="B21:B2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BV53"/>
  <sheetViews>
    <sheetView workbookViewId="0"/>
  </sheetViews>
  <sheetFormatPr baseColWidth="10" defaultColWidth="10.6640625" defaultRowHeight="14.4" x14ac:dyDescent="0.3"/>
  <cols>
    <col min="1" max="1" width="31.109375" style="52" customWidth="1"/>
    <col min="2" max="5" width="11.88671875" style="52" customWidth="1"/>
    <col min="6" max="6" width="15.44140625" style="52" customWidth="1"/>
    <col min="7" max="7" width="15.33203125" style="52" customWidth="1"/>
    <col min="8" max="8" width="17.109375" style="52" customWidth="1"/>
    <col min="9" max="9" width="12.44140625" style="52" customWidth="1"/>
    <col min="10" max="10" width="12.88671875" style="52" customWidth="1"/>
    <col min="11" max="11" width="16.109375" style="52" customWidth="1"/>
    <col min="12" max="18" width="11.88671875" style="52" customWidth="1"/>
    <col min="19" max="19" width="14" style="52" customWidth="1"/>
    <col min="20" max="20" width="11.88671875" style="52" customWidth="1"/>
    <col min="21" max="21" width="14.33203125" style="52" customWidth="1"/>
    <col min="22" max="32" width="11.88671875" style="52" customWidth="1"/>
    <col min="33" max="35" width="10.6640625" style="52"/>
    <col min="36" max="37" width="12.109375" style="52" customWidth="1"/>
    <col min="38" max="39" width="10.6640625" style="52"/>
    <col min="40" max="40" width="12" style="52" customWidth="1"/>
    <col min="41" max="43" width="10.6640625" style="52"/>
    <col min="44" max="45" width="12" style="52" customWidth="1"/>
    <col min="46" max="47" width="10.6640625" style="52"/>
    <col min="48" max="48" width="10.6640625" style="62"/>
    <col min="49" max="16384" width="10.6640625" style="52"/>
  </cols>
  <sheetData>
    <row r="1" spans="1:74" ht="40.200000000000003" thickBot="1" x14ac:dyDescent="0.35">
      <c r="A1" s="51" t="s">
        <v>189</v>
      </c>
      <c r="C1" s="5" t="s">
        <v>150</v>
      </c>
      <c r="D1" s="53">
        <v>330209</v>
      </c>
      <c r="F1" s="5" t="s">
        <v>11</v>
      </c>
      <c r="G1" s="54">
        <v>75462.505719999986</v>
      </c>
      <c r="H1" s="5" t="s">
        <v>99</v>
      </c>
      <c r="I1" s="54">
        <v>11219.37528</v>
      </c>
      <c r="J1" s="55" t="s">
        <v>190</v>
      </c>
      <c r="K1" s="56">
        <v>86681.880999999994</v>
      </c>
      <c r="M1" s="3162">
        <f>O1/K6</f>
        <v>0.90679850383034499</v>
      </c>
      <c r="N1" s="57" t="s">
        <v>191</v>
      </c>
      <c r="O1" s="3007">
        <v>78603</v>
      </c>
      <c r="P1" s="3008" t="s">
        <v>192</v>
      </c>
      <c r="Q1" s="3007">
        <v>63446</v>
      </c>
      <c r="R1" s="3009" t="s">
        <v>124</v>
      </c>
      <c r="S1" s="58">
        <v>15157</v>
      </c>
      <c r="T1" s="60"/>
      <c r="U1" s="61"/>
      <c r="V1" s="61"/>
      <c r="W1" s="61"/>
      <c r="AC1" s="61"/>
      <c r="AD1" s="61"/>
    </row>
    <row r="2" spans="1:74" ht="15" thickBot="1" x14ac:dyDescent="0.35">
      <c r="A2" s="63" t="s">
        <v>183</v>
      </c>
      <c r="B2" s="61"/>
      <c r="G2" s="64">
        <v>87.056839156501496</v>
      </c>
      <c r="H2" s="64"/>
      <c r="I2" s="64">
        <v>12.943160843498539</v>
      </c>
      <c r="L2" s="61"/>
      <c r="AD2" s="61">
        <v>8078.8809999999903</v>
      </c>
    </row>
    <row r="3" spans="1:74" ht="16.5" customHeight="1" thickBot="1" x14ac:dyDescent="0.35">
      <c r="A3" s="52">
        <v>2020</v>
      </c>
      <c r="B3" s="61"/>
      <c r="M3" s="3734" t="s">
        <v>193</v>
      </c>
      <c r="N3" s="3735"/>
      <c r="O3" s="3735"/>
      <c r="P3" s="3735"/>
      <c r="Q3" s="3735"/>
      <c r="R3" s="3736"/>
      <c r="S3" s="3734" t="s">
        <v>194</v>
      </c>
      <c r="T3" s="3735"/>
      <c r="U3" s="3735"/>
      <c r="V3" s="3735"/>
      <c r="W3" s="3735"/>
      <c r="X3" s="3735"/>
      <c r="Y3" s="3735"/>
      <c r="Z3" s="3736"/>
      <c r="AA3" s="3737" t="s">
        <v>134</v>
      </c>
      <c r="AB3" s="3737"/>
      <c r="AC3" s="3738" t="s">
        <v>133</v>
      </c>
      <c r="AD3" s="3739"/>
      <c r="AE3" s="3740"/>
      <c r="AF3" s="3741" t="s">
        <v>195</v>
      </c>
      <c r="AG3" s="3741"/>
      <c r="AH3" s="3741"/>
      <c r="AI3" s="3741"/>
      <c r="AJ3" s="3741"/>
      <c r="AK3" s="3741"/>
      <c r="AL3" s="3741"/>
      <c r="AM3" s="3741"/>
      <c r="AN3" s="3733" t="s">
        <v>196</v>
      </c>
      <c r="AO3" s="3733"/>
      <c r="AP3" s="3733"/>
      <c r="AQ3" s="3733"/>
      <c r="AR3" s="3733"/>
      <c r="AS3" s="3733"/>
      <c r="AT3" s="3733"/>
      <c r="AU3" s="3733"/>
      <c r="AV3" s="65" t="s">
        <v>197</v>
      </c>
    </row>
    <row r="4" spans="1:74" ht="66.599999999999994" thickBot="1" x14ac:dyDescent="0.3">
      <c r="A4" s="8" t="s">
        <v>198</v>
      </c>
      <c r="B4" s="66" t="s">
        <v>9</v>
      </c>
      <c r="C4" s="67" t="s">
        <v>199</v>
      </c>
      <c r="D4" s="67" t="s">
        <v>158</v>
      </c>
      <c r="E4" s="68" t="s">
        <v>200</v>
      </c>
      <c r="F4" s="69" t="s">
        <v>201</v>
      </c>
      <c r="G4" s="70" t="s">
        <v>11</v>
      </c>
      <c r="H4" s="70" t="s">
        <v>202</v>
      </c>
      <c r="I4" s="70" t="s">
        <v>99</v>
      </c>
      <c r="J4" s="70" t="s">
        <v>203</v>
      </c>
      <c r="K4" s="71" t="s">
        <v>204</v>
      </c>
      <c r="L4" s="72" t="s">
        <v>205</v>
      </c>
      <c r="M4" s="73" t="s">
        <v>206</v>
      </c>
      <c r="N4" s="74" t="s">
        <v>207</v>
      </c>
      <c r="O4" s="75" t="s">
        <v>140</v>
      </c>
      <c r="P4" s="76" t="s">
        <v>208</v>
      </c>
      <c r="Q4" s="76" t="s">
        <v>209</v>
      </c>
      <c r="R4" s="76" t="s">
        <v>210</v>
      </c>
      <c r="S4" s="2568" t="s">
        <v>211</v>
      </c>
      <c r="T4" s="2569" t="s">
        <v>212</v>
      </c>
      <c r="U4" s="2570" t="s">
        <v>213</v>
      </c>
      <c r="V4" s="2570" t="s">
        <v>122</v>
      </c>
      <c r="W4" s="2570" t="s">
        <v>214</v>
      </c>
      <c r="X4" s="2570" t="s">
        <v>215</v>
      </c>
      <c r="Y4" s="2570" t="s">
        <v>216</v>
      </c>
      <c r="Z4" s="2571" t="s">
        <v>217</v>
      </c>
      <c r="AA4" s="78" t="s">
        <v>218</v>
      </c>
      <c r="AB4" s="79" t="s">
        <v>208</v>
      </c>
      <c r="AC4" s="80" t="s">
        <v>209</v>
      </c>
      <c r="AD4" s="81" t="s">
        <v>219</v>
      </c>
      <c r="AE4" s="82" t="s">
        <v>162</v>
      </c>
      <c r="AF4" s="2574" t="s">
        <v>220</v>
      </c>
      <c r="AG4" s="2575" t="s">
        <v>221</v>
      </c>
      <c r="AH4" s="2576" t="s">
        <v>222</v>
      </c>
      <c r="AI4" s="2577" t="s">
        <v>223</v>
      </c>
      <c r="AJ4" s="2578" t="s">
        <v>224</v>
      </c>
      <c r="AK4" s="2579" t="s">
        <v>225</v>
      </c>
      <c r="AL4" s="2580" t="s">
        <v>226</v>
      </c>
      <c r="AM4" s="2581" t="s">
        <v>227</v>
      </c>
      <c r="AN4" s="88" t="s">
        <v>228</v>
      </c>
      <c r="AO4" s="89" t="s">
        <v>229</v>
      </c>
      <c r="AP4" s="90" t="s">
        <v>230</v>
      </c>
      <c r="AQ4" s="83" t="s">
        <v>231</v>
      </c>
      <c r="AR4" s="84" t="s">
        <v>232</v>
      </c>
      <c r="AS4" s="91" t="s">
        <v>233</v>
      </c>
      <c r="AT4" s="86" t="s">
        <v>234</v>
      </c>
      <c r="AU4" s="87" t="s">
        <v>235</v>
      </c>
      <c r="AV4" s="52"/>
      <c r="AX4" s="61"/>
    </row>
    <row r="5" spans="1:74" ht="22.5" customHeight="1" x14ac:dyDescent="0.3">
      <c r="A5" s="8" t="s">
        <v>113</v>
      </c>
      <c r="B5" s="92">
        <v>49845.959543872159</v>
      </c>
      <c r="C5" s="93">
        <v>0.3671660463438674</v>
      </c>
      <c r="D5" s="92">
        <v>53999.959543872159</v>
      </c>
      <c r="E5" s="94">
        <v>0.39776446937492588</v>
      </c>
      <c r="F5" s="95">
        <v>0.98999999999999988</v>
      </c>
      <c r="G5" s="96">
        <v>74707.880662799987</v>
      </c>
      <c r="H5" s="97">
        <v>0.99870000000000003</v>
      </c>
      <c r="I5" s="96">
        <v>11204.790092136</v>
      </c>
      <c r="J5" s="96"/>
      <c r="K5" s="98">
        <v>85912.670754936</v>
      </c>
      <c r="L5" s="99">
        <v>135758.63029880816</v>
      </c>
      <c r="M5" s="100">
        <v>592.05507928788211</v>
      </c>
      <c r="N5" s="101">
        <v>34990.408573079636</v>
      </c>
      <c r="O5" s="102">
        <v>7463.5173199999999</v>
      </c>
      <c r="P5" s="102">
        <v>2523.3624910864219</v>
      </c>
      <c r="Q5" s="102">
        <v>4220.9965889182204</v>
      </c>
      <c r="R5" s="103">
        <v>55.619491500000137</v>
      </c>
      <c r="S5" s="2475">
        <v>15157</v>
      </c>
      <c r="T5" s="104">
        <v>77905.481300644955</v>
      </c>
      <c r="U5" s="104">
        <v>66601.670754935985</v>
      </c>
      <c r="V5" s="104">
        <v>4154</v>
      </c>
      <c r="W5" s="104">
        <v>0</v>
      </c>
      <c r="X5" s="104">
        <v>15758</v>
      </c>
      <c r="Y5" s="104">
        <v>42836.481300644984</v>
      </c>
      <c r="Z5" s="409">
        <v>0</v>
      </c>
      <c r="AA5" s="105">
        <v>0</v>
      </c>
      <c r="AB5" s="106">
        <v>2523.3624910864219</v>
      </c>
      <c r="AC5" s="107">
        <v>62815.477889563204</v>
      </c>
      <c r="AD5" s="107">
        <v>8007.1894542910004</v>
      </c>
      <c r="AE5" s="108">
        <v>15212.6194915</v>
      </c>
      <c r="AF5" s="109">
        <v>592.05507928788211</v>
      </c>
      <c r="AG5" s="110">
        <v>39144.408573079636</v>
      </c>
      <c r="AH5" s="111">
        <v>7463.5173199999999</v>
      </c>
      <c r="AI5" s="112">
        <v>47199.980972367513</v>
      </c>
      <c r="AJ5" s="113">
        <v>2523.3624910864219</v>
      </c>
      <c r="AK5" s="114">
        <v>49723.343463453937</v>
      </c>
      <c r="AL5" s="115">
        <v>70822.667343854206</v>
      </c>
      <c r="AM5" s="116">
        <v>15212.6194915</v>
      </c>
      <c r="AN5" s="117">
        <v>4.3610861275246663E-3</v>
      </c>
      <c r="AO5" s="118">
        <v>0.28833826981696714</v>
      </c>
      <c r="AP5" s="119">
        <v>5.4976374640585357E-2</v>
      </c>
      <c r="AQ5" s="120">
        <v>0.34767573058507711</v>
      </c>
      <c r="AR5" s="121">
        <v>1.8587123967974909E-2</v>
      </c>
      <c r="AS5" s="122">
        <v>0.36626285455305202</v>
      </c>
      <c r="AT5" s="123">
        <v>0.52168077409128044</v>
      </c>
      <c r="AU5" s="124">
        <v>0.11205637135566734</v>
      </c>
      <c r="AV5" s="61">
        <v>0</v>
      </c>
      <c r="AX5" s="61"/>
    </row>
    <row r="6" spans="1:74" x14ac:dyDescent="0.3">
      <c r="A6" s="8" t="s">
        <v>236</v>
      </c>
      <c r="B6" s="92">
        <v>53562.219543872161</v>
      </c>
      <c r="C6" s="93">
        <v>0.38192137377726232</v>
      </c>
      <c r="D6" s="92">
        <v>57716.219543872161</v>
      </c>
      <c r="E6" s="94">
        <v>0.41154115802409075</v>
      </c>
      <c r="F6" s="125">
        <v>0.99999999999999989</v>
      </c>
      <c r="G6" s="126">
        <v>75462.505719999986</v>
      </c>
      <c r="H6" s="2591">
        <v>1</v>
      </c>
      <c r="I6" s="126">
        <v>11219.37528</v>
      </c>
      <c r="J6" s="126"/>
      <c r="K6" s="127">
        <v>86681.880999999994</v>
      </c>
      <c r="L6" s="99">
        <v>140244.10054387216</v>
      </c>
      <c r="M6" s="128">
        <v>592.05507928788211</v>
      </c>
      <c r="N6" s="129">
        <v>37851.928773079635</v>
      </c>
      <c r="O6" s="130">
        <v>7463.5173199999999</v>
      </c>
      <c r="P6" s="130">
        <v>3192.2892910864221</v>
      </c>
      <c r="Q6" s="130">
        <v>4406.8095889182205</v>
      </c>
      <c r="R6" s="131">
        <v>55.619491500000137</v>
      </c>
      <c r="S6" s="318">
        <v>15157</v>
      </c>
      <c r="T6" s="2109">
        <v>78602.999999999956</v>
      </c>
      <c r="U6" s="2109">
        <v>67370.880999999979</v>
      </c>
      <c r="V6" s="2109">
        <v>4154</v>
      </c>
      <c r="W6" s="2109">
        <v>0</v>
      </c>
      <c r="X6" s="2109">
        <v>15758</v>
      </c>
      <c r="Y6" s="2109">
        <v>43533.999999999993</v>
      </c>
      <c r="Z6" s="324">
        <v>0</v>
      </c>
      <c r="AA6" s="133">
        <v>0</v>
      </c>
      <c r="AB6" s="134">
        <v>3192.2892910864221</v>
      </c>
      <c r="AC6" s="135">
        <v>63698.809588918215</v>
      </c>
      <c r="AD6" s="135">
        <v>8078.8809999999903</v>
      </c>
      <c r="AE6" s="136">
        <v>15212.6194915</v>
      </c>
      <c r="AF6" s="109">
        <v>592.05507928788211</v>
      </c>
      <c r="AG6" s="110">
        <v>42005.928773079635</v>
      </c>
      <c r="AH6" s="111">
        <v>7463.5173199999999</v>
      </c>
      <c r="AI6" s="112">
        <v>50061.501172367512</v>
      </c>
      <c r="AJ6" s="113">
        <v>3192.2892910864221</v>
      </c>
      <c r="AK6" s="114">
        <v>53253.790463453937</v>
      </c>
      <c r="AL6" s="115">
        <v>71777.690588918209</v>
      </c>
      <c r="AM6" s="116">
        <v>15212.6194915</v>
      </c>
      <c r="AN6" s="117">
        <v>4.2216041672474575E-3</v>
      </c>
      <c r="AO6" s="118">
        <v>0.29952011250511773</v>
      </c>
      <c r="AP6" s="119">
        <v>5.3218048324715155E-2</v>
      </c>
      <c r="AQ6" s="120">
        <v>0.35695976499708032</v>
      </c>
      <c r="AR6" s="121">
        <v>2.2762378443774805E-2</v>
      </c>
      <c r="AS6" s="122">
        <v>0.37972214344085514</v>
      </c>
      <c r="AT6" s="123">
        <v>0.51180541862767481</v>
      </c>
      <c r="AU6" s="124">
        <v>0.10847243793146992</v>
      </c>
      <c r="AV6" s="61">
        <v>0</v>
      </c>
      <c r="AX6" s="2628" t="s">
        <v>198</v>
      </c>
      <c r="AY6" s="2628" t="s">
        <v>395</v>
      </c>
      <c r="AZ6" s="2628" t="s">
        <v>156</v>
      </c>
      <c r="BA6" s="2628" t="s">
        <v>220</v>
      </c>
      <c r="BB6" s="2628" t="s">
        <v>221</v>
      </c>
      <c r="BC6" s="2628" t="s">
        <v>222</v>
      </c>
      <c r="BD6" s="2628" t="s">
        <v>223</v>
      </c>
      <c r="BE6" s="2628" t="s">
        <v>224</v>
      </c>
      <c r="BF6" s="2628" t="s">
        <v>225</v>
      </c>
      <c r="BG6" s="2628" t="s">
        <v>226</v>
      </c>
      <c r="BH6" s="2628" t="s">
        <v>227</v>
      </c>
      <c r="BI6" s="2628" t="s">
        <v>259</v>
      </c>
      <c r="BK6" s="2628" t="s">
        <v>198</v>
      </c>
      <c r="BL6" s="2628" t="s">
        <v>395</v>
      </c>
      <c r="BM6" s="2628" t="s">
        <v>156</v>
      </c>
      <c r="BN6" s="2628" t="s">
        <v>228</v>
      </c>
      <c r="BO6" s="2628" t="s">
        <v>229</v>
      </c>
      <c r="BP6" s="2628" t="s">
        <v>230</v>
      </c>
      <c r="BQ6" s="2628" t="s">
        <v>231</v>
      </c>
      <c r="BR6" s="2628" t="s">
        <v>232</v>
      </c>
      <c r="BS6" s="2628" t="s">
        <v>233</v>
      </c>
      <c r="BT6" s="2628" t="s">
        <v>234</v>
      </c>
      <c r="BU6" s="2628" t="s">
        <v>235</v>
      </c>
      <c r="BV6" s="2628" t="s">
        <v>260</v>
      </c>
    </row>
    <row r="7" spans="1:74" x14ac:dyDescent="0.3">
      <c r="A7" s="8" t="s">
        <v>14</v>
      </c>
      <c r="B7" s="92">
        <v>8394.0290000000005</v>
      </c>
      <c r="C7" s="93">
        <v>0.37162658022504724</v>
      </c>
      <c r="D7" s="137">
        <v>10687.029</v>
      </c>
      <c r="E7" s="94">
        <v>0.47314395030514028</v>
      </c>
      <c r="F7" s="138">
        <v>0.16769999999999999</v>
      </c>
      <c r="G7" s="126">
        <v>12655.062209243997</v>
      </c>
      <c r="H7" s="139">
        <v>0.1371</v>
      </c>
      <c r="I7" s="126">
        <v>1538.1763508880001</v>
      </c>
      <c r="J7" s="126"/>
      <c r="K7" s="127">
        <v>14193.238560131997</v>
      </c>
      <c r="L7" s="99">
        <v>22587.267560131997</v>
      </c>
      <c r="M7" s="128">
        <v>0</v>
      </c>
      <c r="N7" s="129">
        <v>6506.7254000000003</v>
      </c>
      <c r="O7" s="130">
        <v>0</v>
      </c>
      <c r="P7" s="130">
        <v>78.637650000000008</v>
      </c>
      <c r="Q7" s="130">
        <v>1808.6659500000001</v>
      </c>
      <c r="R7" s="131">
        <v>0</v>
      </c>
      <c r="S7" s="318"/>
      <c r="T7" s="2109">
        <v>12870.407490834854</v>
      </c>
      <c r="U7" s="2109">
        <v>11900.238560131997</v>
      </c>
      <c r="V7" s="2109">
        <v>2293</v>
      </c>
      <c r="W7" s="2109"/>
      <c r="X7" s="2109"/>
      <c r="Y7" s="2109">
        <v>10577.407490834854</v>
      </c>
      <c r="Z7" s="324"/>
      <c r="AA7" s="133"/>
      <c r="AB7" s="134">
        <v>78.637650000000008</v>
      </c>
      <c r="AC7" s="135">
        <v>12386.073440834854</v>
      </c>
      <c r="AD7" s="135">
        <v>1322.8310692971427</v>
      </c>
      <c r="AE7" s="136">
        <v>0</v>
      </c>
      <c r="AF7" s="109">
        <v>0</v>
      </c>
      <c r="AG7" s="110">
        <v>8799.7253999999994</v>
      </c>
      <c r="AH7" s="111">
        <v>0</v>
      </c>
      <c r="AI7" s="112">
        <v>8799.7253999999994</v>
      </c>
      <c r="AJ7" s="113">
        <v>78.637650000000008</v>
      </c>
      <c r="AK7" s="114">
        <v>8878.3630499999999</v>
      </c>
      <c r="AL7" s="115">
        <v>13708.904510131997</v>
      </c>
      <c r="AM7" s="116">
        <v>0</v>
      </c>
      <c r="AN7" s="117" t="s">
        <v>153</v>
      </c>
      <c r="AO7" s="118">
        <v>0.38958786743785201</v>
      </c>
      <c r="AP7" s="119" t="s">
        <v>153</v>
      </c>
      <c r="AQ7" s="120">
        <v>0.38958786743785201</v>
      </c>
      <c r="AR7" s="121">
        <v>3.481503452803676E-3</v>
      </c>
      <c r="AS7" s="122">
        <v>0.39306937089065569</v>
      </c>
      <c r="AT7" s="123">
        <v>0.60693062910934426</v>
      </c>
      <c r="AU7" s="124" t="s">
        <v>153</v>
      </c>
      <c r="AV7" s="61">
        <v>0</v>
      </c>
      <c r="AX7" s="2629" t="s">
        <v>14</v>
      </c>
      <c r="AY7" s="2630">
        <v>22587.267560131997</v>
      </c>
      <c r="AZ7" s="2631">
        <v>0.37162658022504724</v>
      </c>
      <c r="BA7" s="2630">
        <v>0</v>
      </c>
      <c r="BB7" s="2630">
        <v>8799.7253999999994</v>
      </c>
      <c r="BC7" s="2630">
        <v>0</v>
      </c>
      <c r="BD7" s="2630">
        <v>8799.7253999999994</v>
      </c>
      <c r="BE7" s="2630">
        <v>78.637650000000008</v>
      </c>
      <c r="BF7" s="2630">
        <v>8878.3630499999999</v>
      </c>
      <c r="BG7" s="2630">
        <v>13708.904510131997</v>
      </c>
      <c r="BH7" s="2630">
        <v>0</v>
      </c>
      <c r="BI7" s="2630" t="s">
        <v>153</v>
      </c>
      <c r="BK7" s="2629" t="s">
        <v>14</v>
      </c>
      <c r="BL7" s="2630">
        <v>22587.267560131997</v>
      </c>
      <c r="BM7" s="2634">
        <v>0.37162658022504724</v>
      </c>
      <c r="BN7" s="2634" t="s">
        <v>153</v>
      </c>
      <c r="BO7" s="2634">
        <v>0.38958786743785201</v>
      </c>
      <c r="BP7" s="2634" t="s">
        <v>153</v>
      </c>
      <c r="BQ7" s="2634">
        <v>0.38958786743785201</v>
      </c>
      <c r="BR7" s="2634">
        <v>3.481503452803676E-3</v>
      </c>
      <c r="BS7" s="2634">
        <v>0.39306937089065569</v>
      </c>
      <c r="BT7" s="2634">
        <v>0.60693062910934426</v>
      </c>
      <c r="BU7" s="2634" t="s">
        <v>153</v>
      </c>
      <c r="BV7" s="2634">
        <v>0</v>
      </c>
    </row>
    <row r="8" spans="1:74" x14ac:dyDescent="0.3">
      <c r="A8" s="8" t="s">
        <v>32</v>
      </c>
      <c r="B8" s="92">
        <v>8281.6169999999984</v>
      </c>
      <c r="C8" s="93">
        <v>0.78697054042031189</v>
      </c>
      <c r="D8" s="137">
        <v>8677.6169999999984</v>
      </c>
      <c r="E8" s="94">
        <v>0.82460091308864991</v>
      </c>
      <c r="F8" s="138">
        <v>1.8200000000000001E-2</v>
      </c>
      <c r="G8" s="126">
        <v>1373.4176041039998</v>
      </c>
      <c r="H8" s="139">
        <v>7.7399999999999997E-2</v>
      </c>
      <c r="I8" s="126">
        <v>868.37964667199992</v>
      </c>
      <c r="J8" s="126"/>
      <c r="K8" s="127">
        <v>2241.7972507759996</v>
      </c>
      <c r="L8" s="99">
        <v>10523.414250775997</v>
      </c>
      <c r="M8" s="128">
        <v>0</v>
      </c>
      <c r="N8" s="129">
        <v>8024.0587112999983</v>
      </c>
      <c r="O8" s="130">
        <v>0</v>
      </c>
      <c r="P8" s="130">
        <v>0</v>
      </c>
      <c r="Q8" s="130">
        <v>228.57262919999994</v>
      </c>
      <c r="R8" s="131">
        <v>28.985659500000136</v>
      </c>
      <c r="S8" s="318"/>
      <c r="T8" s="2109">
        <v>2032.8583928946573</v>
      </c>
      <c r="U8" s="2109">
        <v>1845.7972507759996</v>
      </c>
      <c r="V8" s="2109">
        <v>396</v>
      </c>
      <c r="W8" s="2109"/>
      <c r="X8" s="2109"/>
      <c r="Y8" s="2109">
        <v>1636.8583928946573</v>
      </c>
      <c r="Z8" s="324"/>
      <c r="AA8" s="133"/>
      <c r="AB8" s="134">
        <v>0</v>
      </c>
      <c r="AC8" s="135">
        <v>1865.4310220946572</v>
      </c>
      <c r="AD8" s="135">
        <v>208.9388578813423</v>
      </c>
      <c r="AE8" s="136">
        <v>28.985659500000136</v>
      </c>
      <c r="AF8" s="109">
        <v>0</v>
      </c>
      <c r="AG8" s="110">
        <v>8420.0587112999983</v>
      </c>
      <c r="AH8" s="111">
        <v>0</v>
      </c>
      <c r="AI8" s="112">
        <v>8420.0587112999983</v>
      </c>
      <c r="AJ8" s="113">
        <v>0</v>
      </c>
      <c r="AK8" s="114">
        <v>8420.0587112999983</v>
      </c>
      <c r="AL8" s="115">
        <v>2074.3698799759995</v>
      </c>
      <c r="AM8" s="116">
        <v>28.985659500000136</v>
      </c>
      <c r="AN8" s="117" t="s">
        <v>153</v>
      </c>
      <c r="AO8" s="118">
        <v>0.80012612928157822</v>
      </c>
      <c r="AP8" s="119" t="s">
        <v>153</v>
      </c>
      <c r="AQ8" s="120">
        <v>0.80012612928157822</v>
      </c>
      <c r="AR8" s="121" t="s">
        <v>153</v>
      </c>
      <c r="AS8" s="122">
        <v>0.80012612928157822</v>
      </c>
      <c r="AT8" s="123">
        <v>0.19711947382695075</v>
      </c>
      <c r="AU8" s="124">
        <v>2.7543968914711054E-3</v>
      </c>
      <c r="AV8" s="61">
        <v>0</v>
      </c>
      <c r="AX8" s="2629" t="s">
        <v>32</v>
      </c>
      <c r="AY8" s="2630">
        <v>10523.414250775997</v>
      </c>
      <c r="AZ8" s="2631">
        <v>0.78697054042031189</v>
      </c>
      <c r="BA8" s="2630">
        <v>0</v>
      </c>
      <c r="BB8" s="2630">
        <v>8420.0587112999983</v>
      </c>
      <c r="BC8" s="2630">
        <v>0</v>
      </c>
      <c r="BD8" s="2630">
        <v>8420.0587112999983</v>
      </c>
      <c r="BE8" s="2630">
        <v>0</v>
      </c>
      <c r="BF8" s="2630">
        <v>8420.0587112999983</v>
      </c>
      <c r="BG8" s="2630">
        <v>2074.3698799759995</v>
      </c>
      <c r="BH8" s="2630">
        <v>28.985659500000136</v>
      </c>
      <c r="BI8" s="2630" t="s">
        <v>153</v>
      </c>
      <c r="BK8" s="2629" t="s">
        <v>32</v>
      </c>
      <c r="BL8" s="2630">
        <v>10523.414250775997</v>
      </c>
      <c r="BM8" s="2634">
        <v>0.78697054042031189</v>
      </c>
      <c r="BN8" s="2634" t="s">
        <v>153</v>
      </c>
      <c r="BO8" s="2634">
        <v>0.80012612928157822</v>
      </c>
      <c r="BP8" s="2634" t="s">
        <v>153</v>
      </c>
      <c r="BQ8" s="2634">
        <v>0.80012612928157822</v>
      </c>
      <c r="BR8" s="2634" t="s">
        <v>153</v>
      </c>
      <c r="BS8" s="2634">
        <v>0.80012612928157822</v>
      </c>
      <c r="BT8" s="2634">
        <v>0.19711947382695075</v>
      </c>
      <c r="BU8" s="2634">
        <v>2.7543968914711054E-3</v>
      </c>
      <c r="BV8" s="2634">
        <v>0</v>
      </c>
    </row>
    <row r="9" spans="1:74" x14ac:dyDescent="0.3">
      <c r="A9" s="8" t="s">
        <v>47</v>
      </c>
      <c r="B9" s="92">
        <v>179.84200000000001</v>
      </c>
      <c r="C9" s="93">
        <v>0.48189092537425893</v>
      </c>
      <c r="D9" s="137">
        <v>179.84200000000001</v>
      </c>
      <c r="E9" s="94">
        <v>0.48189092537425893</v>
      </c>
      <c r="F9" s="138">
        <v>1.6999999999999999E-3</v>
      </c>
      <c r="G9" s="126">
        <v>128.28625972399996</v>
      </c>
      <c r="H9" s="139">
        <v>5.7999999999999996E-3</v>
      </c>
      <c r="I9" s="126">
        <v>65.072376624</v>
      </c>
      <c r="J9" s="126"/>
      <c r="K9" s="127">
        <v>193.35863634799995</v>
      </c>
      <c r="L9" s="99">
        <v>373.20063634799999</v>
      </c>
      <c r="M9" s="128">
        <v>0</v>
      </c>
      <c r="N9" s="129">
        <v>100.71152000000002</v>
      </c>
      <c r="O9" s="130">
        <v>0</v>
      </c>
      <c r="P9" s="130">
        <v>55.751020000000004</v>
      </c>
      <c r="Q9" s="130">
        <v>23.379460000000002</v>
      </c>
      <c r="R9" s="131">
        <v>0</v>
      </c>
      <c r="S9" s="318"/>
      <c r="T9" s="2109">
        <v>175.33732214304212</v>
      </c>
      <c r="U9" s="2109">
        <v>193.35863634799995</v>
      </c>
      <c r="V9" s="2109"/>
      <c r="W9" s="2109"/>
      <c r="X9" s="2109"/>
      <c r="Y9" s="2109">
        <v>175.33732214304212</v>
      </c>
      <c r="Z9" s="324"/>
      <c r="AA9" s="133"/>
      <c r="AB9" s="134">
        <v>55.751020000000004</v>
      </c>
      <c r="AC9" s="135">
        <v>198.71678214304211</v>
      </c>
      <c r="AD9" s="135">
        <v>18.021314204957832</v>
      </c>
      <c r="AE9" s="136">
        <v>0</v>
      </c>
      <c r="AF9" s="109">
        <v>0</v>
      </c>
      <c r="AG9" s="110">
        <v>100.71152000000002</v>
      </c>
      <c r="AH9" s="111">
        <v>0</v>
      </c>
      <c r="AI9" s="112">
        <v>100.71152000000002</v>
      </c>
      <c r="AJ9" s="113">
        <v>55.751020000000004</v>
      </c>
      <c r="AK9" s="114">
        <v>156.46254000000002</v>
      </c>
      <c r="AL9" s="115">
        <v>216.73809634799994</v>
      </c>
      <c r="AM9" s="116">
        <v>0</v>
      </c>
      <c r="AN9" s="117" t="s">
        <v>153</v>
      </c>
      <c r="AO9" s="118">
        <v>0.26985891820958507</v>
      </c>
      <c r="AP9" s="119" t="s">
        <v>153</v>
      </c>
      <c r="AQ9" s="120">
        <v>0.26985891820958507</v>
      </c>
      <c r="AR9" s="121">
        <v>0.14938618686602026</v>
      </c>
      <c r="AS9" s="122">
        <v>0.41924510507560531</v>
      </c>
      <c r="AT9" s="123">
        <v>0.58075489492439458</v>
      </c>
      <c r="AU9" s="124" t="s">
        <v>153</v>
      </c>
      <c r="AV9" s="61">
        <v>0</v>
      </c>
      <c r="AX9" s="2629" t="s">
        <v>47</v>
      </c>
      <c r="AY9" s="2630">
        <v>373.20063634799999</v>
      </c>
      <c r="AZ9" s="2631">
        <v>0.48189092537425893</v>
      </c>
      <c r="BA9" s="2630">
        <v>0</v>
      </c>
      <c r="BB9" s="2630">
        <v>100.71152000000002</v>
      </c>
      <c r="BC9" s="2630">
        <v>0</v>
      </c>
      <c r="BD9" s="2630">
        <v>100.71152000000002</v>
      </c>
      <c r="BE9" s="2630">
        <v>55.751020000000004</v>
      </c>
      <c r="BF9" s="2630">
        <v>156.46254000000002</v>
      </c>
      <c r="BG9" s="2630">
        <v>216.73809634799994</v>
      </c>
      <c r="BH9" s="2630">
        <v>0</v>
      </c>
      <c r="BI9" s="2630" t="s">
        <v>153</v>
      </c>
      <c r="BK9" s="2629" t="s">
        <v>47</v>
      </c>
      <c r="BL9" s="2630">
        <v>373.20063634799999</v>
      </c>
      <c r="BM9" s="2634">
        <v>0.48189092537425893</v>
      </c>
      <c r="BN9" s="2634" t="s">
        <v>153</v>
      </c>
      <c r="BO9" s="2634">
        <v>0.26985891820958507</v>
      </c>
      <c r="BP9" s="2634" t="s">
        <v>153</v>
      </c>
      <c r="BQ9" s="2634">
        <v>0.26985891820958507</v>
      </c>
      <c r="BR9" s="2634">
        <v>0.14938618686602026</v>
      </c>
      <c r="BS9" s="2634">
        <v>0.41924510507560531</v>
      </c>
      <c r="BT9" s="2634">
        <v>0.58075489492439458</v>
      </c>
      <c r="BU9" s="2634" t="s">
        <v>153</v>
      </c>
      <c r="BV9" s="2634">
        <v>0</v>
      </c>
    </row>
    <row r="10" spans="1:74" x14ac:dyDescent="0.3">
      <c r="A10" s="8" t="s">
        <v>1</v>
      </c>
      <c r="B10" s="92">
        <v>4115.8105287882172</v>
      </c>
      <c r="C10" s="93">
        <v>0.88625493702667801</v>
      </c>
      <c r="D10" s="137">
        <v>4115.8105287882172</v>
      </c>
      <c r="E10" s="94">
        <v>0.88625493702667801</v>
      </c>
      <c r="F10" s="138">
        <v>7.0000000000000001E-3</v>
      </c>
      <c r="G10" s="126">
        <v>528.23754003999989</v>
      </c>
      <c r="H10" s="139">
        <v>0</v>
      </c>
      <c r="I10" s="126">
        <v>0</v>
      </c>
      <c r="J10" s="126"/>
      <c r="K10" s="127">
        <v>528.23754003999989</v>
      </c>
      <c r="L10" s="99">
        <v>4644.0480688282169</v>
      </c>
      <c r="M10" s="128">
        <v>41.158105287882172</v>
      </c>
      <c r="N10" s="129">
        <v>4005.5068066166928</v>
      </c>
      <c r="O10" s="130">
        <v>0</v>
      </c>
      <c r="P10" s="130">
        <v>37.453875811972779</v>
      </c>
      <c r="Q10" s="130">
        <v>31.691741071669274</v>
      </c>
      <c r="R10" s="131">
        <v>0</v>
      </c>
      <c r="S10" s="318"/>
      <c r="T10" s="2109">
        <v>479.00501097529389</v>
      </c>
      <c r="U10" s="2109">
        <v>528.23754003999989</v>
      </c>
      <c r="V10" s="2109"/>
      <c r="W10" s="2109"/>
      <c r="X10" s="2109"/>
      <c r="Y10" s="2109">
        <v>479.00501097529389</v>
      </c>
      <c r="Z10" s="324"/>
      <c r="AA10" s="133"/>
      <c r="AB10" s="134">
        <v>37.453875811972779</v>
      </c>
      <c r="AC10" s="135">
        <v>510.69675204696318</v>
      </c>
      <c r="AD10" s="135">
        <v>49.232529064706</v>
      </c>
      <c r="AE10" s="136">
        <v>0</v>
      </c>
      <c r="AF10" s="109">
        <v>41.158105287882172</v>
      </c>
      <c r="AG10" s="110">
        <v>4005.5068066166928</v>
      </c>
      <c r="AH10" s="111">
        <v>0</v>
      </c>
      <c r="AI10" s="112">
        <v>4046.6649119045751</v>
      </c>
      <c r="AJ10" s="113">
        <v>37.453875811972779</v>
      </c>
      <c r="AK10" s="114">
        <v>4084.118787716548</v>
      </c>
      <c r="AL10" s="115">
        <v>559.92928111166918</v>
      </c>
      <c r="AM10" s="116">
        <v>0</v>
      </c>
      <c r="AN10" s="117">
        <v>8.8625493702667799E-3</v>
      </c>
      <c r="AO10" s="118">
        <v>0.86250330471436309</v>
      </c>
      <c r="AP10" s="119" t="s">
        <v>153</v>
      </c>
      <c r="AQ10" s="120">
        <v>0.87136585408462985</v>
      </c>
      <c r="AR10" s="121">
        <v>8.0649199269427711E-3</v>
      </c>
      <c r="AS10" s="122">
        <v>0.87943077401157266</v>
      </c>
      <c r="AT10" s="123">
        <v>0.12056922598842741</v>
      </c>
      <c r="AU10" s="124" t="s">
        <v>153</v>
      </c>
      <c r="AV10" s="61">
        <v>0</v>
      </c>
      <c r="AX10" s="2629" t="s">
        <v>1</v>
      </c>
      <c r="AY10" s="2630">
        <v>4644.0480688282169</v>
      </c>
      <c r="AZ10" s="2631">
        <v>0.88625493702667801</v>
      </c>
      <c r="BA10" s="2630">
        <v>41.158105287882172</v>
      </c>
      <c r="BB10" s="2630">
        <v>4005.5068066166928</v>
      </c>
      <c r="BC10" s="2630">
        <v>0</v>
      </c>
      <c r="BD10" s="2630">
        <v>4046.6649119045751</v>
      </c>
      <c r="BE10" s="2630">
        <v>37.453875811972779</v>
      </c>
      <c r="BF10" s="2630">
        <v>4084.118787716548</v>
      </c>
      <c r="BG10" s="2630">
        <v>559.92928111166918</v>
      </c>
      <c r="BH10" s="2630">
        <v>0</v>
      </c>
      <c r="BI10" s="2630">
        <v>8.8625493702667799E-3</v>
      </c>
      <c r="BK10" s="2629" t="s">
        <v>1</v>
      </c>
      <c r="BL10" s="2630">
        <v>4644.0480688282169</v>
      </c>
      <c r="BM10" s="2634">
        <v>0.88625493702667801</v>
      </c>
      <c r="BN10" s="2634">
        <v>8.8625493702667799E-3</v>
      </c>
      <c r="BO10" s="2634">
        <v>0.86250330471436309</v>
      </c>
      <c r="BP10" s="2634" t="s">
        <v>153</v>
      </c>
      <c r="BQ10" s="2634">
        <v>0.87136585408462985</v>
      </c>
      <c r="BR10" s="2634">
        <v>8.0649199269427711E-3</v>
      </c>
      <c r="BS10" s="2634">
        <v>0.87943077401157266</v>
      </c>
      <c r="BT10" s="2634">
        <v>0.12056922598842741</v>
      </c>
      <c r="BU10" s="2634" t="s">
        <v>153</v>
      </c>
      <c r="BV10" s="2634">
        <v>0</v>
      </c>
    </row>
    <row r="11" spans="1:74" x14ac:dyDescent="0.3">
      <c r="A11" s="8" t="s">
        <v>5</v>
      </c>
      <c r="B11" s="92">
        <v>7615.8339999999998</v>
      </c>
      <c r="C11" s="93">
        <v>0.16464335204239197</v>
      </c>
      <c r="D11" s="137">
        <v>7615.8339999999998</v>
      </c>
      <c r="E11" s="94">
        <v>0.16464335204239197</v>
      </c>
      <c r="F11" s="138">
        <v>0.46290000000000003</v>
      </c>
      <c r="G11" s="126">
        <v>34931.593897788</v>
      </c>
      <c r="H11" s="139">
        <v>0.3306</v>
      </c>
      <c r="I11" s="126">
        <v>3709.1254675680002</v>
      </c>
      <c r="J11" s="140"/>
      <c r="K11" s="127">
        <v>38640.719365356003</v>
      </c>
      <c r="L11" s="99">
        <v>46256.553365356005</v>
      </c>
      <c r="M11" s="128">
        <v>0</v>
      </c>
      <c r="N11" s="129">
        <v>0</v>
      </c>
      <c r="O11" s="130">
        <v>7463.5173199999999</v>
      </c>
      <c r="P11" s="130">
        <v>0</v>
      </c>
      <c r="Q11" s="130">
        <v>152.31667999999999</v>
      </c>
      <c r="R11" s="131">
        <v>0</v>
      </c>
      <c r="S11" s="318">
        <v>15157</v>
      </c>
      <c r="T11" s="2109">
        <v>35039.34650743306</v>
      </c>
      <c r="U11" s="2109">
        <v>23483.719365356003</v>
      </c>
      <c r="V11" s="2109"/>
      <c r="W11" s="2109"/>
      <c r="X11" s="2109">
        <v>15758</v>
      </c>
      <c r="Y11" s="2109">
        <v>4124.3465074330597</v>
      </c>
      <c r="Z11" s="324">
        <v>0</v>
      </c>
      <c r="AA11" s="133"/>
      <c r="AB11" s="134">
        <v>0</v>
      </c>
      <c r="AC11" s="135">
        <v>20034.66318743306</v>
      </c>
      <c r="AD11" s="135">
        <v>3601.3728579229428</v>
      </c>
      <c r="AE11" s="136">
        <v>15157</v>
      </c>
      <c r="AF11" s="109">
        <v>0</v>
      </c>
      <c r="AG11" s="110">
        <v>0</v>
      </c>
      <c r="AH11" s="111">
        <v>7463.5173199999999</v>
      </c>
      <c r="AI11" s="112">
        <v>7463.5173199999999</v>
      </c>
      <c r="AJ11" s="113">
        <v>0</v>
      </c>
      <c r="AK11" s="114">
        <v>7463.5173199999999</v>
      </c>
      <c r="AL11" s="115">
        <v>23636.036045356002</v>
      </c>
      <c r="AM11" s="116">
        <v>15157</v>
      </c>
      <c r="AN11" s="117" t="s">
        <v>153</v>
      </c>
      <c r="AO11" s="118" t="s">
        <v>153</v>
      </c>
      <c r="AP11" s="119">
        <v>0.16135048500154414</v>
      </c>
      <c r="AQ11" s="120">
        <v>0.16135048500154414</v>
      </c>
      <c r="AR11" s="121" t="s">
        <v>153</v>
      </c>
      <c r="AS11" s="122">
        <v>0.16135048500154414</v>
      </c>
      <c r="AT11" s="123">
        <v>0.51097702543177992</v>
      </c>
      <c r="AU11" s="124">
        <v>0.32767248956667583</v>
      </c>
      <c r="AV11" s="61">
        <v>0</v>
      </c>
      <c r="AX11" s="2629" t="s">
        <v>5</v>
      </c>
      <c r="AY11" s="2630">
        <v>46256.553365356005</v>
      </c>
      <c r="AZ11" s="2631">
        <v>0.16464335204239197</v>
      </c>
      <c r="BA11" s="2630">
        <v>0</v>
      </c>
      <c r="BB11" s="2630">
        <v>0</v>
      </c>
      <c r="BC11" s="2630">
        <v>7463.5173199999999</v>
      </c>
      <c r="BD11" s="2630">
        <v>7463.5173199999999</v>
      </c>
      <c r="BE11" s="2630">
        <v>0</v>
      </c>
      <c r="BF11" s="2630">
        <v>7463.5173199999999</v>
      </c>
      <c r="BG11" s="2630">
        <v>23636.036045356002</v>
      </c>
      <c r="BH11" s="2630">
        <v>15157</v>
      </c>
      <c r="BI11" s="2630" t="s">
        <v>153</v>
      </c>
      <c r="BK11" s="2629" t="s">
        <v>5</v>
      </c>
      <c r="BL11" s="2630">
        <v>46256.553365356005</v>
      </c>
      <c r="BM11" s="2634">
        <v>0.16464335204239197</v>
      </c>
      <c r="BN11" s="2634" t="s">
        <v>153</v>
      </c>
      <c r="BO11" s="2634" t="s">
        <v>153</v>
      </c>
      <c r="BP11" s="2634">
        <v>0.16135048500154414</v>
      </c>
      <c r="BQ11" s="2634">
        <v>0.16135048500154414</v>
      </c>
      <c r="BR11" s="2634" t="s">
        <v>153</v>
      </c>
      <c r="BS11" s="2634">
        <v>0.16135048500154414</v>
      </c>
      <c r="BT11" s="2634">
        <v>0.51097702543177992</v>
      </c>
      <c r="BU11" s="2634">
        <v>0.32767248956667583</v>
      </c>
      <c r="BV11" s="2634">
        <v>0</v>
      </c>
    </row>
    <row r="12" spans="1:74" x14ac:dyDescent="0.3">
      <c r="A12" s="8" t="s">
        <v>28</v>
      </c>
      <c r="B12" s="92">
        <v>12050.452199999998</v>
      </c>
      <c r="C12" s="93">
        <v>0.57704780751218765</v>
      </c>
      <c r="D12" s="137">
        <v>13407.452199999998</v>
      </c>
      <c r="E12" s="94">
        <v>0.64202909301067201</v>
      </c>
      <c r="F12" s="138">
        <v>7.8299999999999995E-2</v>
      </c>
      <c r="G12" s="126">
        <v>5908.7141978759983</v>
      </c>
      <c r="H12" s="139">
        <v>0.2606</v>
      </c>
      <c r="I12" s="126">
        <v>2923.7691979679998</v>
      </c>
      <c r="J12" s="126"/>
      <c r="K12" s="127">
        <v>8832.4833958439976</v>
      </c>
      <c r="L12" s="99">
        <v>20882.935595843996</v>
      </c>
      <c r="M12" s="128">
        <v>0</v>
      </c>
      <c r="N12" s="129">
        <v>11447.929589999998</v>
      </c>
      <c r="O12" s="130">
        <v>0</v>
      </c>
      <c r="P12" s="130">
        <v>0</v>
      </c>
      <c r="Q12" s="130">
        <v>602.52260999999987</v>
      </c>
      <c r="R12" s="131">
        <v>0</v>
      </c>
      <c r="S12" s="318"/>
      <c r="T12" s="2109">
        <v>8009.2827284577015</v>
      </c>
      <c r="U12" s="2109">
        <v>7475.4833958439976</v>
      </c>
      <c r="V12" s="2109">
        <v>1357</v>
      </c>
      <c r="W12" s="2109"/>
      <c r="X12" s="2109"/>
      <c r="Y12" s="2109">
        <v>6652.2827284577015</v>
      </c>
      <c r="Z12" s="324"/>
      <c r="AA12" s="133"/>
      <c r="AB12" s="134">
        <v>0</v>
      </c>
      <c r="AC12" s="135">
        <v>7254.8053384577015</v>
      </c>
      <c r="AD12" s="135">
        <v>823.20066738629612</v>
      </c>
      <c r="AE12" s="136">
        <v>0</v>
      </c>
      <c r="AF12" s="109">
        <v>0</v>
      </c>
      <c r="AG12" s="110">
        <v>12804.929589999998</v>
      </c>
      <c r="AH12" s="111">
        <v>0</v>
      </c>
      <c r="AI12" s="112">
        <v>12804.929589999998</v>
      </c>
      <c r="AJ12" s="113">
        <v>0</v>
      </c>
      <c r="AK12" s="114">
        <v>12804.929589999998</v>
      </c>
      <c r="AL12" s="115">
        <v>8078.0060058439976</v>
      </c>
      <c r="AM12" s="116">
        <v>0</v>
      </c>
      <c r="AN12" s="117" t="s">
        <v>153</v>
      </c>
      <c r="AO12" s="118">
        <v>0.61317670263506263</v>
      </c>
      <c r="AP12" s="119" t="s">
        <v>153</v>
      </c>
      <c r="AQ12" s="120">
        <v>0.61317670263506263</v>
      </c>
      <c r="AR12" s="121" t="s">
        <v>153</v>
      </c>
      <c r="AS12" s="122">
        <v>0.61317670263506263</v>
      </c>
      <c r="AT12" s="123">
        <v>0.38682329736493737</v>
      </c>
      <c r="AU12" s="124" t="s">
        <v>153</v>
      </c>
      <c r="AV12" s="61">
        <v>0</v>
      </c>
      <c r="AX12" s="2629" t="s">
        <v>28</v>
      </c>
      <c r="AY12" s="2630">
        <v>20882.935595843996</v>
      </c>
      <c r="AZ12" s="2631">
        <v>0.57704780751218765</v>
      </c>
      <c r="BA12" s="2630">
        <v>0</v>
      </c>
      <c r="BB12" s="2630">
        <v>12804.929589999998</v>
      </c>
      <c r="BC12" s="2630">
        <v>0</v>
      </c>
      <c r="BD12" s="2630">
        <v>12804.929589999998</v>
      </c>
      <c r="BE12" s="2630">
        <v>0</v>
      </c>
      <c r="BF12" s="2630">
        <v>12804.929589999998</v>
      </c>
      <c r="BG12" s="2630">
        <v>8078.0060058439976</v>
      </c>
      <c r="BH12" s="2630">
        <v>0</v>
      </c>
      <c r="BI12" s="2630" t="s">
        <v>153</v>
      </c>
      <c r="BK12" s="2629" t="s">
        <v>28</v>
      </c>
      <c r="BL12" s="2630">
        <v>20882.935595843996</v>
      </c>
      <c r="BM12" s="2634">
        <v>0.57704780751218765</v>
      </c>
      <c r="BN12" s="2634" t="s">
        <v>153</v>
      </c>
      <c r="BO12" s="2634">
        <v>0.61317670263506263</v>
      </c>
      <c r="BP12" s="2634" t="s">
        <v>153</v>
      </c>
      <c r="BQ12" s="2634">
        <v>0.61317670263506263</v>
      </c>
      <c r="BR12" s="2634" t="s">
        <v>153</v>
      </c>
      <c r="BS12" s="2634">
        <v>0.61317670263506263</v>
      </c>
      <c r="BT12" s="2634">
        <v>0.38682329736493737</v>
      </c>
      <c r="BU12" s="2634" t="s">
        <v>153</v>
      </c>
      <c r="BV12" s="2634">
        <v>0</v>
      </c>
    </row>
    <row r="13" spans="1:74" ht="13.2" x14ac:dyDescent="0.25">
      <c r="A13" s="8" t="s">
        <v>17</v>
      </c>
      <c r="B13" s="92">
        <v>432.95800000000003</v>
      </c>
      <c r="C13" s="141">
        <v>0.43996955972187701</v>
      </c>
      <c r="D13" s="142">
        <v>432.95800000000003</v>
      </c>
      <c r="E13" s="143">
        <v>0.43996955972187701</v>
      </c>
      <c r="F13" s="144">
        <v>5.4000000000000003E-3</v>
      </c>
      <c r="G13" s="126">
        <v>407.49753088799997</v>
      </c>
      <c r="H13" s="145">
        <v>1.2800000000000001E-2</v>
      </c>
      <c r="I13" s="126">
        <v>143.60800358400002</v>
      </c>
      <c r="J13" s="126"/>
      <c r="K13" s="127">
        <v>551.10553447200004</v>
      </c>
      <c r="L13" s="99">
        <v>984.06353447200013</v>
      </c>
      <c r="M13" s="128">
        <v>0</v>
      </c>
      <c r="N13" s="129">
        <v>411.31010000000003</v>
      </c>
      <c r="O13" s="130">
        <v>0</v>
      </c>
      <c r="P13" s="130">
        <v>0</v>
      </c>
      <c r="Q13" s="130">
        <v>21.647900000000003</v>
      </c>
      <c r="R13" s="131">
        <v>0</v>
      </c>
      <c r="S13" s="318"/>
      <c r="T13" s="2109">
        <v>499.74167411183225</v>
      </c>
      <c r="U13" s="2109">
        <v>551.10553447200004</v>
      </c>
      <c r="V13" s="2109"/>
      <c r="W13" s="2109"/>
      <c r="X13" s="2109"/>
      <c r="Y13" s="2109">
        <v>499.74167411183225</v>
      </c>
      <c r="Z13" s="324"/>
      <c r="AA13" s="133"/>
      <c r="AB13" s="134">
        <v>0</v>
      </c>
      <c r="AC13" s="135">
        <v>521.3895741118323</v>
      </c>
      <c r="AD13" s="135">
        <v>51.363860360167791</v>
      </c>
      <c r="AE13" s="136">
        <v>0</v>
      </c>
      <c r="AF13" s="109">
        <v>0</v>
      </c>
      <c r="AG13" s="110">
        <v>411.31010000000003</v>
      </c>
      <c r="AH13" s="111">
        <v>0</v>
      </c>
      <c r="AI13" s="112">
        <v>411.31010000000003</v>
      </c>
      <c r="AJ13" s="113">
        <v>0</v>
      </c>
      <c r="AK13" s="114">
        <v>411.31010000000003</v>
      </c>
      <c r="AL13" s="115">
        <v>572.75343447200009</v>
      </c>
      <c r="AM13" s="116">
        <v>0</v>
      </c>
      <c r="AN13" s="146" t="s">
        <v>153</v>
      </c>
      <c r="AO13" s="147">
        <v>0.41797108173578318</v>
      </c>
      <c r="AP13" s="148" t="s">
        <v>153</v>
      </c>
      <c r="AQ13" s="149">
        <v>0.41797108173578318</v>
      </c>
      <c r="AR13" s="150" t="s">
        <v>153</v>
      </c>
      <c r="AS13" s="151">
        <v>0.41797108173578318</v>
      </c>
      <c r="AT13" s="152">
        <v>0.58202891826421688</v>
      </c>
      <c r="AU13" s="153" t="s">
        <v>153</v>
      </c>
      <c r="AV13" s="61">
        <v>0</v>
      </c>
      <c r="AX13" s="2629" t="s">
        <v>17</v>
      </c>
      <c r="AY13" s="2630">
        <v>984.06353447200013</v>
      </c>
      <c r="AZ13" s="2631">
        <v>0.43996955972187701</v>
      </c>
      <c r="BA13" s="2630">
        <v>0</v>
      </c>
      <c r="BB13" s="2630">
        <v>411.31010000000003</v>
      </c>
      <c r="BC13" s="2630">
        <v>0</v>
      </c>
      <c r="BD13" s="2630">
        <v>411.31010000000003</v>
      </c>
      <c r="BE13" s="2630">
        <v>0</v>
      </c>
      <c r="BF13" s="2630">
        <v>411.31010000000003</v>
      </c>
      <c r="BG13" s="2630">
        <v>572.75343447200009</v>
      </c>
      <c r="BH13" s="2630">
        <v>0</v>
      </c>
      <c r="BI13" s="2630" t="s">
        <v>153</v>
      </c>
      <c r="BK13" s="2629" t="s">
        <v>17</v>
      </c>
      <c r="BL13" s="2630">
        <v>984.06353447200013</v>
      </c>
      <c r="BM13" s="2634">
        <v>0.43996955972187701</v>
      </c>
      <c r="BN13" s="2634" t="s">
        <v>153</v>
      </c>
      <c r="BO13" s="2634">
        <v>0.41797108173578318</v>
      </c>
      <c r="BP13" s="2634" t="s">
        <v>153</v>
      </c>
      <c r="BQ13" s="2634">
        <v>0.41797108173578318</v>
      </c>
      <c r="BR13" s="2634" t="s">
        <v>153</v>
      </c>
      <c r="BS13" s="2634">
        <v>0.41797108173578318</v>
      </c>
      <c r="BT13" s="2634">
        <v>0.58202891826421688</v>
      </c>
      <c r="BU13" s="2634" t="s">
        <v>153</v>
      </c>
      <c r="BV13" s="2634">
        <v>0</v>
      </c>
    </row>
    <row r="14" spans="1:74" x14ac:dyDescent="0.3">
      <c r="A14" s="8" t="s">
        <v>29</v>
      </c>
      <c r="B14" s="92">
        <v>3113.3869999999997</v>
      </c>
      <c r="C14" s="93">
        <v>0.70599505808754848</v>
      </c>
      <c r="D14" s="137">
        <v>3221.3869999999997</v>
      </c>
      <c r="E14" s="94">
        <v>0.73048525679187126</v>
      </c>
      <c r="F14" s="138">
        <v>1.6199999999999999E-2</v>
      </c>
      <c r="G14" s="126">
        <v>1222.4925926639996</v>
      </c>
      <c r="H14" s="139">
        <v>6.6E-3</v>
      </c>
      <c r="I14" s="126">
        <v>74.047876848000001</v>
      </c>
      <c r="J14" s="126"/>
      <c r="K14" s="127">
        <v>1296.5404695119996</v>
      </c>
      <c r="L14" s="99">
        <v>4409.9274695119993</v>
      </c>
      <c r="M14" s="128">
        <v>0</v>
      </c>
      <c r="N14" s="129">
        <v>2552.9773399999995</v>
      </c>
      <c r="O14" s="130">
        <v>0</v>
      </c>
      <c r="P14" s="130">
        <v>404.74030999999997</v>
      </c>
      <c r="Q14" s="130">
        <v>155.66935000000001</v>
      </c>
      <c r="R14" s="131">
        <v>0</v>
      </c>
      <c r="S14" s="318"/>
      <c r="T14" s="2109">
        <v>1175.7009579089743</v>
      </c>
      <c r="U14" s="2109">
        <v>1188.5404695119996</v>
      </c>
      <c r="V14" s="2109">
        <v>108</v>
      </c>
      <c r="W14" s="2109"/>
      <c r="X14" s="2109"/>
      <c r="Y14" s="2109">
        <v>1067.7009579089743</v>
      </c>
      <c r="Z14" s="324"/>
      <c r="AA14" s="133"/>
      <c r="AB14" s="134">
        <v>404.74030999999997</v>
      </c>
      <c r="AC14" s="135">
        <v>1223.3703079089742</v>
      </c>
      <c r="AD14" s="135">
        <v>120.83951160302536</v>
      </c>
      <c r="AE14" s="136">
        <v>0</v>
      </c>
      <c r="AF14" s="109">
        <v>0</v>
      </c>
      <c r="AG14" s="110">
        <v>2660.9773399999995</v>
      </c>
      <c r="AH14" s="111">
        <v>0</v>
      </c>
      <c r="AI14" s="112">
        <v>2660.9773399999995</v>
      </c>
      <c r="AJ14" s="113">
        <v>404.74030999999997</v>
      </c>
      <c r="AK14" s="114">
        <v>3065.7176499999996</v>
      </c>
      <c r="AL14" s="115">
        <v>1344.2098195119995</v>
      </c>
      <c r="AM14" s="116">
        <v>0</v>
      </c>
      <c r="AN14" s="117" t="s">
        <v>153</v>
      </c>
      <c r="AO14" s="118">
        <v>0.60340614633611245</v>
      </c>
      <c r="AP14" s="119" t="s">
        <v>153</v>
      </c>
      <c r="AQ14" s="120">
        <v>0.60340614633611245</v>
      </c>
      <c r="AR14" s="121">
        <v>9.1779357551381308E-2</v>
      </c>
      <c r="AS14" s="122">
        <v>0.69518550388749378</v>
      </c>
      <c r="AT14" s="123">
        <v>0.30481449611250616</v>
      </c>
      <c r="AU14" s="124" t="s">
        <v>153</v>
      </c>
      <c r="AV14" s="61">
        <v>0</v>
      </c>
      <c r="AX14" s="2629" t="s">
        <v>29</v>
      </c>
      <c r="AY14" s="2630">
        <v>4409.9274695119993</v>
      </c>
      <c r="AZ14" s="2631">
        <v>0.70599505808754848</v>
      </c>
      <c r="BA14" s="2630">
        <v>0</v>
      </c>
      <c r="BB14" s="2630">
        <v>2660.9773399999995</v>
      </c>
      <c r="BC14" s="2630">
        <v>0</v>
      </c>
      <c r="BD14" s="2630">
        <v>2660.9773399999995</v>
      </c>
      <c r="BE14" s="2630">
        <v>404.74030999999997</v>
      </c>
      <c r="BF14" s="2630">
        <v>3065.7176499999996</v>
      </c>
      <c r="BG14" s="2630">
        <v>1344.2098195119995</v>
      </c>
      <c r="BH14" s="2630">
        <v>0</v>
      </c>
      <c r="BI14" s="2630" t="s">
        <v>153</v>
      </c>
      <c r="BK14" s="2629" t="s">
        <v>29</v>
      </c>
      <c r="BL14" s="2630">
        <v>4409.9274695119993</v>
      </c>
      <c r="BM14" s="2634">
        <v>0.70599505808754848</v>
      </c>
      <c r="BN14" s="2634" t="s">
        <v>153</v>
      </c>
      <c r="BO14" s="2634">
        <v>0.60340614633611245</v>
      </c>
      <c r="BP14" s="2634" t="s">
        <v>153</v>
      </c>
      <c r="BQ14" s="2634">
        <v>0.60340614633611245</v>
      </c>
      <c r="BR14" s="2634">
        <v>9.1779357551381308E-2</v>
      </c>
      <c r="BS14" s="2634">
        <v>0.69518550388749378</v>
      </c>
      <c r="BT14" s="2634">
        <v>0.30481449611250616</v>
      </c>
      <c r="BU14" s="2634" t="s">
        <v>153</v>
      </c>
      <c r="BV14" s="2634">
        <v>0</v>
      </c>
    </row>
    <row r="15" spans="1:74" x14ac:dyDescent="0.3">
      <c r="A15" s="518" t="s">
        <v>308</v>
      </c>
      <c r="B15" s="92">
        <v>58.901000000000003</v>
      </c>
      <c r="C15" s="93">
        <v>0.76522630471363162</v>
      </c>
      <c r="D15" s="137">
        <v>58.901000000000003</v>
      </c>
      <c r="E15" s="94">
        <v>0.76522630471363162</v>
      </c>
      <c r="F15" s="138">
        <v>1.8000000000000001E-4</v>
      </c>
      <c r="G15" s="126">
        <v>13.583251029599998</v>
      </c>
      <c r="H15" s="139">
        <v>4.0000000000000002E-4</v>
      </c>
      <c r="I15" s="126">
        <v>4.4877501120000005</v>
      </c>
      <c r="J15" s="126"/>
      <c r="K15" s="127">
        <v>18.0710011416</v>
      </c>
      <c r="L15" s="99">
        <v>76.972001141600003</v>
      </c>
      <c r="M15" s="128">
        <v>0</v>
      </c>
      <c r="N15" s="129">
        <v>29.061753400000001</v>
      </c>
      <c r="O15" s="130">
        <v>0</v>
      </c>
      <c r="P15" s="130">
        <v>0.47120800000000002</v>
      </c>
      <c r="Q15" s="130">
        <v>29.368038600000002</v>
      </c>
      <c r="R15" s="131">
        <v>0</v>
      </c>
      <c r="S15" s="318"/>
      <c r="T15" s="2109">
        <v>16.386756797919336</v>
      </c>
      <c r="U15" s="2109">
        <v>18.0710011416</v>
      </c>
      <c r="V15" s="2109"/>
      <c r="W15" s="2109"/>
      <c r="X15" s="2109"/>
      <c r="Y15" s="2109">
        <v>16.386756797919336</v>
      </c>
      <c r="Z15" s="324"/>
      <c r="AA15" s="133"/>
      <c r="AB15" s="134">
        <v>0.47120800000000002</v>
      </c>
      <c r="AC15" s="135">
        <v>45.754795397919338</v>
      </c>
      <c r="AD15" s="135">
        <v>1.684244343680664</v>
      </c>
      <c r="AE15" s="136">
        <v>0</v>
      </c>
      <c r="AF15" s="109">
        <v>0</v>
      </c>
      <c r="AG15" s="110">
        <v>29.061753400000001</v>
      </c>
      <c r="AH15" s="111">
        <v>0</v>
      </c>
      <c r="AI15" s="112">
        <v>29.061753400000001</v>
      </c>
      <c r="AJ15" s="113">
        <v>0.47120800000000002</v>
      </c>
      <c r="AK15" s="114">
        <v>29.532961400000001</v>
      </c>
      <c r="AL15" s="115">
        <v>47.439039741599998</v>
      </c>
      <c r="AM15" s="116">
        <v>0</v>
      </c>
      <c r="AN15" s="117" t="s">
        <v>153</v>
      </c>
      <c r="AO15" s="118">
        <v>0.37756265874570583</v>
      </c>
      <c r="AP15" s="119" t="s">
        <v>153</v>
      </c>
      <c r="AQ15" s="120">
        <v>0.37756265874570583</v>
      </c>
      <c r="AR15" s="121">
        <v>6.1218104377090523E-3</v>
      </c>
      <c r="AS15" s="122">
        <v>0.38368446918341487</v>
      </c>
      <c r="AT15" s="123">
        <v>0.61631553081658508</v>
      </c>
      <c r="AU15" s="124" t="s">
        <v>153</v>
      </c>
      <c r="AV15" s="61">
        <v>0</v>
      </c>
      <c r="AX15" s="2629" t="s">
        <v>308</v>
      </c>
      <c r="AY15" s="2630">
        <v>76.972001141600003</v>
      </c>
      <c r="AZ15" s="2631">
        <v>0.76522630471363162</v>
      </c>
      <c r="BA15" s="2630">
        <v>0</v>
      </c>
      <c r="BB15" s="2630">
        <v>29.061753400000001</v>
      </c>
      <c r="BC15" s="2630">
        <v>0</v>
      </c>
      <c r="BD15" s="2630">
        <v>29.061753400000001</v>
      </c>
      <c r="BE15" s="2630">
        <v>0.47120800000000002</v>
      </c>
      <c r="BF15" s="2630">
        <v>29.532961400000001</v>
      </c>
      <c r="BG15" s="2630">
        <v>47.439039741599998</v>
      </c>
      <c r="BH15" s="2630">
        <v>0</v>
      </c>
      <c r="BI15" s="2630" t="s">
        <v>153</v>
      </c>
      <c r="BK15" s="2629" t="s">
        <v>308</v>
      </c>
      <c r="BL15" s="2630">
        <v>76.972001141600003</v>
      </c>
      <c r="BM15" s="2634">
        <v>0.76522630471363162</v>
      </c>
      <c r="BN15" s="2634" t="s">
        <v>153</v>
      </c>
      <c r="BO15" s="2634">
        <v>0.37756265874570583</v>
      </c>
      <c r="BP15" s="2634" t="s">
        <v>153</v>
      </c>
      <c r="BQ15" s="2634">
        <v>0.37756265874570583</v>
      </c>
      <c r="BR15" s="2634">
        <v>6.1218104377090523E-3</v>
      </c>
      <c r="BS15" s="2634">
        <v>0.38368446918341487</v>
      </c>
      <c r="BT15" s="2634">
        <v>0.61631553081658508</v>
      </c>
      <c r="BU15" s="2634" t="s">
        <v>153</v>
      </c>
      <c r="BV15" s="2634">
        <v>0</v>
      </c>
    </row>
    <row r="16" spans="1:74" x14ac:dyDescent="0.3">
      <c r="A16" s="2110" t="s">
        <v>60</v>
      </c>
      <c r="B16" s="92">
        <v>0</v>
      </c>
      <c r="C16" s="93">
        <v>0</v>
      </c>
      <c r="D16" s="137">
        <v>0</v>
      </c>
      <c r="E16" s="94">
        <v>0</v>
      </c>
      <c r="F16" s="138">
        <v>0</v>
      </c>
      <c r="G16" s="126">
        <v>0</v>
      </c>
      <c r="H16" s="139">
        <v>0</v>
      </c>
      <c r="I16" s="126">
        <v>0</v>
      </c>
      <c r="J16" s="126"/>
      <c r="K16" s="127">
        <v>0</v>
      </c>
      <c r="L16" s="99">
        <v>0</v>
      </c>
      <c r="M16" s="128">
        <v>0</v>
      </c>
      <c r="N16" s="129">
        <v>0</v>
      </c>
      <c r="O16" s="130">
        <v>0</v>
      </c>
      <c r="P16" s="130">
        <v>0</v>
      </c>
      <c r="Q16" s="130">
        <v>0</v>
      </c>
      <c r="R16" s="131">
        <v>0</v>
      </c>
      <c r="S16" s="318"/>
      <c r="T16" s="2109">
        <v>0</v>
      </c>
      <c r="U16" s="2109">
        <v>0</v>
      </c>
      <c r="V16" s="2109"/>
      <c r="W16" s="2109"/>
      <c r="X16" s="2109"/>
      <c r="Y16" s="2109">
        <v>0</v>
      </c>
      <c r="Z16" s="324"/>
      <c r="AA16" s="133"/>
      <c r="AB16" s="134">
        <v>0</v>
      </c>
      <c r="AC16" s="135">
        <v>0</v>
      </c>
      <c r="AD16" s="135">
        <v>0</v>
      </c>
      <c r="AE16" s="136">
        <v>0</v>
      </c>
      <c r="AF16" s="109">
        <v>0</v>
      </c>
      <c r="AG16" s="110">
        <v>0</v>
      </c>
      <c r="AH16" s="111">
        <v>0</v>
      </c>
      <c r="AI16" s="112">
        <v>0</v>
      </c>
      <c r="AJ16" s="113">
        <v>0</v>
      </c>
      <c r="AK16" s="114">
        <v>0</v>
      </c>
      <c r="AL16" s="115">
        <v>0</v>
      </c>
      <c r="AM16" s="116">
        <v>0</v>
      </c>
      <c r="AN16" s="117" t="s">
        <v>153</v>
      </c>
      <c r="AO16" s="118" t="s">
        <v>153</v>
      </c>
      <c r="AP16" s="119" t="s">
        <v>153</v>
      </c>
      <c r="AQ16" s="120" t="s">
        <v>153</v>
      </c>
      <c r="AR16" s="121" t="s">
        <v>153</v>
      </c>
      <c r="AS16" s="122" t="s">
        <v>153</v>
      </c>
      <c r="AT16" s="123" t="s">
        <v>153</v>
      </c>
      <c r="AU16" s="124" t="s">
        <v>153</v>
      </c>
      <c r="AV16" s="61">
        <v>0</v>
      </c>
      <c r="AX16" s="2629" t="s">
        <v>60</v>
      </c>
      <c r="AY16" s="2630">
        <v>0</v>
      </c>
      <c r="AZ16" s="2631">
        <v>0</v>
      </c>
      <c r="BA16" s="2630">
        <v>0</v>
      </c>
      <c r="BB16" s="2630">
        <v>0</v>
      </c>
      <c r="BC16" s="2630">
        <v>0</v>
      </c>
      <c r="BD16" s="2630">
        <v>0</v>
      </c>
      <c r="BE16" s="2630">
        <v>0</v>
      </c>
      <c r="BF16" s="2630">
        <v>0</v>
      </c>
      <c r="BG16" s="2630">
        <v>0</v>
      </c>
      <c r="BH16" s="2630">
        <v>0</v>
      </c>
      <c r="BI16" s="2630" t="s">
        <v>153</v>
      </c>
      <c r="BK16" s="2629" t="s">
        <v>60</v>
      </c>
      <c r="BL16" s="2630">
        <v>0</v>
      </c>
      <c r="BM16" s="2634">
        <v>0</v>
      </c>
      <c r="BN16" s="2634" t="s">
        <v>153</v>
      </c>
      <c r="BO16" s="2634" t="s">
        <v>153</v>
      </c>
      <c r="BP16" s="2634" t="s">
        <v>153</v>
      </c>
      <c r="BQ16" s="2634" t="s">
        <v>153</v>
      </c>
      <c r="BR16" s="2634" t="s">
        <v>153</v>
      </c>
      <c r="BS16" s="2634" t="s">
        <v>153</v>
      </c>
      <c r="BT16" s="2634" t="s">
        <v>153</v>
      </c>
      <c r="BU16" s="2634" t="s">
        <v>153</v>
      </c>
      <c r="BV16" s="2634">
        <v>0</v>
      </c>
    </row>
    <row r="17" spans="1:74" x14ac:dyDescent="0.3">
      <c r="A17" s="8" t="s">
        <v>57</v>
      </c>
      <c r="B17" s="92">
        <v>1070.0789999999997</v>
      </c>
      <c r="C17" s="93">
        <v>0.19126630306460279</v>
      </c>
      <c r="D17" s="137">
        <v>1070.0789999999997</v>
      </c>
      <c r="E17" s="94">
        <v>0.19126630306460279</v>
      </c>
      <c r="F17" s="138">
        <v>5.7000000000000002E-2</v>
      </c>
      <c r="G17" s="126">
        <v>4301.3628260399992</v>
      </c>
      <c r="H17" s="139">
        <v>1.9900000000000001E-2</v>
      </c>
      <c r="I17" s="126">
        <v>223.26556807200001</v>
      </c>
      <c r="J17" s="126"/>
      <c r="K17" s="127">
        <v>4524.6283941119991</v>
      </c>
      <c r="L17" s="99">
        <v>5594.7073941119988</v>
      </c>
      <c r="M17" s="128">
        <v>545.74028999999985</v>
      </c>
      <c r="N17" s="129">
        <v>171.21263999999996</v>
      </c>
      <c r="O17" s="130">
        <v>0</v>
      </c>
      <c r="P17" s="130">
        <v>353.12606999999991</v>
      </c>
      <c r="Q17" s="130">
        <v>0</v>
      </c>
      <c r="R17" s="131">
        <v>0</v>
      </c>
      <c r="S17" s="318"/>
      <c r="T17" s="2109">
        <v>4102.9262581690573</v>
      </c>
      <c r="U17" s="2109">
        <v>4524.6283941119991</v>
      </c>
      <c r="V17" s="2109"/>
      <c r="W17" s="2109"/>
      <c r="X17" s="2109"/>
      <c r="Y17" s="2109">
        <v>4102.9262581690573</v>
      </c>
      <c r="Z17" s="324"/>
      <c r="AA17" s="133"/>
      <c r="AB17" s="134">
        <v>353.12606999999991</v>
      </c>
      <c r="AC17" s="135">
        <v>4102.9262581690573</v>
      </c>
      <c r="AD17" s="135">
        <v>421.70213594294182</v>
      </c>
      <c r="AE17" s="136">
        <v>0</v>
      </c>
      <c r="AF17" s="109">
        <v>545.74028999999985</v>
      </c>
      <c r="AG17" s="110">
        <v>171.21263999999996</v>
      </c>
      <c r="AH17" s="111">
        <v>0</v>
      </c>
      <c r="AI17" s="112">
        <v>716.95292999999981</v>
      </c>
      <c r="AJ17" s="113">
        <v>353.12606999999991</v>
      </c>
      <c r="AK17" s="114">
        <v>1070.0789999999997</v>
      </c>
      <c r="AL17" s="115">
        <v>4524.6283941119991</v>
      </c>
      <c r="AM17" s="116">
        <v>0</v>
      </c>
      <c r="AN17" s="117">
        <v>9.7545814562947419E-2</v>
      </c>
      <c r="AO17" s="118">
        <v>3.0602608490336448E-2</v>
      </c>
      <c r="AP17" s="119" t="s">
        <v>153</v>
      </c>
      <c r="AQ17" s="120">
        <v>0.12814842305328386</v>
      </c>
      <c r="AR17" s="121">
        <v>6.3117880011318919E-2</v>
      </c>
      <c r="AS17" s="122">
        <v>0.19126630306460279</v>
      </c>
      <c r="AT17" s="123">
        <v>0.80873369693539721</v>
      </c>
      <c r="AU17" s="124" t="s">
        <v>153</v>
      </c>
      <c r="AV17" s="61">
        <v>0</v>
      </c>
      <c r="AX17" s="2629" t="s">
        <v>57</v>
      </c>
      <c r="AY17" s="2630">
        <v>5594.7073941119988</v>
      </c>
      <c r="AZ17" s="2631">
        <v>0.19126630306460279</v>
      </c>
      <c r="BA17" s="2630">
        <v>545.74028999999985</v>
      </c>
      <c r="BB17" s="2630">
        <v>171.21263999999996</v>
      </c>
      <c r="BC17" s="2630">
        <v>0</v>
      </c>
      <c r="BD17" s="2630">
        <v>716.95292999999981</v>
      </c>
      <c r="BE17" s="2630">
        <v>353.12606999999991</v>
      </c>
      <c r="BF17" s="2630">
        <v>1070.0789999999997</v>
      </c>
      <c r="BG17" s="2630">
        <v>4524.6283941119991</v>
      </c>
      <c r="BH17" s="2630">
        <v>0</v>
      </c>
      <c r="BI17" s="2630">
        <v>9.7545814562947419E-2</v>
      </c>
      <c r="BK17" s="2629" t="s">
        <v>57</v>
      </c>
      <c r="BL17" s="2630">
        <v>5594.7073941119988</v>
      </c>
      <c r="BM17" s="2634">
        <v>0.19126630306460279</v>
      </c>
      <c r="BN17" s="2634">
        <v>9.7545814562947419E-2</v>
      </c>
      <c r="BO17" s="2634">
        <v>3.0602608490336448E-2</v>
      </c>
      <c r="BP17" s="2634" t="s">
        <v>153</v>
      </c>
      <c r="BQ17" s="2634">
        <v>0.12814842305328386</v>
      </c>
      <c r="BR17" s="2634">
        <v>6.3117880011318919E-2</v>
      </c>
      <c r="BS17" s="2634">
        <v>0.19126630306460279</v>
      </c>
      <c r="BT17" s="2634">
        <v>0.80873369693539721</v>
      </c>
      <c r="BU17" s="2634" t="s">
        <v>153</v>
      </c>
      <c r="BV17" s="2634">
        <v>0</v>
      </c>
    </row>
    <row r="18" spans="1:74" x14ac:dyDescent="0.3">
      <c r="A18" s="8" t="s">
        <v>35</v>
      </c>
      <c r="B18" s="92">
        <v>117.122</v>
      </c>
      <c r="C18" s="93">
        <v>1</v>
      </c>
      <c r="D18" s="137">
        <v>117.122</v>
      </c>
      <c r="E18" s="94">
        <v>1</v>
      </c>
      <c r="F18" s="138">
        <v>0</v>
      </c>
      <c r="G18" s="126">
        <v>0</v>
      </c>
      <c r="H18" s="139">
        <v>0</v>
      </c>
      <c r="I18" s="126">
        <v>0</v>
      </c>
      <c r="J18" s="126"/>
      <c r="K18" s="127">
        <v>0</v>
      </c>
      <c r="L18" s="99">
        <v>117.122</v>
      </c>
      <c r="M18" s="128">
        <v>0</v>
      </c>
      <c r="N18" s="129">
        <v>117.122</v>
      </c>
      <c r="O18" s="130">
        <v>0</v>
      </c>
      <c r="P18" s="130">
        <v>0</v>
      </c>
      <c r="Q18" s="130">
        <v>0</v>
      </c>
      <c r="R18" s="131">
        <v>0</v>
      </c>
      <c r="S18" s="318"/>
      <c r="T18" s="2109">
        <v>0</v>
      </c>
      <c r="U18" s="2109">
        <v>0</v>
      </c>
      <c r="V18" s="2109"/>
      <c r="W18" s="2109"/>
      <c r="X18" s="2109"/>
      <c r="Y18" s="2109">
        <v>0</v>
      </c>
      <c r="Z18" s="324"/>
      <c r="AA18" s="133"/>
      <c r="AB18" s="134">
        <v>0</v>
      </c>
      <c r="AC18" s="135">
        <v>0</v>
      </c>
      <c r="AD18" s="135">
        <v>0</v>
      </c>
      <c r="AE18" s="136">
        <v>0</v>
      </c>
      <c r="AF18" s="109">
        <v>0</v>
      </c>
      <c r="AG18" s="110">
        <v>117.122</v>
      </c>
      <c r="AH18" s="111">
        <v>0</v>
      </c>
      <c r="AI18" s="112">
        <v>117.122</v>
      </c>
      <c r="AJ18" s="113">
        <v>0</v>
      </c>
      <c r="AK18" s="114">
        <v>117.122</v>
      </c>
      <c r="AL18" s="115">
        <v>0</v>
      </c>
      <c r="AM18" s="116">
        <v>0</v>
      </c>
      <c r="AN18" s="117" t="s">
        <v>153</v>
      </c>
      <c r="AO18" s="118">
        <v>1</v>
      </c>
      <c r="AP18" s="119" t="s">
        <v>153</v>
      </c>
      <c r="AQ18" s="120">
        <v>1</v>
      </c>
      <c r="AR18" s="121" t="s">
        <v>153</v>
      </c>
      <c r="AS18" s="122">
        <v>1</v>
      </c>
      <c r="AT18" s="123" t="s">
        <v>153</v>
      </c>
      <c r="AU18" s="124" t="s">
        <v>153</v>
      </c>
      <c r="AV18" s="61">
        <v>0</v>
      </c>
      <c r="AX18" s="2629" t="s">
        <v>35</v>
      </c>
      <c r="AY18" s="2630">
        <v>117.122</v>
      </c>
      <c r="AZ18" s="2631">
        <v>1</v>
      </c>
      <c r="BA18" s="2630">
        <v>0</v>
      </c>
      <c r="BB18" s="2630">
        <v>117.122</v>
      </c>
      <c r="BC18" s="2630">
        <v>0</v>
      </c>
      <c r="BD18" s="2630">
        <v>117.122</v>
      </c>
      <c r="BE18" s="2630">
        <v>0</v>
      </c>
      <c r="BF18" s="2630">
        <v>117.122</v>
      </c>
      <c r="BG18" s="2630">
        <v>0</v>
      </c>
      <c r="BH18" s="2630">
        <v>0</v>
      </c>
      <c r="BI18" s="2630" t="s">
        <v>153</v>
      </c>
      <c r="BK18" s="2629" t="s">
        <v>35</v>
      </c>
      <c r="BL18" s="2630">
        <v>117.122</v>
      </c>
      <c r="BM18" s="2634">
        <v>1</v>
      </c>
      <c r="BN18" s="2634" t="s">
        <v>153</v>
      </c>
      <c r="BO18" s="2634">
        <v>1</v>
      </c>
      <c r="BP18" s="2634" t="s">
        <v>153</v>
      </c>
      <c r="BQ18" s="2634">
        <v>1</v>
      </c>
      <c r="BR18" s="2634" t="s">
        <v>153</v>
      </c>
      <c r="BS18" s="2634">
        <v>1</v>
      </c>
      <c r="BT18" s="2634" t="s">
        <v>153</v>
      </c>
      <c r="BU18" s="2634" t="s">
        <v>153</v>
      </c>
      <c r="BV18" s="2634">
        <v>0</v>
      </c>
    </row>
    <row r="19" spans="1:74" x14ac:dyDescent="0.3">
      <c r="A19" s="8" t="s">
        <v>67</v>
      </c>
      <c r="B19" s="92">
        <v>34.06</v>
      </c>
      <c r="C19" s="93">
        <v>1</v>
      </c>
      <c r="D19" s="137">
        <v>34.06</v>
      </c>
      <c r="E19" s="94">
        <v>1</v>
      </c>
      <c r="F19" s="138">
        <v>0</v>
      </c>
      <c r="G19" s="126">
        <v>0</v>
      </c>
      <c r="H19" s="139">
        <v>0</v>
      </c>
      <c r="I19" s="126">
        <v>0</v>
      </c>
      <c r="J19" s="126"/>
      <c r="K19" s="127">
        <v>0</v>
      </c>
      <c r="L19" s="99">
        <v>34.06</v>
      </c>
      <c r="M19" s="128">
        <v>5.1566840000000003</v>
      </c>
      <c r="N19" s="129">
        <v>16.062696000000003</v>
      </c>
      <c r="O19" s="130">
        <v>0</v>
      </c>
      <c r="P19" s="130">
        <v>12.840620000000001</v>
      </c>
      <c r="Q19" s="130">
        <v>0</v>
      </c>
      <c r="R19" s="131">
        <v>0</v>
      </c>
      <c r="S19" s="318"/>
      <c r="T19" s="2109">
        <v>0</v>
      </c>
      <c r="U19" s="2109">
        <v>0</v>
      </c>
      <c r="V19" s="2109"/>
      <c r="W19" s="2109"/>
      <c r="X19" s="2109"/>
      <c r="Y19" s="2109">
        <v>0</v>
      </c>
      <c r="Z19" s="324"/>
      <c r="AA19" s="133"/>
      <c r="AB19" s="134">
        <v>12.840620000000001</v>
      </c>
      <c r="AC19" s="135">
        <v>0</v>
      </c>
      <c r="AD19" s="135">
        <v>0</v>
      </c>
      <c r="AE19" s="136">
        <v>0</v>
      </c>
      <c r="AF19" s="109">
        <v>5.1566840000000003</v>
      </c>
      <c r="AG19" s="110">
        <v>16.062696000000003</v>
      </c>
      <c r="AH19" s="111">
        <v>0</v>
      </c>
      <c r="AI19" s="112">
        <v>21.219380000000001</v>
      </c>
      <c r="AJ19" s="113">
        <v>12.840620000000001</v>
      </c>
      <c r="AK19" s="114">
        <v>34.06</v>
      </c>
      <c r="AL19" s="115">
        <v>0</v>
      </c>
      <c r="AM19" s="116">
        <v>0</v>
      </c>
      <c r="AN19" s="117">
        <v>0.15140000000000001</v>
      </c>
      <c r="AO19" s="118">
        <v>0.47160000000000002</v>
      </c>
      <c r="AP19" s="119" t="s">
        <v>153</v>
      </c>
      <c r="AQ19" s="120">
        <v>0.623</v>
      </c>
      <c r="AR19" s="121">
        <v>0.377</v>
      </c>
      <c r="AS19" s="122">
        <v>1</v>
      </c>
      <c r="AT19" s="123" t="s">
        <v>153</v>
      </c>
      <c r="AU19" s="124" t="s">
        <v>153</v>
      </c>
      <c r="AV19" s="61">
        <v>0</v>
      </c>
      <c r="AX19" s="2629" t="s">
        <v>67</v>
      </c>
      <c r="AY19" s="2630">
        <v>34.06</v>
      </c>
      <c r="AZ19" s="2631">
        <v>1</v>
      </c>
      <c r="BA19" s="2630">
        <v>5.1566840000000003</v>
      </c>
      <c r="BB19" s="2630">
        <v>16.062696000000003</v>
      </c>
      <c r="BC19" s="2630">
        <v>0</v>
      </c>
      <c r="BD19" s="2630">
        <v>21.219380000000001</v>
      </c>
      <c r="BE19" s="2630">
        <v>12.840620000000001</v>
      </c>
      <c r="BF19" s="2630">
        <v>34.06</v>
      </c>
      <c r="BG19" s="2630">
        <v>0</v>
      </c>
      <c r="BH19" s="2630">
        <v>0</v>
      </c>
      <c r="BI19" s="2630">
        <v>0.15140000000000001</v>
      </c>
      <c r="BK19" s="2629" t="s">
        <v>67</v>
      </c>
      <c r="BL19" s="2630">
        <v>34.06</v>
      </c>
      <c r="BM19" s="2634">
        <v>1</v>
      </c>
      <c r="BN19" s="2634">
        <v>0.15140000000000001</v>
      </c>
      <c r="BO19" s="2634">
        <v>0.47160000000000002</v>
      </c>
      <c r="BP19" s="2634" t="s">
        <v>153</v>
      </c>
      <c r="BQ19" s="2634">
        <v>0.623</v>
      </c>
      <c r="BR19" s="2634">
        <v>0.377</v>
      </c>
      <c r="BS19" s="2634">
        <v>1</v>
      </c>
      <c r="BT19" s="2634" t="s">
        <v>153</v>
      </c>
      <c r="BU19" s="2634" t="s">
        <v>153</v>
      </c>
      <c r="BV19" s="2634">
        <v>0</v>
      </c>
    </row>
    <row r="20" spans="1:74" x14ac:dyDescent="0.3">
      <c r="A20" s="8" t="s">
        <v>76</v>
      </c>
      <c r="B20" s="92">
        <v>3995.7690000000007</v>
      </c>
      <c r="C20" s="93">
        <v>1</v>
      </c>
      <c r="D20" s="137">
        <v>3995.7690000000007</v>
      </c>
      <c r="E20" s="94">
        <v>1</v>
      </c>
      <c r="F20" s="138">
        <v>0</v>
      </c>
      <c r="G20" s="126">
        <v>0</v>
      </c>
      <c r="H20" s="139">
        <v>0</v>
      </c>
      <c r="I20" s="126">
        <v>0</v>
      </c>
      <c r="J20" s="126"/>
      <c r="K20" s="127">
        <v>0</v>
      </c>
      <c r="L20" s="99">
        <v>3995.7690000000007</v>
      </c>
      <c r="M20" s="128">
        <v>0</v>
      </c>
      <c r="N20" s="129">
        <v>1438.4768400000003</v>
      </c>
      <c r="O20" s="130">
        <v>0</v>
      </c>
      <c r="P20" s="130">
        <v>1398.5191500000001</v>
      </c>
      <c r="Q20" s="130">
        <v>1158.7730100000001</v>
      </c>
      <c r="R20" s="131">
        <v>0</v>
      </c>
      <c r="S20" s="318"/>
      <c r="T20" s="2109">
        <v>0</v>
      </c>
      <c r="U20" s="2109">
        <v>0</v>
      </c>
      <c r="V20" s="2109"/>
      <c r="W20" s="2109"/>
      <c r="X20" s="2109"/>
      <c r="Y20" s="2109">
        <v>0</v>
      </c>
      <c r="Z20" s="324"/>
      <c r="AA20" s="133"/>
      <c r="AB20" s="134">
        <v>1398.5191500000001</v>
      </c>
      <c r="AC20" s="135">
        <v>1158.7730100000001</v>
      </c>
      <c r="AD20" s="135">
        <v>0</v>
      </c>
      <c r="AE20" s="136">
        <v>0</v>
      </c>
      <c r="AF20" s="109">
        <v>0</v>
      </c>
      <c r="AG20" s="110">
        <v>1438.4768400000003</v>
      </c>
      <c r="AH20" s="111">
        <v>0</v>
      </c>
      <c r="AI20" s="112">
        <v>1438.4768400000003</v>
      </c>
      <c r="AJ20" s="113">
        <v>1398.5191500000001</v>
      </c>
      <c r="AK20" s="114">
        <v>2836.9959900000003</v>
      </c>
      <c r="AL20" s="115">
        <v>1158.7730100000001</v>
      </c>
      <c r="AM20" s="116">
        <v>0</v>
      </c>
      <c r="AN20" s="117" t="s">
        <v>153</v>
      </c>
      <c r="AO20" s="118">
        <v>0.36</v>
      </c>
      <c r="AP20" s="119" t="s">
        <v>153</v>
      </c>
      <c r="AQ20" s="120">
        <v>0.36</v>
      </c>
      <c r="AR20" s="121">
        <v>0.35</v>
      </c>
      <c r="AS20" s="122">
        <v>0.71</v>
      </c>
      <c r="AT20" s="123">
        <v>0.28999999999999998</v>
      </c>
      <c r="AU20" s="124" t="s">
        <v>153</v>
      </c>
      <c r="AV20" s="61">
        <v>0</v>
      </c>
      <c r="AX20" s="2629" t="s">
        <v>76</v>
      </c>
      <c r="AY20" s="2630">
        <v>3995.7690000000007</v>
      </c>
      <c r="AZ20" s="2631">
        <v>1</v>
      </c>
      <c r="BA20" s="2630">
        <v>0</v>
      </c>
      <c r="BB20" s="2630">
        <v>1438.4768400000003</v>
      </c>
      <c r="BC20" s="2630">
        <v>0</v>
      </c>
      <c r="BD20" s="2630">
        <v>1438.4768400000003</v>
      </c>
      <c r="BE20" s="2630">
        <v>1398.5191500000001</v>
      </c>
      <c r="BF20" s="2630">
        <v>2836.9959900000003</v>
      </c>
      <c r="BG20" s="2630">
        <v>1158.7730100000001</v>
      </c>
      <c r="BH20" s="2630">
        <v>0</v>
      </c>
      <c r="BI20" s="2630" t="s">
        <v>153</v>
      </c>
      <c r="BK20" s="2629" t="s">
        <v>76</v>
      </c>
      <c r="BL20" s="2630">
        <v>3995.7690000000007</v>
      </c>
      <c r="BM20" s="2634">
        <v>1</v>
      </c>
      <c r="BN20" s="2634" t="s">
        <v>153</v>
      </c>
      <c r="BO20" s="2634">
        <v>0.36</v>
      </c>
      <c r="BP20" s="2634" t="s">
        <v>153</v>
      </c>
      <c r="BQ20" s="2634">
        <v>0.36</v>
      </c>
      <c r="BR20" s="2634">
        <v>0.35</v>
      </c>
      <c r="BS20" s="2634">
        <v>0.71</v>
      </c>
      <c r="BT20" s="2634">
        <v>0.28999999999999998</v>
      </c>
      <c r="BU20" s="2634" t="s">
        <v>153</v>
      </c>
      <c r="BV20" s="2634">
        <v>0</v>
      </c>
    </row>
    <row r="21" spans="1:74" x14ac:dyDescent="0.3">
      <c r="A21" s="8" t="s">
        <v>62</v>
      </c>
      <c r="B21" s="92">
        <v>195.83699999999999</v>
      </c>
      <c r="C21" s="93">
        <v>1</v>
      </c>
      <c r="D21" s="137">
        <v>195.83699999999999</v>
      </c>
      <c r="E21" s="94">
        <v>1</v>
      </c>
      <c r="F21" s="138">
        <v>0</v>
      </c>
      <c r="G21" s="126">
        <v>0</v>
      </c>
      <c r="H21" s="139">
        <v>0</v>
      </c>
      <c r="I21" s="126">
        <v>0</v>
      </c>
      <c r="J21" s="126"/>
      <c r="K21" s="127">
        <v>0</v>
      </c>
      <c r="L21" s="99">
        <v>195.83699999999999</v>
      </c>
      <c r="M21" s="128">
        <v>0</v>
      </c>
      <c r="N21" s="129">
        <v>5.0917619999999992</v>
      </c>
      <c r="O21" s="130">
        <v>0</v>
      </c>
      <c r="P21" s="130">
        <v>164.11140599999999</v>
      </c>
      <c r="Q21" s="130">
        <v>0</v>
      </c>
      <c r="R21" s="131">
        <v>26.633832000000002</v>
      </c>
      <c r="S21" s="318"/>
      <c r="T21" s="2109">
        <v>0</v>
      </c>
      <c r="U21" s="2109">
        <v>0</v>
      </c>
      <c r="V21" s="2109"/>
      <c r="W21" s="2109"/>
      <c r="X21" s="2109"/>
      <c r="Y21" s="2109">
        <v>0</v>
      </c>
      <c r="Z21" s="324"/>
      <c r="AA21" s="133"/>
      <c r="AB21" s="134">
        <v>164.11140599999999</v>
      </c>
      <c r="AC21" s="135">
        <v>0</v>
      </c>
      <c r="AD21" s="135">
        <v>0</v>
      </c>
      <c r="AE21" s="136">
        <v>26.633832000000002</v>
      </c>
      <c r="AF21" s="109">
        <v>0</v>
      </c>
      <c r="AG21" s="110">
        <v>5.0917619999999992</v>
      </c>
      <c r="AH21" s="111">
        <v>0</v>
      </c>
      <c r="AI21" s="112">
        <v>5.0917619999999992</v>
      </c>
      <c r="AJ21" s="113">
        <v>164.11140599999999</v>
      </c>
      <c r="AK21" s="114">
        <v>169.20316799999998</v>
      </c>
      <c r="AL21" s="115">
        <v>0</v>
      </c>
      <c r="AM21" s="116">
        <v>26.633832000000002</v>
      </c>
      <c r="AN21" s="117" t="s">
        <v>153</v>
      </c>
      <c r="AO21" s="118">
        <v>2.5999999999999999E-2</v>
      </c>
      <c r="AP21" s="119" t="s">
        <v>153</v>
      </c>
      <c r="AQ21" s="120">
        <v>2.5999999999999999E-2</v>
      </c>
      <c r="AR21" s="121">
        <v>0.83799999999999997</v>
      </c>
      <c r="AS21" s="122">
        <v>0.86399999999999988</v>
      </c>
      <c r="AT21" s="123" t="s">
        <v>153</v>
      </c>
      <c r="AU21" s="124">
        <v>0.13600000000000001</v>
      </c>
      <c r="AV21" s="61">
        <v>0</v>
      </c>
      <c r="AX21" s="2629" t="s">
        <v>62</v>
      </c>
      <c r="AY21" s="2630">
        <v>195.83699999999999</v>
      </c>
      <c r="AZ21" s="2631">
        <v>1</v>
      </c>
      <c r="BA21" s="2630">
        <v>0</v>
      </c>
      <c r="BB21" s="2630">
        <v>5.0917619999999992</v>
      </c>
      <c r="BC21" s="2630">
        <v>0</v>
      </c>
      <c r="BD21" s="2630">
        <v>5.0917619999999992</v>
      </c>
      <c r="BE21" s="2630">
        <v>164.11140599999999</v>
      </c>
      <c r="BF21" s="2630">
        <v>169.20316799999998</v>
      </c>
      <c r="BG21" s="2630">
        <v>0</v>
      </c>
      <c r="BH21" s="2630">
        <v>26.633832000000002</v>
      </c>
      <c r="BI21" s="2630" t="s">
        <v>153</v>
      </c>
      <c r="BK21" s="2629" t="s">
        <v>62</v>
      </c>
      <c r="BL21" s="2630">
        <v>195.83699999999999</v>
      </c>
      <c r="BM21" s="2634">
        <v>1</v>
      </c>
      <c r="BN21" s="2634" t="s">
        <v>153</v>
      </c>
      <c r="BO21" s="2634">
        <v>2.5999999999999999E-2</v>
      </c>
      <c r="BP21" s="2634" t="s">
        <v>153</v>
      </c>
      <c r="BQ21" s="2634">
        <v>2.5999999999999999E-2</v>
      </c>
      <c r="BR21" s="2634">
        <v>0.83799999999999997</v>
      </c>
      <c r="BS21" s="2634">
        <v>0.86399999999999988</v>
      </c>
      <c r="BT21" s="2634" t="s">
        <v>153</v>
      </c>
      <c r="BU21" s="2634">
        <v>0.13600000000000001</v>
      </c>
      <c r="BV21" s="2634">
        <v>0</v>
      </c>
    </row>
    <row r="22" spans="1:74" ht="13.2" x14ac:dyDescent="0.25">
      <c r="A22" s="8" t="s">
        <v>16</v>
      </c>
      <c r="B22" s="92">
        <v>113.455</v>
      </c>
      <c r="C22" s="141">
        <v>6.0061829339154861E-2</v>
      </c>
      <c r="D22" s="142">
        <v>113.455</v>
      </c>
      <c r="E22" s="143">
        <v>6.0061829339154861E-2</v>
      </c>
      <c r="F22" s="144">
        <v>1.55E-2</v>
      </c>
      <c r="G22" s="126">
        <v>1169.6688386599999</v>
      </c>
      <c r="H22" s="145">
        <v>5.3999999999999999E-2</v>
      </c>
      <c r="I22" s="126">
        <v>605.84626512</v>
      </c>
      <c r="J22" s="126"/>
      <c r="K22" s="127">
        <v>1775.5151037799999</v>
      </c>
      <c r="L22" s="99">
        <v>1888.9701037799998</v>
      </c>
      <c r="M22" s="128">
        <v>0</v>
      </c>
      <c r="N22" s="129">
        <v>107.78224999999999</v>
      </c>
      <c r="O22" s="130">
        <v>0</v>
      </c>
      <c r="P22" s="130">
        <v>0</v>
      </c>
      <c r="Q22" s="130">
        <v>5.6727500000000006</v>
      </c>
      <c r="R22" s="131">
        <v>0</v>
      </c>
      <c r="S22" s="318"/>
      <c r="T22" s="2109">
        <v>1610.0344396358837</v>
      </c>
      <c r="U22" s="2109">
        <v>1775.5151037799999</v>
      </c>
      <c r="V22" s="2109"/>
      <c r="W22" s="2109"/>
      <c r="X22" s="2109"/>
      <c r="Y22" s="2109">
        <v>1610.0344396358837</v>
      </c>
      <c r="Z22" s="324"/>
      <c r="AA22" s="133"/>
      <c r="AB22" s="134">
        <v>0</v>
      </c>
      <c r="AC22" s="135">
        <v>1615.7071896358837</v>
      </c>
      <c r="AD22" s="135">
        <v>165.48066414411619</v>
      </c>
      <c r="AE22" s="136">
        <v>0</v>
      </c>
      <c r="AF22" s="109">
        <v>0</v>
      </c>
      <c r="AG22" s="110">
        <v>107.78224999999999</v>
      </c>
      <c r="AH22" s="111">
        <v>0</v>
      </c>
      <c r="AI22" s="112">
        <v>107.78224999999999</v>
      </c>
      <c r="AJ22" s="113">
        <v>0</v>
      </c>
      <c r="AK22" s="114">
        <v>107.78224999999999</v>
      </c>
      <c r="AL22" s="115">
        <v>1781.1878537799998</v>
      </c>
      <c r="AM22" s="116">
        <v>0</v>
      </c>
      <c r="AN22" s="146" t="s">
        <v>153</v>
      </c>
      <c r="AO22" s="147">
        <v>5.7058737872197118E-2</v>
      </c>
      <c r="AP22" s="148" t="s">
        <v>153</v>
      </c>
      <c r="AQ22" s="149">
        <v>5.7058737872197118E-2</v>
      </c>
      <c r="AR22" s="150" t="s">
        <v>153</v>
      </c>
      <c r="AS22" s="151">
        <v>5.7058737872197118E-2</v>
      </c>
      <c r="AT22" s="152">
        <v>0.94294126212780294</v>
      </c>
      <c r="AU22" s="153" t="s">
        <v>153</v>
      </c>
      <c r="AV22" s="61">
        <v>0</v>
      </c>
      <c r="AX22" s="2629" t="s">
        <v>16</v>
      </c>
      <c r="AY22" s="2630">
        <v>1888.9701037799998</v>
      </c>
      <c r="AZ22" s="2631">
        <v>6.0061829339154861E-2</v>
      </c>
      <c r="BA22" s="2630">
        <v>0</v>
      </c>
      <c r="BB22" s="2630">
        <v>107.78224999999999</v>
      </c>
      <c r="BC22" s="2630">
        <v>0</v>
      </c>
      <c r="BD22" s="2630">
        <v>107.78224999999999</v>
      </c>
      <c r="BE22" s="2630">
        <v>0</v>
      </c>
      <c r="BF22" s="2630">
        <v>107.78224999999999</v>
      </c>
      <c r="BG22" s="2630">
        <v>1781.1878537799998</v>
      </c>
      <c r="BH22" s="2630">
        <v>0</v>
      </c>
      <c r="BI22" s="2630" t="s">
        <v>153</v>
      </c>
      <c r="BK22" s="2629" t="s">
        <v>16</v>
      </c>
      <c r="BL22" s="2630">
        <v>1888.9701037799998</v>
      </c>
      <c r="BM22" s="2634">
        <v>6.0061829339154861E-2</v>
      </c>
      <c r="BN22" s="2634" t="s">
        <v>153</v>
      </c>
      <c r="BO22" s="2634">
        <v>5.7058737872197118E-2</v>
      </c>
      <c r="BP22" s="2634" t="s">
        <v>153</v>
      </c>
      <c r="BQ22" s="2634">
        <v>5.7058737872197118E-2</v>
      </c>
      <c r="BR22" s="2634" t="s">
        <v>153</v>
      </c>
      <c r="BS22" s="2634">
        <v>5.7058737872197118E-2</v>
      </c>
      <c r="BT22" s="2634">
        <v>0.94294126212780294</v>
      </c>
      <c r="BU22" s="2634" t="s">
        <v>153</v>
      </c>
      <c r="BV22" s="2634">
        <v>0</v>
      </c>
    </row>
    <row r="23" spans="1:74" x14ac:dyDescent="0.3">
      <c r="A23" s="8" t="s">
        <v>95</v>
      </c>
      <c r="B23" s="92">
        <v>0</v>
      </c>
      <c r="C23" s="93"/>
      <c r="D23" s="137">
        <v>0</v>
      </c>
      <c r="E23" s="94"/>
      <c r="F23" s="138">
        <v>0</v>
      </c>
      <c r="G23" s="126">
        <v>0</v>
      </c>
      <c r="H23" s="139">
        <v>0</v>
      </c>
      <c r="I23" s="126">
        <v>0</v>
      </c>
      <c r="J23" s="126"/>
      <c r="K23" s="127">
        <v>0</v>
      </c>
      <c r="L23" s="99">
        <v>0</v>
      </c>
      <c r="M23" s="128">
        <v>0</v>
      </c>
      <c r="N23" s="129">
        <v>0</v>
      </c>
      <c r="O23" s="130">
        <v>0</v>
      </c>
      <c r="P23" s="130">
        <v>0</v>
      </c>
      <c r="Q23" s="130">
        <v>0</v>
      </c>
      <c r="R23" s="131">
        <v>0</v>
      </c>
      <c r="S23" s="318"/>
      <c r="T23" s="2109">
        <v>0</v>
      </c>
      <c r="U23" s="2109">
        <v>0</v>
      </c>
      <c r="V23" s="2109"/>
      <c r="W23" s="2109"/>
      <c r="X23" s="2109"/>
      <c r="Y23" s="2109">
        <v>0</v>
      </c>
      <c r="Z23" s="324"/>
      <c r="AA23" s="133"/>
      <c r="AB23" s="134">
        <v>0</v>
      </c>
      <c r="AC23" s="135">
        <v>0</v>
      </c>
      <c r="AD23" s="135">
        <v>0</v>
      </c>
      <c r="AE23" s="136">
        <v>0</v>
      </c>
      <c r="AF23" s="109">
        <v>0</v>
      </c>
      <c r="AG23" s="110">
        <v>0</v>
      </c>
      <c r="AH23" s="111">
        <v>0</v>
      </c>
      <c r="AI23" s="112">
        <v>0</v>
      </c>
      <c r="AJ23" s="113">
        <v>0</v>
      </c>
      <c r="AK23" s="114">
        <v>0</v>
      </c>
      <c r="AL23" s="115">
        <v>0</v>
      </c>
      <c r="AM23" s="116">
        <v>0</v>
      </c>
      <c r="AN23" s="117" t="s">
        <v>153</v>
      </c>
      <c r="AO23" s="118" t="s">
        <v>153</v>
      </c>
      <c r="AP23" s="119" t="s">
        <v>153</v>
      </c>
      <c r="AQ23" s="120" t="s">
        <v>153</v>
      </c>
      <c r="AR23" s="121" t="s">
        <v>153</v>
      </c>
      <c r="AS23" s="122" t="s">
        <v>153</v>
      </c>
      <c r="AT23" s="123" t="s">
        <v>153</v>
      </c>
      <c r="AU23" s="124" t="s">
        <v>153</v>
      </c>
      <c r="AV23" s="61">
        <v>0</v>
      </c>
      <c r="AX23" s="2629" t="s">
        <v>95</v>
      </c>
      <c r="AY23" s="2630">
        <v>0</v>
      </c>
      <c r="AZ23" s="2631">
        <v>0</v>
      </c>
      <c r="BA23" s="2630">
        <v>0</v>
      </c>
      <c r="BB23" s="2630">
        <v>0</v>
      </c>
      <c r="BC23" s="2630">
        <v>0</v>
      </c>
      <c r="BD23" s="2630">
        <v>0</v>
      </c>
      <c r="BE23" s="2630">
        <v>0</v>
      </c>
      <c r="BF23" s="2630">
        <v>0</v>
      </c>
      <c r="BG23" s="2630">
        <v>0</v>
      </c>
      <c r="BH23" s="2630">
        <v>0</v>
      </c>
      <c r="BI23" s="2630" t="s">
        <v>153</v>
      </c>
      <c r="BK23" s="2629" t="s">
        <v>95</v>
      </c>
      <c r="BL23" s="2630">
        <v>0</v>
      </c>
      <c r="BM23" s="2634">
        <v>0</v>
      </c>
      <c r="BN23" s="2634" t="s">
        <v>153</v>
      </c>
      <c r="BO23" s="2634" t="s">
        <v>153</v>
      </c>
      <c r="BP23" s="2634" t="s">
        <v>153</v>
      </c>
      <c r="BQ23" s="2634" t="s">
        <v>153</v>
      </c>
      <c r="BR23" s="2634" t="s">
        <v>153</v>
      </c>
      <c r="BS23" s="2634" t="s">
        <v>153</v>
      </c>
      <c r="BT23" s="2634" t="s">
        <v>153</v>
      </c>
      <c r="BU23" s="2634" t="s">
        <v>153</v>
      </c>
      <c r="BV23" s="2634">
        <v>0</v>
      </c>
    </row>
    <row r="24" spans="1:74" x14ac:dyDescent="0.3">
      <c r="A24" s="8" t="s">
        <v>74</v>
      </c>
      <c r="B24" s="92">
        <v>1.3680000000000001</v>
      </c>
      <c r="C24" s="93">
        <v>1</v>
      </c>
      <c r="D24" s="137">
        <v>1.3680000000000001</v>
      </c>
      <c r="E24" s="94">
        <v>1</v>
      </c>
      <c r="F24" s="138">
        <v>0</v>
      </c>
      <c r="G24" s="126">
        <v>0</v>
      </c>
      <c r="H24" s="139">
        <v>0</v>
      </c>
      <c r="I24" s="126">
        <v>0</v>
      </c>
      <c r="J24" s="126"/>
      <c r="K24" s="127">
        <v>0</v>
      </c>
      <c r="L24" s="99">
        <v>1.3680000000000001</v>
      </c>
      <c r="M24" s="128">
        <v>0</v>
      </c>
      <c r="N24" s="129">
        <v>0.22555888650963599</v>
      </c>
      <c r="O24" s="130">
        <v>0</v>
      </c>
      <c r="P24" s="130">
        <v>1.1424411134903643</v>
      </c>
      <c r="Q24" s="130">
        <v>0</v>
      </c>
      <c r="R24" s="131">
        <v>0</v>
      </c>
      <c r="S24" s="318"/>
      <c r="T24" s="2109">
        <v>0</v>
      </c>
      <c r="U24" s="2109">
        <v>0</v>
      </c>
      <c r="V24" s="2109"/>
      <c r="W24" s="2109"/>
      <c r="X24" s="2109"/>
      <c r="Y24" s="2109">
        <v>0</v>
      </c>
      <c r="Z24" s="324"/>
      <c r="AA24" s="133"/>
      <c r="AB24" s="134">
        <v>1.1424411134903643</v>
      </c>
      <c r="AC24" s="135">
        <v>0</v>
      </c>
      <c r="AD24" s="135">
        <v>0</v>
      </c>
      <c r="AE24" s="136">
        <v>0</v>
      </c>
      <c r="AF24" s="109">
        <v>0</v>
      </c>
      <c r="AG24" s="110">
        <v>0.22555888650963599</v>
      </c>
      <c r="AH24" s="111">
        <v>0</v>
      </c>
      <c r="AI24" s="112">
        <v>0.22555888650963599</v>
      </c>
      <c r="AJ24" s="113">
        <v>1.1424411134903643</v>
      </c>
      <c r="AK24" s="114">
        <v>1.3680000000000003</v>
      </c>
      <c r="AL24" s="115">
        <v>0</v>
      </c>
      <c r="AM24" s="116">
        <v>0</v>
      </c>
      <c r="AN24" s="117" t="s">
        <v>153</v>
      </c>
      <c r="AO24" s="118">
        <v>0.16488222698072805</v>
      </c>
      <c r="AP24" s="119" t="s">
        <v>153</v>
      </c>
      <c r="AQ24" s="120">
        <v>0.16488222698072805</v>
      </c>
      <c r="AR24" s="121">
        <v>0.83511777301927204</v>
      </c>
      <c r="AS24" s="122">
        <v>1.0000000000000002</v>
      </c>
      <c r="AT24" s="123" t="s">
        <v>153</v>
      </c>
      <c r="AU24" s="124" t="s">
        <v>153</v>
      </c>
      <c r="AV24" s="61">
        <v>0</v>
      </c>
      <c r="AX24" s="2629" t="s">
        <v>74</v>
      </c>
      <c r="AY24" s="2630">
        <v>1.3680000000000001</v>
      </c>
      <c r="AZ24" s="2631">
        <v>1</v>
      </c>
      <c r="BA24" s="2630">
        <v>0</v>
      </c>
      <c r="BB24" s="2630">
        <v>0.22555888650963599</v>
      </c>
      <c r="BC24" s="2630">
        <v>0</v>
      </c>
      <c r="BD24" s="2630">
        <v>0.22555888650963599</v>
      </c>
      <c r="BE24" s="2630">
        <v>1.1424411134903643</v>
      </c>
      <c r="BF24" s="2630">
        <v>1.3680000000000003</v>
      </c>
      <c r="BG24" s="2630">
        <v>0</v>
      </c>
      <c r="BH24" s="2630">
        <v>0</v>
      </c>
      <c r="BI24" s="2630" t="s">
        <v>153</v>
      </c>
      <c r="BK24" s="2629" t="s">
        <v>74</v>
      </c>
      <c r="BL24" s="2630">
        <v>1.3680000000000001</v>
      </c>
      <c r="BM24" s="2634">
        <v>1</v>
      </c>
      <c r="BN24" s="2634" t="s">
        <v>153</v>
      </c>
      <c r="BO24" s="2634">
        <v>0.16488222698072805</v>
      </c>
      <c r="BP24" s="2634" t="s">
        <v>153</v>
      </c>
      <c r="BQ24" s="2634">
        <v>0.16488222698072805</v>
      </c>
      <c r="BR24" s="2634">
        <v>0.83511777301927204</v>
      </c>
      <c r="BS24" s="2634">
        <v>1.0000000000000002</v>
      </c>
      <c r="BT24" s="2634" t="s">
        <v>153</v>
      </c>
      <c r="BU24" s="2634" t="s">
        <v>153</v>
      </c>
      <c r="BV24" s="2634">
        <v>0</v>
      </c>
    </row>
    <row r="25" spans="1:74" x14ac:dyDescent="0.3">
      <c r="A25" s="8" t="s">
        <v>73</v>
      </c>
      <c r="B25" s="92">
        <v>30.332000000000001</v>
      </c>
      <c r="C25" s="93">
        <v>0.60031418324291086</v>
      </c>
      <c r="D25" s="137">
        <v>30.332000000000001</v>
      </c>
      <c r="E25" s="94">
        <v>0.60031418324291086</v>
      </c>
      <c r="F25" s="3198">
        <v>0</v>
      </c>
      <c r="G25" s="126">
        <v>0</v>
      </c>
      <c r="H25" s="139">
        <v>1.8E-3</v>
      </c>
      <c r="I25" s="126">
        <v>20.194875503999999</v>
      </c>
      <c r="J25" s="126"/>
      <c r="K25" s="127">
        <v>20.194875503999999</v>
      </c>
      <c r="L25" s="99">
        <v>50.526875504000003</v>
      </c>
      <c r="M25" s="128">
        <v>0</v>
      </c>
      <c r="N25" s="129">
        <v>17.480331600000003</v>
      </c>
      <c r="O25" s="130">
        <v>0</v>
      </c>
      <c r="P25" s="130">
        <v>12.812236800000001</v>
      </c>
      <c r="Q25" s="130">
        <v>3.9431599999999997E-2</v>
      </c>
      <c r="R25" s="131">
        <v>0</v>
      </c>
      <c r="S25" s="318"/>
      <c r="T25" s="2109">
        <v>18.312682892067283</v>
      </c>
      <c r="U25" s="2109">
        <v>20.194875503999999</v>
      </c>
      <c r="V25" s="2109"/>
      <c r="W25" s="2109"/>
      <c r="X25" s="2109"/>
      <c r="Y25" s="2109">
        <v>18.312682892067283</v>
      </c>
      <c r="Z25" s="324"/>
      <c r="AA25" s="133"/>
      <c r="AB25" s="134">
        <v>12.812236800000001</v>
      </c>
      <c r="AC25" s="135">
        <v>18.352114492067283</v>
      </c>
      <c r="AD25" s="135">
        <v>1.8821926119327159</v>
      </c>
      <c r="AE25" s="136">
        <v>0</v>
      </c>
      <c r="AF25" s="109">
        <v>0</v>
      </c>
      <c r="AG25" s="110">
        <v>17.480331600000003</v>
      </c>
      <c r="AH25" s="111">
        <v>0</v>
      </c>
      <c r="AI25" s="112">
        <v>17.480331600000003</v>
      </c>
      <c r="AJ25" s="113">
        <v>12.812236800000001</v>
      </c>
      <c r="AK25" s="114">
        <v>30.292568400000004</v>
      </c>
      <c r="AL25" s="115">
        <v>20.234307103999999</v>
      </c>
      <c r="AM25" s="116">
        <v>0</v>
      </c>
      <c r="AN25" s="117" t="s">
        <v>153</v>
      </c>
      <c r="AO25" s="118">
        <v>0.34596106380288955</v>
      </c>
      <c r="AP25" s="119" t="s">
        <v>153</v>
      </c>
      <c r="AQ25" s="120">
        <v>0.34596106380288955</v>
      </c>
      <c r="AR25" s="121">
        <v>0.25357271100180556</v>
      </c>
      <c r="AS25" s="122">
        <v>0.59953377480469516</v>
      </c>
      <c r="AT25" s="123">
        <v>0.40046622519530489</v>
      </c>
      <c r="AU25" s="124" t="s">
        <v>153</v>
      </c>
      <c r="AV25" s="61">
        <v>0</v>
      </c>
      <c r="AX25" s="2629" t="s">
        <v>73</v>
      </c>
      <c r="AY25" s="2630">
        <v>50.526875504000003</v>
      </c>
      <c r="AZ25" s="2631">
        <v>0.60031418324291086</v>
      </c>
      <c r="BA25" s="2630">
        <v>0</v>
      </c>
      <c r="BB25" s="2630">
        <v>17.480331600000003</v>
      </c>
      <c r="BC25" s="2630">
        <v>0</v>
      </c>
      <c r="BD25" s="2630">
        <v>17.480331600000003</v>
      </c>
      <c r="BE25" s="2630">
        <v>12.812236800000001</v>
      </c>
      <c r="BF25" s="2630">
        <v>30.292568400000004</v>
      </c>
      <c r="BG25" s="2630">
        <v>20.234307103999999</v>
      </c>
      <c r="BH25" s="2630">
        <v>0</v>
      </c>
      <c r="BI25" s="2630" t="s">
        <v>153</v>
      </c>
      <c r="BK25" s="2629" t="s">
        <v>73</v>
      </c>
      <c r="BL25" s="2630">
        <v>50.526875504000003</v>
      </c>
      <c r="BM25" s="2634">
        <v>0.60031418324291086</v>
      </c>
      <c r="BN25" s="2634" t="s">
        <v>153</v>
      </c>
      <c r="BO25" s="2634">
        <v>0.34596106380288955</v>
      </c>
      <c r="BP25" s="2634" t="s">
        <v>153</v>
      </c>
      <c r="BQ25" s="2634">
        <v>0.34596106380288955</v>
      </c>
      <c r="BR25" s="2634">
        <v>0.25357271100180556</v>
      </c>
      <c r="BS25" s="2634">
        <v>0.59953377480469516</v>
      </c>
      <c r="BT25" s="2634">
        <v>0.40046622519530489</v>
      </c>
      <c r="BU25" s="2634" t="s">
        <v>153</v>
      </c>
      <c r="BV25" s="2634">
        <v>0</v>
      </c>
    </row>
    <row r="26" spans="1:74" x14ac:dyDescent="0.3">
      <c r="A26" s="8" t="s">
        <v>44</v>
      </c>
      <c r="B26" s="92">
        <v>45.106815083943765</v>
      </c>
      <c r="C26" s="93">
        <v>0.98354554381900006</v>
      </c>
      <c r="D26" s="137">
        <v>45.106815083943765</v>
      </c>
      <c r="E26" s="94">
        <v>0.98354554381900006</v>
      </c>
      <c r="F26" s="138">
        <v>1.0000000000000001E-5</v>
      </c>
      <c r="G26" s="126">
        <v>0.75462505719999995</v>
      </c>
      <c r="H26" s="139">
        <v>0</v>
      </c>
      <c r="I26" s="126">
        <v>0</v>
      </c>
      <c r="J26" s="126"/>
      <c r="K26" s="127">
        <v>0.75462505719999995</v>
      </c>
      <c r="L26" s="99">
        <v>45.861440141143767</v>
      </c>
      <c r="M26" s="128">
        <v>0</v>
      </c>
      <c r="N26" s="129">
        <v>38.673273276434522</v>
      </c>
      <c r="O26" s="130">
        <v>0</v>
      </c>
      <c r="P26" s="130">
        <v>3.7565033609585652</v>
      </c>
      <c r="Q26" s="130">
        <v>2.6770384465506742</v>
      </c>
      <c r="R26" s="131">
        <v>0</v>
      </c>
      <c r="S26" s="318"/>
      <c r="T26" s="2109">
        <v>0.68429287282184847</v>
      </c>
      <c r="U26" s="2109">
        <v>0.75462505719999995</v>
      </c>
      <c r="V26" s="2109"/>
      <c r="W26" s="2109"/>
      <c r="X26" s="2109"/>
      <c r="Y26" s="2109">
        <v>0.68429287282184847</v>
      </c>
      <c r="Z26" s="324"/>
      <c r="AA26" s="133"/>
      <c r="AB26" s="134">
        <v>3.7565033609585652</v>
      </c>
      <c r="AC26" s="135">
        <v>3.3613313193725229</v>
      </c>
      <c r="AD26" s="135">
        <v>7.0332184378151474E-2</v>
      </c>
      <c r="AE26" s="136">
        <v>0</v>
      </c>
      <c r="AF26" s="109">
        <v>0</v>
      </c>
      <c r="AG26" s="110">
        <v>38.673273276434522</v>
      </c>
      <c r="AH26" s="111">
        <v>0</v>
      </c>
      <c r="AI26" s="112">
        <v>38.673273276434522</v>
      </c>
      <c r="AJ26" s="113">
        <v>3.7565033609585652</v>
      </c>
      <c r="AK26" s="114">
        <v>42.42977663739309</v>
      </c>
      <c r="AL26" s="115">
        <v>3.4316635037506744</v>
      </c>
      <c r="AM26" s="116">
        <v>0</v>
      </c>
      <c r="AN26" s="117" t="s">
        <v>153</v>
      </c>
      <c r="AO26" s="118">
        <v>0.8432633854805508</v>
      </c>
      <c r="AP26" s="119" t="s">
        <v>153</v>
      </c>
      <c r="AQ26" s="120">
        <v>0.8432633854805508</v>
      </c>
      <c r="AR26" s="121">
        <v>8.190984298350644E-2</v>
      </c>
      <c r="AS26" s="122">
        <v>0.92517322846405725</v>
      </c>
      <c r="AT26" s="123">
        <v>7.4826771535942652E-2</v>
      </c>
      <c r="AU26" s="124" t="s">
        <v>153</v>
      </c>
      <c r="AV26" s="61">
        <v>0</v>
      </c>
      <c r="AX26" s="2629" t="s">
        <v>44</v>
      </c>
      <c r="AY26" s="2630">
        <v>45.861440141143767</v>
      </c>
      <c r="AZ26" s="2631">
        <v>0.98354554381900006</v>
      </c>
      <c r="BA26" s="2630">
        <v>0</v>
      </c>
      <c r="BB26" s="2630">
        <v>38.673273276434522</v>
      </c>
      <c r="BC26" s="2630">
        <v>0</v>
      </c>
      <c r="BD26" s="2630">
        <v>38.673273276434522</v>
      </c>
      <c r="BE26" s="2630">
        <v>3.7565033609585652</v>
      </c>
      <c r="BF26" s="2630">
        <v>42.42977663739309</v>
      </c>
      <c r="BG26" s="2630">
        <v>3.4316635037506744</v>
      </c>
      <c r="BH26" s="2630">
        <v>0</v>
      </c>
      <c r="BI26" s="2630" t="s">
        <v>153</v>
      </c>
      <c r="BK26" s="2629" t="s">
        <v>44</v>
      </c>
      <c r="BL26" s="2630">
        <v>45.861440141143767</v>
      </c>
      <c r="BM26" s="2634">
        <v>0.98354554381900006</v>
      </c>
      <c r="BN26" s="2634" t="s">
        <v>153</v>
      </c>
      <c r="BO26" s="2634">
        <v>0.8432633854805508</v>
      </c>
      <c r="BP26" s="2634" t="s">
        <v>153</v>
      </c>
      <c r="BQ26" s="2634">
        <v>0.8432633854805508</v>
      </c>
      <c r="BR26" s="2634">
        <v>8.190984298350644E-2</v>
      </c>
      <c r="BS26" s="2634">
        <v>0.92517322846405725</v>
      </c>
      <c r="BT26" s="2634">
        <v>7.4826771535942652E-2</v>
      </c>
      <c r="BU26" s="2634" t="s">
        <v>153</v>
      </c>
      <c r="BV26" s="2634">
        <v>0</v>
      </c>
    </row>
    <row r="27" spans="1:74" x14ac:dyDescent="0.3">
      <c r="A27" s="8" t="s">
        <v>119</v>
      </c>
      <c r="B27" s="92">
        <v>0</v>
      </c>
      <c r="C27" s="93">
        <v>0</v>
      </c>
      <c r="D27" s="137">
        <v>0</v>
      </c>
      <c r="E27" s="94">
        <v>0</v>
      </c>
      <c r="F27" s="138">
        <v>0.15991000000000002</v>
      </c>
      <c r="G27" s="126">
        <v>12067.20928968519</v>
      </c>
      <c r="H27" s="139">
        <v>9.1700000000000004E-2</v>
      </c>
      <c r="I27" s="126">
        <v>1028.8167131759988</v>
      </c>
      <c r="J27" s="126"/>
      <c r="K27" s="127">
        <v>13096.026002861188</v>
      </c>
      <c r="L27" s="99">
        <v>13096.026002861188</v>
      </c>
      <c r="M27" s="128">
        <v>0</v>
      </c>
      <c r="N27" s="129">
        <v>0</v>
      </c>
      <c r="O27" s="130">
        <v>0</v>
      </c>
      <c r="P27" s="130">
        <v>0</v>
      </c>
      <c r="Q27" s="130">
        <v>0</v>
      </c>
      <c r="R27" s="131">
        <v>0</v>
      </c>
      <c r="S27" s="318"/>
      <c r="T27" s="2109">
        <v>11875.456785517817</v>
      </c>
      <c r="U27" s="2109">
        <v>13096.026002861188</v>
      </c>
      <c r="V27" s="2109"/>
      <c r="W27" s="2109"/>
      <c r="X27" s="2109"/>
      <c r="Y27" s="2109">
        <v>11875.456785517817</v>
      </c>
      <c r="Z27" s="324"/>
      <c r="AA27" s="133"/>
      <c r="AB27" s="134">
        <v>0</v>
      </c>
      <c r="AC27" s="135">
        <v>11875.456785517817</v>
      </c>
      <c r="AD27" s="135">
        <v>1220.5692173433708</v>
      </c>
      <c r="AE27" s="136">
        <v>0</v>
      </c>
      <c r="AF27" s="109">
        <v>0</v>
      </c>
      <c r="AG27" s="110">
        <v>0</v>
      </c>
      <c r="AH27" s="111">
        <v>0</v>
      </c>
      <c r="AI27" s="112">
        <v>0</v>
      </c>
      <c r="AJ27" s="113">
        <v>0</v>
      </c>
      <c r="AK27" s="114">
        <v>0</v>
      </c>
      <c r="AL27" s="115">
        <v>13096.026002861188</v>
      </c>
      <c r="AM27" s="116">
        <v>0</v>
      </c>
      <c r="AN27" s="117" t="s">
        <v>153</v>
      </c>
      <c r="AO27" s="118" t="s">
        <v>153</v>
      </c>
      <c r="AP27" s="119" t="s">
        <v>153</v>
      </c>
      <c r="AQ27" s="120" t="s">
        <v>153</v>
      </c>
      <c r="AR27" s="121" t="s">
        <v>153</v>
      </c>
      <c r="AS27" s="122" t="s">
        <v>153</v>
      </c>
      <c r="AT27" s="123">
        <v>1</v>
      </c>
      <c r="AU27" s="124" t="s">
        <v>153</v>
      </c>
      <c r="AV27" s="61">
        <v>0</v>
      </c>
      <c r="AX27" s="2629" t="s">
        <v>119</v>
      </c>
      <c r="AY27" s="2630">
        <v>13096.026002861188</v>
      </c>
      <c r="AZ27" s="2631">
        <v>0</v>
      </c>
      <c r="BA27" s="2630">
        <v>0</v>
      </c>
      <c r="BB27" s="2630">
        <v>0</v>
      </c>
      <c r="BC27" s="2630">
        <v>0</v>
      </c>
      <c r="BD27" s="2630">
        <v>0</v>
      </c>
      <c r="BE27" s="2630">
        <v>0</v>
      </c>
      <c r="BF27" s="2630">
        <v>0</v>
      </c>
      <c r="BG27" s="2630">
        <v>13096.026002861188</v>
      </c>
      <c r="BH27" s="2630">
        <v>0</v>
      </c>
      <c r="BI27" s="2630" t="s">
        <v>153</v>
      </c>
      <c r="BK27" s="2629" t="s">
        <v>119</v>
      </c>
      <c r="BL27" s="2630">
        <v>13096.026002861188</v>
      </c>
      <c r="BM27" s="2634">
        <v>0</v>
      </c>
      <c r="BN27" s="2634" t="s">
        <v>153</v>
      </c>
      <c r="BO27" s="2634" t="s">
        <v>153</v>
      </c>
      <c r="BP27" s="2634" t="s">
        <v>153</v>
      </c>
      <c r="BQ27" s="2634" t="s">
        <v>153</v>
      </c>
      <c r="BR27" s="2634" t="s">
        <v>153</v>
      </c>
      <c r="BS27" s="2634" t="s">
        <v>153</v>
      </c>
      <c r="BT27" s="2634">
        <v>1</v>
      </c>
      <c r="BU27" s="2634" t="s">
        <v>153</v>
      </c>
      <c r="BV27" s="2634">
        <v>0</v>
      </c>
    </row>
    <row r="28" spans="1:74" x14ac:dyDescent="0.3">
      <c r="A28" s="154" t="s">
        <v>82</v>
      </c>
      <c r="B28" s="92">
        <v>3716.2599999999998</v>
      </c>
      <c r="C28" s="93">
        <v>0.82851067936288925</v>
      </c>
      <c r="D28" s="137">
        <v>3716.2599999999998</v>
      </c>
      <c r="E28" s="94">
        <v>0.82851067936288925</v>
      </c>
      <c r="F28" s="138">
        <v>0.01</v>
      </c>
      <c r="G28" s="126">
        <v>754.6250571999999</v>
      </c>
      <c r="H28" s="139">
        <v>1.2999999999999999E-3</v>
      </c>
      <c r="I28" s="126">
        <v>14.585187864</v>
      </c>
      <c r="J28" s="126"/>
      <c r="K28" s="127">
        <v>769.21024506399988</v>
      </c>
      <c r="L28" s="99">
        <v>4485.4702450639998</v>
      </c>
      <c r="M28" s="128">
        <v>0</v>
      </c>
      <c r="N28" s="129">
        <v>2861.5201999999999</v>
      </c>
      <c r="O28" s="130">
        <v>0</v>
      </c>
      <c r="P28" s="130">
        <v>668.92679999999996</v>
      </c>
      <c r="Q28" s="130">
        <v>185.81299999999999</v>
      </c>
      <c r="R28" s="131">
        <v>0</v>
      </c>
      <c r="S28" s="318"/>
      <c r="T28" s="2109">
        <v>697.51869935500804</v>
      </c>
      <c r="U28" s="2109">
        <v>769.21024506399988</v>
      </c>
      <c r="V28" s="2109"/>
      <c r="W28" s="2109"/>
      <c r="X28" s="2109"/>
      <c r="Y28" s="2109">
        <v>697.51869935500804</v>
      </c>
      <c r="Z28" s="324"/>
      <c r="AA28" s="133"/>
      <c r="AB28" s="134">
        <v>668.92679999999996</v>
      </c>
      <c r="AC28" s="135">
        <v>883.33169935500803</v>
      </c>
      <c r="AD28" s="135">
        <v>71.691545708991839</v>
      </c>
      <c r="AE28" s="136">
        <v>0</v>
      </c>
      <c r="AF28" s="109">
        <v>0</v>
      </c>
      <c r="AG28" s="110">
        <v>2861.5201999999999</v>
      </c>
      <c r="AH28" s="111">
        <v>0</v>
      </c>
      <c r="AI28" s="112">
        <v>2861.5201999999999</v>
      </c>
      <c r="AJ28" s="113">
        <v>668.92679999999996</v>
      </c>
      <c r="AK28" s="114">
        <v>3530.4470000000001</v>
      </c>
      <c r="AL28" s="115">
        <v>955.02324506399987</v>
      </c>
      <c r="AM28" s="116">
        <v>0</v>
      </c>
      <c r="AN28" s="117" t="s">
        <v>153</v>
      </c>
      <c r="AO28" s="118">
        <v>0.63795322310942471</v>
      </c>
      <c r="AP28" s="119" t="s">
        <v>153</v>
      </c>
      <c r="AQ28" s="120">
        <v>0.63795322310942471</v>
      </c>
      <c r="AR28" s="121">
        <v>0.14913192228532007</v>
      </c>
      <c r="AS28" s="122">
        <v>0.78708514539474483</v>
      </c>
      <c r="AT28" s="123">
        <v>0.21291485460525519</v>
      </c>
      <c r="AU28" s="124" t="s">
        <v>153</v>
      </c>
      <c r="AV28" s="61">
        <v>0</v>
      </c>
      <c r="AW28" s="52" t="s">
        <v>237</v>
      </c>
      <c r="AX28" s="2628" t="s">
        <v>1475</v>
      </c>
      <c r="AY28" s="2632">
        <v>135758.63029880816</v>
      </c>
      <c r="AZ28" s="2633">
        <v>0.3671660463438674</v>
      </c>
      <c r="BA28" s="2632">
        <v>592.05507928788211</v>
      </c>
      <c r="BB28" s="2632">
        <v>39144.408573079636</v>
      </c>
      <c r="BC28" s="2632">
        <v>7463.5173199999999</v>
      </c>
      <c r="BD28" s="2632">
        <v>47199.980972367513</v>
      </c>
      <c r="BE28" s="2632">
        <v>2523.3624910864219</v>
      </c>
      <c r="BF28" s="2632">
        <v>49723.343463453937</v>
      </c>
      <c r="BG28" s="2632">
        <v>70822.667343854206</v>
      </c>
      <c r="BH28" s="2632">
        <v>15212.6194915</v>
      </c>
      <c r="BI28" s="2632">
        <v>4.3610861275246663E-3</v>
      </c>
      <c r="BK28" s="2628" t="s">
        <v>1475</v>
      </c>
      <c r="BL28" s="2632">
        <v>135758.63029880816</v>
      </c>
      <c r="BM28" s="2635">
        <v>0.3671660463438674</v>
      </c>
      <c r="BN28" s="2635">
        <v>4.3610861275246663E-3</v>
      </c>
      <c r="BO28" s="2635">
        <v>0.28833826981696714</v>
      </c>
      <c r="BP28" s="2635">
        <v>5.4976374640585357E-2</v>
      </c>
      <c r="BQ28" s="2635">
        <v>0.34767573058507711</v>
      </c>
      <c r="BR28" s="2635">
        <v>1.8587123967974909E-2</v>
      </c>
      <c r="BS28" s="2635">
        <v>0.36626285455305202</v>
      </c>
      <c r="BT28" s="2635">
        <v>0.52168077409128044</v>
      </c>
      <c r="BU28" s="2635">
        <v>0.11205637135566734</v>
      </c>
      <c r="BV28" s="2635">
        <v>0</v>
      </c>
    </row>
    <row r="29" spans="1:74" x14ac:dyDescent="0.3">
      <c r="A29" s="155" t="s">
        <v>20</v>
      </c>
      <c r="B29" s="92">
        <v>2432.04</v>
      </c>
      <c r="C29" s="93">
        <v>0.43268599216380338</v>
      </c>
      <c r="D29" s="137">
        <v>2432.04</v>
      </c>
      <c r="E29" s="94">
        <v>0.43268599216380338</v>
      </c>
      <c r="F29" s="138">
        <v>3.8199999999999998E-2</v>
      </c>
      <c r="G29" s="126">
        <v>2882.6677185039994</v>
      </c>
      <c r="H29" s="139">
        <v>0</v>
      </c>
      <c r="I29" s="126">
        <v>306.08898868243159</v>
      </c>
      <c r="J29" s="126"/>
      <c r="K29" s="127">
        <v>3188.756707186431</v>
      </c>
      <c r="L29" s="99">
        <v>5620.7967071864314</v>
      </c>
      <c r="M29" s="128">
        <v>0</v>
      </c>
      <c r="N29" s="129">
        <v>0</v>
      </c>
      <c r="O29" s="130">
        <v>2383.3991999999998</v>
      </c>
      <c r="P29" s="130">
        <v>0</v>
      </c>
      <c r="Q29" s="130">
        <v>48.640799999999999</v>
      </c>
      <c r="R29" s="131">
        <v>0</v>
      </c>
      <c r="S29" s="318"/>
      <c r="T29" s="2109">
        <v>2891.5598111556333</v>
      </c>
      <c r="U29" s="2109">
        <v>3188.756707186431</v>
      </c>
      <c r="V29" s="2109"/>
      <c r="W29" s="2109"/>
      <c r="X29" s="2109"/>
      <c r="Y29" s="2109">
        <v>2891.5598111556333</v>
      </c>
      <c r="Z29" s="324"/>
      <c r="AA29" s="133"/>
      <c r="AB29" s="134">
        <v>0</v>
      </c>
      <c r="AC29" s="135">
        <v>2940.2006111556334</v>
      </c>
      <c r="AD29" s="135">
        <v>297.19689603079769</v>
      </c>
      <c r="AE29" s="136">
        <v>0</v>
      </c>
      <c r="AF29" s="109">
        <v>0</v>
      </c>
      <c r="AG29" s="110">
        <v>0</v>
      </c>
      <c r="AH29" s="111">
        <v>2383.3991999999998</v>
      </c>
      <c r="AI29" s="112">
        <v>2383.3991999999998</v>
      </c>
      <c r="AJ29" s="113">
        <v>0</v>
      </c>
      <c r="AK29" s="114">
        <v>2383.3991999999998</v>
      </c>
      <c r="AL29" s="115">
        <v>3237.3975071864311</v>
      </c>
      <c r="AM29" s="116">
        <v>0</v>
      </c>
      <c r="AN29" s="117" t="s">
        <v>153</v>
      </c>
      <c r="AO29" s="118" t="s">
        <v>153</v>
      </c>
      <c r="AP29" s="119">
        <v>0.42403227232052726</v>
      </c>
      <c r="AQ29" s="120">
        <v>0.42403227232052726</v>
      </c>
      <c r="AR29" s="121" t="s">
        <v>153</v>
      </c>
      <c r="AS29" s="122">
        <v>0.42403227232052726</v>
      </c>
      <c r="AT29" s="123">
        <v>0.57596772767947269</v>
      </c>
      <c r="AU29" s="124" t="s">
        <v>153</v>
      </c>
      <c r="AV29" s="61">
        <v>0</v>
      </c>
      <c r="AX29" s="2629" t="s">
        <v>39</v>
      </c>
      <c r="AY29" s="2630">
        <v>4485.4702450639998</v>
      </c>
      <c r="AZ29" s="2631">
        <v>0.82851067936288925</v>
      </c>
      <c r="BA29" s="2630">
        <v>0</v>
      </c>
      <c r="BB29" s="2630">
        <v>2861.5201999999999</v>
      </c>
      <c r="BC29" s="2630">
        <v>0</v>
      </c>
      <c r="BD29" s="2630">
        <v>2861.5201999999999</v>
      </c>
      <c r="BE29" s="2630">
        <v>668.92679999999996</v>
      </c>
      <c r="BF29" s="2630">
        <v>3530.4470000000001</v>
      </c>
      <c r="BG29" s="2630">
        <v>955.02324506399987</v>
      </c>
      <c r="BH29" s="2630">
        <v>0</v>
      </c>
      <c r="BI29" s="2630" t="s">
        <v>153</v>
      </c>
      <c r="BK29" s="2636" t="s">
        <v>39</v>
      </c>
      <c r="BL29" s="2630">
        <v>4485.4702450639998</v>
      </c>
      <c r="BM29" s="2634">
        <v>0.82851067936288925</v>
      </c>
      <c r="BN29" s="2634" t="s">
        <v>153</v>
      </c>
      <c r="BO29" s="2634">
        <v>0.63795322310942471</v>
      </c>
      <c r="BP29" s="2634" t="s">
        <v>153</v>
      </c>
      <c r="BQ29" s="2634">
        <v>0.63795322310942471</v>
      </c>
      <c r="BR29" s="2634">
        <v>0.14913192228532007</v>
      </c>
      <c r="BS29" s="2634">
        <v>0.78708514539474483</v>
      </c>
      <c r="BT29" s="2634">
        <v>0.21291485460525519</v>
      </c>
      <c r="BU29" s="2634" t="s">
        <v>153</v>
      </c>
      <c r="BV29" s="2634">
        <v>0</v>
      </c>
    </row>
    <row r="30" spans="1:74" x14ac:dyDescent="0.3">
      <c r="A30" s="155" t="s">
        <v>24</v>
      </c>
      <c r="B30" s="92">
        <v>5183.7939999999999</v>
      </c>
      <c r="C30" s="93">
        <v>0.12756730589776849</v>
      </c>
      <c r="D30" s="137">
        <v>5183.7939999999999</v>
      </c>
      <c r="E30" s="94">
        <v>0.12756730589776849</v>
      </c>
      <c r="F30" s="138">
        <v>0.42470000000000002</v>
      </c>
      <c r="G30" s="126">
        <v>32048.926179283997</v>
      </c>
      <c r="H30" s="139">
        <v>0</v>
      </c>
      <c r="I30" s="126">
        <v>3403.0364788855682</v>
      </c>
      <c r="J30" s="126"/>
      <c r="K30" s="127">
        <v>35451.962658169563</v>
      </c>
      <c r="L30" s="99">
        <v>40635.756658169565</v>
      </c>
      <c r="M30" s="128">
        <v>0</v>
      </c>
      <c r="N30" s="129">
        <v>0</v>
      </c>
      <c r="O30" s="130">
        <v>5080.1181200000001</v>
      </c>
      <c r="P30" s="130">
        <v>0</v>
      </c>
      <c r="Q30" s="130">
        <v>103.67588000000001</v>
      </c>
      <c r="R30" s="131">
        <v>0</v>
      </c>
      <c r="S30" s="318">
        <v>15157</v>
      </c>
      <c r="T30" s="2109">
        <v>32147.786696277421</v>
      </c>
      <c r="U30" s="2109">
        <v>20294.962658169563</v>
      </c>
      <c r="V30" s="2109"/>
      <c r="W30" s="2109"/>
      <c r="X30" s="2109">
        <v>15758</v>
      </c>
      <c r="Y30" s="2109">
        <v>1232.7866962774206</v>
      </c>
      <c r="Z30" s="324"/>
      <c r="AA30" s="133"/>
      <c r="AB30" s="134">
        <v>0</v>
      </c>
      <c r="AC30" s="135">
        <v>17094.462576277423</v>
      </c>
      <c r="AD30" s="135">
        <v>3304.1759618921424</v>
      </c>
      <c r="AE30" s="136">
        <v>15157</v>
      </c>
      <c r="AF30" s="109">
        <v>0</v>
      </c>
      <c r="AG30" s="110">
        <v>0</v>
      </c>
      <c r="AH30" s="111">
        <v>5080.1181200000001</v>
      </c>
      <c r="AI30" s="112">
        <v>5080.1181200000001</v>
      </c>
      <c r="AJ30" s="113">
        <v>0</v>
      </c>
      <c r="AK30" s="114">
        <v>5080.1181200000001</v>
      </c>
      <c r="AL30" s="115">
        <v>20398.638538169565</v>
      </c>
      <c r="AM30" s="116">
        <v>15157</v>
      </c>
      <c r="AN30" s="117" t="s">
        <v>153</v>
      </c>
      <c r="AO30" s="118" t="s">
        <v>153</v>
      </c>
      <c r="AP30" s="119">
        <v>0.12501595977981314</v>
      </c>
      <c r="AQ30" s="120">
        <v>0.12501595977981314</v>
      </c>
      <c r="AR30" s="121" t="s">
        <v>153</v>
      </c>
      <c r="AS30" s="122">
        <v>0.12501595977981314</v>
      </c>
      <c r="AT30" s="123">
        <v>0.50198741738130148</v>
      </c>
      <c r="AU30" s="124">
        <v>0.37299662283888541</v>
      </c>
      <c r="AV30" s="61">
        <v>0</v>
      </c>
      <c r="AX30" s="2629" t="s">
        <v>1474</v>
      </c>
      <c r="AY30" s="2630">
        <v>140244.10054387216</v>
      </c>
      <c r="AZ30" s="2631">
        <v>0.38192137377726232</v>
      </c>
      <c r="BA30" s="2630">
        <v>592.05507928788211</v>
      </c>
      <c r="BB30" s="2630">
        <v>42005.928773079635</v>
      </c>
      <c r="BC30" s="2630">
        <v>7463.5173199999999</v>
      </c>
      <c r="BD30" s="2630">
        <v>50061.501172367512</v>
      </c>
      <c r="BE30" s="2630">
        <v>3192.2892910864221</v>
      </c>
      <c r="BF30" s="2630">
        <v>53253.790463453937</v>
      </c>
      <c r="BG30" s="2630">
        <v>71777.690588918209</v>
      </c>
      <c r="BH30" s="2630">
        <v>15212.6194915</v>
      </c>
      <c r="BI30" s="2630">
        <v>4.2216041672474575E-3</v>
      </c>
      <c r="BK30" s="2636" t="s">
        <v>1474</v>
      </c>
      <c r="BL30" s="2630">
        <v>140244.10054387216</v>
      </c>
      <c r="BM30" s="2634">
        <v>0.38192137377726232</v>
      </c>
      <c r="BN30" s="2634">
        <v>4.2216041672474575E-3</v>
      </c>
      <c r="BO30" s="2634">
        <v>0.29952011250511773</v>
      </c>
      <c r="BP30" s="2634">
        <v>5.3218048324715155E-2</v>
      </c>
      <c r="BQ30" s="2634">
        <v>0.35695976499708032</v>
      </c>
      <c r="BR30" s="2634">
        <v>2.2762378443774805E-2</v>
      </c>
      <c r="BS30" s="2634">
        <v>0.37972214344085514</v>
      </c>
      <c r="BT30" s="2634">
        <v>0.51180541862767481</v>
      </c>
      <c r="BU30" s="2634">
        <v>0.10847243793146992</v>
      </c>
      <c r="BV30" s="2634">
        <v>0</v>
      </c>
    </row>
    <row r="31" spans="1:74" x14ac:dyDescent="0.3">
      <c r="A31" s="155" t="s">
        <v>238</v>
      </c>
      <c r="B31" s="92">
        <v>0</v>
      </c>
      <c r="C31" s="93" t="e">
        <v>#DIV/0!</v>
      </c>
      <c r="D31" s="137"/>
      <c r="E31" s="94" t="e">
        <v>#DIV/0!</v>
      </c>
      <c r="F31" s="138">
        <v>0</v>
      </c>
      <c r="G31" s="126">
        <v>0</v>
      </c>
      <c r="H31" s="139">
        <v>0</v>
      </c>
      <c r="I31" s="126">
        <v>0</v>
      </c>
      <c r="J31" s="126"/>
      <c r="K31" s="127">
        <v>0</v>
      </c>
      <c r="L31" s="99">
        <v>0</v>
      </c>
      <c r="M31" s="128">
        <v>0</v>
      </c>
      <c r="N31" s="129">
        <v>0</v>
      </c>
      <c r="O31" s="130">
        <v>0</v>
      </c>
      <c r="P31" s="130">
        <v>0</v>
      </c>
      <c r="Q31" s="130">
        <v>0</v>
      </c>
      <c r="R31" s="131">
        <v>0</v>
      </c>
      <c r="S31" s="318"/>
      <c r="T31" s="2109">
        <v>0</v>
      </c>
      <c r="U31" s="2109">
        <v>0</v>
      </c>
      <c r="V31" s="2109"/>
      <c r="W31" s="2109"/>
      <c r="X31" s="2109"/>
      <c r="Y31" s="2109">
        <v>0</v>
      </c>
      <c r="Z31" s="324"/>
      <c r="AA31" s="133"/>
      <c r="AB31" s="134">
        <v>0</v>
      </c>
      <c r="AC31" s="135">
        <v>0</v>
      </c>
      <c r="AD31" s="135">
        <v>0</v>
      </c>
      <c r="AE31" s="136">
        <v>0</v>
      </c>
      <c r="AF31" s="109">
        <v>0</v>
      </c>
      <c r="AG31" s="110">
        <v>0</v>
      </c>
      <c r="AH31" s="111">
        <v>0</v>
      </c>
      <c r="AI31" s="112">
        <v>0</v>
      </c>
      <c r="AJ31" s="113">
        <v>0</v>
      </c>
      <c r="AK31" s="114">
        <v>0</v>
      </c>
      <c r="AL31" s="115">
        <v>0</v>
      </c>
      <c r="AM31" s="116">
        <v>0</v>
      </c>
      <c r="AN31" s="117" t="s">
        <v>153</v>
      </c>
      <c r="AO31" s="118" t="s">
        <v>153</v>
      </c>
      <c r="AP31" s="119" t="s">
        <v>153</v>
      </c>
      <c r="AQ31" s="120" t="s">
        <v>153</v>
      </c>
      <c r="AR31" s="121" t="s">
        <v>153</v>
      </c>
      <c r="AS31" s="122" t="s">
        <v>153</v>
      </c>
      <c r="AT31" s="123" t="s">
        <v>153</v>
      </c>
      <c r="AU31" s="124" t="s">
        <v>153</v>
      </c>
      <c r="AV31" s="61">
        <v>0</v>
      </c>
      <c r="AX31" s="61"/>
    </row>
    <row r="32" spans="1:74" s="187" customFormat="1" ht="13.2" x14ac:dyDescent="0.25">
      <c r="A32" s="2572" t="s">
        <v>239</v>
      </c>
      <c r="B32" s="92"/>
      <c r="C32" s="156"/>
      <c r="D32" s="157"/>
      <c r="E32" s="158"/>
      <c r="F32" s="159"/>
      <c r="G32" s="160"/>
      <c r="H32" s="161"/>
      <c r="I32" s="160"/>
      <c r="J32" s="160"/>
      <c r="K32" s="162"/>
      <c r="L32" s="163"/>
      <c r="M32" s="164"/>
      <c r="N32" s="165"/>
      <c r="O32" s="166"/>
      <c r="P32" s="166"/>
      <c r="Q32" s="166"/>
      <c r="R32" s="167"/>
      <c r="S32" s="2476"/>
      <c r="T32" s="2109">
        <v>0</v>
      </c>
      <c r="U32" s="2477"/>
      <c r="V32" s="2477"/>
      <c r="W32" s="2477"/>
      <c r="X32" s="2477"/>
      <c r="Y32" s="2477"/>
      <c r="Z32" s="2478"/>
      <c r="AA32" s="168"/>
      <c r="AB32" s="134"/>
      <c r="AC32" s="169">
        <v>0</v>
      </c>
      <c r="AD32" s="169"/>
      <c r="AE32" s="136">
        <v>0</v>
      </c>
      <c r="AF32" s="170"/>
      <c r="AG32" s="171"/>
      <c r="AH32" s="172"/>
      <c r="AI32" s="173"/>
      <c r="AJ32" s="174"/>
      <c r="AK32" s="175"/>
      <c r="AL32" s="176"/>
      <c r="AM32" s="177">
        <v>0</v>
      </c>
      <c r="AN32" s="178"/>
      <c r="AO32" s="179"/>
      <c r="AP32" s="180"/>
      <c r="AQ32" s="181"/>
      <c r="AR32" s="182"/>
      <c r="AS32" s="183"/>
      <c r="AT32" s="184"/>
      <c r="AU32" s="185"/>
      <c r="AV32" s="61">
        <v>0</v>
      </c>
      <c r="AX32" s="186"/>
    </row>
    <row r="33" spans="1:50" s="219" customFormat="1" ht="26.4" x14ac:dyDescent="0.25">
      <c r="A33" s="2573" t="s">
        <v>240</v>
      </c>
      <c r="B33" s="92"/>
      <c r="C33" s="188"/>
      <c r="D33" s="189"/>
      <c r="E33" s="190"/>
      <c r="F33" s="191"/>
      <c r="G33" s="192"/>
      <c r="H33" s="193"/>
      <c r="I33" s="192"/>
      <c r="J33" s="192"/>
      <c r="K33" s="162"/>
      <c r="L33" s="194"/>
      <c r="M33" s="195"/>
      <c r="N33" s="196"/>
      <c r="O33" s="197"/>
      <c r="P33" s="197"/>
      <c r="Q33" s="197"/>
      <c r="R33" s="198"/>
      <c r="S33" s="2479"/>
      <c r="T33" s="2109">
        <v>0</v>
      </c>
      <c r="U33" s="2480"/>
      <c r="V33" s="2480"/>
      <c r="W33" s="2480"/>
      <c r="X33" s="2480"/>
      <c r="Y33" s="2480"/>
      <c r="Z33" s="2481"/>
      <c r="AA33" s="199"/>
      <c r="AB33" s="134"/>
      <c r="AC33" s="200">
        <v>0</v>
      </c>
      <c r="AD33" s="200"/>
      <c r="AE33" s="136">
        <v>0</v>
      </c>
      <c r="AF33" s="201"/>
      <c r="AG33" s="202"/>
      <c r="AH33" s="203"/>
      <c r="AI33" s="204"/>
      <c r="AJ33" s="205"/>
      <c r="AK33" s="206"/>
      <c r="AL33" s="207"/>
      <c r="AM33" s="208">
        <v>0</v>
      </c>
      <c r="AN33" s="209"/>
      <c r="AO33" s="210"/>
      <c r="AP33" s="211"/>
      <c r="AQ33" s="212"/>
      <c r="AR33" s="213"/>
      <c r="AS33" s="214"/>
      <c r="AT33" s="215"/>
      <c r="AU33" s="216"/>
      <c r="AV33" s="61">
        <v>0</v>
      </c>
      <c r="AX33" s="218"/>
    </row>
    <row r="34" spans="1:50" s="217" customFormat="1" ht="13.2" x14ac:dyDescent="0.25">
      <c r="A34" s="220" t="s">
        <v>241</v>
      </c>
      <c r="B34" s="221">
        <v>1374.6423502276155</v>
      </c>
      <c r="C34" s="222">
        <v>0.3508568335085151</v>
      </c>
      <c r="D34" s="221">
        <v>2926.6423502276157</v>
      </c>
      <c r="E34" s="223">
        <v>0.74698154588555732</v>
      </c>
      <c r="F34" s="224">
        <v>3.1800000000000002E-2</v>
      </c>
      <c r="G34" s="225">
        <v>2399.7076818959995</v>
      </c>
      <c r="H34" s="226">
        <v>0</v>
      </c>
      <c r="I34" s="225">
        <v>143.60800358400002</v>
      </c>
      <c r="J34" s="225"/>
      <c r="K34" s="227">
        <v>2543.3156854799995</v>
      </c>
      <c r="L34" s="228">
        <v>3917.9580357076147</v>
      </c>
      <c r="M34" s="128">
        <v>0</v>
      </c>
      <c r="N34" s="129">
        <v>1092.0381000000002</v>
      </c>
      <c r="O34" s="130">
        <v>0</v>
      </c>
      <c r="P34" s="130">
        <v>0</v>
      </c>
      <c r="Q34" s="130">
        <v>282.60425022761547</v>
      </c>
      <c r="R34" s="131">
        <v>0</v>
      </c>
      <c r="S34" s="2482"/>
      <c r="T34" s="2109">
        <v>2306.2748583615121</v>
      </c>
      <c r="U34" s="2483">
        <v>2543.3156854799995</v>
      </c>
      <c r="V34" s="2483"/>
      <c r="W34" s="2483"/>
      <c r="X34" s="2483"/>
      <c r="Y34" s="2483">
        <v>2306.2748583615121</v>
      </c>
      <c r="Z34" s="2484"/>
      <c r="AA34" s="229"/>
      <c r="AB34" s="134">
        <v>0</v>
      </c>
      <c r="AC34" s="230">
        <v>2588.8791085891276</v>
      </c>
      <c r="AD34" s="230">
        <v>237.04082711848741</v>
      </c>
      <c r="AE34" s="136">
        <v>0</v>
      </c>
      <c r="AF34" s="231">
        <v>0</v>
      </c>
      <c r="AG34" s="232">
        <v>1092.0381000000002</v>
      </c>
      <c r="AH34" s="233">
        <v>0</v>
      </c>
      <c r="AI34" s="234">
        <v>1092.0381000000002</v>
      </c>
      <c r="AJ34" s="235">
        <v>0</v>
      </c>
      <c r="AK34" s="236">
        <v>1092.0381000000002</v>
      </c>
      <c r="AL34" s="237">
        <v>2825.919935707615</v>
      </c>
      <c r="AM34" s="238">
        <v>0</v>
      </c>
      <c r="AN34" s="239" t="s">
        <v>153</v>
      </c>
      <c r="AO34" s="240">
        <v>0.27872633908973693</v>
      </c>
      <c r="AP34" s="241" t="s">
        <v>153</v>
      </c>
      <c r="AQ34" s="242">
        <v>0.27872633908973693</v>
      </c>
      <c r="AR34" s="243" t="s">
        <v>153</v>
      </c>
      <c r="AS34" s="244">
        <v>0.27872633908973693</v>
      </c>
      <c r="AT34" s="245">
        <v>0.72127366091026324</v>
      </c>
      <c r="AU34" s="246" t="s">
        <v>153</v>
      </c>
      <c r="AV34" s="61">
        <v>0</v>
      </c>
      <c r="AX34" s="247"/>
    </row>
    <row r="35" spans="1:50" s="217" customFormat="1" ht="13.2" x14ac:dyDescent="0.25">
      <c r="A35" s="220" t="s">
        <v>149</v>
      </c>
      <c r="B35" s="221">
        <v>4007.0576159283382</v>
      </c>
      <c r="C35" s="222">
        <v>0.28905817340375373</v>
      </c>
      <c r="D35" s="248">
        <v>4007.0576159283382</v>
      </c>
      <c r="E35" s="223">
        <v>0.28905817340375373</v>
      </c>
      <c r="F35" s="224">
        <v>0.13059999999999999</v>
      </c>
      <c r="G35" s="225">
        <v>9855.403247031998</v>
      </c>
      <c r="H35" s="226">
        <v>0</v>
      </c>
      <c r="I35" s="225">
        <v>0</v>
      </c>
      <c r="J35" s="225"/>
      <c r="K35" s="227">
        <v>9855.403247031998</v>
      </c>
      <c r="L35" s="228">
        <v>13862.460862960335</v>
      </c>
      <c r="M35" s="128">
        <v>0</v>
      </c>
      <c r="N35" s="129">
        <v>3882.04025</v>
      </c>
      <c r="O35" s="130">
        <v>0</v>
      </c>
      <c r="P35" s="130">
        <v>119.34461592833833</v>
      </c>
      <c r="Q35" s="130">
        <v>5.6727500000000006</v>
      </c>
      <c r="R35" s="131">
        <v>0</v>
      </c>
      <c r="S35" s="2482"/>
      <c r="T35" s="2109">
        <v>8936.8649190533397</v>
      </c>
      <c r="U35" s="2483">
        <v>9855.403247031998</v>
      </c>
      <c r="V35" s="2483"/>
      <c r="W35" s="2483"/>
      <c r="X35" s="2483"/>
      <c r="Y35" s="2483">
        <v>8936.8649190533397</v>
      </c>
      <c r="Z35" s="2484"/>
      <c r="AA35" s="229"/>
      <c r="AB35" s="134">
        <v>119.34461592833833</v>
      </c>
      <c r="AC35" s="230">
        <v>8942.5376690533394</v>
      </c>
      <c r="AD35" s="230">
        <v>918.53832797865834</v>
      </c>
      <c r="AE35" s="136">
        <v>0</v>
      </c>
      <c r="AF35" s="231">
        <v>0</v>
      </c>
      <c r="AG35" s="232">
        <v>3882.04025</v>
      </c>
      <c r="AH35" s="233">
        <v>0</v>
      </c>
      <c r="AI35" s="234">
        <v>3882.04025</v>
      </c>
      <c r="AJ35" s="235">
        <v>119.34461592833833</v>
      </c>
      <c r="AK35" s="236">
        <v>4001.3848659283385</v>
      </c>
      <c r="AL35" s="237">
        <v>9861.0759970319978</v>
      </c>
      <c r="AM35" s="238">
        <v>0</v>
      </c>
      <c r="AN35" s="239" t="s">
        <v>153</v>
      </c>
      <c r="AO35" s="240">
        <v>0.2800397626638268</v>
      </c>
      <c r="AP35" s="241" t="s">
        <v>153</v>
      </c>
      <c r="AQ35" s="242">
        <v>0.2800397626638268</v>
      </c>
      <c r="AR35" s="243">
        <v>8.6091940751457773E-3</v>
      </c>
      <c r="AS35" s="244">
        <v>0.28864895673897262</v>
      </c>
      <c r="AT35" s="245">
        <v>0.71135104326102749</v>
      </c>
      <c r="AU35" s="246" t="s">
        <v>153</v>
      </c>
      <c r="AV35" s="61">
        <v>0</v>
      </c>
      <c r="AX35" s="247"/>
    </row>
    <row r="36" spans="1:50" s="217" customFormat="1" ht="13.2" x14ac:dyDescent="0.25">
      <c r="A36" s="220" t="s">
        <v>242</v>
      </c>
      <c r="B36" s="221">
        <v>23484.935241111107</v>
      </c>
      <c r="C36" s="222">
        <v>0.52658403636224549</v>
      </c>
      <c r="D36" s="221">
        <v>28135.508828582089</v>
      </c>
      <c r="E36" s="223">
        <v>0.63086015149511643</v>
      </c>
      <c r="F36" s="224">
        <v>0.22169999999999995</v>
      </c>
      <c r="G36" s="225">
        <v>18707.155167987996</v>
      </c>
      <c r="H36" s="226">
        <v>0</v>
      </c>
      <c r="I36" s="225">
        <v>2406.5559975599999</v>
      </c>
      <c r="J36" s="225"/>
      <c r="K36" s="227">
        <v>21113.711165547997</v>
      </c>
      <c r="L36" s="228">
        <v>44598.6464066591</v>
      </c>
      <c r="M36" s="128">
        <v>0</v>
      </c>
      <c r="N36" s="129">
        <v>20741.02480341111</v>
      </c>
      <c r="O36" s="130">
        <v>0</v>
      </c>
      <c r="P36" s="130">
        <v>337.2217369444445</v>
      </c>
      <c r="Q36" s="130">
        <v>2377.703041255555</v>
      </c>
      <c r="R36" s="131">
        <v>28.985659500000136</v>
      </c>
      <c r="S36" s="2482"/>
      <c r="T36" s="2109">
        <v>19145.881695224973</v>
      </c>
      <c r="U36" s="2483">
        <v>21113.711165547997</v>
      </c>
      <c r="V36" s="2483"/>
      <c r="W36" s="2483"/>
      <c r="X36" s="2483"/>
      <c r="Y36" s="2483">
        <v>19145.881695224973</v>
      </c>
      <c r="Z36" s="2484"/>
      <c r="AA36" s="229"/>
      <c r="AB36" s="134">
        <v>337.2217369444445</v>
      </c>
      <c r="AC36" s="230">
        <v>21523.584736480527</v>
      </c>
      <c r="AD36" s="230">
        <v>1967.829470323024</v>
      </c>
      <c r="AE36" s="136">
        <v>28.985659500000136</v>
      </c>
      <c r="AF36" s="231">
        <v>0</v>
      </c>
      <c r="AG36" s="232">
        <v>3882.04025</v>
      </c>
      <c r="AH36" s="233">
        <v>0</v>
      </c>
      <c r="AI36" s="234">
        <v>3882.04025</v>
      </c>
      <c r="AJ36" s="235">
        <v>337.2217369444445</v>
      </c>
      <c r="AK36" s="236">
        <v>4219.2619869444443</v>
      </c>
      <c r="AL36" s="237">
        <v>23491.414206803551</v>
      </c>
      <c r="AM36" s="238">
        <v>28.985659500000136</v>
      </c>
      <c r="AN36" s="239" t="s">
        <v>153</v>
      </c>
      <c r="AO36" s="240">
        <v>8.7043902960704342E-2</v>
      </c>
      <c r="AP36" s="241" t="s">
        <v>153</v>
      </c>
      <c r="AQ36" s="242">
        <v>8.7043902960704342E-2</v>
      </c>
      <c r="AR36" s="243">
        <v>7.5612549732920449E-3</v>
      </c>
      <c r="AS36" s="244">
        <v>9.4605157933996376E-2</v>
      </c>
      <c r="AT36" s="245">
        <v>0.52672930906028592</v>
      </c>
      <c r="AU36" s="246">
        <v>6.4992240427440946E-4</v>
      </c>
      <c r="AV36" s="61">
        <v>0</v>
      </c>
      <c r="AX36" s="247"/>
    </row>
    <row r="37" spans="1:50" ht="13.2" x14ac:dyDescent="0.25">
      <c r="A37" s="155" t="s">
        <v>174</v>
      </c>
      <c r="B37" s="92">
        <v>3893.6026159283383</v>
      </c>
      <c r="C37" s="141">
        <v>0.30952367429275551</v>
      </c>
      <c r="D37" s="142">
        <v>3893.6026159283383</v>
      </c>
      <c r="E37" s="143">
        <v>0.30952367429275551</v>
      </c>
      <c r="F37" s="144">
        <v>0.11509999999999999</v>
      </c>
      <c r="G37" s="126">
        <v>8685.7344083719981</v>
      </c>
      <c r="H37" s="145">
        <v>0</v>
      </c>
      <c r="I37" s="126">
        <v>0</v>
      </c>
      <c r="J37" s="126"/>
      <c r="K37" s="127">
        <v>8685.7344083719981</v>
      </c>
      <c r="L37" s="99">
        <v>12579.337024300337</v>
      </c>
      <c r="M37" s="128">
        <v>0</v>
      </c>
      <c r="N37" s="129">
        <v>3774.2579999999998</v>
      </c>
      <c r="O37" s="130">
        <v>0</v>
      </c>
      <c r="P37" s="130">
        <v>119.34461592833833</v>
      </c>
      <c r="Q37" s="130">
        <v>0</v>
      </c>
      <c r="R37" s="131">
        <v>0</v>
      </c>
      <c r="S37" s="318"/>
      <c r="T37" s="2109">
        <v>7876.2109661794739</v>
      </c>
      <c r="U37" s="2109">
        <v>8685.7344083719981</v>
      </c>
      <c r="V37" s="2109"/>
      <c r="W37" s="2109"/>
      <c r="X37" s="2109"/>
      <c r="Y37" s="2109">
        <v>7876.2109661794739</v>
      </c>
      <c r="Z37" s="324"/>
      <c r="AA37" s="133"/>
      <c r="AB37" s="134">
        <v>119.34461592833833</v>
      </c>
      <c r="AC37" s="135">
        <v>7876.2109661794739</v>
      </c>
      <c r="AD37" s="135">
        <v>809.52344219252427</v>
      </c>
      <c r="AE37" s="136">
        <v>0</v>
      </c>
      <c r="AF37" s="109">
        <v>0</v>
      </c>
      <c r="AG37" s="110">
        <v>3774.2579999999998</v>
      </c>
      <c r="AH37" s="111">
        <v>0</v>
      </c>
      <c r="AI37" s="112">
        <v>3774.2579999999998</v>
      </c>
      <c r="AJ37" s="113">
        <v>119.34461592833833</v>
      </c>
      <c r="AK37" s="114">
        <v>3893.6026159283383</v>
      </c>
      <c r="AL37" s="115">
        <v>8685.7344083719981</v>
      </c>
      <c r="AM37" s="116">
        <v>0</v>
      </c>
      <c r="AN37" s="146" t="s">
        <v>153</v>
      </c>
      <c r="AO37" s="147">
        <v>0.30003632088948851</v>
      </c>
      <c r="AP37" s="148" t="s">
        <v>153</v>
      </c>
      <c r="AQ37" s="149">
        <v>0.30003632088948851</v>
      </c>
      <c r="AR37" s="150">
        <v>9.4873534032669949E-3</v>
      </c>
      <c r="AS37" s="151">
        <v>0.30952367429275551</v>
      </c>
      <c r="AT37" s="152">
        <v>0.69047632570724438</v>
      </c>
      <c r="AU37" s="153" t="s">
        <v>153</v>
      </c>
      <c r="AV37" s="61">
        <v>0</v>
      </c>
      <c r="AX37" s="61"/>
    </row>
    <row r="38" spans="1:50" x14ac:dyDescent="0.3">
      <c r="A38" s="155" t="s">
        <v>243</v>
      </c>
      <c r="B38" s="92">
        <v>2032.7683611111113</v>
      </c>
      <c r="C38" s="93">
        <v>0.7710194272813401</v>
      </c>
      <c r="D38" s="137">
        <v>2032.7683611111113</v>
      </c>
      <c r="E38" s="94">
        <v>0.7710194272813401</v>
      </c>
      <c r="F38" s="138">
        <v>8.0000000000000002E-3</v>
      </c>
      <c r="G38" s="126">
        <v>603.70004575999985</v>
      </c>
      <c r="H38" s="139">
        <v>0</v>
      </c>
      <c r="I38" s="126">
        <v>0</v>
      </c>
      <c r="J38" s="126"/>
      <c r="K38" s="127">
        <v>603.70004575999985</v>
      </c>
      <c r="L38" s="99">
        <v>2636.4684068711113</v>
      </c>
      <c r="M38" s="128">
        <v>0</v>
      </c>
      <c r="N38" s="129">
        <v>1674.7288561111111</v>
      </c>
      <c r="O38" s="130">
        <v>0</v>
      </c>
      <c r="P38" s="130">
        <v>258.58408694444449</v>
      </c>
      <c r="Q38" s="130">
        <v>99.455418055555569</v>
      </c>
      <c r="R38" s="131">
        <v>0</v>
      </c>
      <c r="S38" s="318"/>
      <c r="T38" s="2109">
        <v>547.43429825747864</v>
      </c>
      <c r="U38" s="2109">
        <v>603.70004575999985</v>
      </c>
      <c r="V38" s="2109"/>
      <c r="W38" s="2109"/>
      <c r="X38" s="2109"/>
      <c r="Y38" s="2109">
        <v>547.43429825747864</v>
      </c>
      <c r="Z38" s="324"/>
      <c r="AA38" s="133"/>
      <c r="AB38" s="134">
        <v>258.58408694444449</v>
      </c>
      <c r="AC38" s="135">
        <v>646.88971631303423</v>
      </c>
      <c r="AD38" s="135">
        <v>56.265747502521208</v>
      </c>
      <c r="AE38" s="136">
        <v>0</v>
      </c>
      <c r="AF38" s="109">
        <v>0</v>
      </c>
      <c r="AG38" s="110">
        <v>1674.7288561111111</v>
      </c>
      <c r="AH38" s="111">
        <v>0</v>
      </c>
      <c r="AI38" s="112">
        <v>1674.7288561111111</v>
      </c>
      <c r="AJ38" s="113">
        <v>258.58408694444449</v>
      </c>
      <c r="AK38" s="114">
        <v>1933.3129430555555</v>
      </c>
      <c r="AL38" s="115">
        <v>703.15546381555544</v>
      </c>
      <c r="AM38" s="116">
        <v>0</v>
      </c>
      <c r="AN38" s="117" t="s">
        <v>153</v>
      </c>
      <c r="AO38" s="118">
        <v>0.63521673604981055</v>
      </c>
      <c r="AP38" s="119" t="s">
        <v>153</v>
      </c>
      <c r="AQ38" s="120">
        <v>0.63521673604981055</v>
      </c>
      <c r="AR38" s="121">
        <v>9.8079721444993537E-2</v>
      </c>
      <c r="AS38" s="122">
        <v>0.73329645749480399</v>
      </c>
      <c r="AT38" s="123">
        <v>0.26670354250519585</v>
      </c>
      <c r="AU38" s="124" t="s">
        <v>153</v>
      </c>
      <c r="AV38" s="61">
        <v>0</v>
      </c>
      <c r="AX38" s="61"/>
    </row>
    <row r="39" spans="1:50" x14ac:dyDescent="0.3">
      <c r="A39" s="155" t="s">
        <v>244</v>
      </c>
      <c r="B39" s="92">
        <v>700.70724824518175</v>
      </c>
      <c r="C39" s="93">
        <v>0.31174569440424627</v>
      </c>
      <c r="D39" s="137">
        <v>2086.7072482451817</v>
      </c>
      <c r="E39" s="94">
        <v>0.92837915085323408</v>
      </c>
      <c r="F39" s="138">
        <v>2.0500000000000001E-2</v>
      </c>
      <c r="G39" s="126">
        <v>1546.9813672599998</v>
      </c>
      <c r="H39" s="139">
        <v>0</v>
      </c>
      <c r="I39" s="126">
        <v>0</v>
      </c>
      <c r="J39" s="126"/>
      <c r="K39" s="127">
        <v>1546.9813672599998</v>
      </c>
      <c r="L39" s="99">
        <v>2247.6886155051816</v>
      </c>
      <c r="M39" s="128">
        <v>0</v>
      </c>
      <c r="N39" s="129">
        <v>492.822</v>
      </c>
      <c r="O39" s="130">
        <v>0</v>
      </c>
      <c r="P39" s="130">
        <v>0</v>
      </c>
      <c r="Q39" s="130">
        <v>207.88524824518174</v>
      </c>
      <c r="R39" s="131">
        <v>0</v>
      </c>
      <c r="S39" s="318"/>
      <c r="T39" s="2109">
        <v>1402.8003892847892</v>
      </c>
      <c r="U39" s="2109">
        <v>160.98136725999984</v>
      </c>
      <c r="V39" s="2485">
        <v>1386</v>
      </c>
      <c r="W39" s="2109"/>
      <c r="X39" s="2109"/>
      <c r="Y39" s="2109">
        <v>16.800389284789162</v>
      </c>
      <c r="Z39" s="324"/>
      <c r="AA39" s="133"/>
      <c r="AB39" s="134">
        <v>0</v>
      </c>
      <c r="AC39" s="135">
        <v>224.6856375299709</v>
      </c>
      <c r="AD39" s="135">
        <v>144.18097797521068</v>
      </c>
      <c r="AE39" s="136">
        <v>0</v>
      </c>
      <c r="AF39" s="109">
        <v>0</v>
      </c>
      <c r="AG39" s="110">
        <v>1878.8220000000001</v>
      </c>
      <c r="AH39" s="111">
        <v>0</v>
      </c>
      <c r="AI39" s="112">
        <v>1878.8220000000001</v>
      </c>
      <c r="AJ39" s="113">
        <v>0</v>
      </c>
      <c r="AK39" s="114">
        <v>1878.8220000000001</v>
      </c>
      <c r="AL39" s="115">
        <v>368.86661550518158</v>
      </c>
      <c r="AM39" s="116">
        <v>0</v>
      </c>
      <c r="AN39" s="117" t="s">
        <v>153</v>
      </c>
      <c r="AO39" s="118">
        <v>0.83589069546349215</v>
      </c>
      <c r="AP39" s="119" t="s">
        <v>153</v>
      </c>
      <c r="AQ39" s="120">
        <v>0.83589069546349215</v>
      </c>
      <c r="AR39" s="121" t="s">
        <v>153</v>
      </c>
      <c r="AS39" s="122">
        <v>0.83589069546349215</v>
      </c>
      <c r="AT39" s="123">
        <v>0.16410930453650788</v>
      </c>
      <c r="AU39" s="124" t="s">
        <v>153</v>
      </c>
      <c r="AV39" s="61">
        <v>0</v>
      </c>
      <c r="AX39" s="61"/>
    </row>
    <row r="40" spans="1:50" x14ac:dyDescent="0.3">
      <c r="A40" s="155" t="s">
        <v>245</v>
      </c>
      <c r="B40" s="92">
        <v>240.97710198243374</v>
      </c>
      <c r="C40" s="93">
        <v>0.35117317847824203</v>
      </c>
      <c r="D40" s="137">
        <v>406.97710198243374</v>
      </c>
      <c r="E40" s="94">
        <v>0.59308308256380793</v>
      </c>
      <c r="F40" s="138">
        <v>5.8999999999999999E-3</v>
      </c>
      <c r="G40" s="126">
        <v>445.2287837479999</v>
      </c>
      <c r="H40" s="139">
        <v>0</v>
      </c>
      <c r="I40" s="126">
        <v>0</v>
      </c>
      <c r="J40" s="126"/>
      <c r="K40" s="127">
        <v>445.2287837479999</v>
      </c>
      <c r="L40" s="99">
        <v>686.20588573043369</v>
      </c>
      <c r="M40" s="128">
        <v>0</v>
      </c>
      <c r="N40" s="129">
        <v>187.90600000000001</v>
      </c>
      <c r="O40" s="130">
        <v>0</v>
      </c>
      <c r="P40" s="130">
        <v>0</v>
      </c>
      <c r="Q40" s="130">
        <v>53.071101982433731</v>
      </c>
      <c r="R40" s="131">
        <v>0</v>
      </c>
      <c r="S40" s="318"/>
      <c r="T40" s="2109">
        <v>403.7327949648905</v>
      </c>
      <c r="U40" s="2109">
        <v>279.2287837479999</v>
      </c>
      <c r="V40" s="2485">
        <v>166</v>
      </c>
      <c r="W40" s="2109"/>
      <c r="X40" s="2109"/>
      <c r="Y40" s="2109">
        <v>237.7327949648905</v>
      </c>
      <c r="Z40" s="324"/>
      <c r="AA40" s="133"/>
      <c r="AB40" s="134">
        <v>0</v>
      </c>
      <c r="AC40" s="135">
        <v>290.80389694732423</v>
      </c>
      <c r="AD40" s="135">
        <v>41.495988783109397</v>
      </c>
      <c r="AE40" s="136">
        <v>0</v>
      </c>
      <c r="AF40" s="109">
        <v>0</v>
      </c>
      <c r="AG40" s="110">
        <v>353.90600000000001</v>
      </c>
      <c r="AH40" s="111">
        <v>0</v>
      </c>
      <c r="AI40" s="112">
        <v>353.90600000000001</v>
      </c>
      <c r="AJ40" s="113">
        <v>0</v>
      </c>
      <c r="AK40" s="114">
        <v>353.90600000000001</v>
      </c>
      <c r="AL40" s="115">
        <v>332.29988573043363</v>
      </c>
      <c r="AM40" s="116">
        <v>0</v>
      </c>
      <c r="AN40" s="117" t="s">
        <v>153</v>
      </c>
      <c r="AO40" s="118">
        <v>0.51574317177895346</v>
      </c>
      <c r="AP40" s="119" t="s">
        <v>153</v>
      </c>
      <c r="AQ40" s="120">
        <v>0.51574317177895346</v>
      </c>
      <c r="AR40" s="121" t="s">
        <v>153</v>
      </c>
      <c r="AS40" s="122">
        <v>0.51574317177895346</v>
      </c>
      <c r="AT40" s="123">
        <v>0.48425682822104643</v>
      </c>
      <c r="AU40" s="124" t="s">
        <v>153</v>
      </c>
      <c r="AV40" s="61">
        <v>0</v>
      </c>
      <c r="AX40" s="61"/>
    </row>
    <row r="41" spans="1:50" x14ac:dyDescent="0.3">
      <c r="A41" s="155" t="s">
        <v>246</v>
      </c>
      <c r="B41" s="92">
        <v>6195.2944674709797</v>
      </c>
      <c r="C41" s="93">
        <v>0.60322606926418676</v>
      </c>
      <c r="D41" s="137">
        <v>6738.0944674709799</v>
      </c>
      <c r="E41" s="94">
        <v>0.65607765075330093</v>
      </c>
      <c r="F41" s="138">
        <v>5.3999999999999999E-2</v>
      </c>
      <c r="G41" s="126">
        <v>4074.9753088799994</v>
      </c>
      <c r="H41" s="139">
        <v>0</v>
      </c>
      <c r="I41" s="126">
        <v>0</v>
      </c>
      <c r="J41" s="126"/>
      <c r="K41" s="127">
        <v>4074.9753088799994</v>
      </c>
      <c r="L41" s="99">
        <v>10270.269776350979</v>
      </c>
      <c r="M41" s="128">
        <v>0</v>
      </c>
      <c r="N41" s="129">
        <v>5332.1698359999982</v>
      </c>
      <c r="O41" s="130">
        <v>0</v>
      </c>
      <c r="P41" s="130">
        <v>0</v>
      </c>
      <c r="Q41" s="130">
        <v>863.12463147098083</v>
      </c>
      <c r="R41" s="131">
        <v>0</v>
      </c>
      <c r="S41" s="318"/>
      <c r="T41" s="2109">
        <v>3695.1815132379816</v>
      </c>
      <c r="U41" s="2109">
        <v>3532.1753088799992</v>
      </c>
      <c r="V41" s="2485">
        <v>542.80000000000007</v>
      </c>
      <c r="W41" s="2109"/>
      <c r="X41" s="2109"/>
      <c r="Y41" s="2109">
        <v>3152.3815132379814</v>
      </c>
      <c r="Z41" s="324"/>
      <c r="AA41" s="133"/>
      <c r="AB41" s="134">
        <v>0</v>
      </c>
      <c r="AC41" s="135">
        <v>4015.506144708962</v>
      </c>
      <c r="AD41" s="135">
        <v>379.79379564201781</v>
      </c>
      <c r="AE41" s="136">
        <v>0</v>
      </c>
      <c r="AF41" s="109">
        <v>0</v>
      </c>
      <c r="AG41" s="110">
        <v>5874.9698359999984</v>
      </c>
      <c r="AH41" s="111">
        <v>0</v>
      </c>
      <c r="AI41" s="112">
        <v>5874.9698359999984</v>
      </c>
      <c r="AJ41" s="113">
        <v>0</v>
      </c>
      <c r="AK41" s="114">
        <v>5874.9698359999984</v>
      </c>
      <c r="AL41" s="115">
        <v>4395.2999403509803</v>
      </c>
      <c r="AM41" s="116">
        <v>0</v>
      </c>
      <c r="AN41" s="117" t="s">
        <v>153</v>
      </c>
      <c r="AO41" s="118">
        <v>0.57203656417362114</v>
      </c>
      <c r="AP41" s="119" t="s">
        <v>153</v>
      </c>
      <c r="AQ41" s="120">
        <v>0.57203656417362114</v>
      </c>
      <c r="AR41" s="121" t="s">
        <v>153</v>
      </c>
      <c r="AS41" s="122">
        <v>0.57203656417362114</v>
      </c>
      <c r="AT41" s="123">
        <v>0.42796343582637886</v>
      </c>
      <c r="AU41" s="124" t="s">
        <v>153</v>
      </c>
      <c r="AV41" s="61">
        <v>0</v>
      </c>
      <c r="AX41" s="61"/>
    </row>
    <row r="42" spans="1:50" ht="13.2" x14ac:dyDescent="0.25">
      <c r="A42" s="155" t="s">
        <v>247</v>
      </c>
      <c r="B42" s="92">
        <v>941.68435022761548</v>
      </c>
      <c r="C42" s="141">
        <v>0.32096735238128821</v>
      </c>
      <c r="D42" s="142">
        <v>2493.6843502276156</v>
      </c>
      <c r="E42" s="143">
        <v>0.84995706191118858</v>
      </c>
      <c r="F42" s="144">
        <v>2.64E-2</v>
      </c>
      <c r="G42" s="126">
        <v>1992.2101510079997</v>
      </c>
      <c r="H42" s="145">
        <v>0</v>
      </c>
      <c r="I42" s="126">
        <v>0</v>
      </c>
      <c r="J42" s="126"/>
      <c r="K42" s="127">
        <v>1992.2101510079997</v>
      </c>
      <c r="L42" s="99">
        <v>2933.8945012356153</v>
      </c>
      <c r="M42" s="128">
        <v>0</v>
      </c>
      <c r="N42" s="129">
        <v>680.72800000000007</v>
      </c>
      <c r="O42" s="130">
        <v>0</v>
      </c>
      <c r="P42" s="130">
        <v>0</v>
      </c>
      <c r="Q42" s="130">
        <v>260.95635022761547</v>
      </c>
      <c r="R42" s="131">
        <v>0</v>
      </c>
      <c r="S42" s="318">
        <v>0</v>
      </c>
      <c r="T42" s="2109">
        <v>1806.5331842496796</v>
      </c>
      <c r="U42" s="2109">
        <v>440.21015100799974</v>
      </c>
      <c r="V42" s="2485">
        <v>1552</v>
      </c>
      <c r="W42" s="2109">
        <v>0</v>
      </c>
      <c r="X42" s="2109">
        <v>0</v>
      </c>
      <c r="Y42" s="2109">
        <v>254.53318424967966</v>
      </c>
      <c r="Z42" s="324">
        <v>0</v>
      </c>
      <c r="AA42" s="133">
        <v>0</v>
      </c>
      <c r="AB42" s="134">
        <v>0</v>
      </c>
      <c r="AC42" s="135">
        <v>515.48953447729514</v>
      </c>
      <c r="AD42" s="135">
        <v>185.67696675832008</v>
      </c>
      <c r="AE42" s="136">
        <v>0</v>
      </c>
      <c r="AF42" s="109">
        <v>0</v>
      </c>
      <c r="AG42" s="110">
        <v>2232.7280000000001</v>
      </c>
      <c r="AH42" s="111">
        <v>0</v>
      </c>
      <c r="AI42" s="112">
        <v>2232.7280000000001</v>
      </c>
      <c r="AJ42" s="113">
        <v>0</v>
      </c>
      <c r="AK42" s="114">
        <v>2232.7280000000001</v>
      </c>
      <c r="AL42" s="115">
        <v>701.16650123561521</v>
      </c>
      <c r="AM42" s="116">
        <v>0</v>
      </c>
      <c r="AN42" s="146" t="s">
        <v>153</v>
      </c>
      <c r="AO42" s="147">
        <v>0.76101168568252275</v>
      </c>
      <c r="AP42" s="148" t="s">
        <v>153</v>
      </c>
      <c r="AQ42" s="149">
        <v>0.76101168568252275</v>
      </c>
      <c r="AR42" s="150" t="s">
        <v>153</v>
      </c>
      <c r="AS42" s="151">
        <v>0.76101168568252275</v>
      </c>
      <c r="AT42" s="152">
        <v>0.23898831431747719</v>
      </c>
      <c r="AU42" s="153" t="s">
        <v>153</v>
      </c>
      <c r="AV42" s="61">
        <v>0</v>
      </c>
      <c r="AX42" s="61"/>
    </row>
    <row r="43" spans="1:50" x14ac:dyDescent="0.3">
      <c r="A43" s="155" t="s">
        <v>178</v>
      </c>
      <c r="B43" s="92">
        <v>0</v>
      </c>
      <c r="C43" s="93">
        <v>0</v>
      </c>
      <c r="D43" s="137">
        <v>0</v>
      </c>
      <c r="E43" s="94">
        <v>0</v>
      </c>
      <c r="F43" s="138">
        <v>4.0000000000000002E-4</v>
      </c>
      <c r="G43" s="126">
        <v>30.185002287999996</v>
      </c>
      <c r="H43" s="139">
        <v>0</v>
      </c>
      <c r="I43" s="126">
        <v>0</v>
      </c>
      <c r="J43" s="126"/>
      <c r="K43" s="127">
        <v>30.185002287999996</v>
      </c>
      <c r="L43" s="99">
        <v>30.185002287999996</v>
      </c>
      <c r="M43" s="128">
        <v>0</v>
      </c>
      <c r="N43" s="129">
        <v>0</v>
      </c>
      <c r="O43" s="130">
        <v>0</v>
      </c>
      <c r="P43" s="130">
        <v>0</v>
      </c>
      <c r="Q43" s="130">
        <v>0</v>
      </c>
      <c r="R43" s="131">
        <v>0</v>
      </c>
      <c r="S43" s="318"/>
      <c r="T43" s="2109">
        <v>27.371714912873937</v>
      </c>
      <c r="U43" s="2109">
        <v>30.185002287999996</v>
      </c>
      <c r="V43" s="2485"/>
      <c r="W43" s="2109"/>
      <c r="X43" s="2109"/>
      <c r="Y43" s="2109">
        <v>27.371714912873937</v>
      </c>
      <c r="Z43" s="324"/>
      <c r="AA43" s="133"/>
      <c r="AB43" s="134">
        <v>0</v>
      </c>
      <c r="AC43" s="135">
        <v>27.371714912873937</v>
      </c>
      <c r="AD43" s="135">
        <v>2.813287375126059</v>
      </c>
      <c r="AE43" s="136">
        <v>0</v>
      </c>
      <c r="AF43" s="109">
        <v>0</v>
      </c>
      <c r="AG43" s="110">
        <v>0</v>
      </c>
      <c r="AH43" s="111">
        <v>0</v>
      </c>
      <c r="AI43" s="112">
        <v>0</v>
      </c>
      <c r="AJ43" s="113">
        <v>0</v>
      </c>
      <c r="AK43" s="114">
        <v>0</v>
      </c>
      <c r="AL43" s="115">
        <v>30.185002287999996</v>
      </c>
      <c r="AM43" s="116">
        <v>0</v>
      </c>
      <c r="AN43" s="117" t="s">
        <v>153</v>
      </c>
      <c r="AO43" s="118" t="s">
        <v>153</v>
      </c>
      <c r="AP43" s="119" t="s">
        <v>153</v>
      </c>
      <c r="AQ43" s="120" t="s">
        <v>153</v>
      </c>
      <c r="AR43" s="121" t="s">
        <v>153</v>
      </c>
      <c r="AS43" s="122" t="s">
        <v>153</v>
      </c>
      <c r="AT43" s="123">
        <v>1</v>
      </c>
      <c r="AU43" s="124" t="s">
        <v>153</v>
      </c>
      <c r="AV43" s="61">
        <v>0</v>
      </c>
      <c r="AX43" s="61"/>
    </row>
    <row r="44" spans="1:50" ht="15" thickBot="1" x14ac:dyDescent="0.35">
      <c r="A44" s="155" t="s">
        <v>65</v>
      </c>
      <c r="B44" s="92">
        <v>0</v>
      </c>
      <c r="C44" s="250" t="e">
        <v>#DIV/0!</v>
      </c>
      <c r="D44" s="251">
        <v>0</v>
      </c>
      <c r="E44" s="252" t="e">
        <v>#DIV/0!</v>
      </c>
      <c r="F44" s="253">
        <v>0</v>
      </c>
      <c r="G44" s="254">
        <v>0</v>
      </c>
      <c r="H44" s="255">
        <v>0</v>
      </c>
      <c r="I44" s="254">
        <v>0</v>
      </c>
      <c r="J44" s="254"/>
      <c r="K44" s="256">
        <v>0</v>
      </c>
      <c r="L44" s="257">
        <v>0</v>
      </c>
      <c r="M44" s="258">
        <v>0</v>
      </c>
      <c r="N44" s="259">
        <v>0</v>
      </c>
      <c r="O44" s="260">
        <v>0</v>
      </c>
      <c r="P44" s="260">
        <v>0</v>
      </c>
      <c r="Q44" s="260">
        <v>0</v>
      </c>
      <c r="R44" s="261">
        <v>0</v>
      </c>
      <c r="S44" s="351"/>
      <c r="T44" s="262">
        <v>0</v>
      </c>
      <c r="U44" s="262">
        <v>0</v>
      </c>
      <c r="V44" s="262"/>
      <c r="W44" s="262"/>
      <c r="X44" s="262"/>
      <c r="Y44" s="262">
        <v>0</v>
      </c>
      <c r="Z44" s="2486"/>
      <c r="AA44" s="263"/>
      <c r="AB44" s="264">
        <v>0</v>
      </c>
      <c r="AC44" s="265">
        <v>0</v>
      </c>
      <c r="AD44" s="265">
        <v>0</v>
      </c>
      <c r="AE44" s="136">
        <v>0</v>
      </c>
      <c r="AF44" s="109">
        <v>0</v>
      </c>
      <c r="AG44" s="110">
        <v>0</v>
      </c>
      <c r="AH44" s="111">
        <v>0</v>
      </c>
      <c r="AI44" s="112">
        <v>0</v>
      </c>
      <c r="AJ44" s="113">
        <v>0</v>
      </c>
      <c r="AK44" s="114">
        <v>0</v>
      </c>
      <c r="AL44" s="115">
        <v>0</v>
      </c>
      <c r="AM44" s="116">
        <v>0</v>
      </c>
      <c r="AN44" s="117" t="s">
        <v>153</v>
      </c>
      <c r="AO44" s="118" t="s">
        <v>153</v>
      </c>
      <c r="AP44" s="119" t="s">
        <v>153</v>
      </c>
      <c r="AQ44" s="120" t="s">
        <v>153</v>
      </c>
      <c r="AR44" s="121" t="s">
        <v>153</v>
      </c>
      <c r="AS44" s="122" t="s">
        <v>153</v>
      </c>
      <c r="AT44" s="123" t="s">
        <v>153</v>
      </c>
      <c r="AU44" s="124" t="s">
        <v>153</v>
      </c>
      <c r="AV44" s="61">
        <v>0</v>
      </c>
      <c r="AX44" s="61"/>
    </row>
    <row r="45" spans="1:50" x14ac:dyDescent="0.3">
      <c r="V45" s="61"/>
      <c r="W45" s="61"/>
      <c r="X45" s="61"/>
      <c r="Y45" s="61"/>
    </row>
    <row r="46" spans="1:50" x14ac:dyDescent="0.3">
      <c r="A46" s="1" t="s">
        <v>1470</v>
      </c>
      <c r="B46" s="512">
        <v>0</v>
      </c>
      <c r="C46" s="512">
        <v>-0.39560994601917993</v>
      </c>
      <c r="D46" s="512">
        <v>0</v>
      </c>
      <c r="E46" s="512">
        <v>-0.39560994601917993</v>
      </c>
      <c r="F46" s="512">
        <v>0</v>
      </c>
      <c r="G46" s="512">
        <v>0</v>
      </c>
      <c r="H46" s="512">
        <v>0.3306</v>
      </c>
      <c r="I46" s="512">
        <v>0</v>
      </c>
      <c r="J46" s="512">
        <v>0</v>
      </c>
      <c r="K46" s="512">
        <v>0</v>
      </c>
      <c r="L46" s="512">
        <v>0</v>
      </c>
      <c r="M46" s="512">
        <v>0</v>
      </c>
      <c r="N46" s="512">
        <v>0</v>
      </c>
      <c r="O46" s="512">
        <v>0</v>
      </c>
      <c r="P46" s="512">
        <v>0</v>
      </c>
      <c r="Q46" s="512">
        <v>0</v>
      </c>
      <c r="R46" s="512">
        <v>0</v>
      </c>
      <c r="S46" s="512">
        <v>0</v>
      </c>
      <c r="T46" s="512">
        <v>0</v>
      </c>
      <c r="U46" s="512">
        <v>0</v>
      </c>
      <c r="V46" s="512">
        <v>0</v>
      </c>
      <c r="W46" s="512">
        <v>0</v>
      </c>
      <c r="X46" s="512">
        <v>0</v>
      </c>
      <c r="Y46" s="512">
        <v>5.9117155615240335E-12</v>
      </c>
      <c r="Z46" s="512">
        <v>0</v>
      </c>
      <c r="AA46" s="512">
        <v>0</v>
      </c>
      <c r="AB46" s="512">
        <v>0</v>
      </c>
      <c r="AC46" s="512">
        <v>0</v>
      </c>
      <c r="AD46" s="512">
        <v>0</v>
      </c>
      <c r="AE46" s="512">
        <v>0</v>
      </c>
      <c r="AF46" s="512">
        <v>0</v>
      </c>
      <c r="AG46" s="512">
        <v>0</v>
      </c>
      <c r="AH46" s="512">
        <v>0</v>
      </c>
      <c r="AI46" s="512">
        <v>0</v>
      </c>
      <c r="AJ46" s="512">
        <v>0</v>
      </c>
      <c r="AK46" s="512">
        <v>0</v>
      </c>
      <c r="AL46" s="512">
        <v>0</v>
      </c>
      <c r="AM46" s="512">
        <v>0</v>
      </c>
      <c r="AN46" s="512" t="e">
        <v>#VALUE!</v>
      </c>
      <c r="AO46" s="512" t="e">
        <v>#VALUE!</v>
      </c>
      <c r="AP46" s="512">
        <v>-0.38769774709879623</v>
      </c>
      <c r="AQ46" s="512">
        <v>-0.38769774709879623</v>
      </c>
      <c r="AR46" s="512" t="e">
        <v>#VALUE!</v>
      </c>
      <c r="AS46" s="512">
        <v>-0.38769774709879623</v>
      </c>
      <c r="AT46" s="512">
        <v>-0.56697811962899425</v>
      </c>
      <c r="AU46" s="512" t="e">
        <v>#VALUE!</v>
      </c>
    </row>
    <row r="47" spans="1:50" x14ac:dyDescent="0.3">
      <c r="U47" s="266"/>
      <c r="V47" s="266"/>
    </row>
    <row r="48" spans="1:50" x14ac:dyDescent="0.3">
      <c r="D48" s="61"/>
      <c r="U48" s="266"/>
      <c r="V48" s="266"/>
      <c r="AL48" s="368"/>
      <c r="AM48" s="368"/>
    </row>
    <row r="49" spans="1:39" x14ac:dyDescent="0.3">
      <c r="A49" s="65" t="s">
        <v>183</v>
      </c>
      <c r="C49" s="61"/>
      <c r="T49" s="61"/>
      <c r="U49" s="266"/>
      <c r="V49" s="266"/>
      <c r="AL49" s="2472"/>
      <c r="AM49" s="368"/>
    </row>
    <row r="50" spans="1:39" x14ac:dyDescent="0.3">
      <c r="A50" s="52" t="s">
        <v>248</v>
      </c>
      <c r="U50" s="266"/>
      <c r="V50" s="266"/>
    </row>
    <row r="51" spans="1:39" x14ac:dyDescent="0.3">
      <c r="A51" s="52" t="s">
        <v>114</v>
      </c>
      <c r="B51" s="61">
        <v>2316.3267004552313</v>
      </c>
      <c r="U51" s="266"/>
      <c r="V51" s="266"/>
    </row>
    <row r="52" spans="1:39" x14ac:dyDescent="0.3">
      <c r="A52" s="52" t="s">
        <v>151</v>
      </c>
      <c r="B52" s="61"/>
      <c r="U52" s="266"/>
      <c r="V52" s="266"/>
    </row>
    <row r="53" spans="1:39" x14ac:dyDescent="0.3">
      <c r="B53" s="61">
        <v>-2636.5524336269332</v>
      </c>
    </row>
  </sheetData>
  <autoFilter ref="A4:AZ49" xr:uid="{00000000-0009-0000-0000-000006000000}"/>
  <mergeCells count="6">
    <mergeCell ref="AN3:AU3"/>
    <mergeCell ref="M3:R3"/>
    <mergeCell ref="S3:Z3"/>
    <mergeCell ref="AA3:AB3"/>
    <mergeCell ref="AC3:AE3"/>
    <mergeCell ref="AF3:A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CF69"/>
  <sheetViews>
    <sheetView workbookViewId="0"/>
  </sheetViews>
  <sheetFormatPr baseColWidth="10" defaultColWidth="10.6640625" defaultRowHeight="13.2" x14ac:dyDescent="0.25"/>
  <cols>
    <col min="1" max="1" width="32.6640625" style="52" customWidth="1"/>
    <col min="2" max="7" width="11.88671875" style="52" customWidth="1"/>
    <col min="8" max="8" width="13.44140625" style="52" customWidth="1"/>
    <col min="9" max="9" width="11.88671875" style="52" customWidth="1"/>
    <col min="10" max="10" width="13.109375" style="52" customWidth="1"/>
    <col min="11" max="11" width="11.88671875" style="52" customWidth="1"/>
    <col min="12" max="12" width="12.5546875" style="52" customWidth="1"/>
    <col min="13" max="18" width="11.88671875" style="52" customWidth="1"/>
    <col min="19" max="19" width="11.88671875" style="52" hidden="1" customWidth="1"/>
    <col min="20" max="20" width="11.88671875" style="376" hidden="1" customWidth="1"/>
    <col min="21" max="21" width="11.88671875" style="52" hidden="1" customWidth="1"/>
    <col min="22" max="22" width="11.88671875" style="376" hidden="1" customWidth="1"/>
    <col min="23" max="23" width="11.88671875" style="52" hidden="1" customWidth="1"/>
    <col min="24" max="24" width="11.88671875" style="376" hidden="1" customWidth="1"/>
    <col min="25" max="31" width="11.88671875" style="52" customWidth="1"/>
    <col min="32" max="32" width="14" style="52" bestFit="1" customWidth="1"/>
    <col min="33" max="33" width="16.5546875" style="52" customWidth="1"/>
    <col min="34" max="40" width="11.88671875" style="52" customWidth="1"/>
    <col min="41" max="43" width="10.6640625" style="52"/>
    <col min="44" max="45" width="12.109375" style="52" customWidth="1"/>
    <col min="46" max="48" width="10.6640625" style="52"/>
    <col min="49" max="49" width="12" style="52" customWidth="1"/>
    <col min="50" max="52" width="10.6640625" style="52"/>
    <col min="53" max="54" width="12" style="52" customWidth="1"/>
    <col min="55" max="57" width="10.6640625" style="52"/>
    <col min="58" max="58" width="4.109375" style="61" customWidth="1"/>
    <col min="59" max="59" width="3.5546875" style="52" customWidth="1"/>
    <col min="60" max="16384" width="10.6640625" style="52"/>
  </cols>
  <sheetData>
    <row r="1" spans="1:84" ht="27" thickBot="1" x14ac:dyDescent="0.3">
      <c r="A1" s="51" t="s">
        <v>189</v>
      </c>
      <c r="C1" s="5" t="s">
        <v>150</v>
      </c>
      <c r="D1" s="53">
        <v>744141</v>
      </c>
      <c r="F1" s="371" t="s">
        <v>11</v>
      </c>
      <c r="G1" s="372">
        <v>118402.63679263063</v>
      </c>
      <c r="H1" s="371" t="s">
        <v>99</v>
      </c>
      <c r="I1" s="372">
        <v>10115.740558054837</v>
      </c>
      <c r="J1" s="373" t="s">
        <v>190</v>
      </c>
      <c r="K1" s="374">
        <v>128518.37735068546</v>
      </c>
      <c r="P1" s="61"/>
      <c r="Z1" s="374" t="s">
        <v>1462</v>
      </c>
      <c r="AA1" s="374">
        <v>119978.988</v>
      </c>
      <c r="AB1" s="61"/>
      <c r="AD1" s="61"/>
      <c r="AG1" s="61"/>
    </row>
    <row r="2" spans="1:84" ht="13.8" thickBot="1" x14ac:dyDescent="0.3">
      <c r="A2" s="63" t="s">
        <v>184</v>
      </c>
      <c r="B2" s="61"/>
      <c r="AD2" s="61"/>
    </row>
    <row r="3" spans="1:84" ht="16.5" customHeight="1" thickBot="1" x14ac:dyDescent="0.35">
      <c r="A3" s="52">
        <v>2020</v>
      </c>
      <c r="B3" s="61"/>
      <c r="M3" s="3762" t="s">
        <v>193</v>
      </c>
      <c r="N3" s="3763"/>
      <c r="O3" s="3763"/>
      <c r="P3" s="3763"/>
      <c r="Q3" s="3763"/>
      <c r="R3" s="3764"/>
      <c r="S3" s="2364"/>
      <c r="T3" s="377"/>
      <c r="U3" s="2364"/>
      <c r="V3" s="377"/>
      <c r="W3" s="2364"/>
      <c r="X3" s="377"/>
      <c r="Y3" s="2364"/>
      <c r="Z3" s="2364"/>
      <c r="AA3" s="2364"/>
      <c r="AB3" s="2364"/>
      <c r="AC3" s="3741" t="s">
        <v>194</v>
      </c>
      <c r="AD3" s="3741"/>
      <c r="AE3" s="3741"/>
      <c r="AF3" s="3741"/>
      <c r="AG3" s="3741"/>
      <c r="AH3" s="3737" t="s">
        <v>134</v>
      </c>
      <c r="AI3" s="3737"/>
      <c r="AJ3" s="3737"/>
      <c r="AK3" s="2362" t="s">
        <v>133</v>
      </c>
      <c r="AL3" s="378"/>
      <c r="AM3" s="2363" t="s">
        <v>162</v>
      </c>
      <c r="AN3" s="3733" t="s">
        <v>195</v>
      </c>
      <c r="AO3" s="3733"/>
      <c r="AP3" s="3733"/>
      <c r="AQ3" s="3733"/>
      <c r="AR3" s="3733"/>
      <c r="AS3" s="3733"/>
      <c r="AT3" s="3733"/>
      <c r="AU3" s="3733"/>
      <c r="AV3" s="3733"/>
      <c r="AW3" s="3733" t="s">
        <v>196</v>
      </c>
      <c r="AX3" s="3733"/>
      <c r="AY3" s="3733"/>
      <c r="AZ3" s="3733"/>
      <c r="BA3" s="3733"/>
      <c r="BB3" s="3733"/>
      <c r="BC3" s="3733"/>
      <c r="BD3" s="3733"/>
      <c r="BE3" s="3733"/>
      <c r="BF3" s="379" t="s">
        <v>268</v>
      </c>
      <c r="BG3" s="65" t="s">
        <v>119</v>
      </c>
      <c r="BH3" s="65"/>
    </row>
    <row r="4" spans="1:84" ht="53.4" thickBot="1" x14ac:dyDescent="0.3">
      <c r="A4" s="8" t="s">
        <v>198</v>
      </c>
      <c r="B4" s="66" t="s">
        <v>9</v>
      </c>
      <c r="C4" s="67" t="s">
        <v>199</v>
      </c>
      <c r="D4" s="67" t="s">
        <v>158</v>
      </c>
      <c r="E4" s="380" t="s">
        <v>200</v>
      </c>
      <c r="F4" s="381" t="s">
        <v>201</v>
      </c>
      <c r="G4" s="70" t="s">
        <v>11</v>
      </c>
      <c r="H4" s="70" t="s">
        <v>202</v>
      </c>
      <c r="I4" s="70" t="s">
        <v>99</v>
      </c>
      <c r="J4" s="70" t="s">
        <v>203</v>
      </c>
      <c r="K4" s="71" t="s">
        <v>204</v>
      </c>
      <c r="L4" s="382" t="s">
        <v>205</v>
      </c>
      <c r="M4" s="383" t="s">
        <v>206</v>
      </c>
      <c r="N4" s="384" t="s">
        <v>207</v>
      </c>
      <c r="O4" s="385" t="s">
        <v>140</v>
      </c>
      <c r="P4" s="385" t="s">
        <v>269</v>
      </c>
      <c r="Q4" s="385" t="s">
        <v>133</v>
      </c>
      <c r="R4" s="386" t="s">
        <v>162</v>
      </c>
      <c r="S4" s="387" t="s">
        <v>270</v>
      </c>
      <c r="T4" s="388" t="s">
        <v>271</v>
      </c>
      <c r="U4" s="387" t="s">
        <v>272</v>
      </c>
      <c r="V4" s="388" t="s">
        <v>273</v>
      </c>
      <c r="W4" s="387" t="s">
        <v>274</v>
      </c>
      <c r="X4" s="388" t="s">
        <v>275</v>
      </c>
      <c r="Y4" s="389" t="s">
        <v>276</v>
      </c>
      <c r="Z4" s="390" t="s">
        <v>212</v>
      </c>
      <c r="AA4" s="390" t="s">
        <v>197</v>
      </c>
      <c r="AB4" s="390" t="s">
        <v>1463</v>
      </c>
      <c r="AC4" s="77" t="s">
        <v>122</v>
      </c>
      <c r="AD4" s="391" t="s">
        <v>277</v>
      </c>
      <c r="AE4" s="391" t="s">
        <v>278</v>
      </c>
      <c r="AF4" s="392" t="s">
        <v>279</v>
      </c>
      <c r="AG4" s="393" t="s">
        <v>280</v>
      </c>
      <c r="AH4" s="394" t="s">
        <v>218</v>
      </c>
      <c r="AI4" s="79" t="s">
        <v>257</v>
      </c>
      <c r="AJ4" s="79" t="s">
        <v>281</v>
      </c>
      <c r="AK4" s="283" t="s">
        <v>209</v>
      </c>
      <c r="AL4" s="285" t="s">
        <v>219</v>
      </c>
      <c r="AM4" s="395" t="s">
        <v>282</v>
      </c>
      <c r="AN4" s="287" t="s">
        <v>220</v>
      </c>
      <c r="AO4" s="89" t="s">
        <v>221</v>
      </c>
      <c r="AP4" s="90" t="s">
        <v>222</v>
      </c>
      <c r="AQ4" s="83" t="s">
        <v>223</v>
      </c>
      <c r="AR4" s="84" t="s">
        <v>224</v>
      </c>
      <c r="AS4" s="85" t="s">
        <v>225</v>
      </c>
      <c r="AT4" s="86" t="s">
        <v>226</v>
      </c>
      <c r="AU4" s="396" t="s">
        <v>259</v>
      </c>
      <c r="AV4" s="397" t="s">
        <v>227</v>
      </c>
      <c r="AW4" s="287" t="s">
        <v>228</v>
      </c>
      <c r="AX4" s="89" t="s">
        <v>229</v>
      </c>
      <c r="AY4" s="90" t="s">
        <v>230</v>
      </c>
      <c r="AZ4" s="83" t="s">
        <v>231</v>
      </c>
      <c r="BA4" s="84" t="s">
        <v>232</v>
      </c>
      <c r="BB4" s="91" t="s">
        <v>233</v>
      </c>
      <c r="BC4" s="86" t="s">
        <v>234</v>
      </c>
      <c r="BD4" s="398" t="s">
        <v>260</v>
      </c>
      <c r="BE4" s="87" t="s">
        <v>235</v>
      </c>
      <c r="BF4" s="61" t="s">
        <v>283</v>
      </c>
    </row>
    <row r="5" spans="1:84" ht="14.4" x14ac:dyDescent="0.3">
      <c r="A5" s="8" t="s">
        <v>113</v>
      </c>
      <c r="B5" s="92">
        <v>182507.14130388483</v>
      </c>
      <c r="C5" s="93">
        <v>0.59425947761959408</v>
      </c>
      <c r="D5" s="92">
        <v>185026.8398453487</v>
      </c>
      <c r="E5" s="94">
        <v>0.60246384008076481</v>
      </c>
      <c r="F5" s="95">
        <v>0.96709999999999996</v>
      </c>
      <c r="G5" s="96">
        <v>114507.19004215309</v>
      </c>
      <c r="H5" s="97">
        <v>0.99870000000000003</v>
      </c>
      <c r="I5" s="96">
        <v>10102.590095329364</v>
      </c>
      <c r="J5" s="399"/>
      <c r="K5" s="98">
        <v>124609.78013748245</v>
      </c>
      <c r="L5" s="99">
        <v>307116.92144136725</v>
      </c>
      <c r="M5" s="400">
        <v>3087.7058276366356</v>
      </c>
      <c r="N5" s="401">
        <v>110850.72912561927</v>
      </c>
      <c r="O5" s="402">
        <v>57515.990025200001</v>
      </c>
      <c r="P5" s="402">
        <v>7958.1036530248603</v>
      </c>
      <c r="Q5" s="402">
        <v>2941.5862213840323</v>
      </c>
      <c r="R5" s="403">
        <v>153.02645102000042</v>
      </c>
      <c r="S5" s="404">
        <v>116031.67929479999</v>
      </c>
      <c r="T5" s="405">
        <v>-298.41780098243908</v>
      </c>
      <c r="U5" s="404">
        <v>62694.060174400001</v>
      </c>
      <c r="V5" s="405">
        <v>688.40937531756208</v>
      </c>
      <c r="W5" s="404">
        <v>53337.619120399992</v>
      </c>
      <c r="X5" s="405">
        <v>-986.82717630000116</v>
      </c>
      <c r="Y5" s="406">
        <v>8258.4434410479134</v>
      </c>
      <c r="Z5" s="407">
        <v>116330.09709578242</v>
      </c>
      <c r="AA5" s="408">
        <v>0</v>
      </c>
      <c r="AB5" s="408">
        <v>112755.3170957824</v>
      </c>
      <c r="AC5" s="305">
        <v>3574.7799999999997</v>
      </c>
      <c r="AD5" s="305">
        <v>47400.843999999997</v>
      </c>
      <c r="AE5" s="104">
        <v>11030.026799082443</v>
      </c>
      <c r="AF5" s="104">
        <v>24329.699296699993</v>
      </c>
      <c r="AG5" s="409">
        <v>29994.746999999999</v>
      </c>
      <c r="AH5" s="410">
        <v>0</v>
      </c>
      <c r="AI5" s="411">
        <v>47400.843999999997</v>
      </c>
      <c r="AJ5" s="106">
        <v>7958.1036530248603</v>
      </c>
      <c r="AK5" s="307">
        <v>13971.613020466479</v>
      </c>
      <c r="AL5" s="136">
        <v>8279.6830417000219</v>
      </c>
      <c r="AM5" s="412">
        <v>30147.773451019999</v>
      </c>
      <c r="AN5" s="92">
        <v>3087.7058276366356</v>
      </c>
      <c r="AO5" s="110">
        <v>114425.50912561927</v>
      </c>
      <c r="AP5" s="111">
        <v>57515.990025200001</v>
      </c>
      <c r="AQ5" s="112">
        <v>175029.20497845591</v>
      </c>
      <c r="AR5" s="113">
        <v>55358.947653024858</v>
      </c>
      <c r="AS5" s="114">
        <v>230388.15263148077</v>
      </c>
      <c r="AT5" s="115">
        <v>22251.296062166501</v>
      </c>
      <c r="AU5" s="413">
        <v>24329.699296699993</v>
      </c>
      <c r="AV5" s="414">
        <v>30147.773451019999</v>
      </c>
      <c r="AW5" s="311">
        <v>1.0053844682817713E-2</v>
      </c>
      <c r="AX5" s="118">
        <v>0.37257963054785515</v>
      </c>
      <c r="AY5" s="119">
        <v>0.18727717689818202</v>
      </c>
      <c r="AZ5" s="120">
        <v>0.56991065212885494</v>
      </c>
      <c r="BA5" s="121">
        <v>0.18025365516563902</v>
      </c>
      <c r="BB5" s="122">
        <v>0.7501643072944939</v>
      </c>
      <c r="BC5" s="123">
        <v>7.2452198197794748E-2</v>
      </c>
      <c r="BD5" s="415">
        <v>7.921966390687743E-2</v>
      </c>
      <c r="BE5" s="124">
        <v>9.8163830600833946E-2</v>
      </c>
      <c r="BF5" s="61">
        <v>0</v>
      </c>
      <c r="BH5" s="61"/>
    </row>
    <row r="6" spans="1:84" ht="14.4" x14ac:dyDescent="0.3">
      <c r="A6" s="8" t="s">
        <v>236</v>
      </c>
      <c r="B6" s="92">
        <v>201288.54894119172</v>
      </c>
      <c r="C6" s="93">
        <v>0.61032238226268343</v>
      </c>
      <c r="D6" s="92">
        <v>203808.2474826556</v>
      </c>
      <c r="E6" s="94">
        <v>0.61796230229042104</v>
      </c>
      <c r="F6" s="2113">
        <v>1</v>
      </c>
      <c r="G6" s="126">
        <v>118402.63679263064</v>
      </c>
      <c r="H6" s="2114">
        <v>1</v>
      </c>
      <c r="I6" s="126">
        <v>10115.740558054835</v>
      </c>
      <c r="J6" s="300"/>
      <c r="K6" s="127">
        <v>128518.37735068546</v>
      </c>
      <c r="L6" s="99">
        <v>329806.92629187717</v>
      </c>
      <c r="M6" s="92">
        <v>3087.7058276366356</v>
      </c>
      <c r="N6" s="110">
        <v>124936.78485359944</v>
      </c>
      <c r="O6" s="111">
        <v>57515.990025200001</v>
      </c>
      <c r="P6" s="111">
        <v>7958.1036530248603</v>
      </c>
      <c r="Q6" s="111">
        <v>7636.9381307107578</v>
      </c>
      <c r="R6" s="416">
        <v>153.02645102000042</v>
      </c>
      <c r="S6" s="404">
        <v>119978.988</v>
      </c>
      <c r="T6" s="405">
        <v>0</v>
      </c>
      <c r="U6" s="404">
        <v>64826.864000000001</v>
      </c>
      <c r="V6" s="405">
        <v>-1.4551915228366852E-11</v>
      </c>
      <c r="W6" s="404">
        <v>55152.123999999989</v>
      </c>
      <c r="X6" s="405">
        <v>0</v>
      </c>
      <c r="Y6" s="406">
        <v>8539.3893506854656</v>
      </c>
      <c r="Z6" s="375">
        <v>119978.988</v>
      </c>
      <c r="AA6" s="417">
        <v>0</v>
      </c>
      <c r="AB6" s="417">
        <v>116404.20799999998</v>
      </c>
      <c r="AC6" s="418">
        <v>3574.7799999999997</v>
      </c>
      <c r="AD6" s="419">
        <v>47400.843999999997</v>
      </c>
      <c r="AE6" s="420">
        <v>13851.24000000002</v>
      </c>
      <c r="AF6" s="417">
        <v>25157.376999999993</v>
      </c>
      <c r="AG6" s="421">
        <v>29994.746999999999</v>
      </c>
      <c r="AH6" s="422"/>
      <c r="AI6" s="423">
        <v>47400.843999999997</v>
      </c>
      <c r="AJ6" s="134">
        <v>7958.1036530248603</v>
      </c>
      <c r="AK6" s="307">
        <v>21488.178130710781</v>
      </c>
      <c r="AL6" s="136">
        <v>8539.3893506854638</v>
      </c>
      <c r="AM6" s="412">
        <v>30147.773451019999</v>
      </c>
      <c r="AN6" s="92">
        <v>3087.7058276366356</v>
      </c>
      <c r="AO6" s="110">
        <v>128511.56485359944</v>
      </c>
      <c r="AP6" s="111">
        <v>57515.990025200001</v>
      </c>
      <c r="AQ6" s="112">
        <v>189115.26070643609</v>
      </c>
      <c r="AR6" s="113">
        <v>55358.947653024858</v>
      </c>
      <c r="AS6" s="114">
        <v>244474.20835946096</v>
      </c>
      <c r="AT6" s="115">
        <v>30027.567481396247</v>
      </c>
      <c r="AU6" s="413">
        <v>25157.376999999993</v>
      </c>
      <c r="AV6" s="414">
        <v>30147.773451019999</v>
      </c>
      <c r="AW6" s="311">
        <v>9.3621618634656401E-3</v>
      </c>
      <c r="AX6" s="118">
        <v>0.38965696172149966</v>
      </c>
      <c r="AY6" s="119">
        <v>0.17439291124619588</v>
      </c>
      <c r="AZ6" s="120">
        <v>0.57341203483116121</v>
      </c>
      <c r="BA6" s="121">
        <v>0.16785259265304975</v>
      </c>
      <c r="BB6" s="122">
        <v>0.74126462748421096</v>
      </c>
      <c r="BC6" s="123">
        <v>9.1045897122312189E-2</v>
      </c>
      <c r="BD6" s="415">
        <v>7.62791045138205E-2</v>
      </c>
      <c r="BE6" s="124">
        <v>9.1410370879656422E-2</v>
      </c>
      <c r="BF6" s="61">
        <v>0</v>
      </c>
      <c r="BH6" s="2628" t="s">
        <v>198</v>
      </c>
      <c r="BI6" s="2628" t="s">
        <v>395</v>
      </c>
      <c r="BJ6" s="2628" t="s">
        <v>156</v>
      </c>
      <c r="BK6" s="2628" t="s">
        <v>220</v>
      </c>
      <c r="BL6" s="2628" t="s">
        <v>221</v>
      </c>
      <c r="BM6" s="2628" t="s">
        <v>222</v>
      </c>
      <c r="BN6" s="2628" t="s">
        <v>223</v>
      </c>
      <c r="BO6" s="2628" t="s">
        <v>224</v>
      </c>
      <c r="BP6" s="2628" t="s">
        <v>225</v>
      </c>
      <c r="BQ6" s="2628" t="s">
        <v>226</v>
      </c>
      <c r="BR6" s="2628" t="s">
        <v>227</v>
      </c>
      <c r="BS6" s="2628" t="s">
        <v>259</v>
      </c>
      <c r="BT6" s="1"/>
      <c r="BU6" s="2628" t="s">
        <v>198</v>
      </c>
      <c r="BV6" s="2628" t="s">
        <v>395</v>
      </c>
      <c r="BW6" s="2628" t="s">
        <v>156</v>
      </c>
      <c r="BX6" s="2628" t="s">
        <v>228</v>
      </c>
      <c r="BY6" s="2628" t="s">
        <v>229</v>
      </c>
      <c r="BZ6" s="2628" t="s">
        <v>230</v>
      </c>
      <c r="CA6" s="2628" t="s">
        <v>231</v>
      </c>
      <c r="CB6" s="2628" t="s">
        <v>232</v>
      </c>
      <c r="CC6" s="2628" t="s">
        <v>233</v>
      </c>
      <c r="CD6" s="2628" t="s">
        <v>234</v>
      </c>
      <c r="CE6" s="2628" t="s">
        <v>235</v>
      </c>
      <c r="CF6" s="2628" t="s">
        <v>260</v>
      </c>
    </row>
    <row r="7" spans="1:84" ht="14.4" x14ac:dyDescent="0.3">
      <c r="A7" s="8" t="s">
        <v>14</v>
      </c>
      <c r="B7" s="92">
        <v>26106.08151</v>
      </c>
      <c r="C7" s="93">
        <v>0.62762994471671696</v>
      </c>
      <c r="D7" s="137">
        <v>28758.987051463861</v>
      </c>
      <c r="E7" s="94">
        <v>0.69140983285082225</v>
      </c>
      <c r="F7" s="138">
        <v>0.1191</v>
      </c>
      <c r="G7" s="126">
        <v>14101.754042002307</v>
      </c>
      <c r="H7" s="139">
        <v>0.1371</v>
      </c>
      <c r="I7" s="126">
        <v>1386.868030509318</v>
      </c>
      <c r="J7" s="300"/>
      <c r="K7" s="127">
        <v>15488.622072511625</v>
      </c>
      <c r="L7" s="99">
        <v>41594.703582511625</v>
      </c>
      <c r="M7" s="92">
        <v>0</v>
      </c>
      <c r="N7" s="110">
        <v>20170.718324742</v>
      </c>
      <c r="O7" s="424">
        <v>0</v>
      </c>
      <c r="P7" s="111">
        <v>5935.3631852580002</v>
      </c>
      <c r="Q7" s="111">
        <v>0</v>
      </c>
      <c r="R7" s="416">
        <v>0</v>
      </c>
      <c r="S7" s="404">
        <v>14289.497470799999</v>
      </c>
      <c r="T7" s="405">
        <v>-169.98482334441906</v>
      </c>
      <c r="U7" s="404">
        <v>7720.8795024000001</v>
      </c>
      <c r="V7" s="405">
        <v>-3742.3591910444184</v>
      </c>
      <c r="W7" s="404">
        <v>6568.617968399999</v>
      </c>
      <c r="X7" s="405">
        <v>3572.3743676999993</v>
      </c>
      <c r="Y7" s="406">
        <v>1017.041271666639</v>
      </c>
      <c r="Z7" s="375">
        <v>14459.482294144418</v>
      </c>
      <c r="AA7" s="417">
        <v>0</v>
      </c>
      <c r="AB7" s="417">
        <v>11806.576752680558</v>
      </c>
      <c r="AC7" s="418">
        <v>2652.9055414638606</v>
      </c>
      <c r="AD7" s="420">
        <v>8810.3331519805579</v>
      </c>
      <c r="AE7" s="420"/>
      <c r="AF7" s="417">
        <v>2996.2436006999997</v>
      </c>
      <c r="AG7" s="421"/>
      <c r="AH7" s="422"/>
      <c r="AI7" s="423">
        <v>8810.3331519805579</v>
      </c>
      <c r="AJ7" s="134">
        <v>5935.3631852580002</v>
      </c>
      <c r="AK7" s="307">
        <v>0</v>
      </c>
      <c r="AL7" s="136">
        <v>1029.1397783672078</v>
      </c>
      <c r="AM7" s="412">
        <v>0</v>
      </c>
      <c r="AN7" s="92">
        <v>0</v>
      </c>
      <c r="AO7" s="110">
        <v>22823.62386620586</v>
      </c>
      <c r="AP7" s="111">
        <v>0</v>
      </c>
      <c r="AQ7" s="112">
        <v>22823.62386620586</v>
      </c>
      <c r="AR7" s="113">
        <v>14745.696337238558</v>
      </c>
      <c r="AS7" s="114">
        <v>37569.320203444418</v>
      </c>
      <c r="AT7" s="115">
        <v>1029.1397783672078</v>
      </c>
      <c r="AU7" s="413">
        <v>2996.2436006999997</v>
      </c>
      <c r="AV7" s="414">
        <v>0</v>
      </c>
      <c r="AW7" s="311" t="s">
        <v>153</v>
      </c>
      <c r="AX7" s="118">
        <v>0.5487146655806916</v>
      </c>
      <c r="AY7" s="119" t="s">
        <v>153</v>
      </c>
      <c r="AZ7" s="120">
        <v>0.5487146655806916</v>
      </c>
      <c r="BA7" s="121">
        <v>0.35450898953967647</v>
      </c>
      <c r="BB7" s="122">
        <v>0.90322365512036806</v>
      </c>
      <c r="BC7" s="123">
        <v>2.4742087086296889E-2</v>
      </c>
      <c r="BD7" s="415">
        <v>7.2034257793335055E-2</v>
      </c>
      <c r="BE7" s="124" t="s">
        <v>153</v>
      </c>
      <c r="BF7" s="61">
        <v>0</v>
      </c>
      <c r="BH7" s="2629" t="s">
        <v>14</v>
      </c>
      <c r="BI7" s="2630">
        <v>41594.703582511625</v>
      </c>
      <c r="BJ7" s="2631">
        <v>0.62762994471671696</v>
      </c>
      <c r="BK7" s="2630">
        <v>0</v>
      </c>
      <c r="BL7" s="2630">
        <v>22823.62386620586</v>
      </c>
      <c r="BM7" s="2630">
        <v>0</v>
      </c>
      <c r="BN7" s="2630">
        <v>22823.62386620586</v>
      </c>
      <c r="BO7" s="2630">
        <v>14745.696337238558</v>
      </c>
      <c r="BP7" s="2630">
        <v>37569.320203444418</v>
      </c>
      <c r="BQ7" s="2630">
        <v>1029.1397783672078</v>
      </c>
      <c r="BR7" s="2630">
        <v>0</v>
      </c>
      <c r="BS7" s="2630">
        <v>2996.2436006999997</v>
      </c>
      <c r="BT7" s="1"/>
      <c r="BU7" s="2629" t="s">
        <v>14</v>
      </c>
      <c r="BV7" s="2630">
        <v>41594.703582511625</v>
      </c>
      <c r="BW7" s="2634">
        <v>0.62762994471671696</v>
      </c>
      <c r="BX7" s="2634" t="s">
        <v>153</v>
      </c>
      <c r="BY7" s="2634">
        <v>0.5487146655806916</v>
      </c>
      <c r="BZ7" s="2634" t="s">
        <v>153</v>
      </c>
      <c r="CA7" s="2634">
        <v>0.5487146655806916</v>
      </c>
      <c r="CB7" s="2634">
        <v>0.35450898953967647</v>
      </c>
      <c r="CC7" s="2634">
        <v>0.90322365512036806</v>
      </c>
      <c r="CD7" s="2634">
        <v>2.4742087086296889E-2</v>
      </c>
      <c r="CE7" s="2634" t="s">
        <v>153</v>
      </c>
      <c r="CF7" s="2634">
        <v>7.2034257793335055E-2</v>
      </c>
    </row>
    <row r="8" spans="1:84" ht="14.4" x14ac:dyDescent="0.3">
      <c r="A8" s="8" t="s">
        <v>32</v>
      </c>
      <c r="B8" s="92">
        <v>23942.253000000001</v>
      </c>
      <c r="C8" s="93">
        <v>0.78126888238500014</v>
      </c>
      <c r="D8" s="137">
        <v>23942.253000000001</v>
      </c>
      <c r="E8" s="94">
        <v>0.78126888238500014</v>
      </c>
      <c r="F8" s="138">
        <v>0.05</v>
      </c>
      <c r="G8" s="126">
        <v>5920.1318396315319</v>
      </c>
      <c r="H8" s="139">
        <v>7.7399999999999997E-2</v>
      </c>
      <c r="I8" s="126">
        <v>782.95831919344437</v>
      </c>
      <c r="J8" s="300"/>
      <c r="K8" s="127">
        <v>6703.0901588249762</v>
      </c>
      <c r="L8" s="99">
        <v>30645.343158824977</v>
      </c>
      <c r="M8" s="92">
        <v>0</v>
      </c>
      <c r="N8" s="110">
        <v>23197.648931700001</v>
      </c>
      <c r="O8" s="424">
        <v>0</v>
      </c>
      <c r="P8" s="111">
        <v>0</v>
      </c>
      <c r="Q8" s="111">
        <v>660.80618279999999</v>
      </c>
      <c r="R8" s="416">
        <v>83.797885500000405</v>
      </c>
      <c r="S8" s="404">
        <v>5998.9494000000004</v>
      </c>
      <c r="T8" s="405">
        <v>-258.75467553539238</v>
      </c>
      <c r="U8" s="404">
        <v>3241.3432000000003</v>
      </c>
      <c r="V8" s="405">
        <v>-1758.4920255353927</v>
      </c>
      <c r="W8" s="404">
        <v>2757.6062000000002</v>
      </c>
      <c r="X8" s="405">
        <v>1499.7373500000003</v>
      </c>
      <c r="Y8" s="406">
        <v>426.96946753427329</v>
      </c>
      <c r="Z8" s="375">
        <v>6257.7040755353928</v>
      </c>
      <c r="AA8" s="417">
        <v>0</v>
      </c>
      <c r="AB8" s="417">
        <v>6257.7040755353919</v>
      </c>
      <c r="AC8" s="418"/>
      <c r="AD8" s="420"/>
      <c r="AE8" s="420">
        <v>4999.835225535393</v>
      </c>
      <c r="AF8" s="417">
        <v>1257.8688499999998</v>
      </c>
      <c r="AG8" s="421"/>
      <c r="AH8" s="422"/>
      <c r="AI8" s="423">
        <v>0</v>
      </c>
      <c r="AJ8" s="134">
        <v>0</v>
      </c>
      <c r="AK8" s="307">
        <v>5660.641408335393</v>
      </c>
      <c r="AL8" s="136">
        <v>445.38608328958378</v>
      </c>
      <c r="AM8" s="412">
        <v>83.797885500000405</v>
      </c>
      <c r="AN8" s="92">
        <v>0</v>
      </c>
      <c r="AO8" s="110">
        <v>23197.648931700001</v>
      </c>
      <c r="AP8" s="111">
        <v>0</v>
      </c>
      <c r="AQ8" s="112">
        <v>23197.648931700001</v>
      </c>
      <c r="AR8" s="113">
        <v>0</v>
      </c>
      <c r="AS8" s="114">
        <v>23197.648931700001</v>
      </c>
      <c r="AT8" s="115">
        <v>6106.0274916249764</v>
      </c>
      <c r="AU8" s="413">
        <v>1257.8688499999998</v>
      </c>
      <c r="AV8" s="414">
        <v>83.797885500000405</v>
      </c>
      <c r="AW8" s="311" t="s">
        <v>153</v>
      </c>
      <c r="AX8" s="118">
        <v>0.7569714201428267</v>
      </c>
      <c r="AY8" s="119" t="s">
        <v>153</v>
      </c>
      <c r="AZ8" s="120">
        <v>0.7569714201428267</v>
      </c>
      <c r="BA8" s="121" t="s">
        <v>153</v>
      </c>
      <c r="BB8" s="122">
        <v>0.7569714201428267</v>
      </c>
      <c r="BC8" s="123">
        <v>0.19924813567853999</v>
      </c>
      <c r="BD8" s="415">
        <v>4.1046003090285832E-2</v>
      </c>
      <c r="BE8" s="124">
        <v>2.7344410883475135E-3</v>
      </c>
      <c r="BF8" s="61">
        <v>0</v>
      </c>
      <c r="BH8" s="2629" t="s">
        <v>32</v>
      </c>
      <c r="BI8" s="2630">
        <v>30645.343158824977</v>
      </c>
      <c r="BJ8" s="2631">
        <v>0.78126888238500014</v>
      </c>
      <c r="BK8" s="2630">
        <v>0</v>
      </c>
      <c r="BL8" s="2630">
        <v>23197.648931700001</v>
      </c>
      <c r="BM8" s="2630">
        <v>0</v>
      </c>
      <c r="BN8" s="2630">
        <v>23197.648931700001</v>
      </c>
      <c r="BO8" s="2630">
        <v>0</v>
      </c>
      <c r="BP8" s="2630">
        <v>23197.648931700001</v>
      </c>
      <c r="BQ8" s="2630">
        <v>6106.0274916249764</v>
      </c>
      <c r="BR8" s="2630">
        <v>83.797885500000405</v>
      </c>
      <c r="BS8" s="2630">
        <v>1257.8688499999998</v>
      </c>
      <c r="BT8" s="1"/>
      <c r="BU8" s="2629" t="s">
        <v>32</v>
      </c>
      <c r="BV8" s="2630">
        <v>30645.343158824977</v>
      </c>
      <c r="BW8" s="2634">
        <v>0.78126888238500014</v>
      </c>
      <c r="BX8" s="2634" t="s">
        <v>153</v>
      </c>
      <c r="BY8" s="2634">
        <v>0.7569714201428267</v>
      </c>
      <c r="BZ8" s="2634" t="s">
        <v>153</v>
      </c>
      <c r="CA8" s="2634">
        <v>0.7569714201428267</v>
      </c>
      <c r="CB8" s="2634" t="s">
        <v>153</v>
      </c>
      <c r="CC8" s="2634">
        <v>0.7569714201428267</v>
      </c>
      <c r="CD8" s="2634">
        <v>0.19924813567853999</v>
      </c>
      <c r="CE8" s="2634">
        <v>2.7344410883475135E-3</v>
      </c>
      <c r="CF8" s="2634">
        <v>4.1046003090285832E-2</v>
      </c>
    </row>
    <row r="9" spans="1:84" ht="14.4" x14ac:dyDescent="0.3">
      <c r="A9" s="8" t="s">
        <v>47</v>
      </c>
      <c r="B9" s="92">
        <v>367.44234000000006</v>
      </c>
      <c r="C9" s="93">
        <v>0.31350391412912154</v>
      </c>
      <c r="D9" s="137">
        <v>367.44234000000006</v>
      </c>
      <c r="E9" s="94">
        <v>0.31350391412912154</v>
      </c>
      <c r="F9" s="138">
        <v>6.3E-3</v>
      </c>
      <c r="G9" s="126">
        <v>745.93661179357298</v>
      </c>
      <c r="H9" s="139">
        <v>5.7999999999999996E-3</v>
      </c>
      <c r="I9" s="126">
        <v>58.671295236718045</v>
      </c>
      <c r="J9" s="300"/>
      <c r="K9" s="127">
        <v>804.60790703029102</v>
      </c>
      <c r="L9" s="99">
        <v>1172.0502470302911</v>
      </c>
      <c r="M9" s="92">
        <v>0</v>
      </c>
      <c r="N9" s="110">
        <v>349.07022300000006</v>
      </c>
      <c r="O9" s="424">
        <v>0</v>
      </c>
      <c r="P9" s="111">
        <v>0</v>
      </c>
      <c r="Q9" s="111">
        <v>18.372117000000003</v>
      </c>
      <c r="R9" s="416">
        <v>0</v>
      </c>
      <c r="S9" s="404">
        <v>755.86762439999995</v>
      </c>
      <c r="T9" s="405">
        <v>4.7218006484560249</v>
      </c>
      <c r="U9" s="404">
        <v>408.40924319999999</v>
      </c>
      <c r="V9" s="405">
        <v>-184.24510545154396</v>
      </c>
      <c r="W9" s="404">
        <v>347.45838119999996</v>
      </c>
      <c r="X9" s="405">
        <v>188.96690609999999</v>
      </c>
      <c r="Y9" s="406">
        <v>53.798152909318432</v>
      </c>
      <c r="Z9" s="375">
        <v>751.14582375154396</v>
      </c>
      <c r="AA9" s="417">
        <v>0</v>
      </c>
      <c r="AB9" s="417">
        <v>751.14582375154396</v>
      </c>
      <c r="AC9" s="418"/>
      <c r="AD9" s="420">
        <v>592.65434865154396</v>
      </c>
      <c r="AE9" s="420"/>
      <c r="AF9" s="417">
        <v>158.49147509999997</v>
      </c>
      <c r="AG9" s="421"/>
      <c r="AH9" s="422"/>
      <c r="AI9" s="423">
        <v>592.65434865154396</v>
      </c>
      <c r="AJ9" s="134">
        <v>0</v>
      </c>
      <c r="AK9" s="307">
        <v>18.372117000000003</v>
      </c>
      <c r="AL9" s="136">
        <v>53.46208327874708</v>
      </c>
      <c r="AM9" s="412">
        <v>0</v>
      </c>
      <c r="AN9" s="92">
        <v>0</v>
      </c>
      <c r="AO9" s="110">
        <v>349.07022300000006</v>
      </c>
      <c r="AP9" s="111">
        <v>0</v>
      </c>
      <c r="AQ9" s="112">
        <v>349.07022300000006</v>
      </c>
      <c r="AR9" s="113">
        <v>592.65434865154396</v>
      </c>
      <c r="AS9" s="114">
        <v>941.72457165154401</v>
      </c>
      <c r="AT9" s="115">
        <v>71.83420027874709</v>
      </c>
      <c r="AU9" s="413">
        <v>158.49147509999997</v>
      </c>
      <c r="AV9" s="414">
        <v>0</v>
      </c>
      <c r="AW9" s="311" t="s">
        <v>153</v>
      </c>
      <c r="AX9" s="118">
        <v>0.29782871842266545</v>
      </c>
      <c r="AY9" s="119" t="s">
        <v>153</v>
      </c>
      <c r="AZ9" s="120">
        <v>0.29782871842266545</v>
      </c>
      <c r="BA9" s="121">
        <v>0.50565609294754676</v>
      </c>
      <c r="BB9" s="122">
        <v>0.80348481137021222</v>
      </c>
      <c r="BC9" s="123">
        <v>6.1289352108204083E-2</v>
      </c>
      <c r="BD9" s="415">
        <v>0.13522583652158374</v>
      </c>
      <c r="BE9" s="124" t="s">
        <v>153</v>
      </c>
      <c r="BF9" s="61">
        <v>0</v>
      </c>
      <c r="BH9" s="2629" t="s">
        <v>47</v>
      </c>
      <c r="BI9" s="2630">
        <v>1172.0502470302911</v>
      </c>
      <c r="BJ9" s="2631">
        <v>0.31350391412912154</v>
      </c>
      <c r="BK9" s="2630">
        <v>0</v>
      </c>
      <c r="BL9" s="2630">
        <v>349.07022300000006</v>
      </c>
      <c r="BM9" s="2630">
        <v>0</v>
      </c>
      <c r="BN9" s="2630">
        <v>349.07022300000006</v>
      </c>
      <c r="BO9" s="2630">
        <v>592.65434865154396</v>
      </c>
      <c r="BP9" s="2630">
        <v>941.72457165154401</v>
      </c>
      <c r="BQ9" s="2630">
        <v>71.83420027874709</v>
      </c>
      <c r="BR9" s="2630">
        <v>0</v>
      </c>
      <c r="BS9" s="2630">
        <v>158.49147509999997</v>
      </c>
      <c r="BT9" s="1"/>
      <c r="BU9" s="2629" t="s">
        <v>47</v>
      </c>
      <c r="BV9" s="2630">
        <v>1172.0502470302911</v>
      </c>
      <c r="BW9" s="2634">
        <v>0.31350391412912154</v>
      </c>
      <c r="BX9" s="2634" t="s">
        <v>153</v>
      </c>
      <c r="BY9" s="2634">
        <v>0.29782871842266545</v>
      </c>
      <c r="BZ9" s="2634" t="s">
        <v>153</v>
      </c>
      <c r="CA9" s="2634">
        <v>0.29782871842266545</v>
      </c>
      <c r="CB9" s="2634">
        <v>0.50565609294754676</v>
      </c>
      <c r="CC9" s="2634">
        <v>0.80348481137021222</v>
      </c>
      <c r="CD9" s="2634">
        <v>6.1289352108204083E-2</v>
      </c>
      <c r="CE9" s="2634" t="s">
        <v>153</v>
      </c>
      <c r="CF9" s="2634">
        <v>0.13522583652158374</v>
      </c>
    </row>
    <row r="10" spans="1:84" ht="14.4" x14ac:dyDescent="0.3">
      <c r="A10" s="8" t="s">
        <v>1</v>
      </c>
      <c r="B10" s="92">
        <v>6419.1622744740926</v>
      </c>
      <c r="C10" s="93">
        <v>0.89441503409173539</v>
      </c>
      <c r="D10" s="137">
        <v>6419.1622744740926</v>
      </c>
      <c r="E10" s="94">
        <v>0.89441503409173539</v>
      </c>
      <c r="F10" s="138">
        <v>6.4000000000000003E-3</v>
      </c>
      <c r="G10" s="126">
        <v>757.77687547283608</v>
      </c>
      <c r="H10" s="139">
        <v>0</v>
      </c>
      <c r="I10" s="126">
        <v>0</v>
      </c>
      <c r="J10" s="300"/>
      <c r="K10" s="127">
        <v>757.77687547283608</v>
      </c>
      <c r="L10" s="99">
        <v>7176.9391499469284</v>
      </c>
      <c r="M10" s="92">
        <v>64.191622744740926</v>
      </c>
      <c r="N10" s="110">
        <v>6247.1287255181869</v>
      </c>
      <c r="O10" s="424">
        <v>0</v>
      </c>
      <c r="P10" s="111">
        <v>58.414376697714246</v>
      </c>
      <c r="Q10" s="111">
        <v>49.427549513450515</v>
      </c>
      <c r="R10" s="416">
        <v>0</v>
      </c>
      <c r="S10" s="404">
        <v>767.86552319999998</v>
      </c>
      <c r="T10" s="405">
        <v>60.439048300237403</v>
      </c>
      <c r="U10" s="404">
        <v>414.89192960000003</v>
      </c>
      <c r="V10" s="405">
        <v>-131.52733249976257</v>
      </c>
      <c r="W10" s="404">
        <v>352.97359360000002</v>
      </c>
      <c r="X10" s="405">
        <v>191.96638080000002</v>
      </c>
      <c r="Y10" s="406">
        <v>54.65209184438698</v>
      </c>
      <c r="Z10" s="375">
        <v>707.42647489976252</v>
      </c>
      <c r="AA10" s="417">
        <v>0</v>
      </c>
      <c r="AB10" s="417">
        <v>707.42647489976241</v>
      </c>
      <c r="AC10" s="418"/>
      <c r="AD10" s="420"/>
      <c r="AE10" s="420">
        <v>546.41926209976259</v>
      </c>
      <c r="AF10" s="417">
        <v>161.00721279999999</v>
      </c>
      <c r="AG10" s="421"/>
      <c r="AH10" s="422"/>
      <c r="AI10" s="423">
        <v>0</v>
      </c>
      <c r="AJ10" s="134">
        <v>58.414376697714246</v>
      </c>
      <c r="AK10" s="307">
        <v>595.84681161321305</v>
      </c>
      <c r="AL10" s="136">
        <v>50.3504005730736</v>
      </c>
      <c r="AM10" s="412">
        <v>0</v>
      </c>
      <c r="AN10" s="92">
        <v>64.191622744740926</v>
      </c>
      <c r="AO10" s="110">
        <v>6247.1287255181869</v>
      </c>
      <c r="AP10" s="111">
        <v>0</v>
      </c>
      <c r="AQ10" s="112">
        <v>6311.3203482629278</v>
      </c>
      <c r="AR10" s="113">
        <v>58.414376697714246</v>
      </c>
      <c r="AS10" s="114">
        <v>6369.7347249606419</v>
      </c>
      <c r="AT10" s="115">
        <v>646.19721218628661</v>
      </c>
      <c r="AU10" s="413">
        <v>161.00721279999999</v>
      </c>
      <c r="AV10" s="414">
        <v>0</v>
      </c>
      <c r="AW10" s="311">
        <v>8.9441503409173548E-3</v>
      </c>
      <c r="AX10" s="118">
        <v>0.87044471117807687</v>
      </c>
      <c r="AY10" s="119" t="s">
        <v>153</v>
      </c>
      <c r="AZ10" s="120">
        <v>0.87938886151899431</v>
      </c>
      <c r="BA10" s="121">
        <v>8.1391768102347922E-3</v>
      </c>
      <c r="BB10" s="122">
        <v>0.887528038329229</v>
      </c>
      <c r="BC10" s="123">
        <v>9.0037995123738099E-2</v>
      </c>
      <c r="BD10" s="415">
        <v>2.243396654703288E-2</v>
      </c>
      <c r="BE10" s="124" t="s">
        <v>153</v>
      </c>
      <c r="BF10" s="61">
        <v>0</v>
      </c>
      <c r="BH10" s="2629" t="s">
        <v>1</v>
      </c>
      <c r="BI10" s="2630">
        <v>7176.9391499469284</v>
      </c>
      <c r="BJ10" s="2631">
        <v>0.89441503409173539</v>
      </c>
      <c r="BK10" s="2630">
        <v>64.191622744740926</v>
      </c>
      <c r="BL10" s="2630">
        <v>6247.1287255181869</v>
      </c>
      <c r="BM10" s="2630">
        <v>0</v>
      </c>
      <c r="BN10" s="2630">
        <v>6311.3203482629278</v>
      </c>
      <c r="BO10" s="2630">
        <v>58.414376697714246</v>
      </c>
      <c r="BP10" s="2630">
        <v>6369.7347249606419</v>
      </c>
      <c r="BQ10" s="2630">
        <v>646.19721218628661</v>
      </c>
      <c r="BR10" s="2630">
        <v>0</v>
      </c>
      <c r="BS10" s="2630">
        <v>161.00721279999999</v>
      </c>
      <c r="BT10" s="1"/>
      <c r="BU10" s="2629" t="s">
        <v>1</v>
      </c>
      <c r="BV10" s="2630">
        <v>7176.9391499469284</v>
      </c>
      <c r="BW10" s="2634">
        <v>0.89441503409173539</v>
      </c>
      <c r="BX10" s="2634">
        <v>8.9441503409173548E-3</v>
      </c>
      <c r="BY10" s="2634">
        <v>0.87044471117807687</v>
      </c>
      <c r="BZ10" s="2634" t="s">
        <v>153</v>
      </c>
      <c r="CA10" s="2634">
        <v>0.87938886151899431</v>
      </c>
      <c r="CB10" s="2634">
        <v>8.1391768102347922E-3</v>
      </c>
      <c r="CC10" s="2634">
        <v>0.887528038329229</v>
      </c>
      <c r="CD10" s="2634">
        <v>9.0037995123738099E-2</v>
      </c>
      <c r="CE10" s="2634" t="s">
        <v>153</v>
      </c>
      <c r="CF10" s="2634">
        <v>2.243396654703288E-2</v>
      </c>
    </row>
    <row r="11" spans="1:84" ht="14.4" x14ac:dyDescent="0.3">
      <c r="A11" s="8" t="s">
        <v>5</v>
      </c>
      <c r="B11" s="92">
        <v>58689.785739999999</v>
      </c>
      <c r="C11" s="93">
        <v>0.50785578414050825</v>
      </c>
      <c r="D11" s="137">
        <v>58689.785739999999</v>
      </c>
      <c r="E11" s="94">
        <v>0.50785578414050825</v>
      </c>
      <c r="F11" s="138">
        <v>0.4521</v>
      </c>
      <c r="G11" s="126">
        <v>53529.832093948309</v>
      </c>
      <c r="H11" s="139">
        <v>0.3306</v>
      </c>
      <c r="I11" s="126">
        <v>3344.263828492929</v>
      </c>
      <c r="J11" s="139"/>
      <c r="K11" s="127">
        <v>56874.095922441236</v>
      </c>
      <c r="L11" s="99">
        <v>115563.88166244124</v>
      </c>
      <c r="M11" s="92">
        <v>0</v>
      </c>
      <c r="N11" s="110">
        <v>0</v>
      </c>
      <c r="O11" s="111">
        <v>57515.990025200001</v>
      </c>
      <c r="P11" s="111">
        <v>1173.7957148</v>
      </c>
      <c r="Q11" s="111">
        <v>0</v>
      </c>
      <c r="R11" s="416">
        <v>0</v>
      </c>
      <c r="S11" s="404">
        <v>54242.500474799999</v>
      </c>
      <c r="T11" s="405">
        <v>1147.3975575748227</v>
      </c>
      <c r="U11" s="404">
        <v>29308.225214400001</v>
      </c>
      <c r="V11" s="405">
        <v>17581.519438874817</v>
      </c>
      <c r="W11" s="404">
        <v>24934.275260399998</v>
      </c>
      <c r="X11" s="405">
        <v>-16434.121881300001</v>
      </c>
      <c r="Y11" s="406">
        <v>3860.6579254448989</v>
      </c>
      <c r="Z11" s="375">
        <v>53095.10291722518</v>
      </c>
      <c r="AA11" s="417">
        <v>0</v>
      </c>
      <c r="AB11" s="417">
        <v>53095.102917225173</v>
      </c>
      <c r="AC11" s="418"/>
      <c r="AD11" s="420">
        <v>11726.705775525184</v>
      </c>
      <c r="AE11" s="420"/>
      <c r="AF11" s="417">
        <v>11373.650141699998</v>
      </c>
      <c r="AG11" s="421">
        <v>29994.746999999999</v>
      </c>
      <c r="AH11" s="422"/>
      <c r="AI11" s="423">
        <v>11726.705775525184</v>
      </c>
      <c r="AJ11" s="134">
        <v>1173.7957148</v>
      </c>
      <c r="AK11" s="307">
        <v>0</v>
      </c>
      <c r="AL11" s="136">
        <v>3778.9930052160594</v>
      </c>
      <c r="AM11" s="412">
        <v>29994.746999999999</v>
      </c>
      <c r="AN11" s="92">
        <v>0</v>
      </c>
      <c r="AO11" s="110">
        <v>0</v>
      </c>
      <c r="AP11" s="111">
        <v>57515.990025200001</v>
      </c>
      <c r="AQ11" s="112">
        <v>57515.990025200001</v>
      </c>
      <c r="AR11" s="113">
        <v>12900.501490325185</v>
      </c>
      <c r="AS11" s="114">
        <v>70416.49151552518</v>
      </c>
      <c r="AT11" s="115">
        <v>3778.9930052160594</v>
      </c>
      <c r="AU11" s="413">
        <v>11373.650141699998</v>
      </c>
      <c r="AV11" s="414">
        <v>29994.746999999999</v>
      </c>
      <c r="AW11" s="311" t="s">
        <v>153</v>
      </c>
      <c r="AX11" s="118" t="s">
        <v>153</v>
      </c>
      <c r="AY11" s="119">
        <v>0.49769866845769811</v>
      </c>
      <c r="AZ11" s="120">
        <v>0.49769866845769811</v>
      </c>
      <c r="BA11" s="121">
        <v>0.11163091187960592</v>
      </c>
      <c r="BB11" s="122">
        <v>0.609329580337304</v>
      </c>
      <c r="BC11" s="123">
        <v>3.2700467921754212E-2</v>
      </c>
      <c r="BD11" s="415">
        <v>9.8418727184347285E-2</v>
      </c>
      <c r="BE11" s="124">
        <v>0.25955122455659452</v>
      </c>
      <c r="BF11" s="61">
        <v>0</v>
      </c>
      <c r="BH11" s="2629" t="s">
        <v>5</v>
      </c>
      <c r="BI11" s="2630">
        <v>115563.88166244124</v>
      </c>
      <c r="BJ11" s="2631">
        <v>0.50785578414050825</v>
      </c>
      <c r="BK11" s="2630">
        <v>0</v>
      </c>
      <c r="BL11" s="2630">
        <v>0</v>
      </c>
      <c r="BM11" s="2630">
        <v>57515.990025200001</v>
      </c>
      <c r="BN11" s="2630">
        <v>57515.990025200001</v>
      </c>
      <c r="BO11" s="2630">
        <v>12900.501490325185</v>
      </c>
      <c r="BP11" s="2630">
        <v>70416.49151552518</v>
      </c>
      <c r="BQ11" s="2630">
        <v>3778.9930052160594</v>
      </c>
      <c r="BR11" s="2630">
        <v>29994.746999999999</v>
      </c>
      <c r="BS11" s="2630">
        <v>11373.650141699998</v>
      </c>
      <c r="BT11" s="1"/>
      <c r="BU11" s="2629" t="s">
        <v>5</v>
      </c>
      <c r="BV11" s="2630">
        <v>115563.88166244124</v>
      </c>
      <c r="BW11" s="2634">
        <v>0.50785578414050825</v>
      </c>
      <c r="BX11" s="2634" t="s">
        <v>153</v>
      </c>
      <c r="BY11" s="2634" t="s">
        <v>153</v>
      </c>
      <c r="BZ11" s="2634">
        <v>0.49769866845769811</v>
      </c>
      <c r="CA11" s="2634">
        <v>0.49769866845769811</v>
      </c>
      <c r="CB11" s="2634">
        <v>0.11163091187960592</v>
      </c>
      <c r="CC11" s="2634">
        <v>0.609329580337304</v>
      </c>
      <c r="CD11" s="2634">
        <v>3.2700467921754212E-2</v>
      </c>
      <c r="CE11" s="2634">
        <v>0.25955122455659452</v>
      </c>
      <c r="CF11" s="2634">
        <v>9.8418727184347285E-2</v>
      </c>
    </row>
    <row r="12" spans="1:84" ht="14.4" x14ac:dyDescent="0.3">
      <c r="A12" s="8" t="s">
        <v>28</v>
      </c>
      <c r="B12" s="92">
        <v>39050.335155999994</v>
      </c>
      <c r="C12" s="93">
        <v>0.74571335784278281</v>
      </c>
      <c r="D12" s="137">
        <v>39050.335155999994</v>
      </c>
      <c r="E12" s="94">
        <v>0.74571335784278281</v>
      </c>
      <c r="F12" s="138">
        <v>9.0200000000000002E-2</v>
      </c>
      <c r="G12" s="126">
        <v>10679.917838695283</v>
      </c>
      <c r="H12" s="139">
        <v>0.2606</v>
      </c>
      <c r="I12" s="126">
        <v>2636.1619894290902</v>
      </c>
      <c r="J12" s="300"/>
      <c r="K12" s="127">
        <v>13316.079828124373</v>
      </c>
      <c r="L12" s="99">
        <v>52366.414984124363</v>
      </c>
      <c r="M12" s="92">
        <v>0</v>
      </c>
      <c r="N12" s="110">
        <v>37097.81839819999</v>
      </c>
      <c r="O12" s="424">
        <v>0</v>
      </c>
      <c r="P12" s="111">
        <v>0</v>
      </c>
      <c r="Q12" s="111">
        <v>1952.5167577999998</v>
      </c>
      <c r="R12" s="416">
        <v>0</v>
      </c>
      <c r="S12" s="404">
        <v>10822.104717599999</v>
      </c>
      <c r="T12" s="405">
        <v>-1609.1896609938267</v>
      </c>
      <c r="U12" s="404">
        <v>5847.3831328000006</v>
      </c>
      <c r="V12" s="405">
        <v>-4314.7158403938256</v>
      </c>
      <c r="W12" s="404">
        <v>4974.7215847999996</v>
      </c>
      <c r="X12" s="405">
        <v>2705.5261793999998</v>
      </c>
      <c r="Y12" s="406">
        <v>770.25291943182901</v>
      </c>
      <c r="Z12" s="375">
        <v>12431.294378593826</v>
      </c>
      <c r="AA12" s="417">
        <v>0</v>
      </c>
      <c r="AB12" s="417">
        <v>12431.294378593826</v>
      </c>
      <c r="AC12" s="418"/>
      <c r="AD12" s="420">
        <v>10162.098973193826</v>
      </c>
      <c r="AE12" s="420"/>
      <c r="AF12" s="417">
        <v>2269.1954053999998</v>
      </c>
      <c r="AG12" s="421"/>
      <c r="AH12" s="422"/>
      <c r="AI12" s="423">
        <v>10162.098973193826</v>
      </c>
      <c r="AJ12" s="134">
        <v>0</v>
      </c>
      <c r="AK12" s="307">
        <v>1952.5167577999998</v>
      </c>
      <c r="AL12" s="136">
        <v>884.78544953054791</v>
      </c>
      <c r="AM12" s="412">
        <v>0</v>
      </c>
      <c r="AN12" s="92">
        <v>0</v>
      </c>
      <c r="AO12" s="110">
        <v>37097.81839819999</v>
      </c>
      <c r="AP12" s="111">
        <v>0</v>
      </c>
      <c r="AQ12" s="112">
        <v>37097.81839819999</v>
      </c>
      <c r="AR12" s="113">
        <v>10162.098973193826</v>
      </c>
      <c r="AS12" s="114">
        <v>47259.917371393814</v>
      </c>
      <c r="AT12" s="115">
        <v>2837.3022073305478</v>
      </c>
      <c r="AU12" s="413">
        <v>2269.1954053999998</v>
      </c>
      <c r="AV12" s="414">
        <v>0</v>
      </c>
      <c r="AW12" s="311" t="s">
        <v>153</v>
      </c>
      <c r="AX12" s="118">
        <v>0.70842768995064354</v>
      </c>
      <c r="AY12" s="119" t="s">
        <v>153</v>
      </c>
      <c r="AZ12" s="120">
        <v>0.70842768995064354</v>
      </c>
      <c r="BA12" s="121">
        <v>0.19405756487769144</v>
      </c>
      <c r="BB12" s="122">
        <v>0.90248525482833497</v>
      </c>
      <c r="BC12" s="123">
        <v>5.4181715670066723E-2</v>
      </c>
      <c r="BD12" s="415">
        <v>4.3333029501598293E-2</v>
      </c>
      <c r="BE12" s="124" t="s">
        <v>153</v>
      </c>
      <c r="BF12" s="61">
        <v>0</v>
      </c>
      <c r="BH12" s="2629" t="s">
        <v>28</v>
      </c>
      <c r="BI12" s="2630">
        <v>52366.414984124363</v>
      </c>
      <c r="BJ12" s="2631">
        <v>0.74571335784278281</v>
      </c>
      <c r="BK12" s="2630">
        <v>0</v>
      </c>
      <c r="BL12" s="2630">
        <v>37097.81839819999</v>
      </c>
      <c r="BM12" s="2630">
        <v>0</v>
      </c>
      <c r="BN12" s="2630">
        <v>37097.81839819999</v>
      </c>
      <c r="BO12" s="2630">
        <v>10162.098973193826</v>
      </c>
      <c r="BP12" s="2630">
        <v>47259.917371393814</v>
      </c>
      <c r="BQ12" s="2630">
        <v>2837.3022073305478</v>
      </c>
      <c r="BR12" s="2630">
        <v>0</v>
      </c>
      <c r="BS12" s="2630">
        <v>2269.1954053999998</v>
      </c>
      <c r="BT12" s="1"/>
      <c r="BU12" s="2629" t="s">
        <v>28</v>
      </c>
      <c r="BV12" s="2630">
        <v>52366.414984124363</v>
      </c>
      <c r="BW12" s="2634">
        <v>0.74571335784278281</v>
      </c>
      <c r="BX12" s="2634" t="s">
        <v>153</v>
      </c>
      <c r="BY12" s="2634">
        <v>0.70842768995064354</v>
      </c>
      <c r="BZ12" s="2634" t="s">
        <v>153</v>
      </c>
      <c r="CA12" s="2634">
        <v>0.70842768995064354</v>
      </c>
      <c r="CB12" s="2634">
        <v>0.19405756487769144</v>
      </c>
      <c r="CC12" s="2634">
        <v>0.90248525482833497</v>
      </c>
      <c r="CD12" s="2634">
        <v>5.4181715670066723E-2</v>
      </c>
      <c r="CE12" s="2634" t="s">
        <v>153</v>
      </c>
      <c r="CF12" s="2634">
        <v>4.3333029501598293E-2</v>
      </c>
    </row>
    <row r="13" spans="1:84" ht="14.4" x14ac:dyDescent="0.3">
      <c r="A13" s="8" t="s">
        <v>17</v>
      </c>
      <c r="B13" s="92">
        <v>1488.9294400000001</v>
      </c>
      <c r="C13" s="93">
        <v>0.54988406915837762</v>
      </c>
      <c r="D13" s="137">
        <v>1488.9294400000001</v>
      </c>
      <c r="E13" s="94">
        <v>0.54988406915837762</v>
      </c>
      <c r="F13" s="138">
        <v>9.1999999999999998E-3</v>
      </c>
      <c r="G13" s="126">
        <v>1089.3042584922018</v>
      </c>
      <c r="H13" s="139">
        <v>1.2800000000000001E-2</v>
      </c>
      <c r="I13" s="126">
        <v>129.48147914310192</v>
      </c>
      <c r="J13" s="300"/>
      <c r="K13" s="127">
        <v>1218.7857376353038</v>
      </c>
      <c r="L13" s="99">
        <v>2707.7151776353039</v>
      </c>
      <c r="M13" s="92">
        <v>0</v>
      </c>
      <c r="N13" s="110">
        <v>1414.482968</v>
      </c>
      <c r="O13" s="424">
        <v>0</v>
      </c>
      <c r="P13" s="111">
        <v>0</v>
      </c>
      <c r="Q13" s="111">
        <v>74.446472000000014</v>
      </c>
      <c r="R13" s="416">
        <v>0</v>
      </c>
      <c r="S13" s="404">
        <v>1103.8066896</v>
      </c>
      <c r="T13" s="405">
        <v>-33.996964668883749</v>
      </c>
      <c r="U13" s="404">
        <v>596.40714879999996</v>
      </c>
      <c r="V13" s="405">
        <v>-309.94863706888384</v>
      </c>
      <c r="W13" s="404">
        <v>507.39954079999995</v>
      </c>
      <c r="X13" s="405">
        <v>275.95167240000001</v>
      </c>
      <c r="Y13" s="406">
        <v>78.562382026306281</v>
      </c>
      <c r="Z13" s="375">
        <v>1137.8036542688837</v>
      </c>
      <c r="AA13" s="417">
        <v>0</v>
      </c>
      <c r="AB13" s="417">
        <v>576.97905656773435</v>
      </c>
      <c r="AC13" s="418">
        <v>560.8245977011494</v>
      </c>
      <c r="AD13" s="420"/>
      <c r="AE13" s="420">
        <v>345.5311881677344</v>
      </c>
      <c r="AF13" s="417">
        <v>231.44786839999998</v>
      </c>
      <c r="AG13" s="421"/>
      <c r="AH13" s="422"/>
      <c r="AI13" s="423">
        <v>0</v>
      </c>
      <c r="AJ13" s="134">
        <v>0</v>
      </c>
      <c r="AK13" s="307">
        <v>419.97766016773443</v>
      </c>
      <c r="AL13" s="136">
        <v>80.982083366420071</v>
      </c>
      <c r="AM13" s="412">
        <v>0</v>
      </c>
      <c r="AN13" s="92">
        <v>0</v>
      </c>
      <c r="AO13" s="110">
        <v>1975.3075657011495</v>
      </c>
      <c r="AP13" s="111">
        <v>0</v>
      </c>
      <c r="AQ13" s="112">
        <v>1975.3075657011495</v>
      </c>
      <c r="AR13" s="113">
        <v>0</v>
      </c>
      <c r="AS13" s="114">
        <v>1975.3075657011495</v>
      </c>
      <c r="AT13" s="115">
        <v>500.95974353415448</v>
      </c>
      <c r="AU13" s="413">
        <v>231.44786839999998</v>
      </c>
      <c r="AV13" s="414">
        <v>0</v>
      </c>
      <c r="AW13" s="311" t="s">
        <v>153</v>
      </c>
      <c r="AX13" s="118">
        <v>0.72951083703944852</v>
      </c>
      <c r="AY13" s="119" t="s">
        <v>153</v>
      </c>
      <c r="AZ13" s="120">
        <v>0.72951083703944852</v>
      </c>
      <c r="BA13" s="121" t="s">
        <v>153</v>
      </c>
      <c r="BB13" s="122">
        <v>0.72951083703944852</v>
      </c>
      <c r="BC13" s="123">
        <v>0.18501197898209204</v>
      </c>
      <c r="BD13" s="415">
        <v>8.5477183978459478E-2</v>
      </c>
      <c r="BE13" s="124" t="s">
        <v>153</v>
      </c>
      <c r="BF13" s="61">
        <v>0</v>
      </c>
      <c r="BH13" s="2629" t="s">
        <v>17</v>
      </c>
      <c r="BI13" s="2630">
        <v>2707.7151776353039</v>
      </c>
      <c r="BJ13" s="2631">
        <v>0.54988406915837762</v>
      </c>
      <c r="BK13" s="2630">
        <v>0</v>
      </c>
      <c r="BL13" s="2630">
        <v>1975.3075657011495</v>
      </c>
      <c r="BM13" s="2630">
        <v>0</v>
      </c>
      <c r="BN13" s="2630">
        <v>1975.3075657011495</v>
      </c>
      <c r="BO13" s="2630">
        <v>0</v>
      </c>
      <c r="BP13" s="2630">
        <v>1975.3075657011495</v>
      </c>
      <c r="BQ13" s="2630">
        <v>500.95974353415448</v>
      </c>
      <c r="BR13" s="2630">
        <v>0</v>
      </c>
      <c r="BS13" s="2630">
        <v>231.44786839999998</v>
      </c>
      <c r="BT13" s="1"/>
      <c r="BU13" s="2629" t="s">
        <v>17</v>
      </c>
      <c r="BV13" s="2630">
        <v>2707.7151776353039</v>
      </c>
      <c r="BW13" s="2634">
        <v>0.54988406915837762</v>
      </c>
      <c r="BX13" s="2634" t="s">
        <v>153</v>
      </c>
      <c r="BY13" s="2634">
        <v>0.72951083703944852</v>
      </c>
      <c r="BZ13" s="2634" t="s">
        <v>153</v>
      </c>
      <c r="CA13" s="2634">
        <v>0.72951083703944852</v>
      </c>
      <c r="CB13" s="2634" t="s">
        <v>153</v>
      </c>
      <c r="CC13" s="2634">
        <v>0.72951083703944852</v>
      </c>
      <c r="CD13" s="2634">
        <v>0.18501197898209204</v>
      </c>
      <c r="CE13" s="2634" t="s">
        <v>153</v>
      </c>
      <c r="CF13" s="2634">
        <v>8.5477183978459478E-2</v>
      </c>
    </row>
    <row r="14" spans="1:84" ht="14.4" x14ac:dyDescent="0.3">
      <c r="A14" s="8" t="s">
        <v>29</v>
      </c>
      <c r="B14" s="92">
        <v>19541.808949999999</v>
      </c>
      <c r="C14" s="93">
        <v>0.95286700192598639</v>
      </c>
      <c r="D14" s="137">
        <v>19541.808949999999</v>
      </c>
      <c r="E14" s="94">
        <v>0.95286700192598639</v>
      </c>
      <c r="F14" s="138">
        <v>7.6E-3</v>
      </c>
      <c r="G14" s="126">
        <v>899.86003962399275</v>
      </c>
      <c r="H14" s="139">
        <v>6.6E-3</v>
      </c>
      <c r="I14" s="126">
        <v>66.763887683161926</v>
      </c>
      <c r="J14" s="300"/>
      <c r="K14" s="127">
        <v>966.62392730715464</v>
      </c>
      <c r="L14" s="99">
        <v>20508.432877307154</v>
      </c>
      <c r="M14" s="92">
        <v>977.09044749999998</v>
      </c>
      <c r="N14" s="110">
        <v>18564.718502499996</v>
      </c>
      <c r="O14" s="424">
        <v>0</v>
      </c>
      <c r="P14" s="111">
        <v>0</v>
      </c>
      <c r="Q14" s="111">
        <v>0</v>
      </c>
      <c r="R14" s="416">
        <v>0</v>
      </c>
      <c r="S14" s="404">
        <v>911.8403088</v>
      </c>
      <c r="T14" s="405">
        <v>9.4436012969120497</v>
      </c>
      <c r="U14" s="404">
        <v>492.68416640000004</v>
      </c>
      <c r="V14" s="405">
        <v>-218.51647590308795</v>
      </c>
      <c r="W14" s="404">
        <v>419.15614239999996</v>
      </c>
      <c r="X14" s="405">
        <v>227.9600772</v>
      </c>
      <c r="Y14" s="406">
        <v>64.899359065209538</v>
      </c>
      <c r="Z14" s="375">
        <v>902.3967075030879</v>
      </c>
      <c r="AA14" s="417">
        <v>0</v>
      </c>
      <c r="AB14" s="417">
        <v>902.39670750308778</v>
      </c>
      <c r="AC14" s="418"/>
      <c r="AD14" s="420">
        <v>711.20064230308799</v>
      </c>
      <c r="AE14" s="420"/>
      <c r="AF14" s="417">
        <v>191.19606519999996</v>
      </c>
      <c r="AG14" s="421"/>
      <c r="AH14" s="422"/>
      <c r="AI14" s="423">
        <v>711.20064230308799</v>
      </c>
      <c r="AJ14" s="134">
        <v>0</v>
      </c>
      <c r="AK14" s="307">
        <v>0</v>
      </c>
      <c r="AL14" s="136">
        <v>64.22721980406682</v>
      </c>
      <c r="AM14" s="412">
        <v>0</v>
      </c>
      <c r="AN14" s="92">
        <v>977.09044749999998</v>
      </c>
      <c r="AO14" s="110">
        <v>18564.718502499996</v>
      </c>
      <c r="AP14" s="111">
        <v>0</v>
      </c>
      <c r="AQ14" s="112">
        <v>19541.808949999995</v>
      </c>
      <c r="AR14" s="113">
        <v>711.20064230308799</v>
      </c>
      <c r="AS14" s="114">
        <v>20253.009592303082</v>
      </c>
      <c r="AT14" s="115">
        <v>64.22721980406682</v>
      </c>
      <c r="AU14" s="413">
        <v>191.19606519999996</v>
      </c>
      <c r="AV14" s="414">
        <v>0</v>
      </c>
      <c r="AW14" s="311">
        <v>4.7643350096299324E-2</v>
      </c>
      <c r="AX14" s="118">
        <v>0.905223651829687</v>
      </c>
      <c r="AY14" s="119" t="s">
        <v>153</v>
      </c>
      <c r="AZ14" s="120">
        <v>0.95286700192598628</v>
      </c>
      <c r="BA14" s="121">
        <v>3.4678448936488006E-2</v>
      </c>
      <c r="BB14" s="122">
        <v>0.98754545086247425</v>
      </c>
      <c r="BC14" s="123">
        <v>3.1317468374258408E-3</v>
      </c>
      <c r="BD14" s="415">
        <v>9.3228023000997261E-3</v>
      </c>
      <c r="BE14" s="124" t="s">
        <v>153</v>
      </c>
      <c r="BF14" s="61">
        <v>0</v>
      </c>
      <c r="BH14" s="2629" t="s">
        <v>29</v>
      </c>
      <c r="BI14" s="2630">
        <v>20508.432877307154</v>
      </c>
      <c r="BJ14" s="2631">
        <v>0.95286700192598639</v>
      </c>
      <c r="BK14" s="2630">
        <v>977.09044749999998</v>
      </c>
      <c r="BL14" s="2630">
        <v>18564.718502499996</v>
      </c>
      <c r="BM14" s="2630">
        <v>0</v>
      </c>
      <c r="BN14" s="2630">
        <v>19541.808949999995</v>
      </c>
      <c r="BO14" s="2630">
        <v>711.20064230308799</v>
      </c>
      <c r="BP14" s="2630">
        <v>20253.009592303082</v>
      </c>
      <c r="BQ14" s="2630">
        <v>64.22721980406682</v>
      </c>
      <c r="BR14" s="2630">
        <v>0</v>
      </c>
      <c r="BS14" s="2630">
        <v>191.19606519999996</v>
      </c>
      <c r="BT14" s="1"/>
      <c r="BU14" s="2629" t="s">
        <v>29</v>
      </c>
      <c r="BV14" s="2630">
        <v>20508.432877307154</v>
      </c>
      <c r="BW14" s="2634">
        <v>0.95286700192598639</v>
      </c>
      <c r="BX14" s="2634">
        <v>4.7643350096299324E-2</v>
      </c>
      <c r="BY14" s="2634">
        <v>0.905223651829687</v>
      </c>
      <c r="BZ14" s="2634" t="s">
        <v>153</v>
      </c>
      <c r="CA14" s="2634">
        <v>0.95286700192598628</v>
      </c>
      <c r="CB14" s="2634">
        <v>3.4678448936488006E-2</v>
      </c>
      <c r="CC14" s="2634">
        <v>0.98754545086247425</v>
      </c>
      <c r="CD14" s="2634">
        <v>3.1317468374258408E-3</v>
      </c>
      <c r="CE14" s="2634" t="s">
        <v>153</v>
      </c>
      <c r="CF14" s="2634">
        <v>9.3228023000997261E-3</v>
      </c>
    </row>
    <row r="15" spans="1:84" ht="14.4" x14ac:dyDescent="0.3">
      <c r="A15" s="8" t="s">
        <v>308</v>
      </c>
      <c r="B15" s="92">
        <v>38.817340000000002</v>
      </c>
      <c r="C15" s="93">
        <v>0.43022968098273467</v>
      </c>
      <c r="D15" s="137">
        <v>38.817340000000002</v>
      </c>
      <c r="E15" s="94">
        <v>0.43022968098273467</v>
      </c>
      <c r="F15" s="138">
        <v>4.0000000000000002E-4</v>
      </c>
      <c r="G15" s="126">
        <v>47.361054717052255</v>
      </c>
      <c r="H15" s="139">
        <v>4.0000000000000002E-4</v>
      </c>
      <c r="I15" s="126">
        <v>4.0462962232219351</v>
      </c>
      <c r="J15" s="300"/>
      <c r="K15" s="127">
        <v>51.407350940274192</v>
      </c>
      <c r="L15" s="99">
        <v>90.224690940274201</v>
      </c>
      <c r="M15" s="92">
        <v>0</v>
      </c>
      <c r="N15" s="110">
        <v>19.152475556000002</v>
      </c>
      <c r="O15" s="424">
        <v>0</v>
      </c>
      <c r="P15" s="111">
        <v>0.31053872000000005</v>
      </c>
      <c r="Q15" s="111">
        <v>19.354325723999999</v>
      </c>
      <c r="R15" s="416">
        <v>0</v>
      </c>
      <c r="S15" s="404">
        <v>47.991595199999999</v>
      </c>
      <c r="T15" s="405">
        <v>-1.0658141036401503E-14</v>
      </c>
      <c r="U15" s="404">
        <v>25.930745600000002</v>
      </c>
      <c r="V15" s="405">
        <v>-11.997898800000009</v>
      </c>
      <c r="W15" s="404">
        <v>22.060849600000001</v>
      </c>
      <c r="X15" s="405">
        <v>11.997898800000002</v>
      </c>
      <c r="Y15" s="406">
        <v>3.4157557402741863</v>
      </c>
      <c r="Z15" s="375">
        <v>47.991595200000006</v>
      </c>
      <c r="AA15" s="417">
        <v>0</v>
      </c>
      <c r="AB15" s="417">
        <v>47.991595200000006</v>
      </c>
      <c r="AC15" s="418"/>
      <c r="AD15" s="420"/>
      <c r="AE15" s="420">
        <v>37.92864440000001</v>
      </c>
      <c r="AF15" s="417">
        <v>10.062950799999999</v>
      </c>
      <c r="AG15" s="421"/>
      <c r="AH15" s="422"/>
      <c r="AI15" s="423">
        <v>0</v>
      </c>
      <c r="AJ15" s="134">
        <v>0.31053872000000005</v>
      </c>
      <c r="AK15" s="307">
        <v>57.282970124000009</v>
      </c>
      <c r="AL15" s="136">
        <v>3.4157557402741867</v>
      </c>
      <c r="AM15" s="412">
        <v>0</v>
      </c>
      <c r="AN15" s="92">
        <v>0</v>
      </c>
      <c r="AO15" s="110">
        <v>19.152475556000002</v>
      </c>
      <c r="AP15" s="111">
        <v>0</v>
      </c>
      <c r="AQ15" s="112">
        <v>19.152475556000002</v>
      </c>
      <c r="AR15" s="113">
        <v>0.31053872000000005</v>
      </c>
      <c r="AS15" s="114">
        <v>19.463014276000003</v>
      </c>
      <c r="AT15" s="115">
        <v>60.698725864274195</v>
      </c>
      <c r="AU15" s="413">
        <v>10.062950799999999</v>
      </c>
      <c r="AV15" s="414">
        <v>0</v>
      </c>
      <c r="AW15" s="311" t="s">
        <v>153</v>
      </c>
      <c r="AX15" s="118">
        <v>0.21227532459688131</v>
      </c>
      <c r="AY15" s="119" t="s">
        <v>153</v>
      </c>
      <c r="AZ15" s="120">
        <v>0.21227532459688131</v>
      </c>
      <c r="BA15" s="121">
        <v>3.4418374478618779E-3</v>
      </c>
      <c r="BB15" s="122">
        <v>0.2157171620447432</v>
      </c>
      <c r="BC15" s="123">
        <v>0.67275072080274312</v>
      </c>
      <c r="BD15" s="415">
        <v>0.11153211715251365</v>
      </c>
      <c r="BE15" s="124" t="s">
        <v>153</v>
      </c>
      <c r="BF15" s="61">
        <v>0</v>
      </c>
      <c r="BH15" s="2629" t="s">
        <v>308</v>
      </c>
      <c r="BI15" s="2630">
        <v>90.224690940274201</v>
      </c>
      <c r="BJ15" s="2631">
        <v>0.43022968098273467</v>
      </c>
      <c r="BK15" s="2630">
        <v>0</v>
      </c>
      <c r="BL15" s="2630">
        <v>19.152475556000002</v>
      </c>
      <c r="BM15" s="2630">
        <v>0</v>
      </c>
      <c r="BN15" s="2630">
        <v>19.152475556000002</v>
      </c>
      <c r="BO15" s="2630">
        <v>0.31053872000000005</v>
      </c>
      <c r="BP15" s="2630">
        <v>19.463014276000003</v>
      </c>
      <c r="BQ15" s="2630">
        <v>60.698725864274195</v>
      </c>
      <c r="BR15" s="2630">
        <v>0</v>
      </c>
      <c r="BS15" s="2630">
        <v>10.062950799999999</v>
      </c>
      <c r="BT15" s="1"/>
      <c r="BU15" s="2629" t="s">
        <v>308</v>
      </c>
      <c r="BV15" s="2630">
        <v>90.224690940274201</v>
      </c>
      <c r="BW15" s="2634">
        <v>0.43022968098273467</v>
      </c>
      <c r="BX15" s="2634" t="s">
        <v>153</v>
      </c>
      <c r="BY15" s="2634">
        <v>0.21227532459688131</v>
      </c>
      <c r="BZ15" s="2634" t="s">
        <v>153</v>
      </c>
      <c r="CA15" s="2634">
        <v>0.21227532459688131</v>
      </c>
      <c r="CB15" s="2634">
        <v>3.4418374478618779E-3</v>
      </c>
      <c r="CC15" s="2634">
        <v>0.2157171620447432</v>
      </c>
      <c r="CD15" s="2634">
        <v>0.67275072080274312</v>
      </c>
      <c r="CE15" s="2634" t="s">
        <v>153</v>
      </c>
      <c r="CF15" s="2634">
        <v>0.11153211715251365</v>
      </c>
    </row>
    <row r="16" spans="1:84" ht="14.4" x14ac:dyDescent="0.3">
      <c r="A16" s="2107" t="s">
        <v>60</v>
      </c>
      <c r="B16" s="92">
        <v>67.835010000000011</v>
      </c>
      <c r="C16" s="93">
        <v>1</v>
      </c>
      <c r="D16" s="137">
        <v>67.835010000000011</v>
      </c>
      <c r="E16" s="94">
        <v>1</v>
      </c>
      <c r="F16" s="138">
        <v>0</v>
      </c>
      <c r="G16" s="126">
        <v>0</v>
      </c>
      <c r="H16" s="139">
        <v>0</v>
      </c>
      <c r="I16" s="126">
        <v>0</v>
      </c>
      <c r="J16" s="300"/>
      <c r="K16" s="127">
        <v>0</v>
      </c>
      <c r="L16" s="99">
        <v>67.835010000000011</v>
      </c>
      <c r="M16" s="92">
        <v>0</v>
      </c>
      <c r="N16" s="110">
        <v>33.469793934000009</v>
      </c>
      <c r="O16" s="424">
        <v>0</v>
      </c>
      <c r="P16" s="111">
        <v>0.54268008000000012</v>
      </c>
      <c r="Q16" s="111">
        <v>33.822535986000005</v>
      </c>
      <c r="R16" s="416">
        <v>0</v>
      </c>
      <c r="S16" s="404">
        <v>0</v>
      </c>
      <c r="T16" s="405">
        <v>0</v>
      </c>
      <c r="U16" s="404">
        <v>0</v>
      </c>
      <c r="V16" s="405">
        <v>0</v>
      </c>
      <c r="W16" s="404">
        <v>0</v>
      </c>
      <c r="X16" s="405">
        <v>0</v>
      </c>
      <c r="Y16" s="406">
        <v>0</v>
      </c>
      <c r="Z16" s="375">
        <v>0</v>
      </c>
      <c r="AA16" s="417">
        <v>0</v>
      </c>
      <c r="AB16" s="417">
        <v>0</v>
      </c>
      <c r="AC16" s="418"/>
      <c r="AD16" s="420"/>
      <c r="AE16" s="420">
        <v>0</v>
      </c>
      <c r="AF16" s="417">
        <v>0</v>
      </c>
      <c r="AG16" s="421"/>
      <c r="AH16" s="422"/>
      <c r="AI16" s="423">
        <v>0</v>
      </c>
      <c r="AJ16" s="134">
        <v>0.54268008000000012</v>
      </c>
      <c r="AK16" s="307">
        <v>33.822535986000005</v>
      </c>
      <c r="AL16" s="136">
        <v>0</v>
      </c>
      <c r="AM16" s="412">
        <v>0</v>
      </c>
      <c r="AN16" s="92">
        <v>0</v>
      </c>
      <c r="AO16" s="110">
        <v>33.469793934000009</v>
      </c>
      <c r="AP16" s="111">
        <v>0</v>
      </c>
      <c r="AQ16" s="112">
        <v>33.469793934000009</v>
      </c>
      <c r="AR16" s="113">
        <v>0.54268008000000012</v>
      </c>
      <c r="AS16" s="114">
        <v>34.012474014000006</v>
      </c>
      <c r="AT16" s="115">
        <v>33.822535986000005</v>
      </c>
      <c r="AU16" s="413">
        <v>0</v>
      </c>
      <c r="AV16" s="414">
        <v>0</v>
      </c>
      <c r="AW16" s="311" t="s">
        <v>153</v>
      </c>
      <c r="AX16" s="118">
        <v>0.49340000000000006</v>
      </c>
      <c r="AY16" s="119" t="s">
        <v>153</v>
      </c>
      <c r="AZ16" s="120">
        <v>0.49340000000000006</v>
      </c>
      <c r="BA16" s="121">
        <v>8.0000000000000002E-3</v>
      </c>
      <c r="BB16" s="122">
        <v>0.50139999999999996</v>
      </c>
      <c r="BC16" s="123">
        <v>0.49859999999999999</v>
      </c>
      <c r="BD16" s="415" t="s">
        <v>153</v>
      </c>
      <c r="BE16" s="124" t="s">
        <v>153</v>
      </c>
      <c r="BF16" s="61">
        <v>0</v>
      </c>
      <c r="BH16" s="2629" t="s">
        <v>60</v>
      </c>
      <c r="BI16" s="2630">
        <v>67.835010000000011</v>
      </c>
      <c r="BJ16" s="2631">
        <v>1</v>
      </c>
      <c r="BK16" s="2630">
        <v>0</v>
      </c>
      <c r="BL16" s="2630">
        <v>33.469793934000009</v>
      </c>
      <c r="BM16" s="2630">
        <v>0</v>
      </c>
      <c r="BN16" s="2630">
        <v>33.469793934000009</v>
      </c>
      <c r="BO16" s="2630">
        <v>0.54268008000000012</v>
      </c>
      <c r="BP16" s="2630">
        <v>34.012474014000006</v>
      </c>
      <c r="BQ16" s="2630">
        <v>33.822535986000005</v>
      </c>
      <c r="BR16" s="2630">
        <v>0</v>
      </c>
      <c r="BS16" s="2630">
        <v>0</v>
      </c>
      <c r="BT16" s="1"/>
      <c r="BU16" s="2629" t="s">
        <v>60</v>
      </c>
      <c r="BV16" s="2630">
        <v>67.835010000000011</v>
      </c>
      <c r="BW16" s="2634">
        <v>1</v>
      </c>
      <c r="BX16" s="2634" t="s">
        <v>153</v>
      </c>
      <c r="BY16" s="2634">
        <v>0.49340000000000006</v>
      </c>
      <c r="BZ16" s="2634" t="s">
        <v>153</v>
      </c>
      <c r="CA16" s="2634">
        <v>0.49340000000000006</v>
      </c>
      <c r="CB16" s="2634">
        <v>8.0000000000000002E-3</v>
      </c>
      <c r="CC16" s="2634">
        <v>0.50139999999999996</v>
      </c>
      <c r="CD16" s="2634">
        <v>0.49859999999999999</v>
      </c>
      <c r="CE16" s="2634" t="s">
        <v>153</v>
      </c>
      <c r="CF16" s="2634" t="s">
        <v>153</v>
      </c>
    </row>
    <row r="17" spans="1:84" ht="14.4" x14ac:dyDescent="0.3">
      <c r="A17" s="8" t="s">
        <v>57</v>
      </c>
      <c r="B17" s="92">
        <v>3340.4550500000005</v>
      </c>
      <c r="C17" s="93">
        <v>0.29445611445315878</v>
      </c>
      <c r="D17" s="137">
        <v>3340.4550500000005</v>
      </c>
      <c r="E17" s="94">
        <v>0.29445611445315878</v>
      </c>
      <c r="F17" s="138">
        <v>6.59E-2</v>
      </c>
      <c r="G17" s="126">
        <v>7802.7337646343585</v>
      </c>
      <c r="H17" s="139">
        <v>1.9900000000000001E-2</v>
      </c>
      <c r="I17" s="126">
        <v>201.30323710529126</v>
      </c>
      <c r="J17" s="300"/>
      <c r="K17" s="127">
        <v>8004.0370017396499</v>
      </c>
      <c r="L17" s="99">
        <v>11344.492051739649</v>
      </c>
      <c r="M17" s="92">
        <v>2020.9753052500002</v>
      </c>
      <c r="N17" s="110">
        <v>1025.5197003500002</v>
      </c>
      <c r="O17" s="424">
        <v>0</v>
      </c>
      <c r="P17" s="111">
        <v>293.96004440000002</v>
      </c>
      <c r="Q17" s="111">
        <v>0</v>
      </c>
      <c r="R17" s="416">
        <v>0</v>
      </c>
      <c r="S17" s="404">
        <v>7906.6153091999995</v>
      </c>
      <c r="T17" s="405">
        <v>434.40565965795622</v>
      </c>
      <c r="U17" s="404">
        <v>4272.0903375999997</v>
      </c>
      <c r="V17" s="405">
        <v>-1542.2481676420439</v>
      </c>
      <c r="W17" s="404">
        <v>3634.5249715999998</v>
      </c>
      <c r="X17" s="405">
        <v>1976.6538273000001</v>
      </c>
      <c r="Y17" s="406">
        <v>562.7457582101722</v>
      </c>
      <c r="Z17" s="375">
        <v>7472.2096495420428</v>
      </c>
      <c r="AA17" s="417">
        <v>0</v>
      </c>
      <c r="AB17" s="417">
        <v>7472.2096495420428</v>
      </c>
      <c r="AC17" s="418"/>
      <c r="AD17" s="420">
        <v>5814.3385052420435</v>
      </c>
      <c r="AE17" s="420"/>
      <c r="AF17" s="417">
        <v>1657.8711442999997</v>
      </c>
      <c r="AG17" s="421"/>
      <c r="AH17" s="422"/>
      <c r="AI17" s="423">
        <v>5814.3385052420435</v>
      </c>
      <c r="AJ17" s="134">
        <v>293.96004440000002</v>
      </c>
      <c r="AK17" s="307">
        <v>0</v>
      </c>
      <c r="AL17" s="136">
        <v>531.8273521976073</v>
      </c>
      <c r="AM17" s="412">
        <v>0</v>
      </c>
      <c r="AN17" s="92">
        <v>2020.9753052500002</v>
      </c>
      <c r="AO17" s="110">
        <v>1025.5197003500002</v>
      </c>
      <c r="AP17" s="111">
        <v>0</v>
      </c>
      <c r="AQ17" s="112">
        <v>3046.4950056000007</v>
      </c>
      <c r="AR17" s="113">
        <v>6108.2985496420433</v>
      </c>
      <c r="AS17" s="114">
        <v>9154.793555242044</v>
      </c>
      <c r="AT17" s="115">
        <v>531.8273521976073</v>
      </c>
      <c r="AU17" s="413">
        <v>1657.8711442999997</v>
      </c>
      <c r="AV17" s="414">
        <v>0</v>
      </c>
      <c r="AW17" s="311">
        <v>0.17814594924416108</v>
      </c>
      <c r="AX17" s="118">
        <v>9.0398027137119752E-2</v>
      </c>
      <c r="AY17" s="119" t="s">
        <v>153</v>
      </c>
      <c r="AZ17" s="120">
        <v>0.26854397638128086</v>
      </c>
      <c r="BA17" s="121">
        <v>0.53843737752060494</v>
      </c>
      <c r="BB17" s="122">
        <v>0.80698135390188575</v>
      </c>
      <c r="BC17" s="123">
        <v>4.6879785341826116E-2</v>
      </c>
      <c r="BD17" s="415">
        <v>0.14613886075628826</v>
      </c>
      <c r="BE17" s="124" t="s">
        <v>153</v>
      </c>
      <c r="BF17" s="61">
        <v>0</v>
      </c>
      <c r="BH17" s="2629" t="s">
        <v>57</v>
      </c>
      <c r="BI17" s="2630">
        <v>11344.492051739649</v>
      </c>
      <c r="BJ17" s="2631">
        <v>0.29445611445315878</v>
      </c>
      <c r="BK17" s="2630">
        <v>2020.9753052500002</v>
      </c>
      <c r="BL17" s="2630">
        <v>1025.5197003500002</v>
      </c>
      <c r="BM17" s="2630">
        <v>0</v>
      </c>
      <c r="BN17" s="2630">
        <v>3046.4950056000007</v>
      </c>
      <c r="BO17" s="2630">
        <v>6108.2985496420433</v>
      </c>
      <c r="BP17" s="2630">
        <v>9154.793555242044</v>
      </c>
      <c r="BQ17" s="2630">
        <v>531.8273521976073</v>
      </c>
      <c r="BR17" s="2630">
        <v>0</v>
      </c>
      <c r="BS17" s="2630">
        <v>1657.8711442999997</v>
      </c>
      <c r="BT17" s="1"/>
      <c r="BU17" s="2629" t="s">
        <v>57</v>
      </c>
      <c r="BV17" s="2630">
        <v>11344.492051739649</v>
      </c>
      <c r="BW17" s="2634">
        <v>0.29445611445315878</v>
      </c>
      <c r="BX17" s="2634">
        <v>0.17814594924416108</v>
      </c>
      <c r="BY17" s="2634">
        <v>9.0398027137119752E-2</v>
      </c>
      <c r="BZ17" s="2634" t="s">
        <v>153</v>
      </c>
      <c r="CA17" s="2634">
        <v>0.26854397638128086</v>
      </c>
      <c r="CB17" s="2634">
        <v>0.53843737752060494</v>
      </c>
      <c r="CC17" s="2634">
        <v>0.80698135390188575</v>
      </c>
      <c r="CD17" s="2634">
        <v>4.6879785341826116E-2</v>
      </c>
      <c r="CE17" s="2634" t="s">
        <v>153</v>
      </c>
      <c r="CF17" s="2634">
        <v>0.14613886075628826</v>
      </c>
    </row>
    <row r="18" spans="1:84" ht="14.4" x14ac:dyDescent="0.3">
      <c r="A18" s="8" t="s">
        <v>35</v>
      </c>
      <c r="B18" s="92">
        <v>133.20699999999999</v>
      </c>
      <c r="C18" s="93">
        <v>1</v>
      </c>
      <c r="D18" s="137">
        <v>0</v>
      </c>
      <c r="E18" s="94">
        <v>0</v>
      </c>
      <c r="F18" s="138">
        <v>0</v>
      </c>
      <c r="G18" s="126">
        <v>0</v>
      </c>
      <c r="H18" s="139">
        <v>0</v>
      </c>
      <c r="I18" s="126">
        <v>0</v>
      </c>
      <c r="J18" s="300"/>
      <c r="K18" s="127">
        <v>0</v>
      </c>
      <c r="L18" s="99">
        <v>133.20699999999999</v>
      </c>
      <c r="M18" s="92">
        <v>0</v>
      </c>
      <c r="N18" s="110">
        <v>133.20699999999999</v>
      </c>
      <c r="O18" s="424">
        <v>0</v>
      </c>
      <c r="P18" s="111">
        <v>0</v>
      </c>
      <c r="Q18" s="111">
        <v>0</v>
      </c>
      <c r="R18" s="416">
        <v>0</v>
      </c>
      <c r="S18" s="404">
        <v>0</v>
      </c>
      <c r="T18" s="405">
        <v>0</v>
      </c>
      <c r="U18" s="404">
        <v>0</v>
      </c>
      <c r="V18" s="405">
        <v>0</v>
      </c>
      <c r="W18" s="404">
        <v>0</v>
      </c>
      <c r="X18" s="405">
        <v>0</v>
      </c>
      <c r="Y18" s="406">
        <v>0</v>
      </c>
      <c r="Z18" s="375">
        <v>0</v>
      </c>
      <c r="AA18" s="417">
        <v>0</v>
      </c>
      <c r="AB18" s="417">
        <v>0</v>
      </c>
      <c r="AC18" s="418"/>
      <c r="AD18" s="420"/>
      <c r="AE18" s="420">
        <v>0</v>
      </c>
      <c r="AF18" s="417">
        <v>0</v>
      </c>
      <c r="AG18" s="421"/>
      <c r="AH18" s="422"/>
      <c r="AI18" s="423">
        <v>0</v>
      </c>
      <c r="AJ18" s="134">
        <v>0</v>
      </c>
      <c r="AK18" s="307">
        <v>0</v>
      </c>
      <c r="AL18" s="136">
        <v>0</v>
      </c>
      <c r="AM18" s="412">
        <v>0</v>
      </c>
      <c r="AN18" s="92">
        <v>0</v>
      </c>
      <c r="AO18" s="110">
        <v>133.20699999999999</v>
      </c>
      <c r="AP18" s="111">
        <v>0</v>
      </c>
      <c r="AQ18" s="112">
        <v>133.20699999999999</v>
      </c>
      <c r="AR18" s="113">
        <v>0</v>
      </c>
      <c r="AS18" s="114">
        <v>133.20699999999999</v>
      </c>
      <c r="AT18" s="115">
        <v>0</v>
      </c>
      <c r="AU18" s="413">
        <v>0</v>
      </c>
      <c r="AV18" s="414">
        <v>0</v>
      </c>
      <c r="AW18" s="311" t="s">
        <v>153</v>
      </c>
      <c r="AX18" s="118">
        <v>1</v>
      </c>
      <c r="AY18" s="119" t="s">
        <v>153</v>
      </c>
      <c r="AZ18" s="120">
        <v>1</v>
      </c>
      <c r="BA18" s="121" t="s">
        <v>153</v>
      </c>
      <c r="BB18" s="122">
        <v>1</v>
      </c>
      <c r="BC18" s="123" t="s">
        <v>153</v>
      </c>
      <c r="BD18" s="415" t="s">
        <v>153</v>
      </c>
      <c r="BE18" s="124" t="s">
        <v>153</v>
      </c>
      <c r="BF18" s="61">
        <v>0</v>
      </c>
      <c r="BH18" s="2629" t="s">
        <v>35</v>
      </c>
      <c r="BI18" s="2630">
        <v>133.20699999999999</v>
      </c>
      <c r="BJ18" s="2631">
        <v>1</v>
      </c>
      <c r="BK18" s="2630">
        <v>0</v>
      </c>
      <c r="BL18" s="2630">
        <v>133.20699999999999</v>
      </c>
      <c r="BM18" s="2630">
        <v>0</v>
      </c>
      <c r="BN18" s="2630">
        <v>133.20699999999999</v>
      </c>
      <c r="BO18" s="2630">
        <v>0</v>
      </c>
      <c r="BP18" s="2630">
        <v>133.20699999999999</v>
      </c>
      <c r="BQ18" s="2630">
        <v>0</v>
      </c>
      <c r="BR18" s="2630">
        <v>0</v>
      </c>
      <c r="BS18" s="2630">
        <v>0</v>
      </c>
      <c r="BT18" s="1"/>
      <c r="BU18" s="2629" t="s">
        <v>35</v>
      </c>
      <c r="BV18" s="2630">
        <v>133.20699999999999</v>
      </c>
      <c r="BW18" s="2634">
        <v>1</v>
      </c>
      <c r="BX18" s="2634" t="s">
        <v>153</v>
      </c>
      <c r="BY18" s="2634">
        <v>1</v>
      </c>
      <c r="BZ18" s="2634" t="s">
        <v>153</v>
      </c>
      <c r="CA18" s="2634">
        <v>1</v>
      </c>
      <c r="CB18" s="2634" t="s">
        <v>153</v>
      </c>
      <c r="CC18" s="2634">
        <v>1</v>
      </c>
      <c r="CD18" s="2634" t="s">
        <v>153</v>
      </c>
      <c r="CE18" s="2634" t="s">
        <v>153</v>
      </c>
      <c r="CF18" s="2634" t="s">
        <v>153</v>
      </c>
    </row>
    <row r="19" spans="1:84" ht="14.4" x14ac:dyDescent="0.3">
      <c r="A19" s="8" t="s">
        <v>67</v>
      </c>
      <c r="B19" s="92">
        <v>168.13003</v>
      </c>
      <c r="C19" s="93">
        <v>1</v>
      </c>
      <c r="D19" s="137">
        <v>168.13003</v>
      </c>
      <c r="E19" s="94">
        <v>1</v>
      </c>
      <c r="F19" s="138">
        <v>0</v>
      </c>
      <c r="G19" s="126">
        <v>0</v>
      </c>
      <c r="H19" s="139">
        <v>0</v>
      </c>
      <c r="I19" s="126">
        <v>0</v>
      </c>
      <c r="J19" s="300"/>
      <c r="K19" s="127">
        <v>0</v>
      </c>
      <c r="L19" s="99">
        <v>168.13003</v>
      </c>
      <c r="M19" s="92">
        <v>25.448452141894435</v>
      </c>
      <c r="N19" s="110">
        <v>79.298423331789493</v>
      </c>
      <c r="O19" s="424">
        <v>0</v>
      </c>
      <c r="P19" s="111">
        <v>63.383154526316048</v>
      </c>
      <c r="Q19" s="111">
        <v>0</v>
      </c>
      <c r="R19" s="416">
        <v>0</v>
      </c>
      <c r="S19" s="404">
        <v>0</v>
      </c>
      <c r="T19" s="405">
        <v>0</v>
      </c>
      <c r="U19" s="404">
        <v>0</v>
      </c>
      <c r="V19" s="405">
        <v>0</v>
      </c>
      <c r="W19" s="404">
        <v>0</v>
      </c>
      <c r="X19" s="405">
        <v>0</v>
      </c>
      <c r="Y19" s="406">
        <v>0</v>
      </c>
      <c r="Z19" s="375">
        <v>0</v>
      </c>
      <c r="AA19" s="417">
        <v>0</v>
      </c>
      <c r="AB19" s="417">
        <v>0</v>
      </c>
      <c r="AC19" s="418"/>
      <c r="AD19" s="420"/>
      <c r="AE19" s="420">
        <v>0</v>
      </c>
      <c r="AF19" s="417">
        <v>0</v>
      </c>
      <c r="AG19" s="421"/>
      <c r="AH19" s="422"/>
      <c r="AI19" s="423">
        <v>0</v>
      </c>
      <c r="AJ19" s="134">
        <v>63.383154526316048</v>
      </c>
      <c r="AK19" s="307">
        <v>0</v>
      </c>
      <c r="AL19" s="136">
        <v>0</v>
      </c>
      <c r="AM19" s="412">
        <v>0</v>
      </c>
      <c r="AN19" s="92">
        <v>25.448452141894435</v>
      </c>
      <c r="AO19" s="110">
        <v>79.298423331789493</v>
      </c>
      <c r="AP19" s="111">
        <v>0</v>
      </c>
      <c r="AQ19" s="112">
        <v>104.74687547368393</v>
      </c>
      <c r="AR19" s="113">
        <v>63.383154526316048</v>
      </c>
      <c r="AS19" s="114">
        <v>168.13002999999998</v>
      </c>
      <c r="AT19" s="115">
        <v>0</v>
      </c>
      <c r="AU19" s="413">
        <v>0</v>
      </c>
      <c r="AV19" s="414">
        <v>0</v>
      </c>
      <c r="AW19" s="311">
        <v>0.15136172962019001</v>
      </c>
      <c r="AX19" s="118">
        <v>0.47164937359369702</v>
      </c>
      <c r="AY19" s="119" t="s">
        <v>153</v>
      </c>
      <c r="AZ19" s="120">
        <v>0.62301110321388709</v>
      </c>
      <c r="BA19" s="121">
        <v>0.3769888967861128</v>
      </c>
      <c r="BB19" s="122">
        <v>0.99999999999999978</v>
      </c>
      <c r="BC19" s="123" t="s">
        <v>153</v>
      </c>
      <c r="BD19" s="415" t="s">
        <v>153</v>
      </c>
      <c r="BE19" s="124" t="s">
        <v>153</v>
      </c>
      <c r="BF19" s="61">
        <v>0</v>
      </c>
      <c r="BH19" s="2629" t="s">
        <v>67</v>
      </c>
      <c r="BI19" s="2630">
        <v>168.13003</v>
      </c>
      <c r="BJ19" s="2631">
        <v>1</v>
      </c>
      <c r="BK19" s="2630">
        <v>25.448452141894435</v>
      </c>
      <c r="BL19" s="2630">
        <v>79.298423331789493</v>
      </c>
      <c r="BM19" s="2630">
        <v>0</v>
      </c>
      <c r="BN19" s="2630">
        <v>104.74687547368393</v>
      </c>
      <c r="BO19" s="2630">
        <v>63.383154526316048</v>
      </c>
      <c r="BP19" s="2630">
        <v>168.13002999999998</v>
      </c>
      <c r="BQ19" s="2630">
        <v>0</v>
      </c>
      <c r="BR19" s="2630">
        <v>0</v>
      </c>
      <c r="BS19" s="2630">
        <v>0</v>
      </c>
      <c r="BT19" s="1"/>
      <c r="BU19" s="2629" t="s">
        <v>67</v>
      </c>
      <c r="BV19" s="2630">
        <v>168.13003</v>
      </c>
      <c r="BW19" s="2634">
        <v>1</v>
      </c>
      <c r="BX19" s="2634">
        <v>0.15136172962019001</v>
      </c>
      <c r="BY19" s="2634">
        <v>0.47164937359369702</v>
      </c>
      <c r="BZ19" s="2634" t="s">
        <v>153</v>
      </c>
      <c r="CA19" s="2634">
        <v>0.62301110321388709</v>
      </c>
      <c r="CB19" s="2634">
        <v>0.3769888967861128</v>
      </c>
      <c r="CC19" s="2634">
        <v>0.99999999999999978</v>
      </c>
      <c r="CD19" s="2634" t="s">
        <v>153</v>
      </c>
      <c r="CE19" s="2634" t="s">
        <v>153</v>
      </c>
      <c r="CF19" s="2634" t="s">
        <v>153</v>
      </c>
    </row>
    <row r="20" spans="1:84" ht="14.4" x14ac:dyDescent="0.3">
      <c r="A20" s="8" t="s">
        <v>76</v>
      </c>
      <c r="B20" s="92">
        <v>0</v>
      </c>
      <c r="C20" s="93">
        <v>0</v>
      </c>
      <c r="D20" s="137">
        <v>0</v>
      </c>
      <c r="E20" s="94">
        <v>0</v>
      </c>
      <c r="F20" s="138">
        <v>1.5800000000000002E-2</v>
      </c>
      <c r="G20" s="126">
        <v>1870.7616613235641</v>
      </c>
      <c r="H20" s="139">
        <v>0</v>
      </c>
      <c r="I20" s="126">
        <v>0</v>
      </c>
      <c r="J20" s="300"/>
      <c r="K20" s="127">
        <v>1870.7616613235641</v>
      </c>
      <c r="L20" s="99">
        <v>1870.7616613235641</v>
      </c>
      <c r="M20" s="92">
        <v>0</v>
      </c>
      <c r="N20" s="110">
        <v>0</v>
      </c>
      <c r="O20" s="424">
        <v>0</v>
      </c>
      <c r="P20" s="111">
        <v>0</v>
      </c>
      <c r="Q20" s="111">
        <v>0</v>
      </c>
      <c r="R20" s="416">
        <v>0</v>
      </c>
      <c r="S20" s="404">
        <v>1895.6680104000002</v>
      </c>
      <c r="T20" s="405">
        <v>149.20890049121135</v>
      </c>
      <c r="U20" s="404">
        <v>1024.2644512000002</v>
      </c>
      <c r="V20" s="405">
        <v>-324.70810210878869</v>
      </c>
      <c r="W20" s="404">
        <v>871.40355920000002</v>
      </c>
      <c r="X20" s="405">
        <v>473.91700260000005</v>
      </c>
      <c r="Y20" s="406">
        <v>134.92235174083038</v>
      </c>
      <c r="Z20" s="375">
        <v>1746.4591099087888</v>
      </c>
      <c r="AA20" s="417">
        <v>0</v>
      </c>
      <c r="AB20" s="417">
        <v>1746.4591099087886</v>
      </c>
      <c r="AC20" s="418"/>
      <c r="AD20" s="420">
        <v>1348.972553308789</v>
      </c>
      <c r="AE20" s="420">
        <v>-1.1368683772161603E-13</v>
      </c>
      <c r="AF20" s="417">
        <v>397.48655659999997</v>
      </c>
      <c r="AG20" s="421"/>
      <c r="AH20" s="422"/>
      <c r="AI20" s="423">
        <v>1348.972553308789</v>
      </c>
      <c r="AJ20" s="134">
        <v>0</v>
      </c>
      <c r="AK20" s="307">
        <v>-1.1368683772161603E-13</v>
      </c>
      <c r="AL20" s="136">
        <v>124.30255141477546</v>
      </c>
      <c r="AM20" s="412">
        <v>0</v>
      </c>
      <c r="AN20" s="92">
        <v>0</v>
      </c>
      <c r="AO20" s="110">
        <v>0</v>
      </c>
      <c r="AP20" s="111">
        <v>0</v>
      </c>
      <c r="AQ20" s="112">
        <v>0</v>
      </c>
      <c r="AR20" s="113">
        <v>1348.972553308789</v>
      </c>
      <c r="AS20" s="114">
        <v>1348.972553308789</v>
      </c>
      <c r="AT20" s="115">
        <v>124.30255141477535</v>
      </c>
      <c r="AU20" s="413">
        <v>397.48655659999997</v>
      </c>
      <c r="AV20" s="414">
        <v>0</v>
      </c>
      <c r="AW20" s="311" t="s">
        <v>153</v>
      </c>
      <c r="AX20" s="118" t="s">
        <v>153</v>
      </c>
      <c r="AY20" s="119" t="s">
        <v>153</v>
      </c>
      <c r="AZ20" s="120" t="s">
        <v>153</v>
      </c>
      <c r="BA20" s="121">
        <v>0.72108199627866587</v>
      </c>
      <c r="BB20" s="122">
        <v>0.72108199627866587</v>
      </c>
      <c r="BC20" s="123">
        <v>6.6444889258010176E-2</v>
      </c>
      <c r="BD20" s="415">
        <v>0.21247311446332409</v>
      </c>
      <c r="BE20" s="124" t="s">
        <v>153</v>
      </c>
      <c r="BF20" s="61">
        <v>0</v>
      </c>
      <c r="BH20" s="2629" t="s">
        <v>76</v>
      </c>
      <c r="BI20" s="2630">
        <v>1870.7616613235641</v>
      </c>
      <c r="BJ20" s="2631">
        <v>0</v>
      </c>
      <c r="BK20" s="2630">
        <v>0</v>
      </c>
      <c r="BL20" s="2630">
        <v>0</v>
      </c>
      <c r="BM20" s="2630">
        <v>0</v>
      </c>
      <c r="BN20" s="2630">
        <v>0</v>
      </c>
      <c r="BO20" s="2630">
        <v>1348.972553308789</v>
      </c>
      <c r="BP20" s="2630">
        <v>1348.972553308789</v>
      </c>
      <c r="BQ20" s="2630">
        <v>124.30255141477535</v>
      </c>
      <c r="BR20" s="2630">
        <v>0</v>
      </c>
      <c r="BS20" s="2630">
        <v>397.48655659999997</v>
      </c>
      <c r="BT20" s="1"/>
      <c r="BU20" s="2629" t="s">
        <v>76</v>
      </c>
      <c r="BV20" s="2630">
        <v>1870.7616613235641</v>
      </c>
      <c r="BW20" s="2634">
        <v>0</v>
      </c>
      <c r="BX20" s="2634" t="s">
        <v>153</v>
      </c>
      <c r="BY20" s="2634" t="s">
        <v>153</v>
      </c>
      <c r="BZ20" s="2634" t="s">
        <v>153</v>
      </c>
      <c r="CA20" s="2634" t="s">
        <v>153</v>
      </c>
      <c r="CB20" s="2634">
        <v>0.72108199627866587</v>
      </c>
      <c r="CC20" s="2634">
        <v>0.72108199627866587</v>
      </c>
      <c r="CD20" s="2634">
        <v>6.6444889258010176E-2</v>
      </c>
      <c r="CE20" s="2634" t="s">
        <v>153</v>
      </c>
      <c r="CF20" s="2634">
        <v>0.21247311446332409</v>
      </c>
    </row>
    <row r="21" spans="1:84" ht="14.4" x14ac:dyDescent="0.3">
      <c r="A21" s="8" t="s">
        <v>62</v>
      </c>
      <c r="B21" s="92">
        <v>509.03356999999994</v>
      </c>
      <c r="C21" s="93">
        <v>1</v>
      </c>
      <c r="D21" s="137">
        <v>509.03356999999994</v>
      </c>
      <c r="E21" s="94">
        <v>1</v>
      </c>
      <c r="F21" s="138">
        <v>0</v>
      </c>
      <c r="G21" s="126">
        <v>0</v>
      </c>
      <c r="H21" s="139">
        <v>0</v>
      </c>
      <c r="I21" s="126">
        <v>0</v>
      </c>
      <c r="J21" s="300"/>
      <c r="K21" s="127">
        <v>0</v>
      </c>
      <c r="L21" s="99">
        <v>509.03356999999994</v>
      </c>
      <c r="M21" s="92">
        <v>0</v>
      </c>
      <c r="N21" s="110">
        <v>13.234872819999998</v>
      </c>
      <c r="O21" s="424">
        <v>0</v>
      </c>
      <c r="P21" s="111">
        <v>426.57013165999996</v>
      </c>
      <c r="Q21" s="111">
        <v>0</v>
      </c>
      <c r="R21" s="416">
        <v>69.228565520000004</v>
      </c>
      <c r="S21" s="404">
        <v>0</v>
      </c>
      <c r="T21" s="405">
        <v>0</v>
      </c>
      <c r="U21" s="404">
        <v>0</v>
      </c>
      <c r="V21" s="405">
        <v>0</v>
      </c>
      <c r="W21" s="404">
        <v>0</v>
      </c>
      <c r="X21" s="405">
        <v>0</v>
      </c>
      <c r="Y21" s="406">
        <v>0</v>
      </c>
      <c r="Z21" s="375">
        <v>0</v>
      </c>
      <c r="AA21" s="417">
        <v>0</v>
      </c>
      <c r="AB21" s="417">
        <v>0</v>
      </c>
      <c r="AC21" s="418"/>
      <c r="AD21" s="420"/>
      <c r="AE21" s="420">
        <v>0</v>
      </c>
      <c r="AF21" s="417">
        <v>0</v>
      </c>
      <c r="AG21" s="421"/>
      <c r="AH21" s="422">
        <v>0</v>
      </c>
      <c r="AI21" s="423">
        <v>0</v>
      </c>
      <c r="AJ21" s="134">
        <v>426.57013165999996</v>
      </c>
      <c r="AK21" s="307">
        <v>0</v>
      </c>
      <c r="AL21" s="136">
        <v>0</v>
      </c>
      <c r="AM21" s="412">
        <v>69.228565520000004</v>
      </c>
      <c r="AN21" s="92">
        <v>0</v>
      </c>
      <c r="AO21" s="110">
        <v>13.234872819999998</v>
      </c>
      <c r="AP21" s="111">
        <v>0</v>
      </c>
      <c r="AQ21" s="112">
        <v>13.234872819999998</v>
      </c>
      <c r="AR21" s="113">
        <v>426.57013165999996</v>
      </c>
      <c r="AS21" s="114">
        <v>439.80500447999998</v>
      </c>
      <c r="AT21" s="115">
        <v>0</v>
      </c>
      <c r="AU21" s="413">
        <v>0</v>
      </c>
      <c r="AV21" s="414">
        <v>69.228565520000004</v>
      </c>
      <c r="AW21" s="311" t="s">
        <v>153</v>
      </c>
      <c r="AX21" s="118">
        <v>2.5999999999999999E-2</v>
      </c>
      <c r="AY21" s="119" t="s">
        <v>153</v>
      </c>
      <c r="AZ21" s="120">
        <v>2.5999999999999999E-2</v>
      </c>
      <c r="BA21" s="121">
        <v>0.83799999999999997</v>
      </c>
      <c r="BB21" s="122">
        <v>0.8640000000000001</v>
      </c>
      <c r="BC21" s="123" t="s">
        <v>153</v>
      </c>
      <c r="BD21" s="415" t="s">
        <v>153</v>
      </c>
      <c r="BE21" s="124">
        <v>0.13600000000000001</v>
      </c>
      <c r="BF21" s="61">
        <v>0</v>
      </c>
      <c r="BH21" s="2629" t="s">
        <v>62</v>
      </c>
      <c r="BI21" s="2630">
        <v>509.03356999999994</v>
      </c>
      <c r="BJ21" s="2631">
        <v>1</v>
      </c>
      <c r="BK21" s="2630">
        <v>0</v>
      </c>
      <c r="BL21" s="2630">
        <v>13.234872819999998</v>
      </c>
      <c r="BM21" s="2630">
        <v>0</v>
      </c>
      <c r="BN21" s="2630">
        <v>13.234872819999998</v>
      </c>
      <c r="BO21" s="2630">
        <v>426.57013165999996</v>
      </c>
      <c r="BP21" s="2630">
        <v>439.80500447999998</v>
      </c>
      <c r="BQ21" s="2630">
        <v>0</v>
      </c>
      <c r="BR21" s="2630">
        <v>69.228565520000004</v>
      </c>
      <c r="BS21" s="2630">
        <v>0</v>
      </c>
      <c r="BT21" s="1"/>
      <c r="BU21" s="2629" t="s">
        <v>62</v>
      </c>
      <c r="BV21" s="2630">
        <v>509.03356999999994</v>
      </c>
      <c r="BW21" s="2634">
        <v>1</v>
      </c>
      <c r="BX21" s="2634" t="s">
        <v>153</v>
      </c>
      <c r="BY21" s="2634">
        <v>2.5999999999999999E-2</v>
      </c>
      <c r="BZ21" s="2634" t="s">
        <v>153</v>
      </c>
      <c r="CA21" s="2634">
        <v>2.5999999999999999E-2</v>
      </c>
      <c r="CB21" s="2634">
        <v>0.83799999999999997</v>
      </c>
      <c r="CC21" s="2634">
        <v>0.8640000000000001</v>
      </c>
      <c r="CD21" s="2634" t="s">
        <v>153</v>
      </c>
      <c r="CE21" s="2634">
        <v>0.13600000000000001</v>
      </c>
      <c r="CF21" s="2634" t="s">
        <v>153</v>
      </c>
    </row>
    <row r="22" spans="1:84" ht="14.4" x14ac:dyDescent="0.3">
      <c r="A22" s="8" t="s">
        <v>16</v>
      </c>
      <c r="B22" s="92">
        <v>2574.6548200000002</v>
      </c>
      <c r="C22" s="93">
        <v>0.36881782483846853</v>
      </c>
      <c r="D22" s="137">
        <v>2574.6548200000002</v>
      </c>
      <c r="E22" s="94">
        <v>0.36881782483846853</v>
      </c>
      <c r="F22" s="138">
        <v>3.2599999999999997E-2</v>
      </c>
      <c r="G22" s="126">
        <v>3859.9259594397581</v>
      </c>
      <c r="H22" s="139">
        <v>5.3999999999999999E-2</v>
      </c>
      <c r="I22" s="126">
        <v>546.24999013496119</v>
      </c>
      <c r="J22" s="300"/>
      <c r="K22" s="127">
        <v>4406.1759495747192</v>
      </c>
      <c r="L22" s="99">
        <v>6980.8307695747189</v>
      </c>
      <c r="M22" s="92">
        <v>0</v>
      </c>
      <c r="N22" s="110">
        <v>2445.9220789999999</v>
      </c>
      <c r="O22" s="424">
        <v>0</v>
      </c>
      <c r="P22" s="111">
        <v>0</v>
      </c>
      <c r="Q22" s="111">
        <v>128.732741</v>
      </c>
      <c r="R22" s="416">
        <v>0</v>
      </c>
      <c r="S22" s="404">
        <v>3911.3150087999998</v>
      </c>
      <c r="T22" s="405">
        <v>-202.09306775391963</v>
      </c>
      <c r="U22" s="404">
        <v>2113.3557664</v>
      </c>
      <c r="V22" s="405">
        <v>-1179.9218199539198</v>
      </c>
      <c r="W22" s="404">
        <v>1797.9592423999998</v>
      </c>
      <c r="X22" s="405">
        <v>977.82875219999994</v>
      </c>
      <c r="Y22" s="406">
        <v>278.38409283234614</v>
      </c>
      <c r="Z22" s="375">
        <v>4113.4080765539193</v>
      </c>
      <c r="AA22" s="417">
        <v>0</v>
      </c>
      <c r="AB22" s="417">
        <v>3752.3582157189285</v>
      </c>
      <c r="AC22" s="418">
        <v>361.04986083499006</v>
      </c>
      <c r="AD22" s="420">
        <v>2932.2277255189297</v>
      </c>
      <c r="AE22" s="420"/>
      <c r="AF22" s="417">
        <v>820.13049019999983</v>
      </c>
      <c r="AG22" s="421"/>
      <c r="AH22" s="422"/>
      <c r="AI22" s="423">
        <v>2932.2277255189297</v>
      </c>
      <c r="AJ22" s="134">
        <v>0</v>
      </c>
      <c r="AK22" s="307">
        <v>128.732741</v>
      </c>
      <c r="AL22" s="136">
        <v>292.76787302080027</v>
      </c>
      <c r="AM22" s="412">
        <v>0</v>
      </c>
      <c r="AN22" s="92">
        <v>0</v>
      </c>
      <c r="AO22" s="110">
        <v>2806.9719398349898</v>
      </c>
      <c r="AP22" s="111">
        <v>0</v>
      </c>
      <c r="AQ22" s="112">
        <v>2806.9719398349898</v>
      </c>
      <c r="AR22" s="113">
        <v>2932.2277255189297</v>
      </c>
      <c r="AS22" s="114">
        <v>5739.199665353919</v>
      </c>
      <c r="AT22" s="115">
        <v>421.5006140208003</v>
      </c>
      <c r="AU22" s="413">
        <v>820.13049019999983</v>
      </c>
      <c r="AV22" s="414">
        <v>0</v>
      </c>
      <c r="AW22" s="311" t="s">
        <v>153</v>
      </c>
      <c r="AX22" s="118">
        <v>0.40209711888002037</v>
      </c>
      <c r="AY22" s="119" t="s">
        <v>153</v>
      </c>
      <c r="AZ22" s="120">
        <v>0.40209711888002037</v>
      </c>
      <c r="BA22" s="121">
        <v>0.42003993826906144</v>
      </c>
      <c r="BB22" s="122">
        <v>0.8221370571490817</v>
      </c>
      <c r="BC22" s="123">
        <v>6.0379720972161405E-2</v>
      </c>
      <c r="BD22" s="415">
        <v>0.11748322187875687</v>
      </c>
      <c r="BE22" s="124" t="s">
        <v>153</v>
      </c>
      <c r="BF22" s="61">
        <v>0</v>
      </c>
      <c r="BH22" s="2629" t="s">
        <v>16</v>
      </c>
      <c r="BI22" s="2630">
        <v>6980.8307695747189</v>
      </c>
      <c r="BJ22" s="2631">
        <v>0.36881782483846853</v>
      </c>
      <c r="BK22" s="2630">
        <v>0</v>
      </c>
      <c r="BL22" s="2630">
        <v>2806.9719398349898</v>
      </c>
      <c r="BM22" s="2630">
        <v>0</v>
      </c>
      <c r="BN22" s="2630">
        <v>2806.9719398349898</v>
      </c>
      <c r="BO22" s="2630">
        <v>2932.2277255189297</v>
      </c>
      <c r="BP22" s="2630">
        <v>5739.199665353919</v>
      </c>
      <c r="BQ22" s="2630">
        <v>421.5006140208003</v>
      </c>
      <c r="BR22" s="2630">
        <v>0</v>
      </c>
      <c r="BS22" s="2630">
        <v>820.13049019999983</v>
      </c>
      <c r="BT22" s="1"/>
      <c r="BU22" s="2629" t="s">
        <v>16</v>
      </c>
      <c r="BV22" s="2630">
        <v>6980.8307695747189</v>
      </c>
      <c r="BW22" s="2634">
        <v>0.36881782483846853</v>
      </c>
      <c r="BX22" s="2634" t="s">
        <v>153</v>
      </c>
      <c r="BY22" s="2634">
        <v>0.40209711888002037</v>
      </c>
      <c r="BZ22" s="2634" t="s">
        <v>153</v>
      </c>
      <c r="CA22" s="2634">
        <v>0.40209711888002037</v>
      </c>
      <c r="CB22" s="2634">
        <v>0.42003993826906144</v>
      </c>
      <c r="CC22" s="2634">
        <v>0.8221370571490817</v>
      </c>
      <c r="CD22" s="2634">
        <v>6.0379720972161405E-2</v>
      </c>
      <c r="CE22" s="2634" t="s">
        <v>153</v>
      </c>
      <c r="CF22" s="2634">
        <v>0.11748322187875687</v>
      </c>
    </row>
    <row r="23" spans="1:84" ht="14.4" x14ac:dyDescent="0.3">
      <c r="A23" s="8" t="s">
        <v>95</v>
      </c>
      <c r="B23" s="92">
        <v>0</v>
      </c>
      <c r="C23" s="93" t="s">
        <v>153</v>
      </c>
      <c r="D23" s="137">
        <v>0</v>
      </c>
      <c r="E23" s="94" t="s">
        <v>153</v>
      </c>
      <c r="F23" s="138">
        <v>0</v>
      </c>
      <c r="G23" s="126">
        <v>0</v>
      </c>
      <c r="H23" s="139">
        <v>0</v>
      </c>
      <c r="I23" s="126">
        <v>0</v>
      </c>
      <c r="J23" s="300"/>
      <c r="K23" s="127">
        <v>0</v>
      </c>
      <c r="L23" s="99">
        <v>0</v>
      </c>
      <c r="M23" s="92">
        <v>0</v>
      </c>
      <c r="N23" s="110">
        <v>0</v>
      </c>
      <c r="O23" s="424">
        <v>0</v>
      </c>
      <c r="P23" s="111">
        <v>0</v>
      </c>
      <c r="Q23" s="111">
        <v>0</v>
      </c>
      <c r="R23" s="416">
        <v>0</v>
      </c>
      <c r="S23" s="404">
        <v>0</v>
      </c>
      <c r="T23" s="405">
        <v>0</v>
      </c>
      <c r="U23" s="404">
        <v>0</v>
      </c>
      <c r="V23" s="405">
        <v>0</v>
      </c>
      <c r="W23" s="404">
        <v>0</v>
      </c>
      <c r="X23" s="405">
        <v>0</v>
      </c>
      <c r="Y23" s="406">
        <v>0</v>
      </c>
      <c r="Z23" s="375">
        <v>0</v>
      </c>
      <c r="AA23" s="417">
        <v>0</v>
      </c>
      <c r="AB23" s="417">
        <v>0</v>
      </c>
      <c r="AC23" s="418"/>
      <c r="AD23" s="420"/>
      <c r="AE23" s="420">
        <v>0</v>
      </c>
      <c r="AF23" s="417">
        <v>0</v>
      </c>
      <c r="AG23" s="421"/>
      <c r="AH23" s="422"/>
      <c r="AI23" s="423">
        <v>0</v>
      </c>
      <c r="AJ23" s="134">
        <v>0</v>
      </c>
      <c r="AK23" s="307">
        <v>0</v>
      </c>
      <c r="AL23" s="136">
        <v>0</v>
      </c>
      <c r="AM23" s="412">
        <v>0</v>
      </c>
      <c r="AN23" s="92">
        <v>0</v>
      </c>
      <c r="AO23" s="110">
        <v>0</v>
      </c>
      <c r="AP23" s="111">
        <v>0</v>
      </c>
      <c r="AQ23" s="112">
        <v>0</v>
      </c>
      <c r="AR23" s="113">
        <v>0</v>
      </c>
      <c r="AS23" s="114">
        <v>0</v>
      </c>
      <c r="AT23" s="115">
        <v>0</v>
      </c>
      <c r="AU23" s="413">
        <v>0</v>
      </c>
      <c r="AV23" s="414">
        <v>0</v>
      </c>
      <c r="AW23" s="311" t="s">
        <v>153</v>
      </c>
      <c r="AX23" s="118" t="s">
        <v>153</v>
      </c>
      <c r="AY23" s="119" t="s">
        <v>153</v>
      </c>
      <c r="AZ23" s="120" t="s">
        <v>153</v>
      </c>
      <c r="BA23" s="121" t="s">
        <v>153</v>
      </c>
      <c r="BB23" s="122" t="s">
        <v>153</v>
      </c>
      <c r="BC23" s="123" t="s">
        <v>153</v>
      </c>
      <c r="BD23" s="415" t="s">
        <v>153</v>
      </c>
      <c r="BE23" s="124" t="s">
        <v>153</v>
      </c>
      <c r="BF23" s="61">
        <v>0</v>
      </c>
      <c r="BH23" s="2629" t="s">
        <v>95</v>
      </c>
      <c r="BI23" s="2630">
        <v>0</v>
      </c>
      <c r="BJ23" s="2631" t="s">
        <v>153</v>
      </c>
      <c r="BK23" s="2630">
        <v>0</v>
      </c>
      <c r="BL23" s="2630">
        <v>0</v>
      </c>
      <c r="BM23" s="2630">
        <v>0</v>
      </c>
      <c r="BN23" s="2630">
        <v>0</v>
      </c>
      <c r="BO23" s="2630">
        <v>0</v>
      </c>
      <c r="BP23" s="2630">
        <v>0</v>
      </c>
      <c r="BQ23" s="2630">
        <v>0</v>
      </c>
      <c r="BR23" s="2630">
        <v>0</v>
      </c>
      <c r="BS23" s="2630">
        <v>0</v>
      </c>
      <c r="BT23" s="1"/>
      <c r="BU23" s="2629" t="s">
        <v>95</v>
      </c>
      <c r="BV23" s="2630">
        <v>0</v>
      </c>
      <c r="BW23" s="2634" t="s">
        <v>153</v>
      </c>
      <c r="BX23" s="2634" t="s">
        <v>153</v>
      </c>
      <c r="BY23" s="2634" t="s">
        <v>153</v>
      </c>
      <c r="BZ23" s="2634" t="s">
        <v>153</v>
      </c>
      <c r="CA23" s="2634" t="s">
        <v>153</v>
      </c>
      <c r="CB23" s="2634" t="s">
        <v>153</v>
      </c>
      <c r="CC23" s="2634" t="s">
        <v>153</v>
      </c>
      <c r="CD23" s="2634" t="s">
        <v>153</v>
      </c>
      <c r="CE23" s="2634" t="s">
        <v>153</v>
      </c>
      <c r="CF23" s="2634" t="s">
        <v>153</v>
      </c>
    </row>
    <row r="24" spans="1:84" ht="14.4" x14ac:dyDescent="0.3">
      <c r="A24" s="8" t="s">
        <v>74</v>
      </c>
      <c r="B24" s="92">
        <v>0</v>
      </c>
      <c r="C24" s="93" t="s">
        <v>153</v>
      </c>
      <c r="D24" s="137">
        <v>0</v>
      </c>
      <c r="E24" s="94" t="s">
        <v>153</v>
      </c>
      <c r="F24" s="138">
        <v>0</v>
      </c>
      <c r="G24" s="126">
        <v>0</v>
      </c>
      <c r="H24" s="139">
        <v>0</v>
      </c>
      <c r="I24" s="126">
        <v>0</v>
      </c>
      <c r="J24" s="300"/>
      <c r="K24" s="127">
        <v>0</v>
      </c>
      <c r="L24" s="99">
        <v>0</v>
      </c>
      <c r="M24" s="92">
        <v>0</v>
      </c>
      <c r="N24" s="110">
        <v>0</v>
      </c>
      <c r="O24" s="424">
        <v>0</v>
      </c>
      <c r="P24" s="111">
        <v>0</v>
      </c>
      <c r="Q24" s="111">
        <v>0</v>
      </c>
      <c r="R24" s="416">
        <v>0</v>
      </c>
      <c r="S24" s="404">
        <v>0</v>
      </c>
      <c r="T24" s="405">
        <v>0</v>
      </c>
      <c r="U24" s="404">
        <v>0</v>
      </c>
      <c r="V24" s="405">
        <v>0</v>
      </c>
      <c r="W24" s="404">
        <v>0</v>
      </c>
      <c r="X24" s="405">
        <v>0</v>
      </c>
      <c r="Y24" s="406">
        <v>0</v>
      </c>
      <c r="Z24" s="375">
        <v>0</v>
      </c>
      <c r="AA24" s="417">
        <v>0</v>
      </c>
      <c r="AB24" s="417">
        <v>0</v>
      </c>
      <c r="AC24" s="418"/>
      <c r="AD24" s="420">
        <v>0</v>
      </c>
      <c r="AE24" s="420"/>
      <c r="AF24" s="417">
        <v>0</v>
      </c>
      <c r="AG24" s="421"/>
      <c r="AH24" s="422"/>
      <c r="AI24" s="423">
        <v>0</v>
      </c>
      <c r="AJ24" s="134">
        <v>0</v>
      </c>
      <c r="AK24" s="307">
        <v>0</v>
      </c>
      <c r="AL24" s="136">
        <v>0</v>
      </c>
      <c r="AM24" s="412">
        <v>0</v>
      </c>
      <c r="AN24" s="92">
        <v>0</v>
      </c>
      <c r="AO24" s="110">
        <v>0</v>
      </c>
      <c r="AP24" s="111">
        <v>0</v>
      </c>
      <c r="AQ24" s="112">
        <v>0</v>
      </c>
      <c r="AR24" s="113">
        <v>0</v>
      </c>
      <c r="AS24" s="114">
        <v>0</v>
      </c>
      <c r="AT24" s="115">
        <v>0</v>
      </c>
      <c r="AU24" s="413">
        <v>0</v>
      </c>
      <c r="AV24" s="414">
        <v>0</v>
      </c>
      <c r="AW24" s="311" t="s">
        <v>153</v>
      </c>
      <c r="AX24" s="118" t="s">
        <v>153</v>
      </c>
      <c r="AY24" s="119" t="s">
        <v>153</v>
      </c>
      <c r="AZ24" s="120" t="s">
        <v>153</v>
      </c>
      <c r="BA24" s="121" t="s">
        <v>153</v>
      </c>
      <c r="BB24" s="122" t="s">
        <v>153</v>
      </c>
      <c r="BC24" s="123" t="s">
        <v>153</v>
      </c>
      <c r="BD24" s="415" t="s">
        <v>153</v>
      </c>
      <c r="BE24" s="124" t="s">
        <v>153</v>
      </c>
      <c r="BF24" s="61">
        <v>0</v>
      </c>
      <c r="BH24" s="2629" t="s">
        <v>74</v>
      </c>
      <c r="BI24" s="2630">
        <v>0</v>
      </c>
      <c r="BJ24" s="2631" t="s">
        <v>153</v>
      </c>
      <c r="BK24" s="2630">
        <v>0</v>
      </c>
      <c r="BL24" s="2630">
        <v>0</v>
      </c>
      <c r="BM24" s="2630">
        <v>0</v>
      </c>
      <c r="BN24" s="2630">
        <v>0</v>
      </c>
      <c r="BO24" s="2630">
        <v>0</v>
      </c>
      <c r="BP24" s="2630">
        <v>0</v>
      </c>
      <c r="BQ24" s="2630">
        <v>0</v>
      </c>
      <c r="BR24" s="2630">
        <v>0</v>
      </c>
      <c r="BS24" s="2630">
        <v>0</v>
      </c>
      <c r="BT24" s="1"/>
      <c r="BU24" s="2629" t="s">
        <v>74</v>
      </c>
      <c r="BV24" s="2630">
        <v>0</v>
      </c>
      <c r="BW24" s="2634" t="s">
        <v>153</v>
      </c>
      <c r="BX24" s="2634" t="s">
        <v>153</v>
      </c>
      <c r="BY24" s="2634" t="s">
        <v>153</v>
      </c>
      <c r="BZ24" s="2634" t="s">
        <v>153</v>
      </c>
      <c r="CA24" s="2634" t="s">
        <v>153</v>
      </c>
      <c r="CB24" s="2634" t="s">
        <v>153</v>
      </c>
      <c r="CC24" s="2634" t="s">
        <v>153</v>
      </c>
      <c r="CD24" s="2634" t="s">
        <v>153</v>
      </c>
      <c r="CE24" s="2634" t="s">
        <v>153</v>
      </c>
      <c r="CF24" s="2634" t="s">
        <v>153</v>
      </c>
    </row>
    <row r="25" spans="1:84" ht="14.4" x14ac:dyDescent="0.3">
      <c r="A25" s="8" t="s">
        <v>73</v>
      </c>
      <c r="B25" s="92">
        <v>0</v>
      </c>
      <c r="C25" s="93">
        <v>0</v>
      </c>
      <c r="D25" s="137">
        <v>0</v>
      </c>
      <c r="E25" s="94">
        <v>0</v>
      </c>
      <c r="F25" s="138">
        <v>2.8E-3</v>
      </c>
      <c r="G25" s="126">
        <v>331.52738301936574</v>
      </c>
      <c r="H25" s="139">
        <v>1.8E-3</v>
      </c>
      <c r="I25" s="126">
        <v>18.208333004498705</v>
      </c>
      <c r="J25" s="300"/>
      <c r="K25" s="127">
        <v>349.73571602386443</v>
      </c>
      <c r="L25" s="99">
        <v>349.73571602386443</v>
      </c>
      <c r="M25" s="92">
        <v>0</v>
      </c>
      <c r="N25" s="110">
        <v>0</v>
      </c>
      <c r="O25" s="424">
        <v>0</v>
      </c>
      <c r="P25" s="111">
        <v>0</v>
      </c>
      <c r="Q25" s="111">
        <v>0</v>
      </c>
      <c r="R25" s="416">
        <v>0</v>
      </c>
      <c r="S25" s="404">
        <v>335.94116639999999</v>
      </c>
      <c r="T25" s="405">
        <v>9.4436012969120782</v>
      </c>
      <c r="U25" s="404">
        <v>181.51521919999999</v>
      </c>
      <c r="V25" s="405">
        <v>-74.541690303087933</v>
      </c>
      <c r="W25" s="404">
        <v>154.4259472</v>
      </c>
      <c r="X25" s="405">
        <v>83.985291600000011</v>
      </c>
      <c r="Y25" s="406">
        <v>23.910290181919304</v>
      </c>
      <c r="Z25" s="375">
        <v>326.49756510308788</v>
      </c>
      <c r="AA25" s="417">
        <v>0</v>
      </c>
      <c r="AB25" s="417">
        <v>326.49756510308782</v>
      </c>
      <c r="AC25" s="418"/>
      <c r="AD25" s="420"/>
      <c r="AE25" s="420">
        <v>256.05690950308792</v>
      </c>
      <c r="AF25" s="417">
        <v>70.440655599999985</v>
      </c>
      <c r="AG25" s="421"/>
      <c r="AH25" s="422"/>
      <c r="AI25" s="423">
        <v>0</v>
      </c>
      <c r="AJ25" s="134">
        <v>0</v>
      </c>
      <c r="AK25" s="307">
        <v>256.05690950308792</v>
      </c>
      <c r="AL25" s="136">
        <v>23.238150920776587</v>
      </c>
      <c r="AM25" s="412">
        <v>0</v>
      </c>
      <c r="AN25" s="92">
        <v>0</v>
      </c>
      <c r="AO25" s="110">
        <v>0</v>
      </c>
      <c r="AP25" s="111">
        <v>0</v>
      </c>
      <c r="AQ25" s="112">
        <v>0</v>
      </c>
      <c r="AR25" s="113">
        <v>0</v>
      </c>
      <c r="AS25" s="114">
        <v>0</v>
      </c>
      <c r="AT25" s="115">
        <v>279.29506042386453</v>
      </c>
      <c r="AU25" s="413">
        <v>70.440655599999985</v>
      </c>
      <c r="AV25" s="414">
        <v>0</v>
      </c>
      <c r="AW25" s="311" t="s">
        <v>153</v>
      </c>
      <c r="AX25" s="118" t="s">
        <v>153</v>
      </c>
      <c r="AY25" s="119" t="s">
        <v>153</v>
      </c>
      <c r="AZ25" s="120" t="s">
        <v>153</v>
      </c>
      <c r="BA25" s="121" t="s">
        <v>153</v>
      </c>
      <c r="BB25" s="122" t="s">
        <v>153</v>
      </c>
      <c r="BC25" s="123">
        <v>0.79858889906687902</v>
      </c>
      <c r="BD25" s="415">
        <v>0.20141110093312123</v>
      </c>
      <c r="BE25" s="124" t="s">
        <v>153</v>
      </c>
      <c r="BF25" s="61">
        <v>0</v>
      </c>
      <c r="BH25" s="2629" t="s">
        <v>73</v>
      </c>
      <c r="BI25" s="2630">
        <v>349.73571602386443</v>
      </c>
      <c r="BJ25" s="2631">
        <v>0</v>
      </c>
      <c r="BK25" s="2630">
        <v>0</v>
      </c>
      <c r="BL25" s="2630">
        <v>0</v>
      </c>
      <c r="BM25" s="2630">
        <v>0</v>
      </c>
      <c r="BN25" s="2630">
        <v>0</v>
      </c>
      <c r="BO25" s="2630">
        <v>0</v>
      </c>
      <c r="BP25" s="2630">
        <v>0</v>
      </c>
      <c r="BQ25" s="2630">
        <v>279.29506042386453</v>
      </c>
      <c r="BR25" s="2630">
        <v>0</v>
      </c>
      <c r="BS25" s="2630">
        <v>70.440655599999985</v>
      </c>
      <c r="BT25" s="1"/>
      <c r="BU25" s="2629" t="s">
        <v>73</v>
      </c>
      <c r="BV25" s="2630">
        <v>349.73571602386443</v>
      </c>
      <c r="BW25" s="2634">
        <v>0</v>
      </c>
      <c r="BX25" s="2634" t="s">
        <v>153</v>
      </c>
      <c r="BY25" s="2634" t="s">
        <v>153</v>
      </c>
      <c r="BZ25" s="2634" t="s">
        <v>153</v>
      </c>
      <c r="CA25" s="2634" t="s">
        <v>153</v>
      </c>
      <c r="CB25" s="2634" t="s">
        <v>153</v>
      </c>
      <c r="CC25" s="2634" t="s">
        <v>153</v>
      </c>
      <c r="CD25" s="2634">
        <v>0.79858889906687902</v>
      </c>
      <c r="CE25" s="2634" t="s">
        <v>153</v>
      </c>
      <c r="CF25" s="2634">
        <v>0.20141110093312123</v>
      </c>
    </row>
    <row r="26" spans="1:84" ht="14.4" x14ac:dyDescent="0.3">
      <c r="A26" s="8" t="s">
        <v>44</v>
      </c>
      <c r="B26" s="92">
        <v>69.210073410748265</v>
      </c>
      <c r="C26" s="93">
        <v>1</v>
      </c>
      <c r="D26" s="137">
        <v>69.210073410748265</v>
      </c>
      <c r="E26" s="94">
        <v>1</v>
      </c>
      <c r="F26" s="138">
        <v>0</v>
      </c>
      <c r="G26" s="126">
        <v>0</v>
      </c>
      <c r="H26" s="139">
        <v>0</v>
      </c>
      <c r="I26" s="126">
        <v>0</v>
      </c>
      <c r="J26" s="300"/>
      <c r="K26" s="127">
        <v>0</v>
      </c>
      <c r="L26" s="99">
        <v>69.210073410748265</v>
      </c>
      <c r="M26" s="92">
        <v>0</v>
      </c>
      <c r="N26" s="110">
        <v>59.338706967336265</v>
      </c>
      <c r="O26" s="424">
        <v>0</v>
      </c>
      <c r="P26" s="111">
        <v>5.7638268828297354</v>
      </c>
      <c r="Q26" s="111">
        <v>4.1075395605822607</v>
      </c>
      <c r="R26" s="416">
        <v>0</v>
      </c>
      <c r="S26" s="404">
        <v>0</v>
      </c>
      <c r="T26" s="405">
        <v>0</v>
      </c>
      <c r="U26" s="404">
        <v>0</v>
      </c>
      <c r="V26" s="405">
        <v>0</v>
      </c>
      <c r="W26" s="404">
        <v>0</v>
      </c>
      <c r="X26" s="405">
        <v>0</v>
      </c>
      <c r="Y26" s="406">
        <v>0</v>
      </c>
      <c r="Z26" s="375">
        <v>0</v>
      </c>
      <c r="AA26" s="417">
        <v>0</v>
      </c>
      <c r="AB26" s="417">
        <v>0</v>
      </c>
      <c r="AC26" s="418"/>
      <c r="AD26" s="420"/>
      <c r="AE26" s="420">
        <v>0</v>
      </c>
      <c r="AF26" s="417">
        <v>0</v>
      </c>
      <c r="AG26" s="421"/>
      <c r="AH26" s="422"/>
      <c r="AI26" s="423">
        <v>0</v>
      </c>
      <c r="AJ26" s="134">
        <v>5.7638268828297354</v>
      </c>
      <c r="AK26" s="307">
        <v>4.1075395605822607</v>
      </c>
      <c r="AL26" s="136">
        <v>0</v>
      </c>
      <c r="AM26" s="412">
        <v>0</v>
      </c>
      <c r="AN26" s="92">
        <v>0</v>
      </c>
      <c r="AO26" s="110">
        <v>59.338706967336265</v>
      </c>
      <c r="AP26" s="111">
        <v>0</v>
      </c>
      <c r="AQ26" s="112">
        <v>59.338706967336265</v>
      </c>
      <c r="AR26" s="113">
        <v>5.7638268828297354</v>
      </c>
      <c r="AS26" s="114">
        <v>65.102533850165997</v>
      </c>
      <c r="AT26" s="115">
        <v>4.1075395605822607</v>
      </c>
      <c r="AU26" s="413">
        <v>0</v>
      </c>
      <c r="AV26" s="414">
        <v>0</v>
      </c>
      <c r="AW26" s="311" t="s">
        <v>153</v>
      </c>
      <c r="AX26" s="118">
        <v>0.85737095834550892</v>
      </c>
      <c r="AY26" s="119" t="s">
        <v>153</v>
      </c>
      <c r="AZ26" s="120">
        <v>0.85737095834550892</v>
      </c>
      <c r="BA26" s="121">
        <v>8.3280172939891983E-2</v>
      </c>
      <c r="BB26" s="122">
        <v>0.9406511312854009</v>
      </c>
      <c r="BC26" s="123">
        <v>5.9348868714599039E-2</v>
      </c>
      <c r="BD26" s="415" t="s">
        <v>153</v>
      </c>
      <c r="BE26" s="124" t="s">
        <v>153</v>
      </c>
      <c r="BF26" s="61">
        <v>0</v>
      </c>
      <c r="BH26" s="2629" t="s">
        <v>44</v>
      </c>
      <c r="BI26" s="2630">
        <v>69.210073410748265</v>
      </c>
      <c r="BJ26" s="2631">
        <v>1</v>
      </c>
      <c r="BK26" s="2630">
        <v>0</v>
      </c>
      <c r="BL26" s="2630">
        <v>59.338706967336265</v>
      </c>
      <c r="BM26" s="2630">
        <v>0</v>
      </c>
      <c r="BN26" s="2630">
        <v>59.338706967336265</v>
      </c>
      <c r="BO26" s="2630">
        <v>5.7638268828297354</v>
      </c>
      <c r="BP26" s="2630">
        <v>65.102533850165997</v>
      </c>
      <c r="BQ26" s="2630">
        <v>4.1075395605822607</v>
      </c>
      <c r="BR26" s="2630">
        <v>0</v>
      </c>
      <c r="BS26" s="2630">
        <v>0</v>
      </c>
      <c r="BT26" s="1"/>
      <c r="BU26" s="2629" t="s">
        <v>44</v>
      </c>
      <c r="BV26" s="2630">
        <v>69.210073410748265</v>
      </c>
      <c r="BW26" s="2634">
        <v>1</v>
      </c>
      <c r="BX26" s="2634" t="s">
        <v>153</v>
      </c>
      <c r="BY26" s="2634">
        <v>0.85737095834550892</v>
      </c>
      <c r="BZ26" s="2634" t="s">
        <v>153</v>
      </c>
      <c r="CA26" s="2634">
        <v>0.85737095834550892</v>
      </c>
      <c r="CB26" s="2634">
        <v>8.3280172939891983E-2</v>
      </c>
      <c r="CC26" s="2634">
        <v>0.9406511312854009</v>
      </c>
      <c r="CD26" s="2634">
        <v>5.9348868714599039E-2</v>
      </c>
      <c r="CE26" s="2634" t="s">
        <v>153</v>
      </c>
      <c r="CF26" s="2634" t="s">
        <v>153</v>
      </c>
    </row>
    <row r="27" spans="1:84" ht="14.4" x14ac:dyDescent="0.3">
      <c r="A27" s="8" t="s">
        <v>119</v>
      </c>
      <c r="B27" s="92">
        <v>0</v>
      </c>
      <c r="C27" s="93">
        <v>0</v>
      </c>
      <c r="D27" s="137">
        <v>0</v>
      </c>
      <c r="E27" s="94">
        <v>0</v>
      </c>
      <c r="F27" s="138">
        <v>0.1087</v>
      </c>
      <c r="G27" s="126">
        <v>12870.366619358949</v>
      </c>
      <c r="H27" s="139">
        <v>9.1700000000000004E-2</v>
      </c>
      <c r="I27" s="126">
        <v>927.6134091736285</v>
      </c>
      <c r="J27" s="300"/>
      <c r="K27" s="127">
        <v>13797.980028532576</v>
      </c>
      <c r="L27" s="99">
        <v>13797.980028532576</v>
      </c>
      <c r="M27" s="92">
        <v>0</v>
      </c>
      <c r="N27" s="110">
        <v>0</v>
      </c>
      <c r="O27" s="424">
        <v>0</v>
      </c>
      <c r="P27" s="111">
        <v>0</v>
      </c>
      <c r="Q27" s="111">
        <v>0</v>
      </c>
      <c r="R27" s="416">
        <v>0</v>
      </c>
      <c r="S27" s="404">
        <v>13041.7159956</v>
      </c>
      <c r="T27" s="405">
        <v>160.54122204750684</v>
      </c>
      <c r="U27" s="404">
        <v>7046.6801168000002</v>
      </c>
      <c r="V27" s="405">
        <v>-3099.8877768524926</v>
      </c>
      <c r="W27" s="404">
        <v>5995.0358787999994</v>
      </c>
      <c r="X27" s="405">
        <v>3260.4289988999994</v>
      </c>
      <c r="Y27" s="406">
        <v>928.23162241951013</v>
      </c>
      <c r="Z27" s="375">
        <v>12881.174773552493</v>
      </c>
      <c r="AA27" s="417">
        <v>0</v>
      </c>
      <c r="AB27" s="417">
        <v>12881.174773552491</v>
      </c>
      <c r="AC27" s="418"/>
      <c r="AD27" s="420">
        <v>5302.3123242760266</v>
      </c>
      <c r="AE27" s="420">
        <v>4844.2555693764662</v>
      </c>
      <c r="AF27" s="417">
        <v>2734.6068799</v>
      </c>
      <c r="AG27" s="421"/>
      <c r="AH27" s="422"/>
      <c r="AI27" s="423">
        <v>5302.3123242760266</v>
      </c>
      <c r="AJ27" s="134">
        <v>0</v>
      </c>
      <c r="AK27" s="307">
        <v>4844.2555693764662</v>
      </c>
      <c r="AL27" s="136">
        <v>916.80525498008387</v>
      </c>
      <c r="AM27" s="412">
        <v>0</v>
      </c>
      <c r="AN27" s="92">
        <v>0</v>
      </c>
      <c r="AO27" s="110">
        <v>0</v>
      </c>
      <c r="AP27" s="111">
        <v>0</v>
      </c>
      <c r="AQ27" s="112">
        <v>0</v>
      </c>
      <c r="AR27" s="113">
        <v>5302.3123242760266</v>
      </c>
      <c r="AS27" s="114">
        <v>5302.3123242760266</v>
      </c>
      <c r="AT27" s="115">
        <v>5761.0608243565503</v>
      </c>
      <c r="AU27" s="413">
        <v>2734.6068799</v>
      </c>
      <c r="AV27" s="414">
        <v>0</v>
      </c>
      <c r="AW27" s="311" t="s">
        <v>153</v>
      </c>
      <c r="AX27" s="118" t="s">
        <v>153</v>
      </c>
      <c r="AY27" s="119" t="s">
        <v>153</v>
      </c>
      <c r="AZ27" s="120" t="s">
        <v>153</v>
      </c>
      <c r="BA27" s="121">
        <v>0.38428177989180134</v>
      </c>
      <c r="BB27" s="122">
        <v>0.38428177989180134</v>
      </c>
      <c r="BC27" s="123">
        <v>0.41752929142116191</v>
      </c>
      <c r="BD27" s="415">
        <v>0.19818892868703675</v>
      </c>
      <c r="BE27" s="124" t="s">
        <v>153</v>
      </c>
      <c r="BF27" s="61">
        <v>0</v>
      </c>
      <c r="BH27" s="2629" t="s">
        <v>119</v>
      </c>
      <c r="BI27" s="2630">
        <v>13797.980028532576</v>
      </c>
      <c r="BJ27" s="2631">
        <v>0</v>
      </c>
      <c r="BK27" s="2630">
        <v>0</v>
      </c>
      <c r="BL27" s="2630">
        <v>0</v>
      </c>
      <c r="BM27" s="2630">
        <v>0</v>
      </c>
      <c r="BN27" s="2630">
        <v>0</v>
      </c>
      <c r="BO27" s="2630">
        <v>5302.3123242760266</v>
      </c>
      <c r="BP27" s="2630">
        <v>5302.3123242760266</v>
      </c>
      <c r="BQ27" s="2630">
        <v>5761.0608243565503</v>
      </c>
      <c r="BR27" s="2630">
        <v>0</v>
      </c>
      <c r="BS27" s="2630">
        <v>2734.6068799</v>
      </c>
      <c r="BT27" s="1"/>
      <c r="BU27" s="2629" t="s">
        <v>119</v>
      </c>
      <c r="BV27" s="2630">
        <v>13797.980028532576</v>
      </c>
      <c r="BW27" s="2634">
        <v>0</v>
      </c>
      <c r="BX27" s="2634" t="s">
        <v>153</v>
      </c>
      <c r="BY27" s="2634" t="s">
        <v>153</v>
      </c>
      <c r="BZ27" s="2634" t="s">
        <v>153</v>
      </c>
      <c r="CA27" s="2634" t="s">
        <v>153</v>
      </c>
      <c r="CB27" s="2634">
        <v>0.38428177989180134</v>
      </c>
      <c r="CC27" s="2634">
        <v>0.38428177989180134</v>
      </c>
      <c r="CD27" s="2634">
        <v>0.41752929142116191</v>
      </c>
      <c r="CE27" s="2634" t="s">
        <v>153</v>
      </c>
      <c r="CF27" s="2634">
        <v>0.19818892868703675</v>
      </c>
    </row>
    <row r="28" spans="1:84" ht="14.4" x14ac:dyDescent="0.3">
      <c r="A28" s="154" t="s">
        <v>82</v>
      </c>
      <c r="B28" s="92">
        <v>18781.407637306904</v>
      </c>
      <c r="C28" s="93">
        <v>0.82773925175625607</v>
      </c>
      <c r="D28" s="137">
        <v>18781.407637306904</v>
      </c>
      <c r="E28" s="94">
        <v>0.82773925175625607</v>
      </c>
      <c r="F28" s="138">
        <v>3.2899999999999999E-2</v>
      </c>
      <c r="G28" s="126">
        <v>3895.4467504775475</v>
      </c>
      <c r="H28" s="139">
        <v>1.2999999999999999E-3</v>
      </c>
      <c r="I28" s="126">
        <v>13.150462725471288</v>
      </c>
      <c r="J28" s="300"/>
      <c r="K28" s="127">
        <v>3908.5972132030188</v>
      </c>
      <c r="L28" s="99">
        <v>22690.004850509922</v>
      </c>
      <c r="M28" s="92">
        <v>0</v>
      </c>
      <c r="N28" s="110">
        <v>14086.055727980178</v>
      </c>
      <c r="O28" s="424">
        <v>0</v>
      </c>
      <c r="P28" s="111">
        <v>0</v>
      </c>
      <c r="Q28" s="111">
        <v>4695.3519093267259</v>
      </c>
      <c r="R28" s="416">
        <v>0</v>
      </c>
      <c r="S28" s="404">
        <v>3947.3087051999996</v>
      </c>
      <c r="T28" s="405">
        <v>298.4178009824227</v>
      </c>
      <c r="U28" s="404">
        <v>2132.8038256</v>
      </c>
      <c r="V28" s="405">
        <v>-688.40937531757709</v>
      </c>
      <c r="W28" s="404">
        <v>1814.5048795999999</v>
      </c>
      <c r="X28" s="405">
        <v>986.82717630000002</v>
      </c>
      <c r="Y28" s="406">
        <v>280.94590963755184</v>
      </c>
      <c r="Z28" s="375">
        <v>3648.8909042175769</v>
      </c>
      <c r="AA28" s="417">
        <v>0</v>
      </c>
      <c r="AB28" s="417">
        <v>3648.8909042175769</v>
      </c>
      <c r="AC28" s="418"/>
      <c r="AD28" s="420"/>
      <c r="AE28" s="420">
        <v>2821.2132009175771</v>
      </c>
      <c r="AF28" s="417">
        <v>827.67770329999985</v>
      </c>
      <c r="AG28" s="421"/>
      <c r="AH28" s="422"/>
      <c r="AI28" s="423">
        <v>0</v>
      </c>
      <c r="AJ28" s="134">
        <v>0</v>
      </c>
      <c r="AK28" s="307">
        <v>7516.5651102443026</v>
      </c>
      <c r="AL28" s="136">
        <v>259.70630898544198</v>
      </c>
      <c r="AM28" s="412">
        <v>0</v>
      </c>
      <c r="AN28" s="92">
        <v>0</v>
      </c>
      <c r="AO28" s="110">
        <v>14086.055727980178</v>
      </c>
      <c r="AP28" s="111">
        <v>0</v>
      </c>
      <c r="AQ28" s="112">
        <v>14086.055727980178</v>
      </c>
      <c r="AR28" s="113">
        <v>0</v>
      </c>
      <c r="AS28" s="114">
        <v>14086.055727980178</v>
      </c>
      <c r="AT28" s="115">
        <v>7776.2714192297444</v>
      </c>
      <c r="AU28" s="413">
        <v>827.67770329999985</v>
      </c>
      <c r="AV28" s="414">
        <v>0</v>
      </c>
      <c r="AW28" s="311" t="s">
        <v>153</v>
      </c>
      <c r="AX28" s="118">
        <v>0.62080443881719205</v>
      </c>
      <c r="AY28" s="119" t="s">
        <v>153</v>
      </c>
      <c r="AZ28" s="120">
        <v>0.62080443881719205</v>
      </c>
      <c r="BA28" s="121" t="s">
        <v>153</v>
      </c>
      <c r="BB28" s="122">
        <v>0.62080443881719205</v>
      </c>
      <c r="BC28" s="123">
        <v>0.34271792670220541</v>
      </c>
      <c r="BD28" s="415">
        <v>3.6477634480602553E-2</v>
      </c>
      <c r="BE28" s="124" t="s">
        <v>153</v>
      </c>
      <c r="BF28" s="61">
        <v>0</v>
      </c>
      <c r="BG28" s="52" t="s">
        <v>237</v>
      </c>
      <c r="BH28" s="2628" t="s">
        <v>1473</v>
      </c>
      <c r="BI28" s="2632">
        <v>307116.92144136725</v>
      </c>
      <c r="BJ28" s="2633">
        <v>0.59425947761959408</v>
      </c>
      <c r="BK28" s="2632">
        <v>3087.7058276366356</v>
      </c>
      <c r="BL28" s="2632">
        <v>114425.50912561927</v>
      </c>
      <c r="BM28" s="2632">
        <v>57515.990025200001</v>
      </c>
      <c r="BN28" s="2632">
        <v>175029.20497845591</v>
      </c>
      <c r="BO28" s="2632">
        <v>55358.947653024858</v>
      </c>
      <c r="BP28" s="2632">
        <v>230388.15263148077</v>
      </c>
      <c r="BQ28" s="2632">
        <v>22251.296062166501</v>
      </c>
      <c r="BR28" s="2632">
        <v>30147.773451019999</v>
      </c>
      <c r="BS28" s="2632">
        <v>24329.699296699993</v>
      </c>
      <c r="BT28" s="1"/>
      <c r="BU28" s="2628" t="s">
        <v>1473</v>
      </c>
      <c r="BV28" s="2632">
        <v>307116.92144136725</v>
      </c>
      <c r="BW28" s="2635">
        <v>0.59425947761959408</v>
      </c>
      <c r="BX28" s="2635">
        <v>1.0053844682817713E-2</v>
      </c>
      <c r="BY28" s="2635">
        <v>0.37257963054785515</v>
      </c>
      <c r="BZ28" s="2635">
        <v>0.18727717689818202</v>
      </c>
      <c r="CA28" s="2635">
        <v>0.56991065212885494</v>
      </c>
      <c r="CB28" s="2635">
        <v>0.18025365516563902</v>
      </c>
      <c r="CC28" s="2635">
        <v>0.7501643072944939</v>
      </c>
      <c r="CD28" s="2635">
        <v>7.2452198197794748E-2</v>
      </c>
      <c r="CE28" s="2635">
        <v>9.8163830600833946E-2</v>
      </c>
      <c r="CF28" s="2635">
        <v>7.921966390687743E-2</v>
      </c>
    </row>
    <row r="29" spans="1:84" ht="14.4" x14ac:dyDescent="0.3">
      <c r="A29" s="155" t="s">
        <v>20</v>
      </c>
      <c r="B29" s="92">
        <v>8272.9324900000011</v>
      </c>
      <c r="C29" s="93">
        <v>0.75189416976131618</v>
      </c>
      <c r="D29" s="137">
        <v>8272.9324900000011</v>
      </c>
      <c r="E29" s="94">
        <v>0.75189416976131618</v>
      </c>
      <c r="F29" s="138">
        <v>2.1700000000000001E-2</v>
      </c>
      <c r="G29" s="126">
        <v>2569.3372184000846</v>
      </c>
      <c r="H29" s="139">
        <v>0</v>
      </c>
      <c r="I29" s="126">
        <v>160.51874602587159</v>
      </c>
      <c r="J29" s="300"/>
      <c r="K29" s="127">
        <v>2729.8559644259562</v>
      </c>
      <c r="L29" s="99">
        <v>11002.788454425958</v>
      </c>
      <c r="M29" s="92">
        <v>0</v>
      </c>
      <c r="N29" s="110">
        <v>0</v>
      </c>
      <c r="O29" s="111">
        <v>8107.4738402000012</v>
      </c>
      <c r="P29" s="111">
        <v>165.45864980000002</v>
      </c>
      <c r="Q29" s="111">
        <v>0</v>
      </c>
      <c r="R29" s="416">
        <v>0</v>
      </c>
      <c r="S29" s="404"/>
      <c r="T29" s="405"/>
      <c r="U29" s="404"/>
      <c r="V29" s="405"/>
      <c r="W29" s="404"/>
      <c r="X29" s="405"/>
      <c r="Y29" s="406">
        <v>185.3047489098746</v>
      </c>
      <c r="Z29" s="375">
        <v>2548.4709871793552</v>
      </c>
      <c r="AA29" s="417">
        <v>0</v>
      </c>
      <c r="AB29" s="417">
        <v>2548.4709871793552</v>
      </c>
      <c r="AC29" s="418"/>
      <c r="AD29" s="420">
        <v>2002.5559062793554</v>
      </c>
      <c r="AE29" s="420"/>
      <c r="AF29" s="417">
        <v>545.91508089999991</v>
      </c>
      <c r="AG29" s="421"/>
      <c r="AH29" s="422"/>
      <c r="AI29" s="423">
        <v>2002.5559062793554</v>
      </c>
      <c r="AJ29" s="134">
        <v>165.45864980000002</v>
      </c>
      <c r="AK29" s="307">
        <v>0</v>
      </c>
      <c r="AL29" s="136">
        <v>181.38497724660138</v>
      </c>
      <c r="AM29" s="412">
        <v>0</v>
      </c>
      <c r="AN29" s="92">
        <v>0</v>
      </c>
      <c r="AO29" s="110">
        <v>0</v>
      </c>
      <c r="AP29" s="111">
        <v>8107.4738402000012</v>
      </c>
      <c r="AQ29" s="112">
        <v>8107.4738402000012</v>
      </c>
      <c r="AR29" s="113">
        <v>2168.0145560793553</v>
      </c>
      <c r="AS29" s="114">
        <v>10275.488396279357</v>
      </c>
      <c r="AT29" s="115">
        <v>181.38497724660138</v>
      </c>
      <c r="AU29" s="413">
        <v>545.91508089999991</v>
      </c>
      <c r="AV29" s="414">
        <v>0</v>
      </c>
      <c r="AW29" s="311" t="s">
        <v>153</v>
      </c>
      <c r="AX29" s="118" t="s">
        <v>153</v>
      </c>
      <c r="AY29" s="119">
        <v>0.73685628636608991</v>
      </c>
      <c r="AZ29" s="120">
        <v>0.73685628636608991</v>
      </c>
      <c r="BA29" s="121">
        <v>0.19704228296848283</v>
      </c>
      <c r="BB29" s="122">
        <v>0.93389856933457283</v>
      </c>
      <c r="BC29" s="123">
        <v>1.6485364414476029E-2</v>
      </c>
      <c r="BD29" s="415">
        <v>4.961606625095126E-2</v>
      </c>
      <c r="BE29" s="124" t="s">
        <v>153</v>
      </c>
      <c r="BF29" s="61">
        <v>0</v>
      </c>
      <c r="BH29" s="2629" t="s">
        <v>39</v>
      </c>
      <c r="BI29" s="2630">
        <v>22690.004850509922</v>
      </c>
      <c r="BJ29" s="2631">
        <v>0.82773925175625607</v>
      </c>
      <c r="BK29" s="2630">
        <v>0</v>
      </c>
      <c r="BL29" s="2630">
        <v>14086.055727980178</v>
      </c>
      <c r="BM29" s="2630">
        <v>0</v>
      </c>
      <c r="BN29" s="2630">
        <v>14086.055727980178</v>
      </c>
      <c r="BO29" s="2630">
        <v>0</v>
      </c>
      <c r="BP29" s="2630">
        <v>14086.055727980178</v>
      </c>
      <c r="BQ29" s="2630">
        <v>7776.2714192297444</v>
      </c>
      <c r="BR29" s="2630">
        <v>0</v>
      </c>
      <c r="BS29" s="2630">
        <v>827.67770329999985</v>
      </c>
      <c r="BU29" s="2636" t="s">
        <v>39</v>
      </c>
      <c r="BV29" s="2630">
        <v>22690.004850509922</v>
      </c>
      <c r="BW29" s="2634">
        <v>0.82773925175625607</v>
      </c>
      <c r="BX29" s="2634">
        <v>0</v>
      </c>
      <c r="BY29" s="2634">
        <v>4.5865449750769907E-2</v>
      </c>
      <c r="BZ29" s="2634">
        <v>0</v>
      </c>
      <c r="CA29" s="2634">
        <v>4.5865449750769907E-2</v>
      </c>
      <c r="CB29" s="2634">
        <v>0</v>
      </c>
      <c r="CC29" s="2634">
        <v>4.5865449750769907E-2</v>
      </c>
      <c r="CD29" s="2634">
        <v>2.5320231079205901E-2</v>
      </c>
      <c r="CE29" s="2634">
        <v>0</v>
      </c>
      <c r="CF29" s="2634">
        <v>2.6949921854371502E-3</v>
      </c>
    </row>
    <row r="30" spans="1:84" ht="14.4" x14ac:dyDescent="0.3">
      <c r="A30" s="155" t="s">
        <v>24</v>
      </c>
      <c r="B30" s="92">
        <v>50416.853250000007</v>
      </c>
      <c r="C30" s="93">
        <v>0.48217603415545801</v>
      </c>
      <c r="D30" s="137">
        <v>50416.853250000007</v>
      </c>
      <c r="E30" s="94">
        <v>0.48217603415545801</v>
      </c>
      <c r="F30" s="138">
        <v>0.4304</v>
      </c>
      <c r="G30" s="126">
        <v>50960.494875548226</v>
      </c>
      <c r="H30" s="139">
        <v>0</v>
      </c>
      <c r="I30" s="126">
        <v>3183.7450824670573</v>
      </c>
      <c r="J30" s="300"/>
      <c r="K30" s="127">
        <v>54144.239958015285</v>
      </c>
      <c r="L30" s="99">
        <v>104561.09320801529</v>
      </c>
      <c r="M30" s="92">
        <v>0</v>
      </c>
      <c r="N30" s="110">
        <v>0</v>
      </c>
      <c r="O30" s="111">
        <v>49408.516185000008</v>
      </c>
      <c r="P30" s="111">
        <v>1008.3370650000002</v>
      </c>
      <c r="Q30" s="111">
        <v>0</v>
      </c>
      <c r="R30" s="416">
        <v>0</v>
      </c>
      <c r="S30" s="404"/>
      <c r="T30" s="405"/>
      <c r="U30" s="404"/>
      <c r="V30" s="405"/>
      <c r="W30" s="404"/>
      <c r="X30" s="405"/>
      <c r="Y30" s="406">
        <v>3675.3531765350244</v>
      </c>
      <c r="Z30" s="375">
        <v>50546.631930045827</v>
      </c>
      <c r="AA30" s="417">
        <v>0</v>
      </c>
      <c r="AB30" s="417">
        <v>50546.631930045827</v>
      </c>
      <c r="AC30" s="418"/>
      <c r="AD30" s="417">
        <v>9724.1498692458299</v>
      </c>
      <c r="AE30" s="420"/>
      <c r="AF30" s="417">
        <v>10827.735060799998</v>
      </c>
      <c r="AG30" s="421">
        <v>29994.746999999999</v>
      </c>
      <c r="AH30" s="422"/>
      <c r="AI30" s="423">
        <v>9724.1498692458299</v>
      </c>
      <c r="AJ30" s="134">
        <v>1008.3370650000002</v>
      </c>
      <c r="AK30" s="307">
        <v>0</v>
      </c>
      <c r="AL30" s="136">
        <v>3597.6080279694584</v>
      </c>
      <c r="AM30" s="412">
        <v>29994.746999999999</v>
      </c>
      <c r="AN30" s="92">
        <v>0</v>
      </c>
      <c r="AO30" s="110">
        <v>0</v>
      </c>
      <c r="AP30" s="111">
        <v>49408.516185000008</v>
      </c>
      <c r="AQ30" s="112">
        <v>49408.516185000008</v>
      </c>
      <c r="AR30" s="113">
        <v>10732.48693424583</v>
      </c>
      <c r="AS30" s="114">
        <v>60141.003119245841</v>
      </c>
      <c r="AT30" s="115">
        <v>3597.6080279694584</v>
      </c>
      <c r="AU30" s="413">
        <v>10827.735060799998</v>
      </c>
      <c r="AV30" s="414">
        <v>29994.746999999999</v>
      </c>
      <c r="AW30" s="311" t="s">
        <v>153</v>
      </c>
      <c r="AX30" s="118" t="s">
        <v>153</v>
      </c>
      <c r="AY30" s="119">
        <v>0.47253251347234887</v>
      </c>
      <c r="AZ30" s="120">
        <v>0.47253251347234887</v>
      </c>
      <c r="BA30" s="121">
        <v>0.10264321656330115</v>
      </c>
      <c r="BB30" s="122">
        <v>0.57517573003565003</v>
      </c>
      <c r="BC30" s="123">
        <v>3.4406756065684274E-2</v>
      </c>
      <c r="BD30" s="415">
        <v>0.10355414933601691</v>
      </c>
      <c r="BE30" s="124">
        <v>0.28686336456264888</v>
      </c>
      <c r="BF30" s="61">
        <v>0</v>
      </c>
      <c r="BH30" s="2629" t="s">
        <v>1474</v>
      </c>
      <c r="BI30" s="2630">
        <v>329806.92629187717</v>
      </c>
      <c r="BJ30" s="2631">
        <v>0.61032238226268343</v>
      </c>
      <c r="BK30" s="2630">
        <v>3087.7058276366356</v>
      </c>
      <c r="BL30" s="2630">
        <v>128511.56485359944</v>
      </c>
      <c r="BM30" s="2630">
        <v>57515.990025200001</v>
      </c>
      <c r="BN30" s="2630">
        <v>189115.26070643609</v>
      </c>
      <c r="BO30" s="2630">
        <v>55358.947653024858</v>
      </c>
      <c r="BP30" s="2630">
        <v>244474.20835946096</v>
      </c>
      <c r="BQ30" s="2630">
        <v>30027.567481396247</v>
      </c>
      <c r="BR30" s="2630">
        <v>30147.773451019999</v>
      </c>
      <c r="BS30" s="2630">
        <v>25157.376999999993</v>
      </c>
      <c r="BU30" s="2636" t="s">
        <v>1474</v>
      </c>
      <c r="BV30" s="2630">
        <v>329806.92629187717</v>
      </c>
      <c r="BW30" s="2634">
        <v>0.61032238226268343</v>
      </c>
      <c r="BX30" s="2634">
        <v>9.3621618634656401E-3</v>
      </c>
      <c r="BY30" s="2634">
        <v>0.38965696172149966</v>
      </c>
      <c r="BZ30" s="2634">
        <v>0.17439291124619588</v>
      </c>
      <c r="CA30" s="2634">
        <v>0.57341203483116121</v>
      </c>
      <c r="CB30" s="2634">
        <v>0.16785259265304975</v>
      </c>
      <c r="CC30" s="2634">
        <v>0.74126462748421096</v>
      </c>
      <c r="CD30" s="2634">
        <v>9.1045897122312189E-2</v>
      </c>
      <c r="CE30" s="2634">
        <v>9.1410370879656422E-2</v>
      </c>
      <c r="CF30" s="2634">
        <v>7.62791045138205E-2</v>
      </c>
    </row>
    <row r="31" spans="1:84" ht="14.4" x14ac:dyDescent="0.3">
      <c r="A31" s="155" t="s">
        <v>238</v>
      </c>
      <c r="B31" s="92">
        <v>54288.689760000001</v>
      </c>
      <c r="C31" s="93">
        <v>0.9510484273690748</v>
      </c>
      <c r="D31" s="137"/>
      <c r="E31" s="94">
        <v>0</v>
      </c>
      <c r="F31" s="138">
        <v>2.3599999999999999E-2</v>
      </c>
      <c r="G31" s="126">
        <v>2794.3022283060827</v>
      </c>
      <c r="H31" s="139">
        <v>0</v>
      </c>
      <c r="I31" s="126">
        <v>0</v>
      </c>
      <c r="J31" s="300"/>
      <c r="K31" s="127">
        <v>2794.3022283060827</v>
      </c>
      <c r="L31" s="99">
        <v>57082.991988306087</v>
      </c>
      <c r="M31" s="92">
        <v>0</v>
      </c>
      <c r="N31" s="110">
        <v>51574.255272000002</v>
      </c>
      <c r="O31" s="424">
        <v>0</v>
      </c>
      <c r="P31" s="111">
        <v>2714.4344880000003</v>
      </c>
      <c r="Q31" s="111">
        <v>0</v>
      </c>
      <c r="R31" s="416">
        <v>0</v>
      </c>
      <c r="S31" s="404"/>
      <c r="T31" s="405"/>
      <c r="U31" s="404"/>
      <c r="V31" s="405"/>
      <c r="W31" s="404"/>
      <c r="X31" s="405"/>
      <c r="Y31" s="406">
        <v>201.52958867617699</v>
      </c>
      <c r="Z31" s="375">
        <v>2608.6351261928739</v>
      </c>
      <c r="AA31" s="417">
        <v>0</v>
      </c>
      <c r="AB31" s="417">
        <v>2608.6351261928739</v>
      </c>
      <c r="AC31" s="418"/>
      <c r="AD31" s="417"/>
      <c r="AE31" s="420">
        <v>2014.9210289928742</v>
      </c>
      <c r="AF31" s="417">
        <v>593.71409719999986</v>
      </c>
      <c r="AG31" s="421"/>
      <c r="AH31" s="422"/>
      <c r="AI31" s="423">
        <v>0</v>
      </c>
      <c r="AJ31" s="134">
        <v>2714.4344880000003</v>
      </c>
      <c r="AK31" s="307">
        <v>2014.9210289928742</v>
      </c>
      <c r="AL31" s="136">
        <v>185.6671021132089</v>
      </c>
      <c r="AM31" s="412">
        <v>0</v>
      </c>
      <c r="AN31" s="92">
        <v>0</v>
      </c>
      <c r="AO31" s="110">
        <v>51574.255272000002</v>
      </c>
      <c r="AP31" s="111">
        <v>0</v>
      </c>
      <c r="AQ31" s="112">
        <v>51574.255272000002</v>
      </c>
      <c r="AR31" s="113">
        <v>2714.4344880000003</v>
      </c>
      <c r="AS31" s="114">
        <v>54288.689760000001</v>
      </c>
      <c r="AT31" s="115">
        <v>2200.588131106083</v>
      </c>
      <c r="AU31" s="413">
        <v>593.71409719999986</v>
      </c>
      <c r="AV31" s="414">
        <v>0</v>
      </c>
      <c r="AW31" s="311" t="s">
        <v>153</v>
      </c>
      <c r="AX31" s="118">
        <v>0.90349600600062108</v>
      </c>
      <c r="AY31" s="119" t="s">
        <v>153</v>
      </c>
      <c r="AZ31" s="120">
        <v>0.90349600600062108</v>
      </c>
      <c r="BA31" s="121">
        <v>4.7552421368453744E-2</v>
      </c>
      <c r="BB31" s="122">
        <v>0.9510484273690748</v>
      </c>
      <c r="BC31" s="123">
        <v>3.8550679536154854E-2</v>
      </c>
      <c r="BD31" s="415">
        <v>1.0400893094770278E-2</v>
      </c>
      <c r="BE31" s="124" t="s">
        <v>153</v>
      </c>
      <c r="BF31" s="61">
        <v>0</v>
      </c>
      <c r="BH31" s="61"/>
    </row>
    <row r="32" spans="1:84" s="460" customFormat="1" x14ac:dyDescent="0.25">
      <c r="A32" s="155" t="s">
        <v>239</v>
      </c>
      <c r="B32" s="425">
        <v>4202.8169923521564</v>
      </c>
      <c r="C32" s="426">
        <v>1</v>
      </c>
      <c r="D32" s="427"/>
      <c r="E32" s="428">
        <v>0</v>
      </c>
      <c r="F32" s="429">
        <v>0</v>
      </c>
      <c r="G32" s="430">
        <v>0</v>
      </c>
      <c r="H32" s="431">
        <v>0</v>
      </c>
      <c r="I32" s="430">
        <v>0</v>
      </c>
      <c r="J32" s="432"/>
      <c r="K32" s="162">
        <v>0</v>
      </c>
      <c r="L32" s="433">
        <v>4202.8169923521564</v>
      </c>
      <c r="M32" s="425">
        <v>0</v>
      </c>
      <c r="N32" s="434">
        <v>0</v>
      </c>
      <c r="O32" s="435">
        <v>0</v>
      </c>
      <c r="P32" s="436">
        <v>0</v>
      </c>
      <c r="Q32" s="436">
        <v>0</v>
      </c>
      <c r="R32" s="437">
        <v>0</v>
      </c>
      <c r="S32" s="438"/>
      <c r="T32" s="439"/>
      <c r="U32" s="438"/>
      <c r="V32" s="439"/>
      <c r="W32" s="438"/>
      <c r="X32" s="439"/>
      <c r="Y32" s="440">
        <v>0</v>
      </c>
      <c r="Z32" s="375">
        <v>0</v>
      </c>
      <c r="AA32" s="417">
        <v>0</v>
      </c>
      <c r="AB32" s="417">
        <v>0</v>
      </c>
      <c r="AC32" s="418"/>
      <c r="AD32" s="441"/>
      <c r="AE32" s="420">
        <v>0</v>
      </c>
      <c r="AF32" s="417">
        <v>0</v>
      </c>
      <c r="AG32" s="442"/>
      <c r="AH32" s="443"/>
      <c r="AI32" s="444">
        <v>0</v>
      </c>
      <c r="AJ32" s="445">
        <v>0</v>
      </c>
      <c r="AK32" s="446">
        <v>0</v>
      </c>
      <c r="AL32" s="136">
        <v>0</v>
      </c>
      <c r="AM32" s="412">
        <v>0</v>
      </c>
      <c r="AN32" s="425">
        <v>0</v>
      </c>
      <c r="AO32" s="434">
        <v>0</v>
      </c>
      <c r="AP32" s="436">
        <v>0</v>
      </c>
      <c r="AQ32" s="447">
        <v>0</v>
      </c>
      <c r="AR32" s="448">
        <v>0</v>
      </c>
      <c r="AS32" s="449">
        <v>0</v>
      </c>
      <c r="AT32" s="115">
        <v>0</v>
      </c>
      <c r="AU32" s="450">
        <v>0</v>
      </c>
      <c r="AV32" s="414">
        <v>0</v>
      </c>
      <c r="AW32" s="451" t="s">
        <v>153</v>
      </c>
      <c r="AX32" s="452" t="s">
        <v>153</v>
      </c>
      <c r="AY32" s="453" t="s">
        <v>153</v>
      </c>
      <c r="AZ32" s="454" t="s">
        <v>153</v>
      </c>
      <c r="BA32" s="455" t="s">
        <v>153</v>
      </c>
      <c r="BB32" s="456" t="s">
        <v>153</v>
      </c>
      <c r="BC32" s="457" t="s">
        <v>153</v>
      </c>
      <c r="BD32" s="458" t="s">
        <v>153</v>
      </c>
      <c r="BE32" s="459" t="s">
        <v>153</v>
      </c>
      <c r="BF32" s="461"/>
      <c r="BH32" s="61"/>
    </row>
    <row r="33" spans="1:60" s="460" customFormat="1" ht="26.4" x14ac:dyDescent="0.25">
      <c r="A33" s="155" t="s">
        <v>240</v>
      </c>
      <c r="B33" s="425">
        <v>1586.8047133527689</v>
      </c>
      <c r="C33" s="426">
        <v>1</v>
      </c>
      <c r="D33" s="427"/>
      <c r="E33" s="428">
        <v>0</v>
      </c>
      <c r="F33" s="429">
        <v>0</v>
      </c>
      <c r="G33" s="430">
        <v>0</v>
      </c>
      <c r="H33" s="431">
        <v>0</v>
      </c>
      <c r="I33" s="430">
        <v>0</v>
      </c>
      <c r="J33" s="432"/>
      <c r="K33" s="162">
        <v>0</v>
      </c>
      <c r="L33" s="433">
        <v>1586.8047133527689</v>
      </c>
      <c r="M33" s="425">
        <v>0</v>
      </c>
      <c r="N33" s="434">
        <v>0</v>
      </c>
      <c r="O33" s="435">
        <v>0</v>
      </c>
      <c r="P33" s="436">
        <v>0</v>
      </c>
      <c r="Q33" s="436">
        <v>0</v>
      </c>
      <c r="R33" s="437">
        <v>0</v>
      </c>
      <c r="S33" s="438"/>
      <c r="T33" s="439"/>
      <c r="U33" s="438"/>
      <c r="V33" s="439"/>
      <c r="W33" s="438"/>
      <c r="X33" s="439"/>
      <c r="Y33" s="440">
        <v>0</v>
      </c>
      <c r="Z33" s="375">
        <v>0</v>
      </c>
      <c r="AA33" s="417">
        <v>0</v>
      </c>
      <c r="AB33" s="417">
        <v>0</v>
      </c>
      <c r="AC33" s="418"/>
      <c r="AD33" s="441"/>
      <c r="AE33" s="420">
        <v>0</v>
      </c>
      <c r="AF33" s="417">
        <v>0</v>
      </c>
      <c r="AG33" s="442"/>
      <c r="AH33" s="443"/>
      <c r="AI33" s="444">
        <v>0</v>
      </c>
      <c r="AJ33" s="445">
        <v>0</v>
      </c>
      <c r="AK33" s="446">
        <v>0</v>
      </c>
      <c r="AL33" s="136">
        <v>0</v>
      </c>
      <c r="AM33" s="412">
        <v>0</v>
      </c>
      <c r="AN33" s="425">
        <v>0</v>
      </c>
      <c r="AO33" s="434">
        <v>0</v>
      </c>
      <c r="AP33" s="436">
        <v>0</v>
      </c>
      <c r="AQ33" s="447">
        <v>0</v>
      </c>
      <c r="AR33" s="448">
        <v>0</v>
      </c>
      <c r="AS33" s="449">
        <v>0</v>
      </c>
      <c r="AT33" s="115">
        <v>0</v>
      </c>
      <c r="AU33" s="450">
        <v>0</v>
      </c>
      <c r="AV33" s="414">
        <v>0</v>
      </c>
      <c r="AW33" s="451" t="s">
        <v>153</v>
      </c>
      <c r="AX33" s="452" t="s">
        <v>153</v>
      </c>
      <c r="AY33" s="453" t="s">
        <v>153</v>
      </c>
      <c r="AZ33" s="454" t="s">
        <v>153</v>
      </c>
      <c r="BA33" s="455" t="s">
        <v>153</v>
      </c>
      <c r="BB33" s="456" t="s">
        <v>153</v>
      </c>
      <c r="BC33" s="457" t="s">
        <v>153</v>
      </c>
      <c r="BD33" s="458" t="s">
        <v>153</v>
      </c>
      <c r="BE33" s="459" t="s">
        <v>153</v>
      </c>
      <c r="BF33" s="461"/>
      <c r="BH33" s="61"/>
    </row>
    <row r="34" spans="1:60" x14ac:dyDescent="0.25">
      <c r="A34" s="155" t="s">
        <v>241</v>
      </c>
      <c r="B34" s="92">
        <v>4297.969413806909</v>
      </c>
      <c r="C34" s="141">
        <v>0.50281217517349286</v>
      </c>
      <c r="D34" s="342">
        <v>6001.1837219741838</v>
      </c>
      <c r="E34" s="143">
        <v>0.7020683374730875</v>
      </c>
      <c r="F34" s="144">
        <v>0</v>
      </c>
      <c r="G34" s="126">
        <v>4120.4117603835457</v>
      </c>
      <c r="H34" s="145">
        <v>0</v>
      </c>
      <c r="I34" s="126">
        <v>129.48147914310192</v>
      </c>
      <c r="J34" s="300"/>
      <c r="K34" s="127">
        <v>4249.8932395266474</v>
      </c>
      <c r="L34" s="99">
        <v>8547.8626533335555</v>
      </c>
      <c r="M34" s="92">
        <v>0</v>
      </c>
      <c r="N34" s="110">
        <v>3388.6429680000001</v>
      </c>
      <c r="O34" s="424">
        <v>0</v>
      </c>
      <c r="P34" s="111">
        <v>0</v>
      </c>
      <c r="Q34" s="111">
        <v>909.32644580690908</v>
      </c>
      <c r="R34" s="416">
        <v>0</v>
      </c>
      <c r="S34" s="462"/>
      <c r="T34" s="463"/>
      <c r="U34" s="462"/>
      <c r="V34" s="463"/>
      <c r="W34" s="462"/>
      <c r="X34" s="463"/>
      <c r="Y34" s="406">
        <v>0</v>
      </c>
      <c r="Z34" s="375">
        <v>3967.5095538679338</v>
      </c>
      <c r="AA34" s="417">
        <v>0</v>
      </c>
      <c r="AB34" s="417">
        <v>1703.4706479995093</v>
      </c>
      <c r="AC34" s="417">
        <v>2264.0389058684241</v>
      </c>
      <c r="AD34" s="417">
        <v>0</v>
      </c>
      <c r="AE34" s="417">
        <v>827.99392839950963</v>
      </c>
      <c r="AF34" s="417">
        <v>875.47671959999991</v>
      </c>
      <c r="AG34" s="421">
        <v>0</v>
      </c>
      <c r="AH34" s="422">
        <v>0</v>
      </c>
      <c r="AI34" s="423">
        <v>0</v>
      </c>
      <c r="AJ34" s="134">
        <v>0</v>
      </c>
      <c r="AK34" s="307">
        <v>1737.3203742064188</v>
      </c>
      <c r="AL34" s="136">
        <v>282.38368565871446</v>
      </c>
      <c r="AM34" s="412">
        <v>0</v>
      </c>
      <c r="AN34" s="92">
        <v>0</v>
      </c>
      <c r="AO34" s="110">
        <v>5652.6818738684242</v>
      </c>
      <c r="AP34" s="111">
        <v>0</v>
      </c>
      <c r="AQ34" s="112">
        <v>5652.6818738684242</v>
      </c>
      <c r="AR34" s="113">
        <v>0</v>
      </c>
      <c r="AS34" s="114">
        <v>5652.6818738684242</v>
      </c>
      <c r="AT34" s="115">
        <v>2019.7040598651333</v>
      </c>
      <c r="AU34" s="413">
        <v>875.47671959999991</v>
      </c>
      <c r="AV34" s="414">
        <v>0</v>
      </c>
      <c r="AW34" s="464" t="s">
        <v>153</v>
      </c>
      <c r="AX34" s="147">
        <v>0.66129769547290884</v>
      </c>
      <c r="AY34" s="148" t="s">
        <v>153</v>
      </c>
      <c r="AZ34" s="149">
        <v>0.66129769547290884</v>
      </c>
      <c r="BA34" s="150" t="s">
        <v>153</v>
      </c>
      <c r="BB34" s="151">
        <v>0.66129769547290884</v>
      </c>
      <c r="BC34" s="152">
        <v>0.23628176326364755</v>
      </c>
      <c r="BD34" s="465">
        <v>0.10242054126344384</v>
      </c>
      <c r="BE34" s="153" t="s">
        <v>153</v>
      </c>
      <c r="BF34" s="61">
        <v>0</v>
      </c>
      <c r="BH34" s="61"/>
    </row>
    <row r="35" spans="1:60" x14ac:dyDescent="0.25">
      <c r="A35" s="155" t="s">
        <v>149</v>
      </c>
      <c r="B35" s="92">
        <v>17821.437111912186</v>
      </c>
      <c r="C35" s="141">
        <v>0.58857431244846747</v>
      </c>
      <c r="D35" s="142">
        <v>18935.597111912186</v>
      </c>
      <c r="E35" s="143">
        <v>0.62537078132129797</v>
      </c>
      <c r="F35" s="144">
        <v>0</v>
      </c>
      <c r="G35" s="126">
        <v>28014.063865136406</v>
      </c>
      <c r="H35" s="145">
        <v>0</v>
      </c>
      <c r="I35" s="126">
        <v>0</v>
      </c>
      <c r="J35" s="300"/>
      <c r="K35" s="127">
        <v>12457.555251473601</v>
      </c>
      <c r="L35" s="99">
        <v>30278.992363385787</v>
      </c>
      <c r="M35" s="92">
        <v>0</v>
      </c>
      <c r="N35" s="110">
        <v>17310.884079000003</v>
      </c>
      <c r="O35" s="424">
        <v>0</v>
      </c>
      <c r="P35" s="111">
        <v>381.82029191218572</v>
      </c>
      <c r="Q35" s="111">
        <v>128.732741</v>
      </c>
      <c r="R35" s="416">
        <v>0</v>
      </c>
      <c r="S35" s="92">
        <v>3911.3150087999998</v>
      </c>
      <c r="T35" s="92">
        <v>-202.09306775391963</v>
      </c>
      <c r="U35" s="92">
        <v>2113.3557664</v>
      </c>
      <c r="V35" s="92">
        <v>-1179.9218199539198</v>
      </c>
      <c r="W35" s="92">
        <v>1797.9592423999998</v>
      </c>
      <c r="X35" s="92">
        <v>977.82875219999994</v>
      </c>
      <c r="Y35" s="92">
        <v>859.06256867895775</v>
      </c>
      <c r="Z35" s="375">
        <v>11629.814372363893</v>
      </c>
      <c r="AA35" s="417">
        <v>0</v>
      </c>
      <c r="AB35" s="417">
        <v>10515.654372363893</v>
      </c>
      <c r="AC35" s="418">
        <v>1114.1600000000001</v>
      </c>
      <c r="AD35" s="417">
        <v>2932.2277255189297</v>
      </c>
      <c r="AE35" s="417">
        <v>5052.5945206449651</v>
      </c>
      <c r="AF35" s="417">
        <v>2530.8321261999995</v>
      </c>
      <c r="AG35" s="421">
        <v>0</v>
      </c>
      <c r="AH35" s="422">
        <v>0</v>
      </c>
      <c r="AI35" s="423">
        <v>2932.2277255189297</v>
      </c>
      <c r="AJ35" s="134">
        <v>381.82029191218572</v>
      </c>
      <c r="AK35" s="307">
        <v>5181.3272616449649</v>
      </c>
      <c r="AL35" s="136">
        <v>827.74087910970718</v>
      </c>
      <c r="AM35" s="412">
        <v>0</v>
      </c>
      <c r="AN35" s="92">
        <v>0</v>
      </c>
      <c r="AO35" s="110">
        <v>18425.044079000003</v>
      </c>
      <c r="AP35" s="111">
        <v>0</v>
      </c>
      <c r="AQ35" s="112">
        <v>18425.044079000003</v>
      </c>
      <c r="AR35" s="113">
        <v>3314.0480174311156</v>
      </c>
      <c r="AS35" s="114">
        <v>21739.092096431119</v>
      </c>
      <c r="AT35" s="115">
        <v>6009.0681407546717</v>
      </c>
      <c r="AU35" s="413">
        <v>2530.8321261999995</v>
      </c>
      <c r="AV35" s="414">
        <v>0</v>
      </c>
      <c r="AW35" s="464" t="s">
        <v>153</v>
      </c>
      <c r="AX35" s="147">
        <v>0.60850915571682251</v>
      </c>
      <c r="AY35" s="148" t="s">
        <v>153</v>
      </c>
      <c r="AZ35" s="149">
        <v>0.60850915571682251</v>
      </c>
      <c r="BA35" s="150">
        <v>0.10945040632985382</v>
      </c>
      <c r="BB35" s="151">
        <v>0.71795956204667644</v>
      </c>
      <c r="BC35" s="152">
        <v>0.19845667480074425</v>
      </c>
      <c r="BD35" s="465">
        <v>8.3583763152579454E-2</v>
      </c>
      <c r="BE35" s="153" t="s">
        <v>153</v>
      </c>
      <c r="BF35" s="61">
        <v>0</v>
      </c>
      <c r="BH35" s="61"/>
    </row>
    <row r="36" spans="1:60" x14ac:dyDescent="0.25">
      <c r="A36" s="155" t="s">
        <v>242</v>
      </c>
      <c r="B36" s="92">
        <v>82077.493115198129</v>
      </c>
      <c r="C36" s="141">
        <v>0.75716226613629056</v>
      </c>
      <c r="D36" s="92">
        <v>84730.398656661971</v>
      </c>
      <c r="E36" s="143">
        <v>0.78163523546542257</v>
      </c>
      <c r="F36" s="144">
        <v>0</v>
      </c>
      <c r="G36" s="126">
        <v>24154.137905696647</v>
      </c>
      <c r="H36" s="145">
        <v>0</v>
      </c>
      <c r="I36" s="126">
        <v>2169.8263497027624</v>
      </c>
      <c r="J36" s="300"/>
      <c r="K36" s="127">
        <v>26323.964255399409</v>
      </c>
      <c r="L36" s="99">
        <v>108401.45737059753</v>
      </c>
      <c r="M36" s="92">
        <v>624.25223034722228</v>
      </c>
      <c r="N36" s="110">
        <v>73796.06793138021</v>
      </c>
      <c r="O36" s="424">
        <v>0</v>
      </c>
      <c r="P36" s="111">
        <v>5935.3631852580002</v>
      </c>
      <c r="Q36" s="111">
        <v>1638.0118827126839</v>
      </c>
      <c r="R36" s="416">
        <v>83.797885500000405</v>
      </c>
      <c r="S36" s="462">
        <v>20288.446870799999</v>
      </c>
      <c r="T36" s="463">
        <v>-428.73949887981144</v>
      </c>
      <c r="U36" s="462">
        <v>10962.2227024</v>
      </c>
      <c r="V36" s="463">
        <v>-5500.8512165798111</v>
      </c>
      <c r="W36" s="462">
        <v>9326.2241684000001</v>
      </c>
      <c r="X36" s="463">
        <v>5072.1117176999996</v>
      </c>
      <c r="Y36" s="406">
        <v>1742.0354275398349</v>
      </c>
      <c r="Z36" s="375">
        <v>24574.871365617575</v>
      </c>
      <c r="AA36" s="417">
        <v>0</v>
      </c>
      <c r="AB36" s="417">
        <v>21921.965824153714</v>
      </c>
      <c r="AC36" s="418">
        <v>2652.9055414638606</v>
      </c>
      <c r="AD36" s="417">
        <v>8810.3331519805579</v>
      </c>
      <c r="AE36" s="417">
        <v>7979.5277641731591</v>
      </c>
      <c r="AF36" s="417">
        <v>5132.1049079999993</v>
      </c>
      <c r="AG36" s="466">
        <v>0</v>
      </c>
      <c r="AH36" s="422">
        <v>0</v>
      </c>
      <c r="AI36" s="423">
        <v>8810.3331519805579</v>
      </c>
      <c r="AJ36" s="134">
        <v>5935.3631852580002</v>
      </c>
      <c r="AK36" s="307">
        <v>9617.5396468858435</v>
      </c>
      <c r="AL36" s="136">
        <v>1749.0928897818335</v>
      </c>
      <c r="AM36" s="412">
        <v>83.797885500000405</v>
      </c>
      <c r="AN36" s="92">
        <v>624.25223034722228</v>
      </c>
      <c r="AO36" s="110">
        <v>76448.973472844067</v>
      </c>
      <c r="AP36" s="111">
        <v>0</v>
      </c>
      <c r="AQ36" s="112">
        <v>77073.225703191289</v>
      </c>
      <c r="AR36" s="113">
        <v>14745.696337238558</v>
      </c>
      <c r="AS36" s="114">
        <v>91818.922040429839</v>
      </c>
      <c r="AT36" s="115">
        <v>11366.632536667677</v>
      </c>
      <c r="AU36" s="413">
        <v>5132.1049079999993</v>
      </c>
      <c r="AV36" s="414">
        <v>83.797885500000405</v>
      </c>
      <c r="AW36" s="464">
        <v>5.7587069905624946E-3</v>
      </c>
      <c r="AX36" s="147">
        <v>0.70523935127074999</v>
      </c>
      <c r="AY36" s="148" t="s">
        <v>153</v>
      </c>
      <c r="AZ36" s="149">
        <v>0.71099805826131246</v>
      </c>
      <c r="BA36" s="150">
        <v>0.13602858019543687</v>
      </c>
      <c r="BB36" s="151">
        <v>0.8470266384567493</v>
      </c>
      <c r="BC36" s="152">
        <v>0.10485682399829734</v>
      </c>
      <c r="BD36" s="465">
        <v>4.7343504713729202E-2</v>
      </c>
      <c r="BE36" s="153">
        <v>7.7303283122399675E-4</v>
      </c>
      <c r="BF36" s="61">
        <v>0</v>
      </c>
      <c r="BH36" s="61"/>
    </row>
    <row r="37" spans="1:60" ht="14.4" x14ac:dyDescent="0.3">
      <c r="A37" s="155" t="s">
        <v>174</v>
      </c>
      <c r="B37" s="92">
        <v>15246.782291912186</v>
      </c>
      <c r="C37" s="93">
        <v>0.654419973461011</v>
      </c>
      <c r="D37" s="137">
        <v>15999.892431077196</v>
      </c>
      <c r="E37" s="94">
        <v>0.68674484751309361</v>
      </c>
      <c r="F37" s="138">
        <v>6.7999999999999991E-2</v>
      </c>
      <c r="G37" s="126">
        <v>8051.3793018988817</v>
      </c>
      <c r="H37" s="139">
        <v>0</v>
      </c>
      <c r="I37" s="126">
        <v>0</v>
      </c>
      <c r="J37" s="300"/>
      <c r="K37" s="127">
        <v>8051.3793018988817</v>
      </c>
      <c r="L37" s="99">
        <v>23298.16159381107</v>
      </c>
      <c r="M37" s="92">
        <v>0</v>
      </c>
      <c r="N37" s="110">
        <v>14864.962000000001</v>
      </c>
      <c r="O37" s="424">
        <v>0</v>
      </c>
      <c r="P37" s="111">
        <v>381.82029191218572</v>
      </c>
      <c r="Q37" s="111">
        <v>0</v>
      </c>
      <c r="R37" s="416">
        <v>0</v>
      </c>
      <c r="S37" s="404"/>
      <c r="T37" s="405"/>
      <c r="U37" s="404"/>
      <c r="V37" s="405"/>
      <c r="W37" s="404"/>
      <c r="X37" s="405"/>
      <c r="Y37" s="406">
        <v>580.6784758466116</v>
      </c>
      <c r="Z37" s="375">
        <v>7516.4062958099748</v>
      </c>
      <c r="AA37" s="417">
        <v>0</v>
      </c>
      <c r="AB37" s="417">
        <v>6763.2961566449649</v>
      </c>
      <c r="AC37" s="418">
        <v>753.11013916500997</v>
      </c>
      <c r="AD37" s="417"/>
      <c r="AE37" s="420">
        <v>5052.5945206449651</v>
      </c>
      <c r="AF37" s="417">
        <v>1710.7016359999996</v>
      </c>
      <c r="AG37" s="466"/>
      <c r="AH37" s="422"/>
      <c r="AI37" s="423">
        <v>0</v>
      </c>
      <c r="AJ37" s="134">
        <v>381.82029191218572</v>
      </c>
      <c r="AK37" s="307">
        <v>5052.5945206449651</v>
      </c>
      <c r="AL37" s="136">
        <v>534.97300608890691</v>
      </c>
      <c r="AM37" s="412">
        <v>0</v>
      </c>
      <c r="AN37" s="92">
        <v>0</v>
      </c>
      <c r="AO37" s="110">
        <v>15618.072139165011</v>
      </c>
      <c r="AP37" s="111">
        <v>0</v>
      </c>
      <c r="AQ37" s="112">
        <v>15618.072139165011</v>
      </c>
      <c r="AR37" s="113">
        <v>381.82029191218572</v>
      </c>
      <c r="AS37" s="114">
        <v>15999.892431077196</v>
      </c>
      <c r="AT37" s="115">
        <v>5587.567526733872</v>
      </c>
      <c r="AU37" s="413">
        <v>1710.7016359999996</v>
      </c>
      <c r="AV37" s="414">
        <v>0</v>
      </c>
      <c r="AW37" s="311" t="s">
        <v>153</v>
      </c>
      <c r="AX37" s="118">
        <v>0.67035641744856811</v>
      </c>
      <c r="AY37" s="119" t="s">
        <v>153</v>
      </c>
      <c r="AZ37" s="120">
        <v>0.67035641744856811</v>
      </c>
      <c r="BA37" s="121">
        <v>1.638843006452546E-2</v>
      </c>
      <c r="BB37" s="122">
        <v>0.68674484751309361</v>
      </c>
      <c r="BC37" s="123">
        <v>0.23982868795184917</v>
      </c>
      <c r="BD37" s="415">
        <v>7.3426464535057176E-2</v>
      </c>
      <c r="BE37" s="124" t="s">
        <v>153</v>
      </c>
      <c r="BF37" s="61">
        <v>0</v>
      </c>
      <c r="BH37" s="61"/>
    </row>
    <row r="38" spans="1:60" ht="14.4" x14ac:dyDescent="0.3">
      <c r="A38" s="155" t="s">
        <v>243</v>
      </c>
      <c r="B38" s="92">
        <v>12485.044606944444</v>
      </c>
      <c r="C38" s="93">
        <v>0.93858240914914215</v>
      </c>
      <c r="D38" s="137">
        <v>12485.044606944444</v>
      </c>
      <c r="E38" s="94">
        <v>0.93858240914914215</v>
      </c>
      <c r="F38" s="138">
        <v>6.8999999999999999E-3</v>
      </c>
      <c r="G38" s="126">
        <v>816.97819386915126</v>
      </c>
      <c r="H38" s="139">
        <v>0</v>
      </c>
      <c r="I38" s="126">
        <v>0</v>
      </c>
      <c r="J38" s="300"/>
      <c r="K38" s="127">
        <v>816.97819386915126</v>
      </c>
      <c r="L38" s="99">
        <v>13302.022800813596</v>
      </c>
      <c r="M38" s="92">
        <v>624.25223034722228</v>
      </c>
      <c r="N38" s="110">
        <v>11860.792376597221</v>
      </c>
      <c r="O38" s="424">
        <v>0</v>
      </c>
      <c r="P38" s="424">
        <v>0</v>
      </c>
      <c r="Q38" s="111">
        <v>0</v>
      </c>
      <c r="R38" s="416">
        <v>0</v>
      </c>
      <c r="S38" s="404"/>
      <c r="T38" s="405"/>
      <c r="U38" s="404"/>
      <c r="V38" s="405"/>
      <c r="W38" s="404"/>
      <c r="X38" s="405"/>
      <c r="Y38" s="406">
        <v>58.921786519729714</v>
      </c>
      <c r="Z38" s="375">
        <v>762.69416825130634</v>
      </c>
      <c r="AA38" s="417">
        <v>0</v>
      </c>
      <c r="AB38" s="417">
        <v>762.69416825130634</v>
      </c>
      <c r="AC38" s="418"/>
      <c r="AD38" s="417"/>
      <c r="AE38" s="420">
        <v>589.1082669513064</v>
      </c>
      <c r="AF38" s="417">
        <v>173.58590129999996</v>
      </c>
      <c r="AG38" s="466"/>
      <c r="AH38" s="422"/>
      <c r="AI38" s="423">
        <v>0</v>
      </c>
      <c r="AJ38" s="134">
        <v>0</v>
      </c>
      <c r="AK38" s="307">
        <v>589.1082669513064</v>
      </c>
      <c r="AL38" s="136">
        <v>54.284025617844968</v>
      </c>
      <c r="AM38" s="412">
        <v>0</v>
      </c>
      <c r="AN38" s="92">
        <v>624.25223034722228</v>
      </c>
      <c r="AO38" s="110">
        <v>11860.792376597221</v>
      </c>
      <c r="AP38" s="111">
        <v>0</v>
      </c>
      <c r="AQ38" s="112">
        <v>12485.044606944442</v>
      </c>
      <c r="AR38" s="113">
        <v>0</v>
      </c>
      <c r="AS38" s="114">
        <v>12485.044606944442</v>
      </c>
      <c r="AT38" s="115">
        <v>643.39229256915132</v>
      </c>
      <c r="AU38" s="413">
        <v>173.58590129999996</v>
      </c>
      <c r="AV38" s="414">
        <v>0</v>
      </c>
      <c r="AW38" s="311">
        <v>4.6929120457457112E-2</v>
      </c>
      <c r="AX38" s="118">
        <v>0.89165328869168492</v>
      </c>
      <c r="AY38" s="119" t="s">
        <v>153</v>
      </c>
      <c r="AZ38" s="120">
        <v>0.93858240914914193</v>
      </c>
      <c r="BA38" s="121" t="s">
        <v>153</v>
      </c>
      <c r="BB38" s="122">
        <v>0.93858240914914193</v>
      </c>
      <c r="BC38" s="123">
        <v>4.8368004039941903E-2</v>
      </c>
      <c r="BD38" s="415">
        <v>1.3049586810915921E-2</v>
      </c>
      <c r="BE38" s="124" t="s">
        <v>153</v>
      </c>
      <c r="BF38" s="61">
        <v>0</v>
      </c>
      <c r="BH38" s="61"/>
    </row>
    <row r="39" spans="1:60" ht="14.4" x14ac:dyDescent="0.3">
      <c r="A39" s="155" t="s">
        <v>244</v>
      </c>
      <c r="B39" s="92">
        <v>2427.1003036979955</v>
      </c>
      <c r="C39" s="93">
        <v>0.50120665762668237</v>
      </c>
      <c r="D39" s="137">
        <v>4002.9203036979952</v>
      </c>
      <c r="E39" s="94">
        <v>0.82662026909461406</v>
      </c>
      <c r="F39" s="138">
        <v>2.0400000000000001E-2</v>
      </c>
      <c r="G39" s="126">
        <v>2415.4137905696648</v>
      </c>
      <c r="H39" s="139">
        <v>0</v>
      </c>
      <c r="I39" s="126">
        <v>0</v>
      </c>
      <c r="J39" s="300"/>
      <c r="K39" s="127">
        <v>2415.4137905696648</v>
      </c>
      <c r="L39" s="99">
        <v>4842.5140942676608</v>
      </c>
      <c r="M39" s="92">
        <v>0</v>
      </c>
      <c r="N39" s="110">
        <v>1716.3799999999999</v>
      </c>
      <c r="O39" s="424">
        <v>0</v>
      </c>
      <c r="P39" s="424">
        <v>0</v>
      </c>
      <c r="Q39" s="111">
        <v>710.7203036979954</v>
      </c>
      <c r="R39" s="416">
        <v>0</v>
      </c>
      <c r="S39" s="404"/>
      <c r="T39" s="405"/>
      <c r="U39" s="404"/>
      <c r="V39" s="405"/>
      <c r="W39" s="404"/>
      <c r="X39" s="405"/>
      <c r="Y39" s="406">
        <v>174.2035427539835</v>
      </c>
      <c r="Z39" s="375">
        <v>2254.9218887429929</v>
      </c>
      <c r="AA39" s="417">
        <v>0</v>
      </c>
      <c r="AB39" s="417">
        <v>679.10188874299297</v>
      </c>
      <c r="AC39" s="418">
        <v>1575.82</v>
      </c>
      <c r="AD39" s="417"/>
      <c r="AE39" s="420">
        <v>165.89139794299297</v>
      </c>
      <c r="AF39" s="417">
        <v>513.2104908</v>
      </c>
      <c r="AG39" s="466"/>
      <c r="AH39" s="422"/>
      <c r="AI39" s="423">
        <v>0</v>
      </c>
      <c r="AJ39" s="134">
        <v>0</v>
      </c>
      <c r="AK39" s="307">
        <v>876.61170164098837</v>
      </c>
      <c r="AL39" s="136">
        <v>160.49190182667209</v>
      </c>
      <c r="AM39" s="412">
        <v>0</v>
      </c>
      <c r="AN39" s="92">
        <v>0</v>
      </c>
      <c r="AO39" s="110">
        <v>3292.2</v>
      </c>
      <c r="AP39" s="111">
        <v>0</v>
      </c>
      <c r="AQ39" s="112">
        <v>3292.2</v>
      </c>
      <c r="AR39" s="113">
        <v>0</v>
      </c>
      <c r="AS39" s="114">
        <v>3292.2</v>
      </c>
      <c r="AT39" s="115">
        <v>1037.1036034676604</v>
      </c>
      <c r="AU39" s="413">
        <v>513.2104908</v>
      </c>
      <c r="AV39" s="414">
        <v>0</v>
      </c>
      <c r="AW39" s="311" t="s">
        <v>153</v>
      </c>
      <c r="AX39" s="118">
        <v>0.67985346782927292</v>
      </c>
      <c r="AY39" s="119" t="s">
        <v>153</v>
      </c>
      <c r="AZ39" s="120">
        <v>0.67985346782927292</v>
      </c>
      <c r="BA39" s="121" t="s">
        <v>153</v>
      </c>
      <c r="BB39" s="122">
        <v>0.67985346782927292</v>
      </c>
      <c r="BC39" s="123">
        <v>0.21416635724309704</v>
      </c>
      <c r="BD39" s="415">
        <v>0.10598017492762991</v>
      </c>
      <c r="BE39" s="124" t="s">
        <v>153</v>
      </c>
      <c r="BF39" s="61">
        <v>0</v>
      </c>
      <c r="BH39" s="61"/>
    </row>
    <row r="40" spans="1:60" s="460" customFormat="1" x14ac:dyDescent="0.25">
      <c r="A40" s="155" t="s">
        <v>245</v>
      </c>
      <c r="B40" s="92">
        <v>381.93967010891367</v>
      </c>
      <c r="C40" s="426">
        <v>0.38284571989884431</v>
      </c>
      <c r="D40" s="427">
        <v>509.33397827618842</v>
      </c>
      <c r="E40" s="428">
        <v>0.51054223701477419</v>
      </c>
      <c r="F40" s="429">
        <v>5.1999999999999998E-3</v>
      </c>
      <c r="G40" s="430">
        <v>615.69371132167919</v>
      </c>
      <c r="H40" s="431">
        <v>0</v>
      </c>
      <c r="I40" s="430">
        <v>0</v>
      </c>
      <c r="J40" s="432"/>
      <c r="K40" s="162">
        <v>615.69371132167919</v>
      </c>
      <c r="L40" s="433">
        <v>997.63338143059286</v>
      </c>
      <c r="M40" s="425">
        <v>0</v>
      </c>
      <c r="N40" s="110">
        <v>257.77999999999997</v>
      </c>
      <c r="O40" s="435">
        <v>0</v>
      </c>
      <c r="P40" s="435">
        <v>0</v>
      </c>
      <c r="Q40" s="111">
        <v>124.15967010891372</v>
      </c>
      <c r="R40" s="437">
        <v>0</v>
      </c>
      <c r="S40" s="438"/>
      <c r="T40" s="439"/>
      <c r="U40" s="438"/>
      <c r="V40" s="439"/>
      <c r="W40" s="438"/>
      <c r="X40" s="439"/>
      <c r="Y40" s="440">
        <v>44.404824623564416</v>
      </c>
      <c r="Z40" s="375">
        <v>574.78401085605697</v>
      </c>
      <c r="AA40" s="417">
        <v>0</v>
      </c>
      <c r="AB40" s="417">
        <v>447.38970268878211</v>
      </c>
      <c r="AC40" s="418">
        <v>127.39430816727474</v>
      </c>
      <c r="AD40" s="441"/>
      <c r="AE40" s="420">
        <v>316.57134228878226</v>
      </c>
      <c r="AF40" s="417">
        <v>130.81836039999999</v>
      </c>
      <c r="AG40" s="467"/>
      <c r="AH40" s="443"/>
      <c r="AI40" s="444">
        <v>0</v>
      </c>
      <c r="AJ40" s="445">
        <v>0</v>
      </c>
      <c r="AK40" s="307">
        <v>440.73101239769596</v>
      </c>
      <c r="AL40" s="136">
        <v>40.909700465622294</v>
      </c>
      <c r="AM40" s="412">
        <v>0</v>
      </c>
      <c r="AN40" s="425">
        <v>0</v>
      </c>
      <c r="AO40" s="434">
        <v>385.17430816727472</v>
      </c>
      <c r="AP40" s="436">
        <v>0</v>
      </c>
      <c r="AQ40" s="447">
        <v>385.17430816727472</v>
      </c>
      <c r="AR40" s="113">
        <v>0</v>
      </c>
      <c r="AS40" s="449">
        <v>385.17430816727472</v>
      </c>
      <c r="AT40" s="115">
        <v>481.64071286331824</v>
      </c>
      <c r="AU40" s="450">
        <v>130.81836039999999</v>
      </c>
      <c r="AV40" s="414">
        <v>0</v>
      </c>
      <c r="AW40" s="451" t="s">
        <v>153</v>
      </c>
      <c r="AX40" s="452">
        <v>0.3860880312715077</v>
      </c>
      <c r="AY40" s="453" t="s">
        <v>153</v>
      </c>
      <c r="AZ40" s="454">
        <v>0.3860880312715077</v>
      </c>
      <c r="BA40" s="455" t="s">
        <v>153</v>
      </c>
      <c r="BB40" s="456">
        <v>0.3860880312715077</v>
      </c>
      <c r="BC40" s="457">
        <v>0.48278327673102911</v>
      </c>
      <c r="BD40" s="458">
        <v>0.13112869199746324</v>
      </c>
      <c r="BE40" s="459" t="s">
        <v>153</v>
      </c>
      <c r="BF40" s="461">
        <v>0</v>
      </c>
      <c r="BH40" s="61"/>
    </row>
    <row r="41" spans="1:60" ht="14.4" x14ac:dyDescent="0.3">
      <c r="A41" s="155" t="s">
        <v>246</v>
      </c>
      <c r="B41" s="92">
        <v>19544.113998253677</v>
      </c>
      <c r="C41" s="93">
        <v>0.85497101431264189</v>
      </c>
      <c r="D41" s="137">
        <v>19544.113998253677</v>
      </c>
      <c r="E41" s="94">
        <v>0.85497101431264189</v>
      </c>
      <c r="F41" s="138">
        <v>2.7999999999999997E-2</v>
      </c>
      <c r="G41" s="126">
        <v>3315.273830193657</v>
      </c>
      <c r="H41" s="139">
        <v>0</v>
      </c>
      <c r="I41" s="126">
        <v>0</v>
      </c>
      <c r="J41" s="300"/>
      <c r="K41" s="127">
        <v>3315.273830193657</v>
      </c>
      <c r="L41" s="99">
        <v>22859.387828447332</v>
      </c>
      <c r="M41" s="92">
        <v>0</v>
      </c>
      <c r="N41" s="110">
        <v>18566.908298340993</v>
      </c>
      <c r="O41" s="424">
        <v>0</v>
      </c>
      <c r="P41" s="424">
        <v>0</v>
      </c>
      <c r="Q41" s="111">
        <v>977.20569991268394</v>
      </c>
      <c r="R41" s="416">
        <v>0</v>
      </c>
      <c r="S41" s="404"/>
      <c r="T41" s="405"/>
      <c r="U41" s="404"/>
      <c r="V41" s="405"/>
      <c r="W41" s="404"/>
      <c r="X41" s="405"/>
      <c r="Y41" s="406">
        <v>239.10290181919302</v>
      </c>
      <c r="Z41" s="375">
        <v>3094.9908276864603</v>
      </c>
      <c r="AA41" s="417">
        <v>0</v>
      </c>
      <c r="AB41" s="417">
        <v>3094.9908276864599</v>
      </c>
      <c r="AC41" s="418"/>
      <c r="AD41" s="417"/>
      <c r="AE41" s="420">
        <v>2390.5842716864604</v>
      </c>
      <c r="AF41" s="417">
        <v>704.4065559999998</v>
      </c>
      <c r="AG41" s="466"/>
      <c r="AH41" s="422"/>
      <c r="AI41" s="423">
        <v>0</v>
      </c>
      <c r="AJ41" s="134">
        <v>0</v>
      </c>
      <c r="AK41" s="307">
        <v>3367.7899715991443</v>
      </c>
      <c r="AL41" s="136">
        <v>220.28300250719695</v>
      </c>
      <c r="AM41" s="412">
        <v>0</v>
      </c>
      <c r="AN41" s="92">
        <v>0</v>
      </c>
      <c r="AO41" s="110">
        <v>18566.908298340993</v>
      </c>
      <c r="AP41" s="111">
        <v>0</v>
      </c>
      <c r="AQ41" s="112">
        <v>18566.908298340993</v>
      </c>
      <c r="AR41" s="113">
        <v>0</v>
      </c>
      <c r="AS41" s="114">
        <v>18566.908298340993</v>
      </c>
      <c r="AT41" s="115">
        <v>3588.0729741063415</v>
      </c>
      <c r="AU41" s="413">
        <v>704.4065559999998</v>
      </c>
      <c r="AV41" s="414">
        <v>0</v>
      </c>
      <c r="AW41" s="311" t="s">
        <v>153</v>
      </c>
      <c r="AX41" s="118">
        <v>0.81222246359700989</v>
      </c>
      <c r="AY41" s="119" t="s">
        <v>153</v>
      </c>
      <c r="AZ41" s="120">
        <v>0.81222246359700989</v>
      </c>
      <c r="BA41" s="121" t="s">
        <v>153</v>
      </c>
      <c r="BB41" s="122">
        <v>0.81222246359700989</v>
      </c>
      <c r="BC41" s="123">
        <v>0.15696277612654042</v>
      </c>
      <c r="BD41" s="415">
        <v>3.0814760276449839E-2</v>
      </c>
      <c r="BE41" s="124" t="s">
        <v>153</v>
      </c>
      <c r="BF41" s="61">
        <v>0</v>
      </c>
      <c r="BH41" s="61"/>
    </row>
    <row r="42" spans="1:60" s="460" customFormat="1" x14ac:dyDescent="0.25">
      <c r="A42" s="155" t="s">
        <v>247</v>
      </c>
      <c r="B42" s="425">
        <v>2809.0399738069091</v>
      </c>
      <c r="C42" s="426">
        <v>0.48098784927876459</v>
      </c>
      <c r="D42" s="425">
        <v>4512.2542819741839</v>
      </c>
      <c r="E42" s="428">
        <v>0.7726267702571491</v>
      </c>
      <c r="F42" s="429">
        <v>2.5600000000000001E-2</v>
      </c>
      <c r="G42" s="430">
        <v>3031.1075018913439</v>
      </c>
      <c r="H42" s="431">
        <v>0</v>
      </c>
      <c r="I42" s="430">
        <v>0</v>
      </c>
      <c r="J42" s="432"/>
      <c r="K42" s="162">
        <v>3031.1075018913439</v>
      </c>
      <c r="L42" s="433">
        <v>5840.1474756982534</v>
      </c>
      <c r="M42" s="425">
        <v>0</v>
      </c>
      <c r="N42" s="434">
        <v>1974.1599999999999</v>
      </c>
      <c r="O42" s="435">
        <v>0</v>
      </c>
      <c r="P42" s="435">
        <v>0</v>
      </c>
      <c r="Q42" s="436">
        <v>834.87997380690911</v>
      </c>
      <c r="R42" s="437">
        <v>0</v>
      </c>
      <c r="S42" s="438">
        <v>0</v>
      </c>
      <c r="T42" s="439">
        <v>0</v>
      </c>
      <c r="U42" s="438">
        <v>0</v>
      </c>
      <c r="V42" s="439">
        <v>0</v>
      </c>
      <c r="W42" s="438">
        <v>0</v>
      </c>
      <c r="X42" s="439">
        <v>0</v>
      </c>
      <c r="Y42" s="440">
        <v>218.60836737754792</v>
      </c>
      <c r="Z42" s="375">
        <v>2829.7058995990501</v>
      </c>
      <c r="AA42" s="417">
        <v>0</v>
      </c>
      <c r="AB42" s="417">
        <v>1126.4915914317751</v>
      </c>
      <c r="AC42" s="418">
        <v>1703.2143081672748</v>
      </c>
      <c r="AD42" s="441">
        <v>0</v>
      </c>
      <c r="AE42" s="420">
        <v>482.46274023177523</v>
      </c>
      <c r="AF42" s="417">
        <v>644.02885119999996</v>
      </c>
      <c r="AG42" s="467">
        <v>0</v>
      </c>
      <c r="AH42" s="443">
        <v>0</v>
      </c>
      <c r="AI42" s="444">
        <v>0</v>
      </c>
      <c r="AJ42" s="445">
        <v>0</v>
      </c>
      <c r="AK42" s="446">
        <v>1317.3427140386843</v>
      </c>
      <c r="AL42" s="136">
        <v>201.4016022922944</v>
      </c>
      <c r="AM42" s="412">
        <v>0</v>
      </c>
      <c r="AN42" s="425">
        <v>0</v>
      </c>
      <c r="AO42" s="434">
        <v>3677.3743081672746</v>
      </c>
      <c r="AP42" s="436">
        <v>0</v>
      </c>
      <c r="AQ42" s="447">
        <v>3677.3743081672746</v>
      </c>
      <c r="AR42" s="113">
        <v>0</v>
      </c>
      <c r="AS42" s="449">
        <v>3677.3743081672746</v>
      </c>
      <c r="AT42" s="115">
        <v>1518.7443163309786</v>
      </c>
      <c r="AU42" s="450">
        <v>644.02885119999996</v>
      </c>
      <c r="AV42" s="414">
        <v>0</v>
      </c>
      <c r="AW42" s="451" t="s">
        <v>153</v>
      </c>
      <c r="AX42" s="452">
        <v>0.62967148063801326</v>
      </c>
      <c r="AY42" s="453" t="s">
        <v>153</v>
      </c>
      <c r="AZ42" s="454">
        <v>0.62967148063801326</v>
      </c>
      <c r="BA42" s="455" t="s">
        <v>153</v>
      </c>
      <c r="BB42" s="456">
        <v>0.62967148063801326</v>
      </c>
      <c r="BC42" s="457">
        <v>0.26005239125393764</v>
      </c>
      <c r="BD42" s="458">
        <v>0.11027612810804907</v>
      </c>
      <c r="BE42" s="459" t="s">
        <v>153</v>
      </c>
      <c r="BF42" s="461">
        <v>0</v>
      </c>
      <c r="BH42" s="61"/>
    </row>
    <row r="43" spans="1:60" s="460" customFormat="1" x14ac:dyDescent="0.25">
      <c r="A43" s="155" t="s">
        <v>178</v>
      </c>
      <c r="B43" s="425">
        <v>0</v>
      </c>
      <c r="C43" s="426"/>
      <c r="D43" s="427">
        <v>0</v>
      </c>
      <c r="E43" s="428"/>
      <c r="F43" s="429">
        <v>0</v>
      </c>
      <c r="G43" s="430">
        <v>0</v>
      </c>
      <c r="H43" s="431">
        <v>0</v>
      </c>
      <c r="I43" s="430">
        <v>0</v>
      </c>
      <c r="J43" s="432"/>
      <c r="K43" s="162">
        <v>0</v>
      </c>
      <c r="L43" s="433">
        <v>0</v>
      </c>
      <c r="M43" s="425">
        <v>0</v>
      </c>
      <c r="N43" s="434">
        <v>0</v>
      </c>
      <c r="O43" s="435">
        <v>0</v>
      </c>
      <c r="P43" s="435">
        <v>0</v>
      </c>
      <c r="Q43" s="436">
        <v>0</v>
      </c>
      <c r="R43" s="437">
        <v>0</v>
      </c>
      <c r="S43" s="438"/>
      <c r="T43" s="439"/>
      <c r="U43" s="438"/>
      <c r="V43" s="439"/>
      <c r="W43" s="438"/>
      <c r="X43" s="439"/>
      <c r="Y43" s="440">
        <v>0</v>
      </c>
      <c r="Z43" s="375">
        <v>0</v>
      </c>
      <c r="AA43" s="417">
        <v>0</v>
      </c>
      <c r="AB43" s="417">
        <v>0</v>
      </c>
      <c r="AC43" s="468"/>
      <c r="AD43" s="441"/>
      <c r="AE43" s="420">
        <v>0</v>
      </c>
      <c r="AF43" s="417">
        <v>0</v>
      </c>
      <c r="AG43" s="469"/>
      <c r="AH43" s="470"/>
      <c r="AI43" s="471">
        <v>0</v>
      </c>
      <c r="AJ43" s="445">
        <v>0</v>
      </c>
      <c r="AK43" s="446">
        <v>0</v>
      </c>
      <c r="AL43" s="136">
        <v>0</v>
      </c>
      <c r="AM43" s="412">
        <v>0</v>
      </c>
      <c r="AN43" s="425">
        <v>0</v>
      </c>
      <c r="AO43" s="434">
        <v>0</v>
      </c>
      <c r="AP43" s="436">
        <v>0</v>
      </c>
      <c r="AQ43" s="447">
        <v>0</v>
      </c>
      <c r="AR43" s="448">
        <v>0</v>
      </c>
      <c r="AS43" s="449">
        <v>0</v>
      </c>
      <c r="AT43" s="115">
        <v>0</v>
      </c>
      <c r="AU43" s="450">
        <v>0</v>
      </c>
      <c r="AV43" s="414">
        <v>0</v>
      </c>
      <c r="AW43" s="451" t="s">
        <v>153</v>
      </c>
      <c r="AX43" s="452" t="s">
        <v>153</v>
      </c>
      <c r="AY43" s="453" t="s">
        <v>153</v>
      </c>
      <c r="AZ43" s="454" t="s">
        <v>153</v>
      </c>
      <c r="BA43" s="455" t="s">
        <v>153</v>
      </c>
      <c r="BB43" s="456" t="s">
        <v>153</v>
      </c>
      <c r="BC43" s="457" t="s">
        <v>153</v>
      </c>
      <c r="BD43" s="458" t="s">
        <v>153</v>
      </c>
      <c r="BE43" s="459" t="s">
        <v>153</v>
      </c>
      <c r="BF43" s="461">
        <v>0</v>
      </c>
      <c r="BH43" s="61"/>
    </row>
    <row r="44" spans="1:60" ht="15" thickBot="1" x14ac:dyDescent="0.35">
      <c r="A44" s="155" t="s">
        <v>65</v>
      </c>
      <c r="B44" s="249">
        <v>0</v>
      </c>
      <c r="C44" s="250">
        <v>0</v>
      </c>
      <c r="D44" s="251">
        <v>0</v>
      </c>
      <c r="E44" s="252">
        <v>0</v>
      </c>
      <c r="F44" s="253">
        <v>2.5400000000000002E-3</v>
      </c>
      <c r="G44" s="254">
        <v>300.74269745328183</v>
      </c>
      <c r="H44" s="255">
        <v>0</v>
      </c>
      <c r="I44" s="254">
        <v>0</v>
      </c>
      <c r="J44" s="472"/>
      <c r="K44" s="256">
        <v>300.74269745328183</v>
      </c>
      <c r="L44" s="99">
        <v>300.74269745328183</v>
      </c>
      <c r="M44" s="249">
        <v>0</v>
      </c>
      <c r="N44" s="349">
        <v>0</v>
      </c>
      <c r="O44" s="473">
        <v>0</v>
      </c>
      <c r="P44" s="473">
        <v>0</v>
      </c>
      <c r="Q44" s="474">
        <v>0</v>
      </c>
      <c r="R44" s="475"/>
      <c r="S44" s="404"/>
      <c r="T44" s="405"/>
      <c r="U44" s="404"/>
      <c r="V44" s="405"/>
      <c r="W44" s="404"/>
      <c r="X44" s="405"/>
      <c r="Y44" s="406">
        <v>21.690048950741083</v>
      </c>
      <c r="Z44" s="476">
        <v>280.75988222584328</v>
      </c>
      <c r="AA44" s="477">
        <v>0</v>
      </c>
      <c r="AB44" s="2468">
        <v>280.75988222584328</v>
      </c>
      <c r="AC44" s="352"/>
      <c r="AD44" s="477"/>
      <c r="AE44" s="2469">
        <v>216.86014464584329</v>
      </c>
      <c r="AF44" s="477">
        <v>63.899737579999993</v>
      </c>
      <c r="AG44" s="353"/>
      <c r="AH44" s="478"/>
      <c r="AI44" s="479">
        <v>0</v>
      </c>
      <c r="AJ44" s="264">
        <v>0</v>
      </c>
      <c r="AK44" s="355">
        <v>216.86014464584329</v>
      </c>
      <c r="AL44" s="136">
        <v>19.982815227438586</v>
      </c>
      <c r="AM44" s="412">
        <v>0</v>
      </c>
      <c r="AN44" s="249">
        <v>0</v>
      </c>
      <c r="AO44" s="349">
        <v>0</v>
      </c>
      <c r="AP44" s="474">
        <v>0</v>
      </c>
      <c r="AQ44" s="480">
        <v>0</v>
      </c>
      <c r="AR44" s="481">
        <v>0</v>
      </c>
      <c r="AS44" s="482">
        <v>0</v>
      </c>
      <c r="AT44" s="115">
        <v>236.84295987328187</v>
      </c>
      <c r="AU44" s="413">
        <v>63.899737579999993</v>
      </c>
      <c r="AV44" s="414">
        <v>0</v>
      </c>
      <c r="AW44" s="359" t="s">
        <v>153</v>
      </c>
      <c r="AX44" s="360" t="s">
        <v>153</v>
      </c>
      <c r="AY44" s="361" t="s">
        <v>153</v>
      </c>
      <c r="AZ44" s="362" t="s">
        <v>153</v>
      </c>
      <c r="BA44" s="363" t="s">
        <v>153</v>
      </c>
      <c r="BB44" s="364" t="s">
        <v>153</v>
      </c>
      <c r="BC44" s="365">
        <v>0.78752688553667605</v>
      </c>
      <c r="BD44" s="483">
        <v>0.21247311446332406</v>
      </c>
      <c r="BE44" s="484" t="s">
        <v>153</v>
      </c>
      <c r="BF44" s="61">
        <v>0</v>
      </c>
      <c r="BH44" s="61"/>
    </row>
    <row r="45" spans="1:60" x14ac:dyDescent="0.25">
      <c r="AB45" s="61"/>
      <c r="AC45" s="61"/>
      <c r="AD45" s="61"/>
      <c r="AE45" s="61"/>
      <c r="AF45" s="61"/>
    </row>
    <row r="46" spans="1:60" x14ac:dyDescent="0.25">
      <c r="A46" s="1" t="s">
        <v>1470</v>
      </c>
      <c r="B46" s="512">
        <v>0</v>
      </c>
      <c r="C46" s="512">
        <v>-0.72621441977626588</v>
      </c>
      <c r="D46" s="512">
        <v>0</v>
      </c>
      <c r="E46" s="512">
        <v>-0.72621441977626588</v>
      </c>
      <c r="F46" s="512">
        <v>0</v>
      </c>
      <c r="G46" s="512">
        <v>0</v>
      </c>
      <c r="H46" s="512">
        <v>0.3306</v>
      </c>
      <c r="I46" s="512">
        <v>0</v>
      </c>
      <c r="J46" s="512">
        <v>0</v>
      </c>
      <c r="K46" s="512">
        <v>0</v>
      </c>
      <c r="L46" s="512">
        <v>0</v>
      </c>
      <c r="M46" s="512">
        <v>0</v>
      </c>
      <c r="N46" s="512">
        <v>0</v>
      </c>
      <c r="O46" s="512">
        <v>0</v>
      </c>
      <c r="P46" s="512">
        <v>0</v>
      </c>
      <c r="Q46" s="512">
        <v>0</v>
      </c>
      <c r="R46" s="512">
        <v>0</v>
      </c>
      <c r="S46" s="512">
        <v>54242.500474799999</v>
      </c>
      <c r="T46" s="512">
        <v>1147.3975575748227</v>
      </c>
      <c r="U46" s="512">
        <v>29308.225214400001</v>
      </c>
      <c r="V46" s="512">
        <v>17581.519438874817</v>
      </c>
      <c r="W46" s="512">
        <v>24934.275260399998</v>
      </c>
      <c r="X46" s="512">
        <v>-16434.121881300001</v>
      </c>
      <c r="Y46" s="512">
        <v>0</v>
      </c>
      <c r="Z46" s="512">
        <v>0</v>
      </c>
      <c r="AA46" s="512">
        <v>0</v>
      </c>
      <c r="AB46" s="512">
        <v>0</v>
      </c>
      <c r="AC46" s="512">
        <v>0</v>
      </c>
      <c r="AD46" s="512">
        <v>0</v>
      </c>
      <c r="AE46" s="512">
        <v>0</v>
      </c>
      <c r="AF46" s="512">
        <v>0</v>
      </c>
      <c r="AG46" s="512">
        <v>0</v>
      </c>
      <c r="AH46" s="512">
        <v>0</v>
      </c>
      <c r="AI46" s="512">
        <v>0</v>
      </c>
      <c r="AJ46" s="512">
        <v>0</v>
      </c>
      <c r="AK46" s="512">
        <v>0</v>
      </c>
      <c r="AL46" s="512">
        <v>0</v>
      </c>
      <c r="AM46" s="512">
        <v>0</v>
      </c>
      <c r="AN46" s="512">
        <v>0</v>
      </c>
      <c r="AO46" s="512">
        <v>0</v>
      </c>
      <c r="AP46" s="512">
        <v>0</v>
      </c>
      <c r="AQ46" s="512">
        <v>0</v>
      </c>
      <c r="AR46" s="512">
        <v>0</v>
      </c>
      <c r="AS46" s="512">
        <v>0</v>
      </c>
      <c r="AT46" s="512">
        <v>0</v>
      </c>
      <c r="AU46" s="512">
        <v>0</v>
      </c>
    </row>
    <row r="47" spans="1:60" x14ac:dyDescent="0.25">
      <c r="A47" s="65" t="s">
        <v>184</v>
      </c>
      <c r="F47" s="485">
        <v>9.3599999999999989E-2</v>
      </c>
    </row>
    <row r="48" spans="1:60" ht="18" customHeight="1" x14ac:dyDescent="0.25">
      <c r="A48" s="52" t="s">
        <v>248</v>
      </c>
      <c r="B48" s="61"/>
      <c r="AG48" s="3768" t="s">
        <v>1321</v>
      </c>
      <c r="AH48" s="3768"/>
      <c r="AI48" s="3769"/>
      <c r="AJ48" s="370" t="s">
        <v>121</v>
      </c>
    </row>
    <row r="49" spans="1:39" ht="14.4" customHeight="1" x14ac:dyDescent="0.25">
      <c r="A49" s="52" t="s">
        <v>114</v>
      </c>
      <c r="B49" s="61"/>
      <c r="C49" s="61"/>
      <c r="F49" s="485"/>
      <c r="AC49" s="486" t="s">
        <v>284</v>
      </c>
      <c r="AD49" s="52">
        <v>9.36</v>
      </c>
      <c r="AG49" s="487" t="s">
        <v>285</v>
      </c>
      <c r="AH49" s="488">
        <v>128518.37735068546</v>
      </c>
      <c r="AI49" s="488"/>
      <c r="AJ49" s="489">
        <v>100</v>
      </c>
      <c r="AL49" s="61"/>
    </row>
    <row r="50" spans="1:39" ht="18" customHeight="1" x14ac:dyDescent="0.25">
      <c r="A50" s="52" t="s">
        <v>151</v>
      </c>
      <c r="AC50" s="486" t="s">
        <v>286</v>
      </c>
      <c r="AD50" s="490">
        <v>0.78589420654911846</v>
      </c>
      <c r="AG50" s="491" t="s">
        <v>191</v>
      </c>
      <c r="AH50" s="492">
        <v>119978.988</v>
      </c>
      <c r="AI50" s="493"/>
      <c r="AJ50" s="494">
        <v>0.93355511074198982</v>
      </c>
    </row>
    <row r="51" spans="1:39" x14ac:dyDescent="0.25">
      <c r="AC51" s="486" t="s">
        <v>128</v>
      </c>
      <c r="AD51" s="52">
        <v>11.679999999999998</v>
      </c>
      <c r="AG51" s="495" t="s">
        <v>263</v>
      </c>
      <c r="AH51" s="496">
        <v>64826.864000000001</v>
      </c>
      <c r="AI51" s="497"/>
      <c r="AJ51" s="498"/>
    </row>
    <row r="52" spans="1:39" ht="39.6" x14ac:dyDescent="0.25">
      <c r="AC52" s="486" t="s">
        <v>129</v>
      </c>
      <c r="AD52" s="52">
        <v>3.48</v>
      </c>
      <c r="AG52" s="499" t="s">
        <v>287</v>
      </c>
      <c r="AH52" s="500">
        <v>55152.123999999996</v>
      </c>
      <c r="AJ52" s="498"/>
    </row>
    <row r="53" spans="1:39" ht="26.4" x14ac:dyDescent="0.25">
      <c r="AC53" s="486" t="s">
        <v>29</v>
      </c>
      <c r="AD53" s="52">
        <v>1.45</v>
      </c>
      <c r="AG53" s="501" t="s">
        <v>288</v>
      </c>
      <c r="AH53" s="502">
        <v>8539.3893506854656</v>
      </c>
      <c r="AI53" s="502"/>
      <c r="AJ53" s="503">
        <v>6.6444889258010231E-2</v>
      </c>
      <c r="AM53" s="504"/>
    </row>
    <row r="54" spans="1:39" x14ac:dyDescent="0.25">
      <c r="AC54" s="486" t="s">
        <v>65</v>
      </c>
      <c r="AD54" s="52">
        <v>0.254</v>
      </c>
    </row>
    <row r="55" spans="1:39" x14ac:dyDescent="0.25">
      <c r="AC55" s="40"/>
    </row>
    <row r="56" spans="1:39" ht="26.4" x14ac:dyDescent="0.25">
      <c r="AG56" s="505" t="s">
        <v>289</v>
      </c>
      <c r="AH56" s="506">
        <v>55152.123999999996</v>
      </c>
    </row>
    <row r="57" spans="1:39" x14ac:dyDescent="0.25">
      <c r="AG57" s="507" t="s">
        <v>290</v>
      </c>
      <c r="AH57" s="506">
        <v>29994.746999999999</v>
      </c>
      <c r="AI57" s="506"/>
      <c r="AJ57" s="508">
        <v>0.25</v>
      </c>
      <c r="AK57" s="52">
        <v>0.25</v>
      </c>
    </row>
    <row r="58" spans="1:39" x14ac:dyDescent="0.25">
      <c r="AA58" s="61">
        <v>2415.4137905696648</v>
      </c>
      <c r="AG58" s="507" t="s">
        <v>291</v>
      </c>
      <c r="AH58" s="506">
        <v>25157.376999999997</v>
      </c>
      <c r="AI58" s="506"/>
      <c r="AJ58" s="508">
        <v>0.2096815235681101</v>
      </c>
    </row>
    <row r="60" spans="1:39" x14ac:dyDescent="0.25">
      <c r="AG60" s="370" t="s">
        <v>263</v>
      </c>
      <c r="AH60" s="509">
        <v>64826.864000000001</v>
      </c>
      <c r="AI60" s="61"/>
    </row>
    <row r="61" spans="1:39" x14ac:dyDescent="0.25">
      <c r="AF61" s="498">
        <v>0.22613499974955956</v>
      </c>
      <c r="AG61" s="510" t="s">
        <v>138</v>
      </c>
      <c r="AH61" s="509">
        <v>13851.24</v>
      </c>
      <c r="AI61" s="61"/>
    </row>
    <row r="62" spans="1:39" x14ac:dyDescent="0.25">
      <c r="AF62" s="498">
        <v>0.77386500025044047</v>
      </c>
      <c r="AG62" s="510" t="s">
        <v>292</v>
      </c>
      <c r="AH62" s="509">
        <v>47400.843999999997</v>
      </c>
      <c r="AI62" s="61"/>
    </row>
    <row r="63" spans="1:39" x14ac:dyDescent="0.25">
      <c r="AF63" s="498"/>
      <c r="AG63" s="370" t="s">
        <v>122</v>
      </c>
      <c r="AH63" s="509">
        <v>3574.78</v>
      </c>
      <c r="AI63" s="511"/>
    </row>
    <row r="68" spans="33:33" x14ac:dyDescent="0.25">
      <c r="AG68" s="61"/>
    </row>
    <row r="69" spans="33:33" x14ac:dyDescent="0.25">
      <c r="AG69" s="61"/>
    </row>
  </sheetData>
  <autoFilter ref="A4:AL54" xr:uid="{00000000-0009-0000-0000-000007000000}"/>
  <mergeCells count="6">
    <mergeCell ref="AW3:BE3"/>
    <mergeCell ref="AG48:AI48"/>
    <mergeCell ref="M3:R3"/>
    <mergeCell ref="AC3:AG3"/>
    <mergeCell ref="AH3:AJ3"/>
    <mergeCell ref="AN3:AV3"/>
  </mergeCells>
  <pageMargins left="0.7" right="0.7" top="0.75" bottom="0.75" header="0.51180555555555496" footer="0.51180555555555496"/>
  <pageSetup paperSize="9" orientation="portrait" horizontalDpi="300" verticalDpi="30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CB79"/>
  <sheetViews>
    <sheetView workbookViewId="0"/>
  </sheetViews>
  <sheetFormatPr baseColWidth="10" defaultColWidth="10.6640625" defaultRowHeight="13.2" x14ac:dyDescent="0.25"/>
  <cols>
    <col min="1" max="1" width="31.109375" style="52" customWidth="1"/>
    <col min="2" max="2" width="26.5546875" style="52" customWidth="1"/>
    <col min="3" max="5" width="11.88671875" style="52" customWidth="1"/>
    <col min="6" max="6" width="14.109375" style="52" customWidth="1"/>
    <col min="7" max="7" width="17" style="52" customWidth="1"/>
    <col min="8" max="8" width="21.109375" style="52" customWidth="1"/>
    <col min="9" max="9" width="13.109375" style="52" customWidth="1"/>
    <col min="10" max="10" width="13.5546875" style="52" customWidth="1"/>
    <col min="11" max="11" width="11.88671875" style="52" customWidth="1"/>
    <col min="12" max="12" width="15" style="52" customWidth="1"/>
    <col min="13" max="15" width="11.88671875" style="52" customWidth="1"/>
    <col min="16" max="16" width="20.88671875" style="52" customWidth="1"/>
    <col min="17" max="18" width="11.88671875" style="52" customWidth="1"/>
    <col min="19" max="19" width="19.5546875" style="52" customWidth="1"/>
    <col min="20" max="20" width="19.88671875" style="52" customWidth="1"/>
    <col min="21" max="21" width="13.88671875" style="52" customWidth="1"/>
    <col min="22" max="24" width="11.88671875" style="52" customWidth="1"/>
    <col min="25" max="25" width="14.44140625" style="52" customWidth="1"/>
    <col min="26" max="26" width="14.88671875" style="52" customWidth="1"/>
    <col min="27" max="36" width="11.88671875" style="52" customWidth="1"/>
    <col min="37" max="39" width="10.6640625" style="52"/>
    <col min="40" max="41" width="12.109375" style="52" customWidth="1"/>
    <col min="42" max="42" width="10.6640625" style="52"/>
    <col min="43" max="44" width="12.5546875" style="52" customWidth="1"/>
    <col min="45" max="45" width="12" style="52" customWidth="1"/>
    <col min="46" max="48" width="10.6640625" style="52"/>
    <col min="49" max="50" width="12" style="52" customWidth="1"/>
    <col min="51" max="52" width="10.6640625" style="52"/>
    <col min="53" max="53" width="15.109375" style="52" customWidth="1"/>
    <col min="54" max="16384" width="10.6640625" style="52"/>
  </cols>
  <sheetData>
    <row r="1" spans="1:80" ht="40.200000000000003" thickBot="1" x14ac:dyDescent="0.3">
      <c r="A1" s="51" t="s">
        <v>189</v>
      </c>
      <c r="C1" s="5" t="s">
        <v>1317</v>
      </c>
      <c r="D1" s="53">
        <v>1139209</v>
      </c>
      <c r="F1" s="2380" t="s">
        <v>11</v>
      </c>
      <c r="G1" s="2381">
        <v>285975.16902331554</v>
      </c>
      <c r="H1" s="2380" t="s">
        <v>99</v>
      </c>
      <c r="I1" s="2382">
        <v>52730.050189853529</v>
      </c>
      <c r="J1" s="2383" t="s">
        <v>190</v>
      </c>
      <c r="K1" s="2384">
        <v>338705.21921316907</v>
      </c>
      <c r="M1" s="61"/>
      <c r="N1" s="57" t="s">
        <v>191</v>
      </c>
      <c r="O1" s="58">
        <v>178354</v>
      </c>
      <c r="P1" s="57" t="s">
        <v>192</v>
      </c>
      <c r="Q1" s="58">
        <v>177265</v>
      </c>
      <c r="R1" s="59" t="s">
        <v>124</v>
      </c>
      <c r="S1" s="58">
        <v>34155.300000000017</v>
      </c>
      <c r="W1" s="2487"/>
      <c r="AC1" s="2627">
        <v>0.25134160753539636</v>
      </c>
    </row>
    <row r="2" spans="1:80" ht="13.8" thickBot="1" x14ac:dyDescent="0.3">
      <c r="A2" s="63" t="s">
        <v>182</v>
      </c>
      <c r="B2" s="61"/>
      <c r="F2" s="268"/>
      <c r="G2" s="2385">
        <v>0.84431875507455023</v>
      </c>
      <c r="H2" s="217"/>
      <c r="I2" s="2385">
        <v>0.15568124492544977</v>
      </c>
      <c r="J2" s="269"/>
      <c r="K2" s="269"/>
      <c r="L2" s="61">
        <v>0</v>
      </c>
    </row>
    <row r="3" spans="1:80" ht="16.5" customHeight="1" thickBot="1" x14ac:dyDescent="0.35">
      <c r="A3" s="52">
        <v>2020</v>
      </c>
      <c r="B3" s="61"/>
      <c r="M3" s="3734" t="s">
        <v>193</v>
      </c>
      <c r="N3" s="3735"/>
      <c r="O3" s="3735"/>
      <c r="P3" s="3735"/>
      <c r="Q3" s="3735"/>
      <c r="R3" s="3736"/>
      <c r="S3" s="3762" t="s">
        <v>194</v>
      </c>
      <c r="T3" s="3763"/>
      <c r="U3" s="3763"/>
      <c r="V3" s="3763"/>
      <c r="W3" s="3763"/>
      <c r="X3" s="3763"/>
      <c r="Y3" s="3763"/>
      <c r="Z3" s="3763"/>
      <c r="AA3" s="3763"/>
      <c r="AB3" s="3764"/>
      <c r="AC3" s="3765" t="s">
        <v>134</v>
      </c>
      <c r="AD3" s="3766"/>
      <c r="AE3" s="3767"/>
      <c r="AF3" s="3765" t="s">
        <v>133</v>
      </c>
      <c r="AG3" s="3766"/>
      <c r="AH3" s="3767"/>
      <c r="AI3" s="2363" t="s">
        <v>162</v>
      </c>
      <c r="AJ3" s="3762" t="s">
        <v>195</v>
      </c>
      <c r="AK3" s="3763"/>
      <c r="AL3" s="3763"/>
      <c r="AM3" s="3763"/>
      <c r="AN3" s="3763"/>
      <c r="AO3" s="3763"/>
      <c r="AP3" s="3763"/>
      <c r="AQ3" s="3763"/>
      <c r="AR3" s="3764"/>
      <c r="AS3" s="3734" t="s">
        <v>196</v>
      </c>
      <c r="AT3" s="3735"/>
      <c r="AU3" s="3735"/>
      <c r="AV3" s="3735"/>
      <c r="AW3" s="3735"/>
      <c r="AX3" s="3735"/>
      <c r="AY3" s="3735"/>
      <c r="AZ3" s="3735"/>
      <c r="BA3" s="3736"/>
    </row>
    <row r="4" spans="1:80" ht="53.4" thickBot="1" x14ac:dyDescent="0.3">
      <c r="A4" s="8" t="s">
        <v>198</v>
      </c>
      <c r="B4" s="270" t="s">
        <v>9</v>
      </c>
      <c r="C4" s="271" t="s">
        <v>199</v>
      </c>
      <c r="D4" s="271" t="s">
        <v>158</v>
      </c>
      <c r="E4" s="272" t="s">
        <v>200</v>
      </c>
      <c r="F4" s="273" t="s">
        <v>201</v>
      </c>
      <c r="G4" s="274" t="s">
        <v>11</v>
      </c>
      <c r="H4" s="274" t="s">
        <v>202</v>
      </c>
      <c r="I4" s="274" t="s">
        <v>99</v>
      </c>
      <c r="J4" s="274" t="s">
        <v>203</v>
      </c>
      <c r="K4" s="275" t="s">
        <v>204</v>
      </c>
      <c r="L4" s="276" t="s">
        <v>205</v>
      </c>
      <c r="M4" s="277" t="s">
        <v>206</v>
      </c>
      <c r="N4" s="278" t="s">
        <v>207</v>
      </c>
      <c r="O4" s="76" t="s">
        <v>140</v>
      </c>
      <c r="P4" s="76" t="s">
        <v>134</v>
      </c>
      <c r="Q4" s="76" t="s">
        <v>133</v>
      </c>
      <c r="R4" s="76" t="s">
        <v>124</v>
      </c>
      <c r="S4" s="280" t="s">
        <v>249</v>
      </c>
      <c r="T4" s="280" t="s">
        <v>250</v>
      </c>
      <c r="U4" s="280" t="s">
        <v>122</v>
      </c>
      <c r="V4" s="280" t="s">
        <v>251</v>
      </c>
      <c r="W4" s="280" t="s">
        <v>252</v>
      </c>
      <c r="X4" s="280" t="s">
        <v>253</v>
      </c>
      <c r="Y4" s="280" t="s">
        <v>254</v>
      </c>
      <c r="Z4" s="280" t="s">
        <v>255</v>
      </c>
      <c r="AA4" s="280" t="s">
        <v>179</v>
      </c>
      <c r="AB4" s="281" t="s">
        <v>124</v>
      </c>
      <c r="AC4" s="78" t="s">
        <v>218</v>
      </c>
      <c r="AD4" s="282" t="s">
        <v>256</v>
      </c>
      <c r="AE4" s="79" t="s">
        <v>257</v>
      </c>
      <c r="AF4" s="283" t="s">
        <v>209</v>
      </c>
      <c r="AG4" s="284" t="s">
        <v>258</v>
      </c>
      <c r="AH4" s="285" t="s">
        <v>219</v>
      </c>
      <c r="AI4" s="286" t="s">
        <v>124</v>
      </c>
      <c r="AJ4" s="287" t="s">
        <v>220</v>
      </c>
      <c r="AK4" s="89" t="s">
        <v>221</v>
      </c>
      <c r="AL4" s="90" t="s">
        <v>222</v>
      </c>
      <c r="AM4" s="83" t="s">
        <v>223</v>
      </c>
      <c r="AN4" s="84" t="s">
        <v>224</v>
      </c>
      <c r="AO4" s="85" t="s">
        <v>225</v>
      </c>
      <c r="AP4" s="86" t="s">
        <v>226</v>
      </c>
      <c r="AQ4" s="288" t="s">
        <v>227</v>
      </c>
      <c r="AR4" s="289" t="s">
        <v>259</v>
      </c>
      <c r="AS4" s="290" t="s">
        <v>228</v>
      </c>
      <c r="AT4" s="291" t="s">
        <v>229</v>
      </c>
      <c r="AU4" s="292" t="s">
        <v>230</v>
      </c>
      <c r="AV4" s="293" t="s">
        <v>231</v>
      </c>
      <c r="AW4" s="294" t="s">
        <v>232</v>
      </c>
      <c r="AX4" s="295" t="s">
        <v>233</v>
      </c>
      <c r="AY4" s="296" t="s">
        <v>234</v>
      </c>
      <c r="AZ4" s="297" t="s">
        <v>235</v>
      </c>
      <c r="BA4" s="298" t="s">
        <v>260</v>
      </c>
      <c r="BB4" s="52" t="s">
        <v>197</v>
      </c>
    </row>
    <row r="5" spans="1:80" ht="14.4" x14ac:dyDescent="0.3">
      <c r="A5" s="8" t="s">
        <v>113</v>
      </c>
      <c r="B5" s="92">
        <v>208831.58708416315</v>
      </c>
      <c r="C5" s="93">
        <v>0.38326692666729095</v>
      </c>
      <c r="D5" s="137">
        <v>215485.59108416311</v>
      </c>
      <c r="E5" s="299">
        <v>0.39547896651586062</v>
      </c>
      <c r="F5" s="144">
        <v>0.99092294229811251</v>
      </c>
      <c r="G5" s="126">
        <v>283379.35591278388</v>
      </c>
      <c r="H5" s="139">
        <v>0.99870000000000003</v>
      </c>
      <c r="I5" s="126">
        <v>52661.501124606715</v>
      </c>
      <c r="J5" s="300"/>
      <c r="K5" s="127">
        <v>336040.85703739064</v>
      </c>
      <c r="L5" s="301">
        <v>544872.4441215538</v>
      </c>
      <c r="M5" s="128">
        <v>4462.934149129911</v>
      </c>
      <c r="N5" s="302">
        <v>168503.57115551838</v>
      </c>
      <c r="O5" s="110">
        <v>13297.267304666057</v>
      </c>
      <c r="P5" s="303">
        <v>11492.766653470573</v>
      </c>
      <c r="Q5" s="303">
        <v>10918.033130242167</v>
      </c>
      <c r="R5" s="129">
        <v>157.01469113600047</v>
      </c>
      <c r="S5" s="304">
        <v>1080.4335822277462</v>
      </c>
      <c r="T5" s="104">
        <v>131343.81755151649</v>
      </c>
      <c r="U5" s="305">
        <v>6670.9599999999991</v>
      </c>
      <c r="V5" s="104">
        <v>49799.471175432831</v>
      </c>
      <c r="W5" s="104">
        <v>6059.6961481075687</v>
      </c>
      <c r="X5" s="104">
        <v>11573.331246598691</v>
      </c>
      <c r="Y5" s="104">
        <v>44414.118728388894</v>
      </c>
      <c r="Z5" s="104">
        <v>6153.0713062820632</v>
      </c>
      <c r="AA5" s="104">
        <v>13344.128946706456</v>
      </c>
      <c r="AB5" s="306">
        <v>37855.799999999996</v>
      </c>
      <c r="AC5" s="133">
        <v>136949.11600725175</v>
      </c>
      <c r="AD5" s="115">
        <v>11492.766653470573</v>
      </c>
      <c r="AE5" s="134">
        <v>64744.648383884385</v>
      </c>
      <c r="AF5" s="307">
        <v>77517.202297874275</v>
      </c>
      <c r="AG5" s="308">
        <v>7079.1484346871412</v>
      </c>
      <c r="AH5" s="136">
        <v>15061.581461707445</v>
      </c>
      <c r="AI5" s="309">
        <v>38012.814691135995</v>
      </c>
      <c r="AJ5" s="92">
        <v>4462.934149129911</v>
      </c>
      <c r="AK5" s="110">
        <v>175174.53115551837</v>
      </c>
      <c r="AL5" s="111">
        <v>13297.267304666057</v>
      </c>
      <c r="AM5" s="112">
        <v>192934.73260931432</v>
      </c>
      <c r="AN5" s="113">
        <v>213186.5310446067</v>
      </c>
      <c r="AO5" s="114">
        <v>406121.26365392102</v>
      </c>
      <c r="AP5" s="115">
        <v>99657.932194268869</v>
      </c>
      <c r="AQ5" s="116">
        <v>38012.814691135995</v>
      </c>
      <c r="AR5" s="310">
        <v>1080.4335822277462</v>
      </c>
      <c r="AS5" s="311">
        <v>8.1907870314951916E-3</v>
      </c>
      <c r="AT5" s="118">
        <v>0.32149640350767905</v>
      </c>
      <c r="AU5" s="119">
        <v>2.4404367385662127E-2</v>
      </c>
      <c r="AV5" s="120">
        <v>0.35409155792483632</v>
      </c>
      <c r="AW5" s="121">
        <v>0.39125952017688681</v>
      </c>
      <c r="AX5" s="122">
        <v>0.74535107810172319</v>
      </c>
      <c r="AY5" s="123">
        <v>0.18290139879424056</v>
      </c>
      <c r="AZ5" s="312">
        <v>6.9764612068831E-2</v>
      </c>
      <c r="BA5" s="313">
        <v>1.9829110352049956E-3</v>
      </c>
      <c r="BB5" s="314">
        <v>0</v>
      </c>
    </row>
    <row r="6" spans="1:80" ht="14.4" x14ac:dyDescent="0.3">
      <c r="A6" s="8" t="s">
        <v>236</v>
      </c>
      <c r="B6" s="92">
        <v>286357.55958416313</v>
      </c>
      <c r="C6" s="93">
        <v>0.4581260783678987</v>
      </c>
      <c r="D6" s="137">
        <v>293011.56358416309</v>
      </c>
      <c r="E6" s="299">
        <v>0.46877141548556028</v>
      </c>
      <c r="F6" s="144">
        <v>1</v>
      </c>
      <c r="G6" s="126">
        <v>285975.16902331554</v>
      </c>
      <c r="H6" s="139">
        <v>1</v>
      </c>
      <c r="I6" s="126">
        <v>52730.050189853522</v>
      </c>
      <c r="J6" s="300"/>
      <c r="K6" s="127">
        <v>338705.21921316913</v>
      </c>
      <c r="L6" s="301">
        <v>625062.7787973322</v>
      </c>
      <c r="M6" s="128">
        <v>4462.934149129911</v>
      </c>
      <c r="N6" s="302">
        <v>242153.24503051839</v>
      </c>
      <c r="O6" s="110">
        <v>13297.267304666057</v>
      </c>
      <c r="P6" s="303">
        <v>11492.766653470573</v>
      </c>
      <c r="Q6" s="303">
        <v>14794.331755242167</v>
      </c>
      <c r="R6" s="129">
        <v>157.01469113600047</v>
      </c>
      <c r="S6" s="315">
        <v>1088.9999999999998</v>
      </c>
      <c r="T6" s="316">
        <v>132738.23999999999</v>
      </c>
      <c r="U6" s="316">
        <v>6670.9599999999991</v>
      </c>
      <c r="V6" s="316">
        <v>49799.471175432831</v>
      </c>
      <c r="W6" s="316">
        <v>6059.6961481075687</v>
      </c>
      <c r="X6" s="132">
        <v>11573.331246598691</v>
      </c>
      <c r="Y6" s="132">
        <v>44414.118728388894</v>
      </c>
      <c r="Z6" s="132">
        <v>6601.717577968484</v>
      </c>
      <c r="AA6" s="316">
        <v>14289.905123503539</v>
      </c>
      <c r="AB6" s="317">
        <v>37855.799999999996</v>
      </c>
      <c r="AC6" s="133">
        <v>138091.07077848192</v>
      </c>
      <c r="AD6" s="115">
        <v>11492.766653470573</v>
      </c>
      <c r="AE6" s="134">
        <v>65193.294655570804</v>
      </c>
      <c r="AF6" s="307">
        <v>82339.277099671352</v>
      </c>
      <c r="AG6" s="308">
        <v>7079.1484346871412</v>
      </c>
      <c r="AH6" s="136">
        <v>15180.999999999991</v>
      </c>
      <c r="AI6" s="309">
        <v>38012.814691135995</v>
      </c>
      <c r="AJ6" s="92">
        <v>4462.934149129911</v>
      </c>
      <c r="AK6" s="110">
        <v>248824.20503051838</v>
      </c>
      <c r="AL6" s="111">
        <v>13297.267304666057</v>
      </c>
      <c r="AM6" s="112">
        <v>266584.40648431436</v>
      </c>
      <c r="AN6" s="113">
        <v>214777.13208752329</v>
      </c>
      <c r="AO6" s="114">
        <v>481361.53857183765</v>
      </c>
      <c r="AP6" s="115">
        <v>104599.42553435848</v>
      </c>
      <c r="AQ6" s="116">
        <v>38012.814691135995</v>
      </c>
      <c r="AR6" s="310">
        <v>1088.9999999999998</v>
      </c>
      <c r="AS6" s="311">
        <v>7.1399774558916019E-3</v>
      </c>
      <c r="AT6" s="118">
        <v>0.39807874260130299</v>
      </c>
      <c r="AU6" s="119">
        <v>2.127349084879282E-2</v>
      </c>
      <c r="AV6" s="120">
        <v>0.42649221090598738</v>
      </c>
      <c r="AW6" s="121">
        <v>0.34360889717472964</v>
      </c>
      <c r="AX6" s="122">
        <v>0.77010110808071708</v>
      </c>
      <c r="AY6" s="123">
        <v>0.16734227198044913</v>
      </c>
      <c r="AZ6" s="312">
        <v>6.081439493849803E-2</v>
      </c>
      <c r="BA6" s="313">
        <v>1.7422250003356747E-3</v>
      </c>
      <c r="BB6" s="314">
        <v>0</v>
      </c>
      <c r="BD6" s="2628" t="s">
        <v>198</v>
      </c>
      <c r="BE6" s="2628" t="s">
        <v>395</v>
      </c>
      <c r="BF6" s="2628" t="s">
        <v>156</v>
      </c>
      <c r="BG6" s="2628" t="s">
        <v>220</v>
      </c>
      <c r="BH6" s="2628" t="s">
        <v>221</v>
      </c>
      <c r="BI6" s="2628" t="s">
        <v>222</v>
      </c>
      <c r="BJ6" s="2628" t="s">
        <v>223</v>
      </c>
      <c r="BK6" s="2628" t="s">
        <v>224</v>
      </c>
      <c r="BL6" s="2628" t="s">
        <v>225</v>
      </c>
      <c r="BM6" s="2628" t="s">
        <v>226</v>
      </c>
      <c r="BN6" s="2628" t="s">
        <v>227</v>
      </c>
      <c r="BO6" s="2628" t="s">
        <v>259</v>
      </c>
      <c r="BP6" s="1"/>
      <c r="BQ6" s="2628" t="s">
        <v>198</v>
      </c>
      <c r="BR6" s="2628" t="s">
        <v>395</v>
      </c>
      <c r="BS6" s="2628" t="s">
        <v>156</v>
      </c>
      <c r="BT6" s="2628" t="s">
        <v>228</v>
      </c>
      <c r="BU6" s="2628" t="s">
        <v>229</v>
      </c>
      <c r="BV6" s="2628" t="s">
        <v>230</v>
      </c>
      <c r="BW6" s="2628" t="s">
        <v>231</v>
      </c>
      <c r="BX6" s="2628" t="s">
        <v>232</v>
      </c>
      <c r="BY6" s="2628" t="s">
        <v>233</v>
      </c>
      <c r="BZ6" s="2628" t="s">
        <v>234</v>
      </c>
      <c r="CA6" s="2628" t="s">
        <v>235</v>
      </c>
      <c r="CB6" s="2628" t="s">
        <v>260</v>
      </c>
    </row>
    <row r="7" spans="1:80" ht="14.4" x14ac:dyDescent="0.3">
      <c r="A7" s="8" t="s">
        <v>14</v>
      </c>
      <c r="B7" s="92">
        <v>22132.911988758948</v>
      </c>
      <c r="C7" s="93">
        <v>0.34282690885675665</v>
      </c>
      <c r="D7" s="137">
        <v>27401.251988758948</v>
      </c>
      <c r="E7" s="299">
        <v>0.42443066338863739</v>
      </c>
      <c r="F7" s="144">
        <v>0.12307997910557213</v>
      </c>
      <c r="G7" s="126">
        <v>35197.817828102132</v>
      </c>
      <c r="H7" s="139">
        <v>0.1371</v>
      </c>
      <c r="I7" s="126">
        <v>7229.2898810289189</v>
      </c>
      <c r="J7" s="300"/>
      <c r="K7" s="127">
        <v>42427.107709131051</v>
      </c>
      <c r="L7" s="301">
        <v>64560.019697889998</v>
      </c>
      <c r="M7" s="128">
        <v>0</v>
      </c>
      <c r="N7" s="302">
        <v>16769.713938914538</v>
      </c>
      <c r="O7" s="110">
        <v>0</v>
      </c>
      <c r="P7" s="303">
        <v>221.25034192213423</v>
      </c>
      <c r="Q7" s="303">
        <v>5141.9477079222761</v>
      </c>
      <c r="R7" s="129">
        <v>0</v>
      </c>
      <c r="S7" s="318">
        <v>136.41100778599196</v>
      </c>
      <c r="T7" s="132">
        <v>16936.340711830911</v>
      </c>
      <c r="U7" s="319">
        <v>5268.3399999999992</v>
      </c>
      <c r="V7" s="132"/>
      <c r="W7" s="132"/>
      <c r="X7" s="132">
        <v>3574.9962562804521</v>
      </c>
      <c r="Y7" s="132">
        <v>13361.344455550457</v>
      </c>
      <c r="Z7" s="132"/>
      <c r="AA7" s="132"/>
      <c r="AB7" s="320"/>
      <c r="AC7" s="133">
        <v>18184.403951682059</v>
      </c>
      <c r="AD7" s="115">
        <v>221.25034192213423</v>
      </c>
      <c r="AE7" s="134">
        <v>3574.9962562804521</v>
      </c>
      <c r="AF7" s="307">
        <v>18503.292163472732</v>
      </c>
      <c r="AG7" s="321"/>
      <c r="AH7" s="136">
        <v>1901.6120378320879</v>
      </c>
      <c r="AI7" s="309">
        <v>0</v>
      </c>
      <c r="AJ7" s="92">
        <v>0</v>
      </c>
      <c r="AK7" s="110">
        <v>22038.053938914538</v>
      </c>
      <c r="AL7" s="111">
        <v>0</v>
      </c>
      <c r="AM7" s="112">
        <v>22038.053938914538</v>
      </c>
      <c r="AN7" s="113">
        <v>21980.650549884649</v>
      </c>
      <c r="AO7" s="114">
        <v>44018.704488799187</v>
      </c>
      <c r="AP7" s="115">
        <v>20404.90420130482</v>
      </c>
      <c r="AQ7" s="116">
        <v>0</v>
      </c>
      <c r="AR7" s="310">
        <v>136.41100778599196</v>
      </c>
      <c r="AS7" s="311" t="s">
        <v>153</v>
      </c>
      <c r="AT7" s="118">
        <v>0.34135760865690695</v>
      </c>
      <c r="AU7" s="119" t="s">
        <v>153</v>
      </c>
      <c r="AV7" s="120">
        <v>0.34135760865690695</v>
      </c>
      <c r="AW7" s="121">
        <v>0.34046846101880973</v>
      </c>
      <c r="AX7" s="122">
        <v>0.68182606967571668</v>
      </c>
      <c r="AY7" s="123">
        <v>0.31606099714327857</v>
      </c>
      <c r="AZ7" s="312" t="s">
        <v>153</v>
      </c>
      <c r="BA7" s="313">
        <v>2.1129331810047489E-3</v>
      </c>
      <c r="BB7" s="314">
        <v>0</v>
      </c>
      <c r="BD7" s="2629" t="s">
        <v>14</v>
      </c>
      <c r="BE7" s="2630">
        <v>64560.019697889998</v>
      </c>
      <c r="BF7" s="2631">
        <v>0.34282690885675665</v>
      </c>
      <c r="BG7" s="2630">
        <v>0</v>
      </c>
      <c r="BH7" s="2630">
        <v>22038.053938914538</v>
      </c>
      <c r="BI7" s="2630">
        <v>0</v>
      </c>
      <c r="BJ7" s="2630">
        <v>22038.053938914538</v>
      </c>
      <c r="BK7" s="2630">
        <v>21980.650549884649</v>
      </c>
      <c r="BL7" s="2630">
        <v>44018.704488799187</v>
      </c>
      <c r="BM7" s="2630">
        <v>20404.90420130482</v>
      </c>
      <c r="BN7" s="2630">
        <v>0</v>
      </c>
      <c r="BO7" s="2630">
        <v>136.41100778599196</v>
      </c>
      <c r="BP7" s="1"/>
      <c r="BQ7" s="2629" t="s">
        <v>14</v>
      </c>
      <c r="BR7" s="2630">
        <v>64560.019697889998</v>
      </c>
      <c r="BS7" s="2634">
        <v>0.34282690885675665</v>
      </c>
      <c r="BT7" s="2634" t="s">
        <v>153</v>
      </c>
      <c r="BU7" s="2634">
        <v>0.34135760865690695</v>
      </c>
      <c r="BV7" s="2634" t="s">
        <v>153</v>
      </c>
      <c r="BW7" s="2634">
        <v>0.34135760865690695</v>
      </c>
      <c r="BX7" s="2634">
        <v>0.34046846101880973</v>
      </c>
      <c r="BY7" s="2634">
        <v>0.68182606967571668</v>
      </c>
      <c r="BZ7" s="2634">
        <v>0.31606099714327857</v>
      </c>
      <c r="CA7" s="2634" t="s">
        <v>153</v>
      </c>
      <c r="CB7" s="2634">
        <v>2.1129331810047489E-3</v>
      </c>
    </row>
    <row r="8" spans="1:80" ht="14.4" x14ac:dyDescent="0.3">
      <c r="A8" s="8" t="s">
        <v>32</v>
      </c>
      <c r="B8" s="92">
        <v>25716.018000000004</v>
      </c>
      <c r="C8" s="93">
        <v>0.6527235019986477</v>
      </c>
      <c r="D8" s="137">
        <v>25716.018000000004</v>
      </c>
      <c r="E8" s="299">
        <v>0.6527235019986477</v>
      </c>
      <c r="F8" s="144">
        <v>3.357180593756811E-2</v>
      </c>
      <c r="G8" s="126">
        <v>9600.702877413989</v>
      </c>
      <c r="H8" s="139">
        <v>7.7399999999999997E-2</v>
      </c>
      <c r="I8" s="126">
        <v>4081.3058846946628</v>
      </c>
      <c r="J8" s="300"/>
      <c r="K8" s="127">
        <v>13682.008762108651</v>
      </c>
      <c r="L8" s="301">
        <v>39398.026762108653</v>
      </c>
      <c r="M8" s="128">
        <v>0</v>
      </c>
      <c r="N8" s="302">
        <v>24916.249840200002</v>
      </c>
      <c r="O8" s="110">
        <v>0</v>
      </c>
      <c r="P8" s="303">
        <v>0</v>
      </c>
      <c r="Q8" s="303">
        <v>709.76209680000011</v>
      </c>
      <c r="R8" s="129">
        <v>90.006063000000452</v>
      </c>
      <c r="S8" s="318">
        <v>43.99019175597342</v>
      </c>
      <c r="T8" s="132">
        <v>7160.6256580556737</v>
      </c>
      <c r="U8" s="319"/>
      <c r="V8" s="132"/>
      <c r="W8" s="132"/>
      <c r="X8" s="132"/>
      <c r="Y8" s="132"/>
      <c r="Z8" s="132">
        <v>2303.8843127652131</v>
      </c>
      <c r="AA8" s="132">
        <v>4856.7413452904611</v>
      </c>
      <c r="AB8" s="320"/>
      <c r="AC8" s="133">
        <v>0</v>
      </c>
      <c r="AD8" s="115">
        <v>0</v>
      </c>
      <c r="AE8" s="134">
        <v>0</v>
      </c>
      <c r="AF8" s="322">
        <v>7870.3877548556738</v>
      </c>
      <c r="AG8" s="321">
        <v>5864.1559049072584</v>
      </c>
      <c r="AH8" s="136">
        <v>613.23700738974526</v>
      </c>
      <c r="AI8" s="309">
        <v>90.006063000000452</v>
      </c>
      <c r="AJ8" s="92">
        <v>0</v>
      </c>
      <c r="AK8" s="110">
        <v>24916.249840200002</v>
      </c>
      <c r="AL8" s="111">
        <v>0</v>
      </c>
      <c r="AM8" s="112">
        <v>24916.249840200002</v>
      </c>
      <c r="AN8" s="113">
        <v>0</v>
      </c>
      <c r="AO8" s="114">
        <v>24916.249840200002</v>
      </c>
      <c r="AP8" s="115">
        <v>14347.780667152678</v>
      </c>
      <c r="AQ8" s="116">
        <v>90.006063000000452</v>
      </c>
      <c r="AR8" s="310">
        <v>43.99019175597342</v>
      </c>
      <c r="AS8" s="311" t="s">
        <v>153</v>
      </c>
      <c r="AT8" s="118">
        <v>0.63242380108648977</v>
      </c>
      <c r="AU8" s="119" t="s">
        <v>153</v>
      </c>
      <c r="AV8" s="120">
        <v>0.63242380108648977</v>
      </c>
      <c r="AW8" s="121" t="s">
        <v>153</v>
      </c>
      <c r="AX8" s="122">
        <v>0.63242380108648977</v>
      </c>
      <c r="AY8" s="123">
        <v>0.36417510840801204</v>
      </c>
      <c r="AZ8" s="312">
        <v>2.2845322569952781E-3</v>
      </c>
      <c r="BA8" s="313">
        <v>1.1165582485029761E-3</v>
      </c>
      <c r="BB8" s="314">
        <v>0</v>
      </c>
      <c r="BD8" s="2629" t="s">
        <v>32</v>
      </c>
      <c r="BE8" s="2630">
        <v>39398.026762108653</v>
      </c>
      <c r="BF8" s="2631">
        <v>0.6527235019986477</v>
      </c>
      <c r="BG8" s="2630">
        <v>0</v>
      </c>
      <c r="BH8" s="2630">
        <v>24916.249840200002</v>
      </c>
      <c r="BI8" s="2630">
        <v>0</v>
      </c>
      <c r="BJ8" s="2630">
        <v>24916.249840200002</v>
      </c>
      <c r="BK8" s="2630">
        <v>0</v>
      </c>
      <c r="BL8" s="2630">
        <v>24916.249840200002</v>
      </c>
      <c r="BM8" s="2630">
        <v>14347.780667152678</v>
      </c>
      <c r="BN8" s="2630">
        <v>90.006063000000452</v>
      </c>
      <c r="BO8" s="2630">
        <v>43.99019175597342</v>
      </c>
      <c r="BP8" s="1"/>
      <c r="BQ8" s="2629" t="s">
        <v>32</v>
      </c>
      <c r="BR8" s="2630">
        <v>39398.026762108653</v>
      </c>
      <c r="BS8" s="2634">
        <v>0.6527235019986477</v>
      </c>
      <c r="BT8" s="2634" t="s">
        <v>153</v>
      </c>
      <c r="BU8" s="2634">
        <v>0.63242380108648977</v>
      </c>
      <c r="BV8" s="2634" t="s">
        <v>153</v>
      </c>
      <c r="BW8" s="2634">
        <v>0.63242380108648977</v>
      </c>
      <c r="BX8" s="2634" t="s">
        <v>153</v>
      </c>
      <c r="BY8" s="2634">
        <v>0.63242380108648977</v>
      </c>
      <c r="BZ8" s="2634">
        <v>0.36417510840801204</v>
      </c>
      <c r="CA8" s="2634">
        <v>2.2845322569952781E-3</v>
      </c>
      <c r="CB8" s="2634">
        <v>1.1165582485029761E-3</v>
      </c>
    </row>
    <row r="9" spans="1:80" ht="14.4" x14ac:dyDescent="0.3">
      <c r="A9" s="8" t="s">
        <v>47</v>
      </c>
      <c r="B9" s="92">
        <v>175.42699999999999</v>
      </c>
      <c r="C9" s="93">
        <v>0.3645150841003939</v>
      </c>
      <c r="D9" s="137">
        <v>175.42699999999999</v>
      </c>
      <c r="E9" s="299">
        <v>0.3645150841003939</v>
      </c>
      <c r="F9" s="144">
        <v>0</v>
      </c>
      <c r="G9" s="126">
        <v>0</v>
      </c>
      <c r="H9" s="139">
        <v>5.7999999999999996E-3</v>
      </c>
      <c r="I9" s="126">
        <v>305.83429110115043</v>
      </c>
      <c r="J9" s="300"/>
      <c r="K9" s="127">
        <v>305.83429110115043</v>
      </c>
      <c r="L9" s="301">
        <v>481.26129110115039</v>
      </c>
      <c r="M9" s="128">
        <v>0</v>
      </c>
      <c r="N9" s="302">
        <v>166.65564999999998</v>
      </c>
      <c r="O9" s="110">
        <v>0</v>
      </c>
      <c r="P9" s="303">
        <v>0</v>
      </c>
      <c r="Q9" s="303">
        <v>8.77135</v>
      </c>
      <c r="R9" s="129">
        <v>0</v>
      </c>
      <c r="S9" s="318">
        <v>0.98331387919812563</v>
      </c>
      <c r="T9" s="132">
        <v>160.0616481139171</v>
      </c>
      <c r="U9" s="132"/>
      <c r="V9" s="323"/>
      <c r="W9" s="323"/>
      <c r="X9" s="323"/>
      <c r="Y9" s="323"/>
      <c r="Z9" s="132">
        <v>51.498784851312806</v>
      </c>
      <c r="AA9" s="132">
        <v>108.5628632626043</v>
      </c>
      <c r="AB9" s="324"/>
      <c r="AC9" s="133">
        <v>131.08162662859829</v>
      </c>
      <c r="AD9" s="115">
        <v>0</v>
      </c>
      <c r="AE9" s="134">
        <v>51.498784851312806</v>
      </c>
      <c r="AF9" s="307">
        <v>117.33421326260429</v>
      </c>
      <c r="AG9" s="321"/>
      <c r="AH9" s="136">
        <v>13.707702479436866</v>
      </c>
      <c r="AI9" s="309">
        <v>0</v>
      </c>
      <c r="AJ9" s="92">
        <v>0</v>
      </c>
      <c r="AK9" s="110">
        <v>166.65564999999998</v>
      </c>
      <c r="AL9" s="111">
        <v>0</v>
      </c>
      <c r="AM9" s="112">
        <v>166.65564999999998</v>
      </c>
      <c r="AN9" s="113">
        <v>182.58041147991111</v>
      </c>
      <c r="AO9" s="114">
        <v>349.23606147991109</v>
      </c>
      <c r="AP9" s="115">
        <v>131.04191574204117</v>
      </c>
      <c r="AQ9" s="116">
        <v>0</v>
      </c>
      <c r="AR9" s="310">
        <v>0.98331387919812563</v>
      </c>
      <c r="AS9" s="311" t="s">
        <v>153</v>
      </c>
      <c r="AT9" s="118">
        <v>0.3462893298953742</v>
      </c>
      <c r="AU9" s="119" t="s">
        <v>153</v>
      </c>
      <c r="AV9" s="120">
        <v>0.3462893298953742</v>
      </c>
      <c r="AW9" s="121">
        <v>0.37937896701012003</v>
      </c>
      <c r="AX9" s="122">
        <v>0.72566829690549417</v>
      </c>
      <c r="AY9" s="123">
        <v>0.27228850141304856</v>
      </c>
      <c r="AZ9" s="312" t="s">
        <v>153</v>
      </c>
      <c r="BA9" s="313">
        <v>2.0432016814571838E-3</v>
      </c>
      <c r="BB9" s="314">
        <v>0</v>
      </c>
      <c r="BD9" s="2629" t="s">
        <v>47</v>
      </c>
      <c r="BE9" s="2630">
        <v>481.26129110115039</v>
      </c>
      <c r="BF9" s="2631">
        <v>0.3645150841003939</v>
      </c>
      <c r="BG9" s="2630">
        <v>0</v>
      </c>
      <c r="BH9" s="2630">
        <v>166.65564999999998</v>
      </c>
      <c r="BI9" s="2630">
        <v>0</v>
      </c>
      <c r="BJ9" s="2630">
        <v>166.65564999999998</v>
      </c>
      <c r="BK9" s="2630">
        <v>182.58041147991111</v>
      </c>
      <c r="BL9" s="2630">
        <v>349.23606147991109</v>
      </c>
      <c r="BM9" s="2630">
        <v>131.04191574204117</v>
      </c>
      <c r="BN9" s="2630">
        <v>0</v>
      </c>
      <c r="BO9" s="2630">
        <v>0.98331387919812563</v>
      </c>
      <c r="BP9" s="1"/>
      <c r="BQ9" s="2629" t="s">
        <v>47</v>
      </c>
      <c r="BR9" s="2630">
        <v>481.26129110115039</v>
      </c>
      <c r="BS9" s="2634">
        <v>0.3645150841003939</v>
      </c>
      <c r="BT9" s="2634" t="s">
        <v>153</v>
      </c>
      <c r="BU9" s="2634">
        <v>0.3462893298953742</v>
      </c>
      <c r="BV9" s="2634" t="s">
        <v>153</v>
      </c>
      <c r="BW9" s="2634">
        <v>0.3462893298953742</v>
      </c>
      <c r="BX9" s="2634">
        <v>0.37937896701012003</v>
      </c>
      <c r="BY9" s="2634">
        <v>0.72566829690549417</v>
      </c>
      <c r="BZ9" s="2634">
        <v>0.27228850141304856</v>
      </c>
      <c r="CA9" s="2634" t="s">
        <v>153</v>
      </c>
      <c r="CB9" s="2634">
        <v>2.0432016814571838E-3</v>
      </c>
    </row>
    <row r="10" spans="1:80" ht="14.4" x14ac:dyDescent="0.3">
      <c r="A10" s="8" t="s">
        <v>1</v>
      </c>
      <c r="B10" s="92">
        <v>8539.0786966502255</v>
      </c>
      <c r="C10" s="93">
        <v>1</v>
      </c>
      <c r="D10" s="137">
        <v>8539.0786966502255</v>
      </c>
      <c r="E10" s="299">
        <v>1</v>
      </c>
      <c r="F10" s="144">
        <v>0</v>
      </c>
      <c r="G10" s="126">
        <v>0</v>
      </c>
      <c r="H10" s="139">
        <v>0</v>
      </c>
      <c r="I10" s="126">
        <v>0</v>
      </c>
      <c r="J10" s="300"/>
      <c r="K10" s="127">
        <v>0</v>
      </c>
      <c r="L10" s="301">
        <v>8539.0786966502255</v>
      </c>
      <c r="M10" s="128">
        <v>85.390786966502262</v>
      </c>
      <c r="N10" s="302">
        <v>8310.2313875799991</v>
      </c>
      <c r="O10" s="110">
        <v>0</v>
      </c>
      <c r="P10" s="303">
        <v>77.705616139517062</v>
      </c>
      <c r="Q10" s="303">
        <v>65.750905964206737</v>
      </c>
      <c r="R10" s="129">
        <v>0</v>
      </c>
      <c r="S10" s="318">
        <v>0</v>
      </c>
      <c r="T10" s="132">
        <v>0</v>
      </c>
      <c r="U10" s="132"/>
      <c r="V10" s="323"/>
      <c r="W10" s="323"/>
      <c r="X10" s="323"/>
      <c r="Y10" s="323"/>
      <c r="Z10" s="132">
        <v>0</v>
      </c>
      <c r="AA10" s="132">
        <v>0</v>
      </c>
      <c r="AB10" s="324"/>
      <c r="AC10" s="133">
        <v>0</v>
      </c>
      <c r="AD10" s="115">
        <v>77.705616139517062</v>
      </c>
      <c r="AE10" s="134">
        <v>0</v>
      </c>
      <c r="AF10" s="307">
        <v>65.750905964206737</v>
      </c>
      <c r="AG10" s="321"/>
      <c r="AH10" s="136">
        <v>0</v>
      </c>
      <c r="AI10" s="309">
        <v>0</v>
      </c>
      <c r="AJ10" s="92">
        <v>85.390786966502262</v>
      </c>
      <c r="AK10" s="110">
        <v>8310.2313875799991</v>
      </c>
      <c r="AL10" s="111">
        <v>0</v>
      </c>
      <c r="AM10" s="112">
        <v>8395.6221745465009</v>
      </c>
      <c r="AN10" s="113">
        <v>77.705616139517062</v>
      </c>
      <c r="AO10" s="114">
        <v>8473.3277906860185</v>
      </c>
      <c r="AP10" s="115">
        <v>65.750905964206737</v>
      </c>
      <c r="AQ10" s="116">
        <v>0</v>
      </c>
      <c r="AR10" s="310">
        <v>0</v>
      </c>
      <c r="AS10" s="311">
        <v>0.01</v>
      </c>
      <c r="AT10" s="118">
        <v>0.97319999999999995</v>
      </c>
      <c r="AU10" s="119" t="s">
        <v>153</v>
      </c>
      <c r="AV10" s="120">
        <v>0.98319999999999985</v>
      </c>
      <c r="AW10" s="121">
        <v>9.1000000000000004E-3</v>
      </c>
      <c r="AX10" s="122">
        <v>0.99229999999999996</v>
      </c>
      <c r="AY10" s="123">
        <v>7.7000000000000002E-3</v>
      </c>
      <c r="AZ10" s="312" t="s">
        <v>153</v>
      </c>
      <c r="BA10" s="313" t="s">
        <v>153</v>
      </c>
      <c r="BB10" s="314">
        <v>0</v>
      </c>
      <c r="BD10" s="2629" t="s">
        <v>1</v>
      </c>
      <c r="BE10" s="2630">
        <v>8539.0786966502255</v>
      </c>
      <c r="BF10" s="2631">
        <v>1</v>
      </c>
      <c r="BG10" s="2630">
        <v>85.390786966502262</v>
      </c>
      <c r="BH10" s="2630">
        <v>8310.2313875799991</v>
      </c>
      <c r="BI10" s="2630">
        <v>0</v>
      </c>
      <c r="BJ10" s="2630">
        <v>8395.6221745465009</v>
      </c>
      <c r="BK10" s="2630">
        <v>77.705616139517062</v>
      </c>
      <c r="BL10" s="2630">
        <v>8473.3277906860185</v>
      </c>
      <c r="BM10" s="2630">
        <v>65.750905964206737</v>
      </c>
      <c r="BN10" s="2630">
        <v>0</v>
      </c>
      <c r="BO10" s="2630">
        <v>0</v>
      </c>
      <c r="BP10" s="1"/>
      <c r="BQ10" s="2629" t="s">
        <v>1</v>
      </c>
      <c r="BR10" s="2630">
        <v>8539.0786966502255</v>
      </c>
      <c r="BS10" s="2634">
        <v>1</v>
      </c>
      <c r="BT10" s="2634">
        <v>0.01</v>
      </c>
      <c r="BU10" s="2634">
        <v>0.97319999999999995</v>
      </c>
      <c r="BV10" s="2634" t="s">
        <v>153</v>
      </c>
      <c r="BW10" s="2634">
        <v>0.98319999999999985</v>
      </c>
      <c r="BX10" s="2634">
        <v>9.1000000000000004E-3</v>
      </c>
      <c r="BY10" s="2634">
        <v>0.99229999999999996</v>
      </c>
      <c r="BZ10" s="2634">
        <v>7.7000000000000002E-3</v>
      </c>
      <c r="CA10" s="2634" t="s">
        <v>153</v>
      </c>
      <c r="CB10" s="2634" t="s">
        <v>153</v>
      </c>
    </row>
    <row r="11" spans="1:80" ht="14.4" x14ac:dyDescent="0.3">
      <c r="A11" s="8" t="s">
        <v>5</v>
      </c>
      <c r="B11" s="92">
        <v>13737.157999999999</v>
      </c>
      <c r="C11" s="93">
        <v>9.5605400177613528E-2</v>
      </c>
      <c r="D11" s="137">
        <v>13737.157999999999</v>
      </c>
      <c r="E11" s="299">
        <v>9.5605400177613528E-2</v>
      </c>
      <c r="F11" s="144">
        <v>0.39344776928843073</v>
      </c>
      <c r="G11" s="126">
        <v>112516.29232410544</v>
      </c>
      <c r="H11" s="139">
        <v>0.3306</v>
      </c>
      <c r="I11" s="126">
        <v>17432.554592765577</v>
      </c>
      <c r="J11" s="139"/>
      <c r="K11" s="127">
        <v>129948.84691687101</v>
      </c>
      <c r="L11" s="301">
        <v>143686.00491687102</v>
      </c>
      <c r="M11" s="128">
        <v>0</v>
      </c>
      <c r="N11" s="302">
        <v>0</v>
      </c>
      <c r="O11" s="110">
        <v>13297.267304666057</v>
      </c>
      <c r="P11" s="303">
        <v>0</v>
      </c>
      <c r="Q11" s="303">
        <v>439.89069533394331</v>
      </c>
      <c r="R11" s="129">
        <v>0</v>
      </c>
      <c r="S11" s="318">
        <v>417.80960630372937</v>
      </c>
      <c r="T11" s="132">
        <v>30154.319248329281</v>
      </c>
      <c r="U11" s="132"/>
      <c r="V11" s="132">
        <v>26959.476578785077</v>
      </c>
      <c r="W11" s="132">
        <v>3194.8426695442013</v>
      </c>
      <c r="X11" s="323"/>
      <c r="Y11" s="323"/>
      <c r="Z11" s="323"/>
      <c r="AA11" s="132"/>
      <c r="AB11" s="324">
        <v>37855.799999999996</v>
      </c>
      <c r="AC11" s="133">
        <v>55696.521704756895</v>
      </c>
      <c r="AD11" s="115">
        <v>0</v>
      </c>
      <c r="AE11" s="134">
        <v>26959.476578785077</v>
      </c>
      <c r="AF11" s="307">
        <v>3634.7333648781446</v>
      </c>
      <c r="AG11" s="321"/>
      <c r="AH11" s="136">
        <v>5824.3963574810987</v>
      </c>
      <c r="AI11" s="309">
        <v>37855.799999999996</v>
      </c>
      <c r="AJ11" s="92">
        <v>0</v>
      </c>
      <c r="AK11" s="110">
        <v>0</v>
      </c>
      <c r="AL11" s="111">
        <v>13297.267304666057</v>
      </c>
      <c r="AM11" s="112">
        <v>13297.267304666057</v>
      </c>
      <c r="AN11" s="113">
        <v>82655.998283541965</v>
      </c>
      <c r="AO11" s="114">
        <v>95953.265588208014</v>
      </c>
      <c r="AP11" s="115">
        <v>9459.1297223592428</v>
      </c>
      <c r="AQ11" s="116">
        <v>37855.799999999996</v>
      </c>
      <c r="AR11" s="310">
        <v>417.80960630372937</v>
      </c>
      <c r="AS11" s="311" t="s">
        <v>153</v>
      </c>
      <c r="AT11" s="118" t="s">
        <v>153</v>
      </c>
      <c r="AU11" s="119">
        <v>9.2543928076775042E-2</v>
      </c>
      <c r="AV11" s="120">
        <v>9.2543928076775042E-2</v>
      </c>
      <c r="AW11" s="121">
        <v>0.575254342490504</v>
      </c>
      <c r="AX11" s="122">
        <v>0.66779827056727903</v>
      </c>
      <c r="AY11" s="123">
        <v>6.5831948823629582E-2</v>
      </c>
      <c r="AZ11" s="312">
        <v>0.26346198449808189</v>
      </c>
      <c r="BA11" s="313">
        <v>2.9077961110092212E-3</v>
      </c>
      <c r="BB11" s="314">
        <v>0</v>
      </c>
      <c r="BD11" s="2629" t="s">
        <v>5</v>
      </c>
      <c r="BE11" s="2630">
        <v>143686.00491687102</v>
      </c>
      <c r="BF11" s="2631">
        <v>9.5605400177613528E-2</v>
      </c>
      <c r="BG11" s="2630">
        <v>0</v>
      </c>
      <c r="BH11" s="2630">
        <v>0</v>
      </c>
      <c r="BI11" s="2630">
        <v>13297.267304666057</v>
      </c>
      <c r="BJ11" s="2630">
        <v>13297.267304666057</v>
      </c>
      <c r="BK11" s="2630">
        <v>82655.998283541965</v>
      </c>
      <c r="BL11" s="2630">
        <v>95953.265588208014</v>
      </c>
      <c r="BM11" s="2630">
        <v>9459.1297223592428</v>
      </c>
      <c r="BN11" s="2630">
        <v>37855.799999999996</v>
      </c>
      <c r="BO11" s="2630">
        <v>417.80960630372937</v>
      </c>
      <c r="BP11" s="1"/>
      <c r="BQ11" s="2629" t="s">
        <v>5</v>
      </c>
      <c r="BR11" s="2630">
        <v>143686.00491687102</v>
      </c>
      <c r="BS11" s="2634">
        <v>9.5605400177613528E-2</v>
      </c>
      <c r="BT11" s="2634" t="s">
        <v>153</v>
      </c>
      <c r="BU11" s="2634" t="s">
        <v>153</v>
      </c>
      <c r="BV11" s="2634">
        <v>9.2543928076775042E-2</v>
      </c>
      <c r="BW11" s="2634">
        <v>9.2543928076775042E-2</v>
      </c>
      <c r="BX11" s="2634">
        <v>0.575254342490504</v>
      </c>
      <c r="BY11" s="2634">
        <v>0.66779827056727903</v>
      </c>
      <c r="BZ11" s="2634">
        <v>6.5831948823629582E-2</v>
      </c>
      <c r="CA11" s="2634">
        <v>0.26346198449808189</v>
      </c>
      <c r="CB11" s="2634">
        <v>2.9077961110092212E-3</v>
      </c>
    </row>
    <row r="12" spans="1:80" ht="14.4" x14ac:dyDescent="0.3">
      <c r="A12" s="8" t="s">
        <v>28</v>
      </c>
      <c r="B12" s="92">
        <v>84412.017499999987</v>
      </c>
      <c r="C12" s="93">
        <v>0.69541124083849781</v>
      </c>
      <c r="D12" s="137">
        <v>85814.637499999983</v>
      </c>
      <c r="E12" s="299">
        <v>0.70696644048320356</v>
      </c>
      <c r="F12" s="144">
        <v>8.1233790531938063E-2</v>
      </c>
      <c r="G12" s="126">
        <v>23230.846977775596</v>
      </c>
      <c r="H12" s="139">
        <v>0.2606</v>
      </c>
      <c r="I12" s="126">
        <v>13741.45107947583</v>
      </c>
      <c r="J12" s="300"/>
      <c r="K12" s="127">
        <v>36972.298057251428</v>
      </c>
      <c r="L12" s="301">
        <v>121384.31555725142</v>
      </c>
      <c r="M12" s="128">
        <v>0</v>
      </c>
      <c r="N12" s="302">
        <v>80191.416624999983</v>
      </c>
      <c r="O12" s="110">
        <v>0</v>
      </c>
      <c r="P12" s="303">
        <v>0</v>
      </c>
      <c r="Q12" s="303">
        <v>4220.6008749999992</v>
      </c>
      <c r="R12" s="129">
        <v>0</v>
      </c>
      <c r="S12" s="318">
        <v>118.87278465291909</v>
      </c>
      <c r="T12" s="132">
        <v>17947.227724058499</v>
      </c>
      <c r="U12" s="132">
        <v>1402.62</v>
      </c>
      <c r="V12" s="132">
        <v>16045.72338364711</v>
      </c>
      <c r="W12" s="132">
        <v>1901.5043404113867</v>
      </c>
      <c r="X12" s="323"/>
      <c r="Y12" s="323"/>
      <c r="Z12" s="323"/>
      <c r="AA12" s="132"/>
      <c r="AB12" s="320"/>
      <c r="AC12" s="133">
        <v>15846.453816844907</v>
      </c>
      <c r="AD12" s="115">
        <v>0</v>
      </c>
      <c r="AE12" s="134">
        <v>16045.72338364711</v>
      </c>
      <c r="AF12" s="307">
        <v>6122.1052154113859</v>
      </c>
      <c r="AG12" s="321"/>
      <c r="AH12" s="136">
        <v>1657.123731695101</v>
      </c>
      <c r="AI12" s="309">
        <v>0</v>
      </c>
      <c r="AJ12" s="92">
        <v>0</v>
      </c>
      <c r="AK12" s="110">
        <v>81594.036624999979</v>
      </c>
      <c r="AL12" s="111">
        <v>0</v>
      </c>
      <c r="AM12" s="112">
        <v>81594.036624999979</v>
      </c>
      <c r="AN12" s="113">
        <v>31892.177200492017</v>
      </c>
      <c r="AO12" s="114">
        <v>113486.213825492</v>
      </c>
      <c r="AP12" s="115">
        <v>7779.2289471064869</v>
      </c>
      <c r="AQ12" s="116">
        <v>0</v>
      </c>
      <c r="AR12" s="310">
        <v>118.87278465291909</v>
      </c>
      <c r="AS12" s="311" t="s">
        <v>153</v>
      </c>
      <c r="AT12" s="118">
        <v>0.67219587844127859</v>
      </c>
      <c r="AU12" s="119" t="s">
        <v>153</v>
      </c>
      <c r="AV12" s="120">
        <v>0.67219587844127859</v>
      </c>
      <c r="AW12" s="121">
        <v>0.26273721653478316</v>
      </c>
      <c r="AX12" s="122">
        <v>0.93493309497606181</v>
      </c>
      <c r="AY12" s="123">
        <v>6.4087595760569091E-2</v>
      </c>
      <c r="AZ12" s="312" t="s">
        <v>153</v>
      </c>
      <c r="BA12" s="313">
        <v>9.7930926336897489E-4</v>
      </c>
      <c r="BB12" s="314">
        <v>0</v>
      </c>
      <c r="BD12" s="2629" t="s">
        <v>28</v>
      </c>
      <c r="BE12" s="2630">
        <v>121384.31555725142</v>
      </c>
      <c r="BF12" s="2631">
        <v>0.69541124083849781</v>
      </c>
      <c r="BG12" s="2630">
        <v>0</v>
      </c>
      <c r="BH12" s="2630">
        <v>81594.036624999979</v>
      </c>
      <c r="BI12" s="2630">
        <v>0</v>
      </c>
      <c r="BJ12" s="2630">
        <v>81594.036624999979</v>
      </c>
      <c r="BK12" s="2630">
        <v>31892.177200492017</v>
      </c>
      <c r="BL12" s="2630">
        <v>113486.213825492</v>
      </c>
      <c r="BM12" s="2630">
        <v>7779.2289471064869</v>
      </c>
      <c r="BN12" s="2630">
        <v>0</v>
      </c>
      <c r="BO12" s="2630">
        <v>118.87278465291909</v>
      </c>
      <c r="BP12" s="1"/>
      <c r="BQ12" s="2629" t="s">
        <v>28</v>
      </c>
      <c r="BR12" s="2630">
        <v>121384.31555725142</v>
      </c>
      <c r="BS12" s="2634">
        <v>0.69541124083849781</v>
      </c>
      <c r="BT12" s="2634" t="s">
        <v>153</v>
      </c>
      <c r="BU12" s="2634">
        <v>0.67219587844127859</v>
      </c>
      <c r="BV12" s="2634" t="s">
        <v>153</v>
      </c>
      <c r="BW12" s="2634">
        <v>0.67219587844127859</v>
      </c>
      <c r="BX12" s="2634">
        <v>0.26273721653478316</v>
      </c>
      <c r="BY12" s="2634">
        <v>0.93493309497606181</v>
      </c>
      <c r="BZ12" s="2634">
        <v>6.4087595760569091E-2</v>
      </c>
      <c r="CA12" s="2634" t="s">
        <v>153</v>
      </c>
      <c r="CB12" s="2634">
        <v>9.7930926336897489E-4</v>
      </c>
    </row>
    <row r="13" spans="1:80" ht="14.4" x14ac:dyDescent="0.3">
      <c r="A13" s="325" t="s">
        <v>17</v>
      </c>
      <c r="B13" s="92">
        <v>688.12300000000005</v>
      </c>
      <c r="C13" s="93">
        <v>0.19532890345155599</v>
      </c>
      <c r="D13" s="137">
        <v>688.12300000000005</v>
      </c>
      <c r="E13" s="299">
        <v>0.19532890345155599</v>
      </c>
      <c r="F13" s="144">
        <v>7.5524957370805331E-3</v>
      </c>
      <c r="G13" s="126">
        <v>2159.8262449594754</v>
      </c>
      <c r="H13" s="139">
        <v>1.2800000000000001E-2</v>
      </c>
      <c r="I13" s="126">
        <v>674.94464243012521</v>
      </c>
      <c r="J13" s="300"/>
      <c r="K13" s="127">
        <v>2834.7708873896008</v>
      </c>
      <c r="L13" s="301">
        <v>3522.8938873896009</v>
      </c>
      <c r="M13" s="128">
        <v>0</v>
      </c>
      <c r="N13" s="302">
        <v>653.71685000000002</v>
      </c>
      <c r="O13" s="110">
        <v>0</v>
      </c>
      <c r="P13" s="303">
        <v>0</v>
      </c>
      <c r="Q13" s="303">
        <v>34.406150000000004</v>
      </c>
      <c r="R13" s="129">
        <v>0</v>
      </c>
      <c r="S13" s="318">
        <v>9.114313335763466</v>
      </c>
      <c r="T13" s="132">
        <v>1483.607670765942</v>
      </c>
      <c r="U13" s="132"/>
      <c r="V13" s="132"/>
      <c r="W13" s="132"/>
      <c r="X13" s="132"/>
      <c r="Y13" s="132"/>
      <c r="Z13" s="132">
        <v>477.34103166397023</v>
      </c>
      <c r="AA13" s="132">
        <v>1006.2666391019718</v>
      </c>
      <c r="AB13" s="324"/>
      <c r="AC13" s="133">
        <v>0</v>
      </c>
      <c r="AD13" s="115">
        <v>0</v>
      </c>
      <c r="AE13" s="134">
        <v>0</v>
      </c>
      <c r="AF13" s="322">
        <v>1518.013820765942</v>
      </c>
      <c r="AG13" s="321">
        <v>1214.9925297798829</v>
      </c>
      <c r="AH13" s="136">
        <v>127.05637350801211</v>
      </c>
      <c r="AI13" s="309">
        <v>0</v>
      </c>
      <c r="AJ13" s="92">
        <v>0</v>
      </c>
      <c r="AK13" s="110">
        <v>653.71685000000002</v>
      </c>
      <c r="AL13" s="111">
        <v>0</v>
      </c>
      <c r="AM13" s="112">
        <v>653.71685000000002</v>
      </c>
      <c r="AN13" s="113">
        <v>0</v>
      </c>
      <c r="AO13" s="114">
        <v>653.71685000000002</v>
      </c>
      <c r="AP13" s="115">
        <v>2860.062724053837</v>
      </c>
      <c r="AQ13" s="116">
        <v>0</v>
      </c>
      <c r="AR13" s="310">
        <v>9.114313335763466</v>
      </c>
      <c r="AS13" s="311" t="s">
        <v>153</v>
      </c>
      <c r="AT13" s="118">
        <v>0.18556245827897816</v>
      </c>
      <c r="AU13" s="119" t="s">
        <v>153</v>
      </c>
      <c r="AV13" s="120">
        <v>0.18556245827897816</v>
      </c>
      <c r="AW13" s="121" t="s">
        <v>153</v>
      </c>
      <c r="AX13" s="122">
        <v>0.18556245827897816</v>
      </c>
      <c r="AY13" s="123">
        <v>0.81185037513948244</v>
      </c>
      <c r="AZ13" s="312" t="s">
        <v>153</v>
      </c>
      <c r="BA13" s="313">
        <v>2.5871665815393047E-3</v>
      </c>
      <c r="BB13" s="314">
        <v>0</v>
      </c>
      <c r="BD13" s="2629" t="s">
        <v>17</v>
      </c>
      <c r="BE13" s="2630">
        <v>3522.8938873896009</v>
      </c>
      <c r="BF13" s="2631">
        <v>0.19532890345155599</v>
      </c>
      <c r="BG13" s="2630">
        <v>0</v>
      </c>
      <c r="BH13" s="2630">
        <v>653.71685000000002</v>
      </c>
      <c r="BI13" s="2630">
        <v>0</v>
      </c>
      <c r="BJ13" s="2630">
        <v>653.71685000000002</v>
      </c>
      <c r="BK13" s="2630">
        <v>0</v>
      </c>
      <c r="BL13" s="2630">
        <v>653.71685000000002</v>
      </c>
      <c r="BM13" s="2630">
        <v>2860.062724053837</v>
      </c>
      <c r="BN13" s="2630">
        <v>0</v>
      </c>
      <c r="BO13" s="2630">
        <v>9.114313335763466</v>
      </c>
      <c r="BP13" s="1"/>
      <c r="BQ13" s="2629" t="s">
        <v>17</v>
      </c>
      <c r="BR13" s="2630">
        <v>3522.8938873896009</v>
      </c>
      <c r="BS13" s="2634">
        <v>0.19532890345155599</v>
      </c>
      <c r="BT13" s="2634" t="s">
        <v>153</v>
      </c>
      <c r="BU13" s="2634">
        <v>0.18556245827897816</v>
      </c>
      <c r="BV13" s="2634" t="s">
        <v>153</v>
      </c>
      <c r="BW13" s="2634">
        <v>0.18556245827897816</v>
      </c>
      <c r="BX13" s="2634" t="s">
        <v>153</v>
      </c>
      <c r="BY13" s="2634">
        <v>0.18556245827897816</v>
      </c>
      <c r="BZ13" s="2634">
        <v>0.81185037513948244</v>
      </c>
      <c r="CA13" s="2634" t="s">
        <v>153</v>
      </c>
      <c r="CB13" s="2634">
        <v>2.5871665815393047E-3</v>
      </c>
    </row>
    <row r="14" spans="1:80" ht="14.4" x14ac:dyDescent="0.3">
      <c r="A14" s="325" t="s">
        <v>29</v>
      </c>
      <c r="B14" s="92">
        <v>33284.448000000004</v>
      </c>
      <c r="C14" s="93">
        <v>0.81632104186332133</v>
      </c>
      <c r="D14" s="137">
        <v>33284.448000000004</v>
      </c>
      <c r="E14" s="299">
        <v>0.81632104186332133</v>
      </c>
      <c r="F14" s="144">
        <v>2.4971596814255176E-2</v>
      </c>
      <c r="G14" s="126">
        <v>7141.2566197387114</v>
      </c>
      <c r="H14" s="139">
        <v>6.6E-3</v>
      </c>
      <c r="I14" s="126">
        <v>348.0183312530333</v>
      </c>
      <c r="J14" s="300"/>
      <c r="K14" s="127">
        <v>7489.2749509917448</v>
      </c>
      <c r="L14" s="301">
        <v>40773.722950991752</v>
      </c>
      <c r="M14" s="128">
        <v>1664.2224000000003</v>
      </c>
      <c r="N14" s="302">
        <v>31620.225600000002</v>
      </c>
      <c r="O14" s="110">
        <v>0</v>
      </c>
      <c r="P14" s="303">
        <v>0</v>
      </c>
      <c r="Q14" s="303">
        <v>0</v>
      </c>
      <c r="R14" s="129">
        <v>0</v>
      </c>
      <c r="S14" s="318">
        <v>24.079405804777473</v>
      </c>
      <c r="T14" s="132">
        <v>3919.592167111</v>
      </c>
      <c r="U14" s="132"/>
      <c r="V14" s="132"/>
      <c r="W14" s="132"/>
      <c r="X14" s="132">
        <v>827.3645152745147</v>
      </c>
      <c r="Y14" s="132">
        <v>3092.2276518364852</v>
      </c>
      <c r="Z14" s="132"/>
      <c r="AA14" s="132"/>
      <c r="AB14" s="324"/>
      <c r="AC14" s="133">
        <v>3209.9289432528935</v>
      </c>
      <c r="AD14" s="115">
        <v>0</v>
      </c>
      <c r="AE14" s="134">
        <v>827.3645152745147</v>
      </c>
      <c r="AF14" s="307">
        <v>3092.2276518364852</v>
      </c>
      <c r="AG14" s="321"/>
      <c r="AH14" s="136">
        <v>335.67443482307334</v>
      </c>
      <c r="AI14" s="309">
        <v>0</v>
      </c>
      <c r="AJ14" s="92">
        <v>1664.2224000000003</v>
      </c>
      <c r="AK14" s="110">
        <v>31620.225600000002</v>
      </c>
      <c r="AL14" s="111">
        <v>0</v>
      </c>
      <c r="AM14" s="112">
        <v>33284.448000000004</v>
      </c>
      <c r="AN14" s="113">
        <v>4037.2934585274083</v>
      </c>
      <c r="AO14" s="114">
        <v>37321.741458527409</v>
      </c>
      <c r="AP14" s="115">
        <v>3427.9020866595583</v>
      </c>
      <c r="AQ14" s="116">
        <v>0</v>
      </c>
      <c r="AR14" s="310">
        <v>24.079405804777473</v>
      </c>
      <c r="AS14" s="311">
        <v>4.0816052093166071E-2</v>
      </c>
      <c r="AT14" s="118">
        <v>0.77550498977015525</v>
      </c>
      <c r="AU14" s="119" t="s">
        <v>153</v>
      </c>
      <c r="AV14" s="120">
        <v>0.81632104186332133</v>
      </c>
      <c r="AW14" s="121">
        <v>9.901704250504817E-2</v>
      </c>
      <c r="AX14" s="122">
        <v>0.91533808436836939</v>
      </c>
      <c r="AY14" s="123">
        <v>8.4071353768203808E-2</v>
      </c>
      <c r="AZ14" s="312" t="s">
        <v>153</v>
      </c>
      <c r="BA14" s="313">
        <v>5.9056186342659647E-4</v>
      </c>
      <c r="BB14" s="314">
        <v>0</v>
      </c>
      <c r="BD14" s="2629" t="s">
        <v>29</v>
      </c>
      <c r="BE14" s="2630">
        <v>40773.722950991752</v>
      </c>
      <c r="BF14" s="2631">
        <v>0.81632104186332133</v>
      </c>
      <c r="BG14" s="2630">
        <v>1664.2224000000003</v>
      </c>
      <c r="BH14" s="2630">
        <v>31620.225600000002</v>
      </c>
      <c r="BI14" s="2630">
        <v>0</v>
      </c>
      <c r="BJ14" s="2630">
        <v>33284.448000000004</v>
      </c>
      <c r="BK14" s="2630">
        <v>4037.2934585274083</v>
      </c>
      <c r="BL14" s="2630">
        <v>37321.741458527409</v>
      </c>
      <c r="BM14" s="2630">
        <v>3427.9020866595583</v>
      </c>
      <c r="BN14" s="2630">
        <v>0</v>
      </c>
      <c r="BO14" s="2630">
        <v>24.079405804777473</v>
      </c>
      <c r="BP14" s="1"/>
      <c r="BQ14" s="2629" t="s">
        <v>29</v>
      </c>
      <c r="BR14" s="2630">
        <v>40773.722950991752</v>
      </c>
      <c r="BS14" s="2634">
        <v>0.81632104186332133</v>
      </c>
      <c r="BT14" s="2634">
        <v>4.0816052093166071E-2</v>
      </c>
      <c r="BU14" s="2634">
        <v>0.77550498977015525</v>
      </c>
      <c r="BV14" s="2634" t="s">
        <v>153</v>
      </c>
      <c r="BW14" s="2634">
        <v>0.81632104186332133</v>
      </c>
      <c r="BX14" s="2634">
        <v>9.901704250504817E-2</v>
      </c>
      <c r="BY14" s="2634">
        <v>0.91533808436836939</v>
      </c>
      <c r="BZ14" s="2634">
        <v>8.4071353768203808E-2</v>
      </c>
      <c r="CA14" s="2634" t="s">
        <v>153</v>
      </c>
      <c r="CB14" s="2634">
        <v>5.9056186342659647E-4</v>
      </c>
    </row>
    <row r="15" spans="1:80" ht="14.4" x14ac:dyDescent="0.3">
      <c r="A15" s="518" t="s">
        <v>308</v>
      </c>
      <c r="B15" s="92">
        <v>286.51679999999999</v>
      </c>
      <c r="C15" s="93">
        <v>0.72830656240414848</v>
      </c>
      <c r="D15" s="137">
        <v>286.51679999999999</v>
      </c>
      <c r="E15" s="299">
        <v>0.72830656240414848</v>
      </c>
      <c r="F15" s="144">
        <v>2.9999999999999997E-4</v>
      </c>
      <c r="G15" s="126">
        <v>85.79255070699466</v>
      </c>
      <c r="H15" s="139">
        <v>4.0000000000000002E-4</v>
      </c>
      <c r="I15" s="126">
        <v>21.092020075941413</v>
      </c>
      <c r="J15" s="300"/>
      <c r="K15" s="127">
        <v>106.88457078293607</v>
      </c>
      <c r="L15" s="301">
        <v>393.40137078293606</v>
      </c>
      <c r="M15" s="128">
        <v>0</v>
      </c>
      <c r="N15" s="302">
        <v>141.36738911999998</v>
      </c>
      <c r="O15" s="110">
        <v>0</v>
      </c>
      <c r="P15" s="303">
        <v>2.2921344000000001</v>
      </c>
      <c r="Q15" s="303">
        <v>142.85727648</v>
      </c>
      <c r="R15" s="129">
        <v>0</v>
      </c>
      <c r="S15" s="318">
        <v>0.34365368757238146</v>
      </c>
      <c r="T15" s="132">
        <v>55.939183588170977</v>
      </c>
      <c r="U15" s="132"/>
      <c r="V15" s="323"/>
      <c r="W15" s="323"/>
      <c r="X15" s="323"/>
      <c r="Y15" s="323"/>
      <c r="Z15" s="132">
        <v>17.998065209943469</v>
      </c>
      <c r="AA15" s="132">
        <v>37.941118378227507</v>
      </c>
      <c r="AB15" s="324"/>
      <c r="AC15" s="133">
        <v>45.811093809271377</v>
      </c>
      <c r="AD15" s="115">
        <v>2.2921344000000001</v>
      </c>
      <c r="AE15" s="134">
        <v>17.998065209943469</v>
      </c>
      <c r="AF15" s="307">
        <v>180.79839485822751</v>
      </c>
      <c r="AG15" s="321"/>
      <c r="AH15" s="136">
        <v>4.7906396979213248</v>
      </c>
      <c r="AI15" s="309">
        <v>0</v>
      </c>
      <c r="AJ15" s="92">
        <v>0</v>
      </c>
      <c r="AK15" s="110">
        <v>141.36738911999998</v>
      </c>
      <c r="AL15" s="111">
        <v>0</v>
      </c>
      <c r="AM15" s="112">
        <v>141.36738911999998</v>
      </c>
      <c r="AN15" s="113">
        <v>66.101293419214841</v>
      </c>
      <c r="AO15" s="114">
        <v>207.46868253921483</v>
      </c>
      <c r="AP15" s="115">
        <v>185.58903455614885</v>
      </c>
      <c r="AQ15" s="116">
        <v>0</v>
      </c>
      <c r="AR15" s="310">
        <v>0.34365368757238146</v>
      </c>
      <c r="AS15" s="311" t="s">
        <v>153</v>
      </c>
      <c r="AT15" s="118">
        <v>0.35934645789020686</v>
      </c>
      <c r="AU15" s="119" t="s">
        <v>153</v>
      </c>
      <c r="AV15" s="120">
        <v>0.35934645789020686</v>
      </c>
      <c r="AW15" s="121">
        <v>0.1680250714115763</v>
      </c>
      <c r="AX15" s="122">
        <v>0.52737152930178322</v>
      </c>
      <c r="AY15" s="123">
        <v>0.47175492598512025</v>
      </c>
      <c r="AZ15" s="312" t="s">
        <v>153</v>
      </c>
      <c r="BA15" s="313">
        <v>8.7354471309658078E-4</v>
      </c>
      <c r="BB15" s="314">
        <v>0</v>
      </c>
      <c r="BD15" s="2629" t="s">
        <v>308</v>
      </c>
      <c r="BE15" s="2630">
        <v>393.40137078293606</v>
      </c>
      <c r="BF15" s="2631">
        <v>0.72830656240414848</v>
      </c>
      <c r="BG15" s="2630">
        <v>0</v>
      </c>
      <c r="BH15" s="2630">
        <v>141.36738911999998</v>
      </c>
      <c r="BI15" s="2630">
        <v>0</v>
      </c>
      <c r="BJ15" s="2630">
        <v>141.36738911999998</v>
      </c>
      <c r="BK15" s="2630">
        <v>66.101293419214841</v>
      </c>
      <c r="BL15" s="2630">
        <v>207.46868253921483</v>
      </c>
      <c r="BM15" s="2630">
        <v>185.58903455614885</v>
      </c>
      <c r="BN15" s="2630">
        <v>0</v>
      </c>
      <c r="BO15" s="2630">
        <v>0.34365368757238146</v>
      </c>
      <c r="BP15" s="1"/>
      <c r="BQ15" s="2629" t="s">
        <v>308</v>
      </c>
      <c r="BR15" s="2630">
        <v>393.40137078293606</v>
      </c>
      <c r="BS15" s="2634">
        <v>0.72830656240414848</v>
      </c>
      <c r="BT15" s="2634" t="s">
        <v>153</v>
      </c>
      <c r="BU15" s="2634">
        <v>0.35934645789020686</v>
      </c>
      <c r="BV15" s="2634" t="s">
        <v>153</v>
      </c>
      <c r="BW15" s="2634">
        <v>0.35934645789020686</v>
      </c>
      <c r="BX15" s="2634">
        <v>0.1680250714115763</v>
      </c>
      <c r="BY15" s="2634">
        <v>0.52737152930178322</v>
      </c>
      <c r="BZ15" s="2634">
        <v>0.47175492598512025</v>
      </c>
      <c r="CA15" s="2634" t="s">
        <v>153</v>
      </c>
      <c r="CB15" s="2634">
        <v>8.7354471309658078E-4</v>
      </c>
    </row>
    <row r="16" spans="1:80" ht="14.4" x14ac:dyDescent="0.3">
      <c r="A16" s="2110" t="s">
        <v>60</v>
      </c>
      <c r="B16" s="92">
        <v>119.6032</v>
      </c>
      <c r="C16" s="93">
        <v>1</v>
      </c>
      <c r="D16" s="137">
        <v>119.6032</v>
      </c>
      <c r="E16" s="299"/>
      <c r="F16" s="144">
        <v>0</v>
      </c>
      <c r="G16" s="126">
        <v>0</v>
      </c>
      <c r="H16" s="2108"/>
      <c r="I16" s="126">
        <v>0</v>
      </c>
      <c r="J16" s="2111"/>
      <c r="K16" s="127">
        <v>0</v>
      </c>
      <c r="L16" s="301">
        <v>119.6032</v>
      </c>
      <c r="M16" s="128">
        <v>0</v>
      </c>
      <c r="N16" s="302">
        <v>59.012218879999999</v>
      </c>
      <c r="O16" s="110">
        <v>0</v>
      </c>
      <c r="P16" s="303">
        <v>0.95682560000000005</v>
      </c>
      <c r="Q16" s="303">
        <v>59.63415552</v>
      </c>
      <c r="R16" s="129">
        <v>0</v>
      </c>
      <c r="S16" s="318">
        <v>0</v>
      </c>
      <c r="T16" s="132">
        <v>0</v>
      </c>
      <c r="U16" s="2109"/>
      <c r="V16" s="2112"/>
      <c r="W16" s="2112"/>
      <c r="X16" s="2112"/>
      <c r="Y16" s="2112"/>
      <c r="Z16" s="132">
        <v>0</v>
      </c>
      <c r="AA16" s="132">
        <v>0</v>
      </c>
      <c r="AB16" s="324"/>
      <c r="AC16" s="133">
        <v>0</v>
      </c>
      <c r="AD16" s="115">
        <v>0.95682560000000005</v>
      </c>
      <c r="AE16" s="134">
        <v>0</v>
      </c>
      <c r="AF16" s="307">
        <v>59.63415552</v>
      </c>
      <c r="AG16" s="321"/>
      <c r="AH16" s="136">
        <v>0</v>
      </c>
      <c r="AI16" s="309">
        <v>0</v>
      </c>
      <c r="AJ16" s="92">
        <v>0</v>
      </c>
      <c r="AK16" s="110">
        <v>59.012218879999999</v>
      </c>
      <c r="AL16" s="111">
        <v>0</v>
      </c>
      <c r="AM16" s="112">
        <v>59.012218879999999</v>
      </c>
      <c r="AN16" s="113">
        <v>0.95682560000000005</v>
      </c>
      <c r="AO16" s="114">
        <v>59.969044480000001</v>
      </c>
      <c r="AP16" s="115">
        <v>59.63415552</v>
      </c>
      <c r="AQ16" s="116">
        <v>0</v>
      </c>
      <c r="AR16" s="310">
        <v>0</v>
      </c>
      <c r="AS16" s="311" t="s">
        <v>153</v>
      </c>
      <c r="AT16" s="118">
        <v>0.49340000000000001</v>
      </c>
      <c r="AU16" s="119" t="s">
        <v>153</v>
      </c>
      <c r="AV16" s="120">
        <v>0.49340000000000001</v>
      </c>
      <c r="AW16" s="121">
        <v>8.0000000000000002E-3</v>
      </c>
      <c r="AX16" s="122">
        <v>0.50139999999999996</v>
      </c>
      <c r="AY16" s="123">
        <v>0.49859999999999999</v>
      </c>
      <c r="AZ16" s="312" t="s">
        <v>153</v>
      </c>
      <c r="BA16" s="313" t="s">
        <v>153</v>
      </c>
      <c r="BB16" s="314">
        <v>0</v>
      </c>
      <c r="BD16" s="2629" t="s">
        <v>60</v>
      </c>
      <c r="BE16" s="2630">
        <v>119.6032</v>
      </c>
      <c r="BF16" s="2631">
        <v>1</v>
      </c>
      <c r="BG16" s="2630">
        <v>0</v>
      </c>
      <c r="BH16" s="2630">
        <v>59.012218879999999</v>
      </c>
      <c r="BI16" s="2630">
        <v>0</v>
      </c>
      <c r="BJ16" s="2630">
        <v>59.012218879999999</v>
      </c>
      <c r="BK16" s="2630">
        <v>0.95682560000000005</v>
      </c>
      <c r="BL16" s="2630">
        <v>59.969044480000001</v>
      </c>
      <c r="BM16" s="2630">
        <v>59.63415552</v>
      </c>
      <c r="BN16" s="2630">
        <v>0</v>
      </c>
      <c r="BO16" s="2630">
        <v>0</v>
      </c>
      <c r="BP16" s="1"/>
      <c r="BQ16" s="2629" t="s">
        <v>60</v>
      </c>
      <c r="BR16" s="2630">
        <v>119.6032</v>
      </c>
      <c r="BS16" s="2634">
        <v>1</v>
      </c>
      <c r="BT16" s="2634" t="s">
        <v>153</v>
      </c>
      <c r="BU16" s="2634">
        <v>0.49340000000000001</v>
      </c>
      <c r="BV16" s="2634" t="s">
        <v>153</v>
      </c>
      <c r="BW16" s="2634">
        <v>0.49340000000000001</v>
      </c>
      <c r="BX16" s="2634">
        <v>8.0000000000000002E-3</v>
      </c>
      <c r="BY16" s="2634">
        <v>0.50139999999999996</v>
      </c>
      <c r="BZ16" s="2634">
        <v>0.49859999999999999</v>
      </c>
      <c r="CA16" s="2634" t="s">
        <v>153</v>
      </c>
      <c r="CB16" s="2634" t="s">
        <v>153</v>
      </c>
    </row>
    <row r="17" spans="1:80" ht="14.4" x14ac:dyDescent="0.3">
      <c r="A17" s="8" t="s">
        <v>57</v>
      </c>
      <c r="B17" s="92">
        <v>4463.7039999999997</v>
      </c>
      <c r="C17" s="93">
        <v>0.13049090073700018</v>
      </c>
      <c r="D17" s="137">
        <v>4463.7039999999997</v>
      </c>
      <c r="E17" s="299">
        <v>0.13049090073700018</v>
      </c>
      <c r="F17" s="144">
        <v>0.10033731800972184</v>
      </c>
      <c r="G17" s="126">
        <v>28693.981477176367</v>
      </c>
      <c r="H17" s="139">
        <v>1.9900000000000001E-2</v>
      </c>
      <c r="I17" s="126">
        <v>1049.3279987780852</v>
      </c>
      <c r="J17" s="300"/>
      <c r="K17" s="127">
        <v>29743.309475954451</v>
      </c>
      <c r="L17" s="301">
        <v>34207.013475954453</v>
      </c>
      <c r="M17" s="128">
        <v>2700.5409199999999</v>
      </c>
      <c r="N17" s="302">
        <v>1370.3571279999999</v>
      </c>
      <c r="O17" s="110">
        <v>0</v>
      </c>
      <c r="P17" s="303">
        <v>392.80595199999993</v>
      </c>
      <c r="Q17" s="303">
        <v>0</v>
      </c>
      <c r="R17" s="129">
        <v>0</v>
      </c>
      <c r="S17" s="318">
        <v>95.630247725615902</v>
      </c>
      <c r="T17" s="132">
        <v>15566.479213114144</v>
      </c>
      <c r="U17" s="132"/>
      <c r="V17" s="323"/>
      <c r="W17" s="323"/>
      <c r="X17" s="132">
        <v>3285.8399495633707</v>
      </c>
      <c r="Y17" s="132">
        <v>12280.639263550773</v>
      </c>
      <c r="Z17" s="323"/>
      <c r="AA17" s="132"/>
      <c r="AB17" s="320"/>
      <c r="AC17" s="133">
        <v>12748.084504809294</v>
      </c>
      <c r="AD17" s="115">
        <v>392.80595199999993</v>
      </c>
      <c r="AE17" s="134">
        <v>3285.8399495633707</v>
      </c>
      <c r="AF17" s="307">
        <v>12280.639263550773</v>
      </c>
      <c r="AG17" s="321"/>
      <c r="AH17" s="136">
        <v>1333.115510305395</v>
      </c>
      <c r="AI17" s="309">
        <v>0</v>
      </c>
      <c r="AJ17" s="92">
        <v>2700.5409199999999</v>
      </c>
      <c r="AK17" s="110">
        <v>1370.3571279999999</v>
      </c>
      <c r="AL17" s="111">
        <v>0</v>
      </c>
      <c r="AM17" s="112">
        <v>4070.898048</v>
      </c>
      <c r="AN17" s="113">
        <v>16426.730406372666</v>
      </c>
      <c r="AO17" s="114">
        <v>20497.628454372665</v>
      </c>
      <c r="AP17" s="115">
        <v>13613.754773856168</v>
      </c>
      <c r="AQ17" s="116">
        <v>0</v>
      </c>
      <c r="AR17" s="310">
        <v>95.630247725615902</v>
      </c>
      <c r="AS17" s="311">
        <v>7.8946994945885113E-2</v>
      </c>
      <c r="AT17" s="118">
        <v>4.0060706526259052E-2</v>
      </c>
      <c r="AU17" s="119" t="s">
        <v>153</v>
      </c>
      <c r="AV17" s="120">
        <v>0.11900770147214416</v>
      </c>
      <c r="AW17" s="121">
        <v>0.48021527567496369</v>
      </c>
      <c r="AX17" s="122">
        <v>0.59922297714710782</v>
      </c>
      <c r="AY17" s="123">
        <v>0.39798139008615435</v>
      </c>
      <c r="AZ17" s="312" t="s">
        <v>153</v>
      </c>
      <c r="BA17" s="313">
        <v>2.7956327667376874E-3</v>
      </c>
      <c r="BB17" s="314">
        <v>0</v>
      </c>
      <c r="BD17" s="2629" t="s">
        <v>57</v>
      </c>
      <c r="BE17" s="2630">
        <v>34207.013475954453</v>
      </c>
      <c r="BF17" s="2631">
        <v>0.13049090073700018</v>
      </c>
      <c r="BG17" s="2630">
        <v>2700.5409199999999</v>
      </c>
      <c r="BH17" s="2630">
        <v>1370.3571279999999</v>
      </c>
      <c r="BI17" s="2630">
        <v>0</v>
      </c>
      <c r="BJ17" s="2630">
        <v>4070.898048</v>
      </c>
      <c r="BK17" s="2630">
        <v>16426.730406372666</v>
      </c>
      <c r="BL17" s="2630">
        <v>20497.628454372665</v>
      </c>
      <c r="BM17" s="2630">
        <v>13613.754773856168</v>
      </c>
      <c r="BN17" s="2630">
        <v>0</v>
      </c>
      <c r="BO17" s="2630">
        <v>95.630247725615902</v>
      </c>
      <c r="BP17" s="1"/>
      <c r="BQ17" s="2629" t="s">
        <v>57</v>
      </c>
      <c r="BR17" s="2630">
        <v>34207.013475954453</v>
      </c>
      <c r="BS17" s="2634">
        <v>0.13049090073700018</v>
      </c>
      <c r="BT17" s="2634">
        <v>7.8946994945885113E-2</v>
      </c>
      <c r="BU17" s="2634">
        <v>4.0060706526259052E-2</v>
      </c>
      <c r="BV17" s="2634" t="s">
        <v>153</v>
      </c>
      <c r="BW17" s="2634">
        <v>0.11900770147214416</v>
      </c>
      <c r="BX17" s="2634">
        <v>0.48021527567496369</v>
      </c>
      <c r="BY17" s="2634">
        <v>0.59922297714710782</v>
      </c>
      <c r="BZ17" s="2634">
        <v>0.39798139008615435</v>
      </c>
      <c r="CA17" s="2634" t="s">
        <v>153</v>
      </c>
      <c r="CB17" s="2634">
        <v>2.7956327667376874E-3</v>
      </c>
    </row>
    <row r="18" spans="1:80" ht="14.4" x14ac:dyDescent="0.3">
      <c r="A18" s="8" t="s">
        <v>35</v>
      </c>
      <c r="B18" s="92">
        <v>16.956</v>
      </c>
      <c r="C18" s="93">
        <v>1</v>
      </c>
      <c r="D18" s="137">
        <v>0</v>
      </c>
      <c r="E18" s="299">
        <v>0</v>
      </c>
      <c r="F18" s="144">
        <v>0</v>
      </c>
      <c r="G18" s="126">
        <v>0</v>
      </c>
      <c r="H18" s="139">
        <v>0</v>
      </c>
      <c r="I18" s="126">
        <v>0</v>
      </c>
      <c r="J18" s="300"/>
      <c r="K18" s="127">
        <v>0</v>
      </c>
      <c r="L18" s="301">
        <v>16.956</v>
      </c>
      <c r="M18" s="128">
        <v>0</v>
      </c>
      <c r="N18" s="302">
        <v>16.956</v>
      </c>
      <c r="O18" s="110">
        <v>0</v>
      </c>
      <c r="P18" s="303">
        <v>0</v>
      </c>
      <c r="Q18" s="303">
        <v>0</v>
      </c>
      <c r="R18" s="129">
        <v>0</v>
      </c>
      <c r="S18" s="318">
        <v>0</v>
      </c>
      <c r="T18" s="132">
        <v>0</v>
      </c>
      <c r="U18" s="132"/>
      <c r="V18" s="323"/>
      <c r="W18" s="323"/>
      <c r="X18" s="323"/>
      <c r="Y18" s="323"/>
      <c r="Z18" s="132">
        <v>0</v>
      </c>
      <c r="AA18" s="132">
        <v>0</v>
      </c>
      <c r="AB18" s="324"/>
      <c r="AC18" s="133">
        <v>0</v>
      </c>
      <c r="AD18" s="115">
        <v>0</v>
      </c>
      <c r="AE18" s="134">
        <v>0</v>
      </c>
      <c r="AF18" s="307">
        <v>0</v>
      </c>
      <c r="AG18" s="321"/>
      <c r="AH18" s="136">
        <v>0</v>
      </c>
      <c r="AI18" s="309">
        <v>0</v>
      </c>
      <c r="AJ18" s="92">
        <v>0</v>
      </c>
      <c r="AK18" s="110">
        <v>16.956</v>
      </c>
      <c r="AL18" s="111">
        <v>0</v>
      </c>
      <c r="AM18" s="112">
        <v>16.956</v>
      </c>
      <c r="AN18" s="113">
        <v>0</v>
      </c>
      <c r="AO18" s="114">
        <v>16.956</v>
      </c>
      <c r="AP18" s="115">
        <v>0</v>
      </c>
      <c r="AQ18" s="116">
        <v>0</v>
      </c>
      <c r="AR18" s="310">
        <v>0</v>
      </c>
      <c r="AS18" s="311" t="s">
        <v>153</v>
      </c>
      <c r="AT18" s="118">
        <v>1</v>
      </c>
      <c r="AU18" s="119" t="s">
        <v>153</v>
      </c>
      <c r="AV18" s="120">
        <v>1</v>
      </c>
      <c r="AW18" s="121" t="s">
        <v>153</v>
      </c>
      <c r="AX18" s="122">
        <v>1</v>
      </c>
      <c r="AY18" s="123" t="s">
        <v>153</v>
      </c>
      <c r="AZ18" s="312" t="s">
        <v>153</v>
      </c>
      <c r="BA18" s="313" t="s">
        <v>153</v>
      </c>
      <c r="BB18" s="314">
        <v>0</v>
      </c>
      <c r="BD18" s="2629" t="s">
        <v>35</v>
      </c>
      <c r="BE18" s="2630">
        <v>16.956</v>
      </c>
      <c r="BF18" s="2631">
        <v>1</v>
      </c>
      <c r="BG18" s="2630">
        <v>0</v>
      </c>
      <c r="BH18" s="2630">
        <v>16.956</v>
      </c>
      <c r="BI18" s="2630">
        <v>0</v>
      </c>
      <c r="BJ18" s="2630">
        <v>16.956</v>
      </c>
      <c r="BK18" s="2630">
        <v>0</v>
      </c>
      <c r="BL18" s="2630">
        <v>16.956</v>
      </c>
      <c r="BM18" s="2630">
        <v>0</v>
      </c>
      <c r="BN18" s="2630">
        <v>0</v>
      </c>
      <c r="BO18" s="2630">
        <v>0</v>
      </c>
      <c r="BP18" s="1"/>
      <c r="BQ18" s="2629" t="s">
        <v>35</v>
      </c>
      <c r="BR18" s="2630">
        <v>16.956</v>
      </c>
      <c r="BS18" s="2634">
        <v>1</v>
      </c>
      <c r="BT18" s="2634" t="s">
        <v>153</v>
      </c>
      <c r="BU18" s="2634">
        <v>1</v>
      </c>
      <c r="BV18" s="2634" t="s">
        <v>153</v>
      </c>
      <c r="BW18" s="2634">
        <v>1</v>
      </c>
      <c r="BX18" s="2634" t="s">
        <v>153</v>
      </c>
      <c r="BY18" s="2634">
        <v>1</v>
      </c>
      <c r="BZ18" s="2634" t="s">
        <v>153</v>
      </c>
      <c r="CA18" s="2634" t="s">
        <v>153</v>
      </c>
      <c r="CB18" s="2634" t="s">
        <v>153</v>
      </c>
    </row>
    <row r="19" spans="1:80" ht="14.4" x14ac:dyDescent="0.3">
      <c r="A19" s="8" t="s">
        <v>67</v>
      </c>
      <c r="B19" s="92">
        <v>0</v>
      </c>
      <c r="C19" s="299">
        <v>0</v>
      </c>
      <c r="D19" s="137">
        <v>0</v>
      </c>
      <c r="E19" s="299" t="s">
        <v>153</v>
      </c>
      <c r="F19" s="144">
        <v>0</v>
      </c>
      <c r="G19" s="126">
        <v>0</v>
      </c>
      <c r="H19" s="139">
        <v>0</v>
      </c>
      <c r="I19" s="126">
        <v>0</v>
      </c>
      <c r="J19" s="300"/>
      <c r="K19" s="127">
        <v>0</v>
      </c>
      <c r="L19" s="301">
        <v>0</v>
      </c>
      <c r="M19" s="128">
        <v>0</v>
      </c>
      <c r="N19" s="302">
        <v>0</v>
      </c>
      <c r="O19" s="110">
        <v>0</v>
      </c>
      <c r="P19" s="303">
        <v>0</v>
      </c>
      <c r="Q19" s="303">
        <v>0</v>
      </c>
      <c r="R19" s="129">
        <v>0</v>
      </c>
      <c r="S19" s="318">
        <v>0</v>
      </c>
      <c r="T19" s="132">
        <v>0</v>
      </c>
      <c r="U19" s="132"/>
      <c r="V19" s="323"/>
      <c r="W19" s="323"/>
      <c r="X19" s="323"/>
      <c r="Y19" s="323"/>
      <c r="Z19" s="132">
        <v>0</v>
      </c>
      <c r="AA19" s="132">
        <v>0</v>
      </c>
      <c r="AB19" s="324"/>
      <c r="AC19" s="133">
        <v>0</v>
      </c>
      <c r="AD19" s="115">
        <v>0</v>
      </c>
      <c r="AE19" s="134">
        <v>0</v>
      </c>
      <c r="AF19" s="307">
        <v>0</v>
      </c>
      <c r="AG19" s="321"/>
      <c r="AH19" s="136">
        <v>0</v>
      </c>
      <c r="AI19" s="309">
        <v>0</v>
      </c>
      <c r="AJ19" s="92">
        <v>0</v>
      </c>
      <c r="AK19" s="110">
        <v>0</v>
      </c>
      <c r="AL19" s="111">
        <v>0</v>
      </c>
      <c r="AM19" s="112">
        <v>0</v>
      </c>
      <c r="AN19" s="113">
        <v>0</v>
      </c>
      <c r="AO19" s="114">
        <v>0</v>
      </c>
      <c r="AP19" s="115">
        <v>0</v>
      </c>
      <c r="AQ19" s="116">
        <v>0</v>
      </c>
      <c r="AR19" s="310">
        <v>0</v>
      </c>
      <c r="AS19" s="311" t="s">
        <v>153</v>
      </c>
      <c r="AT19" s="118" t="s">
        <v>153</v>
      </c>
      <c r="AU19" s="119" t="s">
        <v>153</v>
      </c>
      <c r="AV19" s="120" t="s">
        <v>153</v>
      </c>
      <c r="AW19" s="121" t="s">
        <v>153</v>
      </c>
      <c r="AX19" s="122" t="s">
        <v>153</v>
      </c>
      <c r="AY19" s="123" t="s">
        <v>153</v>
      </c>
      <c r="AZ19" s="312" t="s">
        <v>153</v>
      </c>
      <c r="BA19" s="313" t="s">
        <v>153</v>
      </c>
      <c r="BB19" s="314">
        <v>0</v>
      </c>
      <c r="BD19" s="2629" t="s">
        <v>67</v>
      </c>
      <c r="BE19" s="2630">
        <v>0</v>
      </c>
      <c r="BF19" s="2631">
        <v>0</v>
      </c>
      <c r="BG19" s="2630">
        <v>0</v>
      </c>
      <c r="BH19" s="2630">
        <v>0</v>
      </c>
      <c r="BI19" s="2630">
        <v>0</v>
      </c>
      <c r="BJ19" s="2630">
        <v>0</v>
      </c>
      <c r="BK19" s="2630">
        <v>0</v>
      </c>
      <c r="BL19" s="2630">
        <v>0</v>
      </c>
      <c r="BM19" s="2630">
        <v>0</v>
      </c>
      <c r="BN19" s="2630">
        <v>0</v>
      </c>
      <c r="BO19" s="2630">
        <v>0</v>
      </c>
      <c r="BP19" s="1"/>
      <c r="BQ19" s="2629" t="s">
        <v>67</v>
      </c>
      <c r="BR19" s="2630">
        <v>0</v>
      </c>
      <c r="BS19" s="2634">
        <v>0</v>
      </c>
      <c r="BT19" s="2634" t="s">
        <v>153</v>
      </c>
      <c r="BU19" s="2634" t="s">
        <v>153</v>
      </c>
      <c r="BV19" s="2634" t="s">
        <v>153</v>
      </c>
      <c r="BW19" s="2634" t="s">
        <v>153</v>
      </c>
      <c r="BX19" s="2634" t="s">
        <v>153</v>
      </c>
      <c r="BY19" s="2634" t="s">
        <v>153</v>
      </c>
      <c r="BZ19" s="2634" t="s">
        <v>153</v>
      </c>
      <c r="CA19" s="2634" t="s">
        <v>153</v>
      </c>
      <c r="CB19" s="2634" t="s">
        <v>153</v>
      </c>
    </row>
    <row r="20" spans="1:80" ht="14.4" x14ac:dyDescent="0.3">
      <c r="A20" s="8" t="s">
        <v>76</v>
      </c>
      <c r="B20" s="92">
        <v>12780.042163408652</v>
      </c>
      <c r="C20" s="93">
        <v>1</v>
      </c>
      <c r="D20" s="137">
        <v>12780.042163408652</v>
      </c>
      <c r="E20" s="299">
        <v>1</v>
      </c>
      <c r="F20" s="144">
        <v>0</v>
      </c>
      <c r="G20" s="126">
        <v>0</v>
      </c>
      <c r="H20" s="139">
        <v>0</v>
      </c>
      <c r="I20" s="126">
        <v>0</v>
      </c>
      <c r="J20" s="300"/>
      <c r="K20" s="127">
        <v>0</v>
      </c>
      <c r="L20" s="301">
        <v>12780.042163408652</v>
      </c>
      <c r="M20" s="128">
        <v>12.780042163408652</v>
      </c>
      <c r="N20" s="302">
        <v>2440.9880532110528</v>
      </c>
      <c r="O20" s="110">
        <v>0</v>
      </c>
      <c r="P20" s="303">
        <v>10326.274068034192</v>
      </c>
      <c r="Q20" s="303">
        <v>0</v>
      </c>
      <c r="R20" s="129">
        <v>0</v>
      </c>
      <c r="S20" s="318">
        <v>0</v>
      </c>
      <c r="T20" s="132">
        <v>0</v>
      </c>
      <c r="U20" s="132"/>
      <c r="V20" s="323"/>
      <c r="W20" s="323"/>
      <c r="X20" s="323"/>
      <c r="Y20" s="323"/>
      <c r="Z20" s="132">
        <v>0</v>
      </c>
      <c r="AA20" s="132">
        <v>0</v>
      </c>
      <c r="AB20" s="324"/>
      <c r="AC20" s="133">
        <v>0</v>
      </c>
      <c r="AD20" s="115">
        <v>10326.274068034192</v>
      </c>
      <c r="AE20" s="134">
        <v>0</v>
      </c>
      <c r="AF20" s="307">
        <v>0</v>
      </c>
      <c r="AG20" s="321"/>
      <c r="AH20" s="136">
        <v>0</v>
      </c>
      <c r="AI20" s="309">
        <v>0</v>
      </c>
      <c r="AJ20" s="92">
        <v>12.780042163408652</v>
      </c>
      <c r="AK20" s="110">
        <v>2440.9880532110528</v>
      </c>
      <c r="AL20" s="111">
        <v>0</v>
      </c>
      <c r="AM20" s="112">
        <v>2453.7680953744616</v>
      </c>
      <c r="AN20" s="113">
        <v>10326.274068034192</v>
      </c>
      <c r="AO20" s="114">
        <v>12780.042163408654</v>
      </c>
      <c r="AP20" s="115">
        <v>0</v>
      </c>
      <c r="AQ20" s="116">
        <v>0</v>
      </c>
      <c r="AR20" s="310">
        <v>0</v>
      </c>
      <c r="AS20" s="311">
        <v>1E-3</v>
      </c>
      <c r="AT20" s="118">
        <v>0.19100000000000003</v>
      </c>
      <c r="AU20" s="119" t="s">
        <v>153</v>
      </c>
      <c r="AV20" s="120">
        <v>0.19200000000000003</v>
      </c>
      <c r="AW20" s="121">
        <v>0.80800000000000005</v>
      </c>
      <c r="AX20" s="122">
        <v>1.0000000000000002</v>
      </c>
      <c r="AY20" s="123" t="s">
        <v>153</v>
      </c>
      <c r="AZ20" s="312" t="s">
        <v>153</v>
      </c>
      <c r="BA20" s="313" t="s">
        <v>153</v>
      </c>
      <c r="BB20" s="314">
        <v>0</v>
      </c>
      <c r="BD20" s="2629" t="s">
        <v>76</v>
      </c>
      <c r="BE20" s="2630">
        <v>12780.042163408652</v>
      </c>
      <c r="BF20" s="2631">
        <v>1</v>
      </c>
      <c r="BG20" s="2630">
        <v>12.780042163408652</v>
      </c>
      <c r="BH20" s="2630">
        <v>2440.9880532110528</v>
      </c>
      <c r="BI20" s="2630">
        <v>0</v>
      </c>
      <c r="BJ20" s="2630">
        <v>2453.7680953744616</v>
      </c>
      <c r="BK20" s="2630">
        <v>10326.274068034192</v>
      </c>
      <c r="BL20" s="2630">
        <v>12780.042163408654</v>
      </c>
      <c r="BM20" s="2630">
        <v>0</v>
      </c>
      <c r="BN20" s="2630">
        <v>0</v>
      </c>
      <c r="BO20" s="2630">
        <v>0</v>
      </c>
      <c r="BP20" s="1"/>
      <c r="BQ20" s="2629" t="s">
        <v>76</v>
      </c>
      <c r="BR20" s="2630">
        <v>12780.042163408652</v>
      </c>
      <c r="BS20" s="2634">
        <v>1</v>
      </c>
      <c r="BT20" s="2634">
        <v>1E-3</v>
      </c>
      <c r="BU20" s="2634">
        <v>0.19100000000000003</v>
      </c>
      <c r="BV20" s="2634" t="s">
        <v>153</v>
      </c>
      <c r="BW20" s="2634">
        <v>0.19200000000000003</v>
      </c>
      <c r="BX20" s="2634">
        <v>0.80800000000000005</v>
      </c>
      <c r="BY20" s="2634">
        <v>1.0000000000000002</v>
      </c>
      <c r="BZ20" s="2634" t="s">
        <v>153</v>
      </c>
      <c r="CA20" s="2634" t="s">
        <v>153</v>
      </c>
      <c r="CB20" s="2634" t="s">
        <v>153</v>
      </c>
    </row>
    <row r="21" spans="1:80" ht="14.4" x14ac:dyDescent="0.3">
      <c r="A21" s="8" t="s">
        <v>62</v>
      </c>
      <c r="B21" s="92">
        <v>492.71050100000002</v>
      </c>
      <c r="C21" s="93">
        <v>1</v>
      </c>
      <c r="D21" s="137">
        <v>492.71050100000002</v>
      </c>
      <c r="E21" s="299">
        <v>1</v>
      </c>
      <c r="F21" s="144">
        <v>0</v>
      </c>
      <c r="G21" s="126">
        <v>0</v>
      </c>
      <c r="H21" s="139">
        <v>0</v>
      </c>
      <c r="I21" s="126">
        <v>0</v>
      </c>
      <c r="J21" s="300"/>
      <c r="K21" s="127">
        <v>0</v>
      </c>
      <c r="L21" s="301">
        <v>492.71050100000002</v>
      </c>
      <c r="M21" s="128">
        <v>0</v>
      </c>
      <c r="N21" s="302">
        <v>12.810473026</v>
      </c>
      <c r="O21" s="110">
        <v>0</v>
      </c>
      <c r="P21" s="303">
        <v>412.89139983799998</v>
      </c>
      <c r="Q21" s="303">
        <v>0</v>
      </c>
      <c r="R21" s="129">
        <v>67.008628136000013</v>
      </c>
      <c r="S21" s="318">
        <v>0</v>
      </c>
      <c r="T21" s="132">
        <v>0</v>
      </c>
      <c r="U21" s="132"/>
      <c r="V21" s="323"/>
      <c r="W21" s="323"/>
      <c r="X21" s="323"/>
      <c r="Y21" s="323"/>
      <c r="Z21" s="132">
        <v>0</v>
      </c>
      <c r="AA21" s="132">
        <v>0</v>
      </c>
      <c r="AB21" s="324"/>
      <c r="AC21" s="133">
        <v>0</v>
      </c>
      <c r="AD21" s="115">
        <v>412.89139983799998</v>
      </c>
      <c r="AE21" s="134">
        <v>0</v>
      </c>
      <c r="AF21" s="307">
        <v>0</v>
      </c>
      <c r="AG21" s="321"/>
      <c r="AH21" s="136">
        <v>0</v>
      </c>
      <c r="AI21" s="309">
        <v>67.008628136000013</v>
      </c>
      <c r="AJ21" s="92">
        <v>0</v>
      </c>
      <c r="AK21" s="110">
        <v>12.810473026</v>
      </c>
      <c r="AL21" s="111">
        <v>0</v>
      </c>
      <c r="AM21" s="112">
        <v>12.810473026</v>
      </c>
      <c r="AN21" s="113">
        <v>412.89139983799998</v>
      </c>
      <c r="AO21" s="114">
        <v>425.70187286399999</v>
      </c>
      <c r="AP21" s="115">
        <v>0</v>
      </c>
      <c r="AQ21" s="116">
        <v>67.008628136000013</v>
      </c>
      <c r="AR21" s="310">
        <v>0</v>
      </c>
      <c r="AS21" s="311" t="s">
        <v>153</v>
      </c>
      <c r="AT21" s="118">
        <v>2.5999999999999999E-2</v>
      </c>
      <c r="AU21" s="119" t="s">
        <v>153</v>
      </c>
      <c r="AV21" s="120">
        <v>2.5999999999999999E-2</v>
      </c>
      <c r="AW21" s="121">
        <v>0.83799999999999997</v>
      </c>
      <c r="AX21" s="122">
        <v>0.86399999999999999</v>
      </c>
      <c r="AY21" s="123" t="s">
        <v>153</v>
      </c>
      <c r="AZ21" s="312">
        <v>0.13600000000000001</v>
      </c>
      <c r="BA21" s="313" t="s">
        <v>153</v>
      </c>
      <c r="BB21" s="314">
        <v>0</v>
      </c>
      <c r="BD21" s="2629" t="s">
        <v>62</v>
      </c>
      <c r="BE21" s="2630">
        <v>492.71050100000002</v>
      </c>
      <c r="BF21" s="2631">
        <v>1</v>
      </c>
      <c r="BG21" s="2630">
        <v>0</v>
      </c>
      <c r="BH21" s="2630">
        <v>12.810473026</v>
      </c>
      <c r="BI21" s="2630">
        <v>0</v>
      </c>
      <c r="BJ21" s="2630">
        <v>12.810473026</v>
      </c>
      <c r="BK21" s="2630">
        <v>412.89139983799998</v>
      </c>
      <c r="BL21" s="2630">
        <v>425.70187286399999</v>
      </c>
      <c r="BM21" s="2630">
        <v>0</v>
      </c>
      <c r="BN21" s="2630">
        <v>67.008628136000013</v>
      </c>
      <c r="BO21" s="2630">
        <v>0</v>
      </c>
      <c r="BP21" s="1"/>
      <c r="BQ21" s="2629" t="s">
        <v>62</v>
      </c>
      <c r="BR21" s="2630">
        <v>492.71050100000002</v>
      </c>
      <c r="BS21" s="2634">
        <v>1</v>
      </c>
      <c r="BT21" s="2634" t="s">
        <v>153</v>
      </c>
      <c r="BU21" s="2634">
        <v>2.5999999999999999E-2</v>
      </c>
      <c r="BV21" s="2634" t="s">
        <v>153</v>
      </c>
      <c r="BW21" s="2634">
        <v>2.5999999999999999E-2</v>
      </c>
      <c r="BX21" s="2634">
        <v>0.83799999999999997</v>
      </c>
      <c r="BY21" s="2634">
        <v>0.86399999999999999</v>
      </c>
      <c r="BZ21" s="2634" t="s">
        <v>153</v>
      </c>
      <c r="CA21" s="2634">
        <v>0.13600000000000001</v>
      </c>
      <c r="CB21" s="2634" t="s">
        <v>153</v>
      </c>
    </row>
    <row r="22" spans="1:80" ht="14.4" x14ac:dyDescent="0.3">
      <c r="A22" s="8" t="s">
        <v>16</v>
      </c>
      <c r="B22" s="92">
        <v>1774.0860000000005</v>
      </c>
      <c r="C22" s="93">
        <v>9.3456041274870547E-2</v>
      </c>
      <c r="D22" s="137">
        <v>1774.0860000000005</v>
      </c>
      <c r="E22" s="299">
        <v>9.3456041274870547E-2</v>
      </c>
      <c r="F22" s="144">
        <v>5.0219737621608876E-2</v>
      </c>
      <c r="G22" s="126">
        <v>14361.597954646157</v>
      </c>
      <c r="H22" s="139">
        <v>5.3999999999999999E-2</v>
      </c>
      <c r="I22" s="126">
        <v>2847.4227102520904</v>
      </c>
      <c r="J22" s="300"/>
      <c r="K22" s="127">
        <v>17209.020664898246</v>
      </c>
      <c r="L22" s="301">
        <v>18983.106664898245</v>
      </c>
      <c r="M22" s="128">
        <v>0</v>
      </c>
      <c r="N22" s="302">
        <v>1685.3817000000004</v>
      </c>
      <c r="O22" s="110">
        <v>0</v>
      </c>
      <c r="P22" s="303">
        <v>0</v>
      </c>
      <c r="Q22" s="303">
        <v>88.704300000000032</v>
      </c>
      <c r="R22" s="129">
        <v>0</v>
      </c>
      <c r="S22" s="318">
        <v>55.330188142980766</v>
      </c>
      <c r="T22" s="132">
        <v>9006.525069940757</v>
      </c>
      <c r="U22" s="132"/>
      <c r="V22" s="323"/>
      <c r="W22" s="323"/>
      <c r="X22" s="132">
        <v>1901.1363762091814</v>
      </c>
      <c r="Y22" s="132">
        <v>7105.3886937315747</v>
      </c>
      <c r="Z22" s="132"/>
      <c r="AA22" s="132"/>
      <c r="AB22" s="320"/>
      <c r="AC22" s="133">
        <v>7375.8453092951386</v>
      </c>
      <c r="AD22" s="115">
        <v>0</v>
      </c>
      <c r="AE22" s="134">
        <v>1901.1363762091814</v>
      </c>
      <c r="AF22" s="307">
        <v>7194.092993731575</v>
      </c>
      <c r="AG22" s="321"/>
      <c r="AH22" s="136">
        <v>771.32009751936744</v>
      </c>
      <c r="AI22" s="309">
        <v>0</v>
      </c>
      <c r="AJ22" s="92">
        <v>0</v>
      </c>
      <c r="AK22" s="110">
        <v>1685.3817000000004</v>
      </c>
      <c r="AL22" s="111">
        <v>0</v>
      </c>
      <c r="AM22" s="112">
        <v>1685.3817000000004</v>
      </c>
      <c r="AN22" s="113">
        <v>9276.9816855043209</v>
      </c>
      <c r="AO22" s="114">
        <v>10962.363385504321</v>
      </c>
      <c r="AP22" s="115">
        <v>7965.4130912509427</v>
      </c>
      <c r="AQ22" s="116">
        <v>0</v>
      </c>
      <c r="AR22" s="310">
        <v>55.330188142980766</v>
      </c>
      <c r="AS22" s="311" t="s">
        <v>153</v>
      </c>
      <c r="AT22" s="118">
        <v>8.8783239211127005E-2</v>
      </c>
      <c r="AU22" s="119" t="s">
        <v>153</v>
      </c>
      <c r="AV22" s="120">
        <v>8.8783239211127005E-2</v>
      </c>
      <c r="AW22" s="121">
        <v>0.48869670540588772</v>
      </c>
      <c r="AX22" s="122">
        <v>0.57747994461701468</v>
      </c>
      <c r="AY22" s="123">
        <v>0.41960534868509308</v>
      </c>
      <c r="AZ22" s="312" t="s">
        <v>153</v>
      </c>
      <c r="BA22" s="313">
        <v>2.9147066978921889E-3</v>
      </c>
      <c r="BB22" s="314">
        <v>0</v>
      </c>
      <c r="BD22" s="2629" t="s">
        <v>16</v>
      </c>
      <c r="BE22" s="2630">
        <v>18983.106664898245</v>
      </c>
      <c r="BF22" s="2631">
        <v>9.3456041274870547E-2</v>
      </c>
      <c r="BG22" s="2630">
        <v>0</v>
      </c>
      <c r="BH22" s="2630">
        <v>1685.3817000000004</v>
      </c>
      <c r="BI22" s="2630">
        <v>0</v>
      </c>
      <c r="BJ22" s="2630">
        <v>1685.3817000000004</v>
      </c>
      <c r="BK22" s="2630">
        <v>9276.9816855043209</v>
      </c>
      <c r="BL22" s="2630">
        <v>10962.363385504321</v>
      </c>
      <c r="BM22" s="2630">
        <v>7965.4130912509427</v>
      </c>
      <c r="BN22" s="2630">
        <v>0</v>
      </c>
      <c r="BO22" s="2630">
        <v>55.330188142980766</v>
      </c>
      <c r="BP22" s="1"/>
      <c r="BQ22" s="2629" t="s">
        <v>16</v>
      </c>
      <c r="BR22" s="2630">
        <v>18983.106664898245</v>
      </c>
      <c r="BS22" s="2634">
        <v>9.3456041274870547E-2</v>
      </c>
      <c r="BT22" s="2634" t="s">
        <v>153</v>
      </c>
      <c r="BU22" s="2634">
        <v>8.8783239211127005E-2</v>
      </c>
      <c r="BV22" s="2634" t="s">
        <v>153</v>
      </c>
      <c r="BW22" s="2634">
        <v>8.8783239211127005E-2</v>
      </c>
      <c r="BX22" s="2634">
        <v>0.48869670540588772</v>
      </c>
      <c r="BY22" s="2634">
        <v>0.57747994461701468</v>
      </c>
      <c r="BZ22" s="2634">
        <v>0.41960534868509308</v>
      </c>
      <c r="CA22" s="2634" t="s">
        <v>153</v>
      </c>
      <c r="CB22" s="2634">
        <v>2.9147066978921889E-3</v>
      </c>
    </row>
    <row r="23" spans="1:80" ht="14.4" x14ac:dyDescent="0.3">
      <c r="A23" s="8" t="s">
        <v>95</v>
      </c>
      <c r="B23" s="92">
        <v>0</v>
      </c>
      <c r="C23" s="93">
        <v>0</v>
      </c>
      <c r="D23" s="137">
        <v>0</v>
      </c>
      <c r="E23" s="299" t="s">
        <v>153</v>
      </c>
      <c r="F23" s="144">
        <v>0</v>
      </c>
      <c r="G23" s="126">
        <v>0</v>
      </c>
      <c r="H23" s="139">
        <v>0</v>
      </c>
      <c r="I23" s="126">
        <v>0</v>
      </c>
      <c r="J23" s="300"/>
      <c r="K23" s="127">
        <v>0</v>
      </c>
      <c r="L23" s="301">
        <v>0</v>
      </c>
      <c r="M23" s="128">
        <v>0</v>
      </c>
      <c r="N23" s="302">
        <v>0</v>
      </c>
      <c r="O23" s="110">
        <v>0</v>
      </c>
      <c r="P23" s="303">
        <v>0</v>
      </c>
      <c r="Q23" s="303">
        <v>0</v>
      </c>
      <c r="R23" s="129">
        <v>0</v>
      </c>
      <c r="S23" s="318">
        <v>0</v>
      </c>
      <c r="T23" s="132">
        <v>0</v>
      </c>
      <c r="U23" s="132"/>
      <c r="V23" s="323"/>
      <c r="W23" s="323"/>
      <c r="X23" s="323"/>
      <c r="Y23" s="323"/>
      <c r="Z23" s="132">
        <v>0</v>
      </c>
      <c r="AA23" s="132">
        <v>0</v>
      </c>
      <c r="AB23" s="324"/>
      <c r="AC23" s="133">
        <v>0</v>
      </c>
      <c r="AD23" s="115">
        <v>0</v>
      </c>
      <c r="AE23" s="134">
        <v>0</v>
      </c>
      <c r="AF23" s="307">
        <v>0</v>
      </c>
      <c r="AG23" s="321"/>
      <c r="AH23" s="136">
        <v>0</v>
      </c>
      <c r="AI23" s="309">
        <v>0</v>
      </c>
      <c r="AJ23" s="92">
        <v>0</v>
      </c>
      <c r="AK23" s="110">
        <v>0</v>
      </c>
      <c r="AL23" s="111">
        <v>0</v>
      </c>
      <c r="AM23" s="112">
        <v>0</v>
      </c>
      <c r="AN23" s="113">
        <v>0</v>
      </c>
      <c r="AO23" s="114">
        <v>0</v>
      </c>
      <c r="AP23" s="115">
        <v>0</v>
      </c>
      <c r="AQ23" s="116">
        <v>0</v>
      </c>
      <c r="AR23" s="310">
        <v>0</v>
      </c>
      <c r="AS23" s="311" t="s">
        <v>153</v>
      </c>
      <c r="AT23" s="118" t="s">
        <v>153</v>
      </c>
      <c r="AU23" s="119" t="s">
        <v>153</v>
      </c>
      <c r="AV23" s="120" t="s">
        <v>153</v>
      </c>
      <c r="AW23" s="121" t="s">
        <v>153</v>
      </c>
      <c r="AX23" s="122" t="s">
        <v>153</v>
      </c>
      <c r="AY23" s="123" t="s">
        <v>153</v>
      </c>
      <c r="AZ23" s="312" t="s">
        <v>153</v>
      </c>
      <c r="BA23" s="313" t="s">
        <v>153</v>
      </c>
      <c r="BB23" s="314">
        <v>0</v>
      </c>
      <c r="BD23" s="2629" t="s">
        <v>95</v>
      </c>
      <c r="BE23" s="2630">
        <v>0</v>
      </c>
      <c r="BF23" s="2631">
        <v>0</v>
      </c>
      <c r="BG23" s="2630">
        <v>0</v>
      </c>
      <c r="BH23" s="2630">
        <v>0</v>
      </c>
      <c r="BI23" s="2630">
        <v>0</v>
      </c>
      <c r="BJ23" s="2630">
        <v>0</v>
      </c>
      <c r="BK23" s="2630">
        <v>0</v>
      </c>
      <c r="BL23" s="2630">
        <v>0</v>
      </c>
      <c r="BM23" s="2630">
        <v>0</v>
      </c>
      <c r="BN23" s="2630">
        <v>0</v>
      </c>
      <c r="BO23" s="2630">
        <v>0</v>
      </c>
      <c r="BP23" s="1"/>
      <c r="BQ23" s="2629" t="s">
        <v>95</v>
      </c>
      <c r="BR23" s="2630">
        <v>0</v>
      </c>
      <c r="BS23" s="2634">
        <v>0</v>
      </c>
      <c r="BT23" s="2634" t="s">
        <v>153</v>
      </c>
      <c r="BU23" s="2634" t="s">
        <v>153</v>
      </c>
      <c r="BV23" s="2634" t="s">
        <v>153</v>
      </c>
      <c r="BW23" s="2634" t="s">
        <v>153</v>
      </c>
      <c r="BX23" s="2634" t="s">
        <v>153</v>
      </c>
      <c r="BY23" s="2634" t="s">
        <v>153</v>
      </c>
      <c r="BZ23" s="2634" t="s">
        <v>153</v>
      </c>
      <c r="CA23" s="2634" t="s">
        <v>153</v>
      </c>
      <c r="CB23" s="2634" t="s">
        <v>153</v>
      </c>
    </row>
    <row r="24" spans="1:80" ht="14.4" x14ac:dyDescent="0.3">
      <c r="A24" s="8" t="s">
        <v>74</v>
      </c>
      <c r="B24" s="92">
        <v>1.079</v>
      </c>
      <c r="C24" s="93">
        <v>1</v>
      </c>
      <c r="D24" s="137">
        <v>1.079</v>
      </c>
      <c r="E24" s="299">
        <v>1</v>
      </c>
      <c r="F24" s="144">
        <v>0</v>
      </c>
      <c r="G24" s="126">
        <v>0</v>
      </c>
      <c r="H24" s="139">
        <v>0</v>
      </c>
      <c r="I24" s="126">
        <v>0</v>
      </c>
      <c r="J24" s="300"/>
      <c r="K24" s="127">
        <v>0</v>
      </c>
      <c r="L24" s="301">
        <v>1.079</v>
      </c>
      <c r="M24" s="128">
        <v>0</v>
      </c>
      <c r="N24" s="302">
        <v>0.17790792291220556</v>
      </c>
      <c r="O24" s="110">
        <v>0</v>
      </c>
      <c r="P24" s="303">
        <v>0.90109207708779449</v>
      </c>
      <c r="Q24" s="303">
        <v>0</v>
      </c>
      <c r="R24" s="129">
        <v>0</v>
      </c>
      <c r="S24" s="318">
        <v>0</v>
      </c>
      <c r="T24" s="132">
        <v>0</v>
      </c>
      <c r="U24" s="132"/>
      <c r="V24" s="323"/>
      <c r="W24" s="323"/>
      <c r="X24" s="132">
        <v>0</v>
      </c>
      <c r="Y24" s="132">
        <v>0</v>
      </c>
      <c r="Z24" s="132"/>
      <c r="AA24" s="132"/>
      <c r="AB24" s="324"/>
      <c r="AC24" s="133">
        <v>0</v>
      </c>
      <c r="AD24" s="115">
        <v>0.90109207708779449</v>
      </c>
      <c r="AE24" s="134">
        <v>0</v>
      </c>
      <c r="AF24" s="307">
        <v>0</v>
      </c>
      <c r="AG24" s="321"/>
      <c r="AH24" s="136">
        <v>0</v>
      </c>
      <c r="AI24" s="309">
        <v>0</v>
      </c>
      <c r="AJ24" s="92">
        <v>0</v>
      </c>
      <c r="AK24" s="110">
        <v>0.17790792291220556</v>
      </c>
      <c r="AL24" s="111">
        <v>0</v>
      </c>
      <c r="AM24" s="112">
        <v>0.17790792291220556</v>
      </c>
      <c r="AN24" s="113">
        <v>0.90109207708779449</v>
      </c>
      <c r="AO24" s="114">
        <v>1.079</v>
      </c>
      <c r="AP24" s="115">
        <v>0</v>
      </c>
      <c r="AQ24" s="116">
        <v>0</v>
      </c>
      <c r="AR24" s="310">
        <v>0</v>
      </c>
      <c r="AS24" s="311" t="s">
        <v>153</v>
      </c>
      <c r="AT24" s="118">
        <v>0.16488222698072805</v>
      </c>
      <c r="AU24" s="119" t="s">
        <v>153</v>
      </c>
      <c r="AV24" s="120">
        <v>0.16488222698072805</v>
      </c>
      <c r="AW24" s="121">
        <v>0.83511777301927204</v>
      </c>
      <c r="AX24" s="122">
        <v>1</v>
      </c>
      <c r="AY24" s="123" t="s">
        <v>153</v>
      </c>
      <c r="AZ24" s="312" t="s">
        <v>153</v>
      </c>
      <c r="BA24" s="313" t="s">
        <v>153</v>
      </c>
      <c r="BB24" s="314">
        <v>0</v>
      </c>
      <c r="BD24" s="2629" t="s">
        <v>74</v>
      </c>
      <c r="BE24" s="2630">
        <v>1.079</v>
      </c>
      <c r="BF24" s="2631">
        <v>1</v>
      </c>
      <c r="BG24" s="2630">
        <v>0</v>
      </c>
      <c r="BH24" s="2630">
        <v>0.17790792291220556</v>
      </c>
      <c r="BI24" s="2630">
        <v>0</v>
      </c>
      <c r="BJ24" s="2630">
        <v>0.17790792291220556</v>
      </c>
      <c r="BK24" s="2630">
        <v>0.90109207708779449</v>
      </c>
      <c r="BL24" s="2630">
        <v>1.079</v>
      </c>
      <c r="BM24" s="2630">
        <v>0</v>
      </c>
      <c r="BN24" s="2630">
        <v>0</v>
      </c>
      <c r="BO24" s="2630">
        <v>0</v>
      </c>
      <c r="BP24" s="1"/>
      <c r="BQ24" s="2629" t="s">
        <v>74</v>
      </c>
      <c r="BR24" s="2630">
        <v>1.079</v>
      </c>
      <c r="BS24" s="2634">
        <v>1</v>
      </c>
      <c r="BT24" s="2634" t="s">
        <v>153</v>
      </c>
      <c r="BU24" s="2634">
        <v>0.16488222698072805</v>
      </c>
      <c r="BV24" s="2634" t="s">
        <v>153</v>
      </c>
      <c r="BW24" s="2634">
        <v>0.16488222698072805</v>
      </c>
      <c r="BX24" s="2634">
        <v>0.83511777301927204</v>
      </c>
      <c r="BY24" s="2634">
        <v>1</v>
      </c>
      <c r="BZ24" s="2634" t="s">
        <v>153</v>
      </c>
      <c r="CA24" s="2634" t="s">
        <v>153</v>
      </c>
      <c r="CB24" s="2634" t="s">
        <v>153</v>
      </c>
    </row>
    <row r="25" spans="1:80" ht="14.4" x14ac:dyDescent="0.3">
      <c r="A25" s="8" t="s">
        <v>73</v>
      </c>
      <c r="B25" s="92">
        <v>118.12405283999999</v>
      </c>
      <c r="C25" s="93">
        <v>0.5544737251076769</v>
      </c>
      <c r="D25" s="137">
        <v>118.12405283999999</v>
      </c>
      <c r="E25" s="299">
        <v>0.5544737251076769</v>
      </c>
      <c r="F25" s="144">
        <v>0</v>
      </c>
      <c r="G25" s="126">
        <v>0</v>
      </c>
      <c r="H25" s="139">
        <v>1.8E-3</v>
      </c>
      <c r="I25" s="126">
        <v>94.914090341736355</v>
      </c>
      <c r="J25" s="300"/>
      <c r="K25" s="127">
        <v>94.914090341736355</v>
      </c>
      <c r="L25" s="301">
        <v>213.03814318173636</v>
      </c>
      <c r="M25" s="128">
        <v>0</v>
      </c>
      <c r="N25" s="302">
        <v>68.074891651691999</v>
      </c>
      <c r="O25" s="110">
        <v>0</v>
      </c>
      <c r="P25" s="303">
        <v>49.895599919615996</v>
      </c>
      <c r="Q25" s="303">
        <v>0.15356126869199999</v>
      </c>
      <c r="R25" s="129">
        <v>0</v>
      </c>
      <c r="S25" s="318">
        <v>0.30516637630286664</v>
      </c>
      <c r="T25" s="132">
        <v>49.674304587077735</v>
      </c>
      <c r="U25" s="132"/>
      <c r="V25" s="323"/>
      <c r="W25" s="323"/>
      <c r="X25" s="323"/>
      <c r="Y25" s="323"/>
      <c r="Z25" s="132">
        <v>15.982381505579839</v>
      </c>
      <c r="AA25" s="132">
        <v>33.69192308149789</v>
      </c>
      <c r="AB25" s="324"/>
      <c r="AC25" s="133">
        <v>40.68050481577189</v>
      </c>
      <c r="AD25" s="115">
        <v>49.895599919615996</v>
      </c>
      <c r="AE25" s="134">
        <v>15.982381505579839</v>
      </c>
      <c r="AF25" s="307">
        <v>33.845484350189892</v>
      </c>
      <c r="AG25" s="321"/>
      <c r="AH25" s="136">
        <v>4.2541145625838555</v>
      </c>
      <c r="AI25" s="309">
        <v>0</v>
      </c>
      <c r="AJ25" s="92">
        <v>0</v>
      </c>
      <c r="AK25" s="110">
        <v>68.074891651691999</v>
      </c>
      <c r="AL25" s="111">
        <v>0</v>
      </c>
      <c r="AM25" s="112">
        <v>68.074891651691999</v>
      </c>
      <c r="AN25" s="113">
        <v>106.55848624096772</v>
      </c>
      <c r="AO25" s="114">
        <v>174.63337789265972</v>
      </c>
      <c r="AP25" s="115">
        <v>38.09959891277375</v>
      </c>
      <c r="AQ25" s="116">
        <v>0</v>
      </c>
      <c r="AR25" s="310">
        <v>0.30516637630286664</v>
      </c>
      <c r="AS25" s="311" t="s">
        <v>153</v>
      </c>
      <c r="AT25" s="118">
        <v>0.31954320777955419</v>
      </c>
      <c r="AU25" s="119" t="s">
        <v>153</v>
      </c>
      <c r="AV25" s="120">
        <v>0.31954320777955419</v>
      </c>
      <c r="AW25" s="121">
        <v>0.50018501217439693</v>
      </c>
      <c r="AX25" s="122">
        <v>0.81972821995395118</v>
      </c>
      <c r="AY25" s="123">
        <v>0.17883933057129653</v>
      </c>
      <c r="AZ25" s="312" t="s">
        <v>153</v>
      </c>
      <c r="BA25" s="313">
        <v>1.4324494747522207E-3</v>
      </c>
      <c r="BB25" s="314">
        <v>0</v>
      </c>
      <c r="BD25" s="2629" t="s">
        <v>73</v>
      </c>
      <c r="BE25" s="2630">
        <v>213.03814318173636</v>
      </c>
      <c r="BF25" s="2631">
        <v>0.5544737251076769</v>
      </c>
      <c r="BG25" s="2630">
        <v>0</v>
      </c>
      <c r="BH25" s="2630">
        <v>68.074891651691999</v>
      </c>
      <c r="BI25" s="2630">
        <v>0</v>
      </c>
      <c r="BJ25" s="2630">
        <v>68.074891651691999</v>
      </c>
      <c r="BK25" s="2630">
        <v>106.55848624096772</v>
      </c>
      <c r="BL25" s="2630">
        <v>174.63337789265972</v>
      </c>
      <c r="BM25" s="2630">
        <v>38.09959891277375</v>
      </c>
      <c r="BN25" s="2630">
        <v>0</v>
      </c>
      <c r="BO25" s="2630">
        <v>0.30516637630286664</v>
      </c>
      <c r="BP25" s="1"/>
      <c r="BQ25" s="2629" t="s">
        <v>73</v>
      </c>
      <c r="BR25" s="2630">
        <v>213.03814318173636</v>
      </c>
      <c r="BS25" s="2634">
        <v>0.5544737251076769</v>
      </c>
      <c r="BT25" s="2634" t="s">
        <v>153</v>
      </c>
      <c r="BU25" s="2634">
        <v>0.31954320777955419</v>
      </c>
      <c r="BV25" s="2634" t="s">
        <v>153</v>
      </c>
      <c r="BW25" s="2634">
        <v>0.31954320777955419</v>
      </c>
      <c r="BX25" s="2634">
        <v>0.50018501217439693</v>
      </c>
      <c r="BY25" s="2634">
        <v>0.81972821995395118</v>
      </c>
      <c r="BZ25" s="2634">
        <v>0.17883933057129653</v>
      </c>
      <c r="CA25" s="2634" t="s">
        <v>153</v>
      </c>
      <c r="CB25" s="2634">
        <v>1.4324494747522207E-3</v>
      </c>
    </row>
    <row r="26" spans="1:80" ht="14.4" x14ac:dyDescent="0.3">
      <c r="A26" s="8" t="s">
        <v>44</v>
      </c>
      <c r="B26" s="92">
        <v>93.583181505307948</v>
      </c>
      <c r="C26" s="93">
        <v>1</v>
      </c>
      <c r="D26" s="137">
        <v>93.583181505307948</v>
      </c>
      <c r="E26" s="299">
        <v>1</v>
      </c>
      <c r="F26" s="144">
        <v>0</v>
      </c>
      <c r="G26" s="126">
        <v>0</v>
      </c>
      <c r="H26" s="139">
        <v>0</v>
      </c>
      <c r="I26" s="126">
        <v>0</v>
      </c>
      <c r="J26" s="300"/>
      <c r="K26" s="127">
        <v>0</v>
      </c>
      <c r="L26" s="301">
        <v>93.583181505307948</v>
      </c>
      <c r="M26" s="128">
        <v>0</v>
      </c>
      <c r="N26" s="302">
        <v>80.235502012227585</v>
      </c>
      <c r="O26" s="110">
        <v>0</v>
      </c>
      <c r="P26" s="303">
        <v>7.7936235400273466</v>
      </c>
      <c r="Q26" s="303">
        <v>5.5540559530530151</v>
      </c>
      <c r="R26" s="129">
        <v>0</v>
      </c>
      <c r="S26" s="318">
        <v>0</v>
      </c>
      <c r="T26" s="132">
        <v>0</v>
      </c>
      <c r="U26" s="132"/>
      <c r="V26" s="323"/>
      <c r="W26" s="323"/>
      <c r="X26" s="323"/>
      <c r="Y26" s="323"/>
      <c r="Z26" s="132">
        <v>0</v>
      </c>
      <c r="AA26" s="132">
        <v>0</v>
      </c>
      <c r="AB26" s="324"/>
      <c r="AC26" s="133">
        <v>0</v>
      </c>
      <c r="AD26" s="115">
        <v>7.7936235400273466</v>
      </c>
      <c r="AE26" s="134">
        <v>0</v>
      </c>
      <c r="AF26" s="307">
        <v>5.5540559530530151</v>
      </c>
      <c r="AG26" s="321"/>
      <c r="AH26" s="136">
        <v>0</v>
      </c>
      <c r="AI26" s="309">
        <v>0</v>
      </c>
      <c r="AJ26" s="92">
        <v>0</v>
      </c>
      <c r="AK26" s="110">
        <v>80.235502012227585</v>
      </c>
      <c r="AL26" s="111">
        <v>0</v>
      </c>
      <c r="AM26" s="112">
        <v>80.235502012227585</v>
      </c>
      <c r="AN26" s="113">
        <v>7.7936235400273466</v>
      </c>
      <c r="AO26" s="114">
        <v>88.029125552254925</v>
      </c>
      <c r="AP26" s="115">
        <v>5.5540559530530151</v>
      </c>
      <c r="AQ26" s="116">
        <v>0</v>
      </c>
      <c r="AR26" s="310">
        <v>0</v>
      </c>
      <c r="AS26" s="311" t="s">
        <v>153</v>
      </c>
      <c r="AT26" s="118">
        <v>0.85737095834550892</v>
      </c>
      <c r="AU26" s="119" t="s">
        <v>153</v>
      </c>
      <c r="AV26" s="120">
        <v>0.85737095834550892</v>
      </c>
      <c r="AW26" s="121">
        <v>8.3280172939891983E-2</v>
      </c>
      <c r="AX26" s="122">
        <v>0.9406511312854009</v>
      </c>
      <c r="AY26" s="123">
        <v>5.9348868714599046E-2</v>
      </c>
      <c r="AZ26" s="312" t="s">
        <v>153</v>
      </c>
      <c r="BA26" s="313" t="s">
        <v>153</v>
      </c>
      <c r="BB26" s="314">
        <v>0</v>
      </c>
      <c r="BD26" s="2629" t="s">
        <v>44</v>
      </c>
      <c r="BE26" s="2630">
        <v>93.583181505307948</v>
      </c>
      <c r="BF26" s="2631">
        <v>1</v>
      </c>
      <c r="BG26" s="2630">
        <v>0</v>
      </c>
      <c r="BH26" s="2630">
        <v>80.235502012227585</v>
      </c>
      <c r="BI26" s="2630">
        <v>0</v>
      </c>
      <c r="BJ26" s="2630">
        <v>80.235502012227585</v>
      </c>
      <c r="BK26" s="2630">
        <v>7.7936235400273466</v>
      </c>
      <c r="BL26" s="2630">
        <v>88.029125552254925</v>
      </c>
      <c r="BM26" s="2630">
        <v>5.5540559530530151</v>
      </c>
      <c r="BN26" s="2630">
        <v>0</v>
      </c>
      <c r="BO26" s="2630">
        <v>0</v>
      </c>
      <c r="BP26" s="1"/>
      <c r="BQ26" s="2629" t="s">
        <v>44</v>
      </c>
      <c r="BR26" s="2630">
        <v>93.583181505307948</v>
      </c>
      <c r="BS26" s="2634">
        <v>1</v>
      </c>
      <c r="BT26" s="2634" t="s">
        <v>153</v>
      </c>
      <c r="BU26" s="2634">
        <v>0.85737095834550892</v>
      </c>
      <c r="BV26" s="2634" t="s">
        <v>153</v>
      </c>
      <c r="BW26" s="2634">
        <v>0.85737095834550892</v>
      </c>
      <c r="BX26" s="2634">
        <v>8.3280172939891983E-2</v>
      </c>
      <c r="BY26" s="2634">
        <v>0.9406511312854009</v>
      </c>
      <c r="BZ26" s="2634">
        <v>5.9348868714599046E-2</v>
      </c>
      <c r="CA26" s="2634" t="s">
        <v>153</v>
      </c>
      <c r="CB26" s="2634" t="s">
        <v>153</v>
      </c>
    </row>
    <row r="27" spans="1:80" ht="14.4" x14ac:dyDescent="0.3">
      <c r="A27" s="8" t="s">
        <v>119</v>
      </c>
      <c r="B27" s="92">
        <v>0</v>
      </c>
      <c r="C27" s="93">
        <v>0</v>
      </c>
      <c r="D27" s="137">
        <v>0</v>
      </c>
      <c r="E27" s="299">
        <v>0</v>
      </c>
      <c r="F27" s="144">
        <v>0.1762084492519371</v>
      </c>
      <c r="G27" s="126">
        <v>50391.24105815903</v>
      </c>
      <c r="H27" s="139">
        <v>9.1700000000000004E-2</v>
      </c>
      <c r="I27" s="126">
        <v>4835.3456024095685</v>
      </c>
      <c r="J27" s="300"/>
      <c r="K27" s="326">
        <v>55226.586660568602</v>
      </c>
      <c r="L27" s="327">
        <v>55226.586660568602</v>
      </c>
      <c r="M27" s="328">
        <v>0</v>
      </c>
      <c r="N27" s="329">
        <v>0</v>
      </c>
      <c r="O27" s="330">
        <v>0</v>
      </c>
      <c r="P27" s="331">
        <v>0</v>
      </c>
      <c r="Q27" s="331">
        <v>0</v>
      </c>
      <c r="R27" s="332">
        <v>0</v>
      </c>
      <c r="S27" s="318">
        <v>177.56370277692153</v>
      </c>
      <c r="T27" s="316">
        <v>28903.424952021116</v>
      </c>
      <c r="U27" s="316"/>
      <c r="V27" s="132">
        <v>6794.2712130006366</v>
      </c>
      <c r="W27" s="316">
        <v>963.3491381519807</v>
      </c>
      <c r="X27" s="132">
        <v>1983.9941492711714</v>
      </c>
      <c r="Y27" s="316">
        <v>8574.518663719602</v>
      </c>
      <c r="Z27" s="316">
        <v>3286.366730286044</v>
      </c>
      <c r="AA27" s="316">
        <v>7300.9250575916931</v>
      </c>
      <c r="AB27" s="317"/>
      <c r="AC27" s="333">
        <v>23670.304551356927</v>
      </c>
      <c r="AD27" s="334">
        <v>0</v>
      </c>
      <c r="AE27" s="335">
        <v>12064.632092557851</v>
      </c>
      <c r="AF27" s="336">
        <v>16838.792859463276</v>
      </c>
      <c r="AG27" s="337"/>
      <c r="AH27" s="338">
        <v>2475.2934544136224</v>
      </c>
      <c r="AI27" s="339">
        <v>0</v>
      </c>
      <c r="AJ27" s="92">
        <v>0</v>
      </c>
      <c r="AK27" s="110">
        <v>0</v>
      </c>
      <c r="AL27" s="111">
        <v>0</v>
      </c>
      <c r="AM27" s="112">
        <v>0</v>
      </c>
      <c r="AN27" s="113">
        <v>35734.936643914778</v>
      </c>
      <c r="AO27" s="114">
        <v>35734.936643914778</v>
      </c>
      <c r="AP27" s="115">
        <v>19314.086313876898</v>
      </c>
      <c r="AQ27" s="116">
        <v>0</v>
      </c>
      <c r="AR27" s="310">
        <v>177.56370277692153</v>
      </c>
      <c r="AS27" s="311" t="s">
        <v>153</v>
      </c>
      <c r="AT27" s="118" t="s">
        <v>153</v>
      </c>
      <c r="AU27" s="119" t="s">
        <v>153</v>
      </c>
      <c r="AV27" s="120" t="s">
        <v>153</v>
      </c>
      <c r="AW27" s="121">
        <v>0.64706038893092177</v>
      </c>
      <c r="AX27" s="122">
        <v>0.64706038893092177</v>
      </c>
      <c r="AY27" s="123">
        <v>0.34972442589262936</v>
      </c>
      <c r="AZ27" s="312" t="s">
        <v>153</v>
      </c>
      <c r="BA27" s="313">
        <v>3.2151851764487334E-3</v>
      </c>
      <c r="BB27" s="314">
        <v>0</v>
      </c>
      <c r="BD27" s="2629" t="s">
        <v>119</v>
      </c>
      <c r="BE27" s="2630">
        <v>55226.586660568602</v>
      </c>
      <c r="BF27" s="2631">
        <v>0</v>
      </c>
      <c r="BG27" s="2630">
        <v>0</v>
      </c>
      <c r="BH27" s="2630">
        <v>0</v>
      </c>
      <c r="BI27" s="2630">
        <v>0</v>
      </c>
      <c r="BJ27" s="2630">
        <v>0</v>
      </c>
      <c r="BK27" s="2630">
        <v>35734.936643914778</v>
      </c>
      <c r="BL27" s="2630">
        <v>35734.936643914778</v>
      </c>
      <c r="BM27" s="2630">
        <v>19314.086313876898</v>
      </c>
      <c r="BN27" s="2630">
        <v>0</v>
      </c>
      <c r="BO27" s="2630">
        <v>177.56370277692153</v>
      </c>
      <c r="BP27" s="1"/>
      <c r="BQ27" s="2629" t="s">
        <v>119</v>
      </c>
      <c r="BR27" s="2630">
        <v>55226.586660568602</v>
      </c>
      <c r="BS27" s="2634">
        <v>0</v>
      </c>
      <c r="BT27" s="2634" t="s">
        <v>153</v>
      </c>
      <c r="BU27" s="2634" t="s">
        <v>153</v>
      </c>
      <c r="BV27" s="2634" t="s">
        <v>153</v>
      </c>
      <c r="BW27" s="2634" t="s">
        <v>153</v>
      </c>
      <c r="BX27" s="2634">
        <v>0.64706038893092177</v>
      </c>
      <c r="BY27" s="2634">
        <v>0.64706038893092177</v>
      </c>
      <c r="BZ27" s="2634">
        <v>0.34972442589262936</v>
      </c>
      <c r="CA27" s="2634" t="s">
        <v>153</v>
      </c>
      <c r="CB27" s="2634">
        <v>3.2151851764487334E-3</v>
      </c>
    </row>
    <row r="28" spans="1:80" ht="14.4" x14ac:dyDescent="0.3">
      <c r="A28" s="154" t="s">
        <v>82</v>
      </c>
      <c r="B28" s="92">
        <v>77525.972499999989</v>
      </c>
      <c r="C28" s="93">
        <v>0.96677452230931726</v>
      </c>
      <c r="D28" s="137">
        <v>77525.972499999989</v>
      </c>
      <c r="E28" s="299">
        <v>0.96677452230931726</v>
      </c>
      <c r="F28" s="144">
        <v>9.0770577018874504E-3</v>
      </c>
      <c r="G28" s="126">
        <v>2595.8131105316515</v>
      </c>
      <c r="H28" s="139">
        <v>1.2999999999999999E-3</v>
      </c>
      <c r="I28" s="126">
        <v>68.54906524680959</v>
      </c>
      <c r="J28" s="300"/>
      <c r="K28" s="127">
        <v>2664.3621757784613</v>
      </c>
      <c r="L28" s="301">
        <v>80190.334675778446</v>
      </c>
      <c r="M28" s="128">
        <v>0</v>
      </c>
      <c r="N28" s="302">
        <v>73649.673874999993</v>
      </c>
      <c r="O28" s="110">
        <v>0</v>
      </c>
      <c r="P28" s="303">
        <v>0</v>
      </c>
      <c r="Q28" s="303">
        <v>3876.2986249999994</v>
      </c>
      <c r="R28" s="129">
        <v>0</v>
      </c>
      <c r="S28" s="318">
        <v>8.5664177722536028</v>
      </c>
      <c r="T28" s="132">
        <v>1394.4224484835033</v>
      </c>
      <c r="U28" s="132"/>
      <c r="V28" s="132"/>
      <c r="W28" s="132"/>
      <c r="X28" s="323"/>
      <c r="Y28" s="323"/>
      <c r="Z28" s="132">
        <v>448.6462716864209</v>
      </c>
      <c r="AA28" s="132">
        <v>945.77617679708248</v>
      </c>
      <c r="AB28" s="324"/>
      <c r="AC28" s="133">
        <v>1141.9547712301589</v>
      </c>
      <c r="AD28" s="115">
        <v>0</v>
      </c>
      <c r="AE28" s="134">
        <v>448.6462716864209</v>
      </c>
      <c r="AF28" s="307">
        <v>4822.0748017970818</v>
      </c>
      <c r="AG28" s="321"/>
      <c r="AH28" s="136">
        <v>119.41853829254542</v>
      </c>
      <c r="AI28" s="309">
        <v>0</v>
      </c>
      <c r="AJ28" s="92">
        <v>0</v>
      </c>
      <c r="AK28" s="110">
        <v>73649.673874999993</v>
      </c>
      <c r="AL28" s="111">
        <v>0</v>
      </c>
      <c r="AM28" s="112">
        <v>73649.673874999993</v>
      </c>
      <c r="AN28" s="113">
        <v>1590.6010429165799</v>
      </c>
      <c r="AO28" s="114">
        <v>75240.274917916569</v>
      </c>
      <c r="AP28" s="115">
        <v>4941.4933400896271</v>
      </c>
      <c r="AQ28" s="116">
        <v>0</v>
      </c>
      <c r="AR28" s="310">
        <v>8.5664177722536028</v>
      </c>
      <c r="AS28" s="311" t="s">
        <v>153</v>
      </c>
      <c r="AT28" s="118">
        <v>0.91843579619385152</v>
      </c>
      <c r="AU28" s="119" t="s">
        <v>153</v>
      </c>
      <c r="AV28" s="120">
        <v>0.91843579619385152</v>
      </c>
      <c r="AW28" s="121">
        <v>1.9835321168662264E-2</v>
      </c>
      <c r="AX28" s="122">
        <v>0.93827111736251367</v>
      </c>
      <c r="AY28" s="123">
        <v>6.1622056574134852E-2</v>
      </c>
      <c r="AZ28" s="312" t="s">
        <v>153</v>
      </c>
      <c r="BA28" s="313">
        <v>1.0682606335151132E-4</v>
      </c>
      <c r="BB28" s="314">
        <v>0</v>
      </c>
      <c r="BD28" s="2628" t="s">
        <v>1473</v>
      </c>
      <c r="BE28" s="2632">
        <v>544872.4441215538</v>
      </c>
      <c r="BF28" s="2633">
        <v>0.38326692666729095</v>
      </c>
      <c r="BG28" s="2632">
        <v>4462.934149129911</v>
      </c>
      <c r="BH28" s="2632">
        <v>175174.53115551837</v>
      </c>
      <c r="BI28" s="2632">
        <v>13297.267304666057</v>
      </c>
      <c r="BJ28" s="2632">
        <v>192934.73260931432</v>
      </c>
      <c r="BK28" s="2632">
        <v>213186.5310446067</v>
      </c>
      <c r="BL28" s="2632">
        <v>406121.26365392102</v>
      </c>
      <c r="BM28" s="2632">
        <v>99657.932194268869</v>
      </c>
      <c r="BN28" s="2632">
        <v>38012.814691135995</v>
      </c>
      <c r="BO28" s="2632">
        <v>1080.4335822277462</v>
      </c>
      <c r="BP28" s="1"/>
      <c r="BQ28" s="2628" t="s">
        <v>1473</v>
      </c>
      <c r="BR28" s="2632">
        <v>544872.4441215538</v>
      </c>
      <c r="BS28" s="2635">
        <v>0.38326692666729095</v>
      </c>
      <c r="BT28" s="2635">
        <v>8.1907870314951916E-3</v>
      </c>
      <c r="BU28" s="2635">
        <v>0.32149640350767905</v>
      </c>
      <c r="BV28" s="2635">
        <v>2.4404367385662127E-2</v>
      </c>
      <c r="BW28" s="2635">
        <v>0.35409155792483632</v>
      </c>
      <c r="BX28" s="2635">
        <v>0.39125952017688681</v>
      </c>
      <c r="BY28" s="2635">
        <v>0.74535107810172319</v>
      </c>
      <c r="BZ28" s="2635">
        <v>0.18290139879424056</v>
      </c>
      <c r="CA28" s="2635">
        <v>6.9764612068831E-2</v>
      </c>
      <c r="CB28" s="2635">
        <v>1.9829110352049956E-3</v>
      </c>
    </row>
    <row r="29" spans="1:80" ht="17.100000000000001" customHeight="1" x14ac:dyDescent="0.3">
      <c r="A29" s="155" t="s">
        <v>20</v>
      </c>
      <c r="B29" s="92">
        <v>4313.4359999999997</v>
      </c>
      <c r="C29" s="93">
        <v>0.15867395615268076</v>
      </c>
      <c r="D29" s="137">
        <v>4313.4359999999997</v>
      </c>
      <c r="E29" s="299">
        <v>0.15867395615268076</v>
      </c>
      <c r="F29" s="144">
        <v>6.9246320076639736E-2</v>
      </c>
      <c r="G29" s="126">
        <v>19802.728088159656</v>
      </c>
      <c r="H29" s="139">
        <v>0</v>
      </c>
      <c r="I29" s="126">
        <v>3068.1080166430029</v>
      </c>
      <c r="J29" s="126"/>
      <c r="K29" s="127">
        <v>22870.83610480266</v>
      </c>
      <c r="L29" s="301">
        <v>27184.272104802658</v>
      </c>
      <c r="M29" s="128">
        <v>0</v>
      </c>
      <c r="N29" s="302">
        <v>0</v>
      </c>
      <c r="O29" s="110">
        <v>4175.3113339432748</v>
      </c>
      <c r="P29" s="303">
        <v>0</v>
      </c>
      <c r="Q29" s="303">
        <v>138.12466605672461</v>
      </c>
      <c r="R29" s="129">
        <v>0</v>
      </c>
      <c r="S29" s="318">
        <v>73.533973217149992</v>
      </c>
      <c r="T29" s="132">
        <v>4807.6744755911468</v>
      </c>
      <c r="U29" s="323"/>
      <c r="V29" s="132">
        <v>4298.3025534659882</v>
      </c>
      <c r="W29" s="132">
        <v>509.37192212515811</v>
      </c>
      <c r="X29" s="323"/>
      <c r="Y29" s="323"/>
      <c r="Z29" s="323"/>
      <c r="AA29" s="323"/>
      <c r="AB29" s="324">
        <v>7162.0222758671589</v>
      </c>
      <c r="AC29" s="133">
        <v>9802.5188352148471</v>
      </c>
      <c r="AD29" s="115">
        <v>0</v>
      </c>
      <c r="AE29" s="134">
        <v>4298.3025534659882</v>
      </c>
      <c r="AF29" s="307">
        <v>647.49658818188277</v>
      </c>
      <c r="AG29" s="321"/>
      <c r="AH29" s="136">
        <v>1025.0865449123548</v>
      </c>
      <c r="AI29" s="309">
        <v>7162.0222758671589</v>
      </c>
      <c r="AJ29" s="92">
        <v>0</v>
      </c>
      <c r="AK29" s="110">
        <v>0</v>
      </c>
      <c r="AL29" s="111">
        <v>4175.3113339432748</v>
      </c>
      <c r="AM29" s="112">
        <v>4175.3113339432748</v>
      </c>
      <c r="AN29" s="113">
        <v>14100.821388680835</v>
      </c>
      <c r="AO29" s="114">
        <v>18276.132722624112</v>
      </c>
      <c r="AP29" s="115">
        <v>1672.5831330942376</v>
      </c>
      <c r="AQ29" s="116">
        <v>7162.0222758671589</v>
      </c>
      <c r="AR29" s="310">
        <v>73.533973217149992</v>
      </c>
      <c r="AS29" s="311" t="s">
        <v>153</v>
      </c>
      <c r="AT29" s="118" t="s">
        <v>153</v>
      </c>
      <c r="AU29" s="119">
        <v>0.15359290540671203</v>
      </c>
      <c r="AV29" s="120">
        <v>0.15359290540671203</v>
      </c>
      <c r="AW29" s="121">
        <v>0.51871248692326166</v>
      </c>
      <c r="AX29" s="122">
        <v>0.67230539232997377</v>
      </c>
      <c r="AY29" s="123">
        <v>6.1527604147206191E-2</v>
      </c>
      <c r="AZ29" s="312">
        <v>0.26346198449808195</v>
      </c>
      <c r="BA29" s="340"/>
      <c r="BB29" s="314">
        <v>0</v>
      </c>
      <c r="BD29" s="2629" t="s">
        <v>39</v>
      </c>
      <c r="BE29" s="2630">
        <v>80190.334675778446</v>
      </c>
      <c r="BF29" s="2631">
        <v>0.96677452230931726</v>
      </c>
      <c r="BG29" s="2630">
        <v>0</v>
      </c>
      <c r="BH29" s="2630">
        <v>73649.673874999993</v>
      </c>
      <c r="BI29" s="2630">
        <v>0</v>
      </c>
      <c r="BJ29" s="2630">
        <v>73649.673874999993</v>
      </c>
      <c r="BK29" s="2630">
        <v>1590.6010429165799</v>
      </c>
      <c r="BL29" s="2630">
        <v>75240.274917916569</v>
      </c>
      <c r="BM29" s="2630">
        <v>4941.4933400896271</v>
      </c>
      <c r="BN29" s="2630">
        <v>0</v>
      </c>
      <c r="BO29" s="2630">
        <v>8.5664177722536028</v>
      </c>
      <c r="BQ29" s="2629" t="s">
        <v>39</v>
      </c>
      <c r="BR29" s="2630">
        <v>80190.334675778446</v>
      </c>
      <c r="BS29" s="2634">
        <v>0.96677452230931726</v>
      </c>
      <c r="BT29" s="2634">
        <v>0</v>
      </c>
      <c r="BU29" s="2634">
        <v>0.1351686521672763</v>
      </c>
      <c r="BV29" s="2634">
        <v>0</v>
      </c>
      <c r="BW29" s="2634">
        <v>0.1351686521672763</v>
      </c>
      <c r="BX29" s="2634">
        <v>2.919217259153113E-3</v>
      </c>
      <c r="BY29" s="2634">
        <v>0.13808786942642939</v>
      </c>
      <c r="BZ29" s="2634">
        <v>9.069082853063579E-3</v>
      </c>
      <c r="CA29" s="2634">
        <v>0</v>
      </c>
      <c r="CB29" s="2634">
        <v>1.5721877413096979E-5</v>
      </c>
    </row>
    <row r="30" spans="1:80" ht="14.4" x14ac:dyDescent="0.3">
      <c r="A30" s="155" t="s">
        <v>24</v>
      </c>
      <c r="B30" s="92">
        <v>9423.7219999999998</v>
      </c>
      <c r="C30" s="93">
        <v>8.0889114458079558E-2</v>
      </c>
      <c r="D30" s="137">
        <v>9423.7219999999998</v>
      </c>
      <c r="E30" s="299">
        <v>8.0889114458079558E-2</v>
      </c>
      <c r="F30" s="144">
        <v>0.324201449211791</v>
      </c>
      <c r="G30" s="126">
        <v>92713.564235945785</v>
      </c>
      <c r="H30" s="139">
        <v>0</v>
      </c>
      <c r="I30" s="126">
        <v>14364.446576122575</v>
      </c>
      <c r="J30" s="126"/>
      <c r="K30" s="127">
        <v>107078.01081206836</v>
      </c>
      <c r="L30" s="301">
        <v>116501.73281206835</v>
      </c>
      <c r="M30" s="128">
        <v>0</v>
      </c>
      <c r="N30" s="302">
        <v>0</v>
      </c>
      <c r="O30" s="110">
        <v>9121.95597072278</v>
      </c>
      <c r="P30" s="303">
        <v>0</v>
      </c>
      <c r="Q30" s="303">
        <v>301.76602927721871</v>
      </c>
      <c r="R30" s="129">
        <v>0</v>
      </c>
      <c r="S30" s="318">
        <v>344.27563308657938</v>
      </c>
      <c r="T30" s="132">
        <v>25346.644772738146</v>
      </c>
      <c r="U30" s="323"/>
      <c r="V30" s="132">
        <v>22661.174025319098</v>
      </c>
      <c r="W30" s="132">
        <v>2685.4707474190445</v>
      </c>
      <c r="X30" s="323"/>
      <c r="Y30" s="323"/>
      <c r="Z30" s="323"/>
      <c r="AA30" s="323"/>
      <c r="AB30" s="324">
        <v>30693.777724132833</v>
      </c>
      <c r="AC30" s="133">
        <v>45894.002869542048</v>
      </c>
      <c r="AD30" s="115">
        <v>0</v>
      </c>
      <c r="AE30" s="134">
        <v>22661.174025319098</v>
      </c>
      <c r="AF30" s="307">
        <v>2987.2367766962634</v>
      </c>
      <c r="AG30" s="321"/>
      <c r="AH30" s="136">
        <v>4799.3098125687438</v>
      </c>
      <c r="AI30" s="309">
        <v>30693.777724132833</v>
      </c>
      <c r="AJ30" s="92">
        <v>0</v>
      </c>
      <c r="AK30" s="110">
        <v>0</v>
      </c>
      <c r="AL30" s="111">
        <v>9121.95597072278</v>
      </c>
      <c r="AM30" s="112">
        <v>9121.95597072278</v>
      </c>
      <c r="AN30" s="113">
        <v>68555.176894861143</v>
      </c>
      <c r="AO30" s="114">
        <v>77677.132865583917</v>
      </c>
      <c r="AP30" s="115">
        <v>7786.5465892650072</v>
      </c>
      <c r="AQ30" s="116">
        <v>30693.777724132833</v>
      </c>
      <c r="AR30" s="310">
        <v>344.27563308657938</v>
      </c>
      <c r="AS30" s="311" t="s">
        <v>153</v>
      </c>
      <c r="AT30" s="118" t="s">
        <v>153</v>
      </c>
      <c r="AU30" s="119">
        <v>7.8298886639202342E-2</v>
      </c>
      <c r="AV30" s="120">
        <v>7.8298886639202342E-2</v>
      </c>
      <c r="AW30" s="121">
        <v>0.58844770150714487</v>
      </c>
      <c r="AX30" s="122">
        <v>0.66674658814634713</v>
      </c>
      <c r="AY30" s="123">
        <v>6.6836315660863746E-2</v>
      </c>
      <c r="AZ30" s="312">
        <v>0.26346198449808189</v>
      </c>
      <c r="BA30" s="340"/>
      <c r="BB30" s="314">
        <v>0</v>
      </c>
      <c r="BD30" s="2629" t="s">
        <v>1474</v>
      </c>
      <c r="BE30" s="2630">
        <v>625062.7787973322</v>
      </c>
      <c r="BF30" s="2631">
        <v>0.4581260783678987</v>
      </c>
      <c r="BG30" s="2630">
        <v>4462.934149129911</v>
      </c>
      <c r="BH30" s="2630">
        <v>248824.20503051838</v>
      </c>
      <c r="BI30" s="2630">
        <v>13297.267304666057</v>
      </c>
      <c r="BJ30" s="2630">
        <v>266584.40648431436</v>
      </c>
      <c r="BK30" s="2630">
        <v>214777.13208752329</v>
      </c>
      <c r="BL30" s="2630">
        <v>481361.53857183765</v>
      </c>
      <c r="BM30" s="2630">
        <v>104599.42553435848</v>
      </c>
      <c r="BN30" s="2630">
        <v>38012.814691135995</v>
      </c>
      <c r="BO30" s="2630">
        <v>1088.9999999999998</v>
      </c>
      <c r="BQ30" s="2629" t="s">
        <v>1474</v>
      </c>
      <c r="BR30" s="2630">
        <v>625062.7787973322</v>
      </c>
      <c r="BS30" s="2634">
        <v>0.4581260783678987</v>
      </c>
      <c r="BT30" s="2634">
        <v>7.1399774558916019E-3</v>
      </c>
      <c r="BU30" s="2634">
        <v>0.39807874260130299</v>
      </c>
      <c r="BV30" s="2634">
        <v>2.127349084879282E-2</v>
      </c>
      <c r="BW30" s="2634">
        <v>0.42649221090598738</v>
      </c>
      <c r="BX30" s="2634">
        <v>0.34360889717472964</v>
      </c>
      <c r="BY30" s="2634">
        <v>0.77010110808071708</v>
      </c>
      <c r="BZ30" s="2634">
        <v>0.16734227198044913</v>
      </c>
      <c r="CA30" s="2634">
        <v>6.081439493849803E-2</v>
      </c>
      <c r="CB30" s="2634">
        <v>1.7422250003356747E-3</v>
      </c>
    </row>
    <row r="31" spans="1:80" ht="14.4" x14ac:dyDescent="0.3">
      <c r="A31" s="155" t="s">
        <v>238</v>
      </c>
      <c r="B31" s="92">
        <v>0</v>
      </c>
      <c r="C31" s="93" t="s">
        <v>153</v>
      </c>
      <c r="D31" s="137"/>
      <c r="E31" s="299" t="s">
        <v>153</v>
      </c>
      <c r="F31" s="144">
        <v>0</v>
      </c>
      <c r="G31" s="126">
        <v>0</v>
      </c>
      <c r="H31" s="139">
        <v>0</v>
      </c>
      <c r="I31" s="126">
        <v>0</v>
      </c>
      <c r="J31" s="126"/>
      <c r="K31" s="127">
        <v>0</v>
      </c>
      <c r="L31" s="301">
        <v>0</v>
      </c>
      <c r="M31" s="128">
        <v>0</v>
      </c>
      <c r="N31" s="302">
        <v>0</v>
      </c>
      <c r="O31" s="110">
        <v>0</v>
      </c>
      <c r="P31" s="303">
        <v>0</v>
      </c>
      <c r="Q31" s="303">
        <v>0</v>
      </c>
      <c r="R31" s="129">
        <v>0</v>
      </c>
      <c r="S31" s="318">
        <v>0</v>
      </c>
      <c r="T31" s="132">
        <v>0</v>
      </c>
      <c r="U31" s="323"/>
      <c r="V31" s="323"/>
      <c r="W31" s="132"/>
      <c r="X31" s="323"/>
      <c r="Y31" s="323"/>
      <c r="Z31" s="323"/>
      <c r="AA31" s="323"/>
      <c r="AB31" s="320"/>
      <c r="AC31" s="133"/>
      <c r="AD31" s="115"/>
      <c r="AE31" s="134"/>
      <c r="AF31" s="307"/>
      <c r="AG31" s="321"/>
      <c r="AH31" s="136"/>
      <c r="AI31" s="309"/>
      <c r="AJ31" s="92">
        <v>0</v>
      </c>
      <c r="AK31" s="110">
        <v>0</v>
      </c>
      <c r="AL31" s="111">
        <v>0</v>
      </c>
      <c r="AM31" s="112">
        <v>0</v>
      </c>
      <c r="AN31" s="113">
        <v>0</v>
      </c>
      <c r="AO31" s="114">
        <v>0</v>
      </c>
      <c r="AP31" s="115">
        <v>0</v>
      </c>
      <c r="AQ31" s="116">
        <v>0</v>
      </c>
      <c r="AR31" s="310">
        <v>0</v>
      </c>
      <c r="AS31" s="311" t="s">
        <v>153</v>
      </c>
      <c r="AT31" s="118" t="s">
        <v>153</v>
      </c>
      <c r="AU31" s="119" t="s">
        <v>153</v>
      </c>
      <c r="AV31" s="120" t="s">
        <v>153</v>
      </c>
      <c r="AW31" s="121" t="s">
        <v>153</v>
      </c>
      <c r="AX31" s="122" t="s">
        <v>153</v>
      </c>
      <c r="AY31" s="123" t="s">
        <v>153</v>
      </c>
      <c r="AZ31" s="312" t="s">
        <v>153</v>
      </c>
      <c r="BA31" s="340"/>
      <c r="BB31" s="314">
        <v>0</v>
      </c>
    </row>
    <row r="32" spans="1:80" ht="14.4" x14ac:dyDescent="0.3">
      <c r="A32" s="155" t="s">
        <v>239</v>
      </c>
      <c r="B32" s="92">
        <v>5682.8864072235347</v>
      </c>
      <c r="C32" s="93">
        <v>1</v>
      </c>
      <c r="D32" s="137"/>
      <c r="E32" s="299">
        <v>0</v>
      </c>
      <c r="F32" s="144">
        <v>0</v>
      </c>
      <c r="G32" s="126">
        <v>0</v>
      </c>
      <c r="H32" s="139">
        <v>0</v>
      </c>
      <c r="I32" s="126">
        <v>0</v>
      </c>
      <c r="J32" s="126"/>
      <c r="K32" s="127">
        <v>0</v>
      </c>
      <c r="L32" s="301">
        <v>5682.8864072235347</v>
      </c>
      <c r="M32" s="128">
        <v>0</v>
      </c>
      <c r="N32" s="302">
        <v>0</v>
      </c>
      <c r="O32" s="110">
        <v>0</v>
      </c>
      <c r="P32" s="303">
        <v>0</v>
      </c>
      <c r="Q32" s="303">
        <v>0</v>
      </c>
      <c r="R32" s="129">
        <v>0</v>
      </c>
      <c r="S32" s="318">
        <v>0</v>
      </c>
      <c r="T32" s="132">
        <v>0</v>
      </c>
      <c r="U32" s="323"/>
      <c r="V32" s="323"/>
      <c r="W32" s="323"/>
      <c r="X32" s="323"/>
      <c r="Y32" s="323"/>
      <c r="Z32" s="323"/>
      <c r="AA32" s="323"/>
      <c r="AB32" s="320"/>
      <c r="AC32" s="133"/>
      <c r="AD32" s="115"/>
      <c r="AE32" s="134"/>
      <c r="AF32" s="307"/>
      <c r="AG32" s="321"/>
      <c r="AH32" s="136"/>
      <c r="AI32" s="309"/>
      <c r="AJ32" s="92">
        <v>0</v>
      </c>
      <c r="AK32" s="110">
        <v>0</v>
      </c>
      <c r="AL32" s="111">
        <v>0</v>
      </c>
      <c r="AM32" s="112">
        <v>0</v>
      </c>
      <c r="AN32" s="113">
        <v>0</v>
      </c>
      <c r="AO32" s="114">
        <v>0</v>
      </c>
      <c r="AP32" s="115">
        <v>0</v>
      </c>
      <c r="AQ32" s="116">
        <v>0</v>
      </c>
      <c r="AR32" s="310">
        <v>0</v>
      </c>
      <c r="AS32" s="311" t="s">
        <v>153</v>
      </c>
      <c r="AT32" s="118" t="s">
        <v>153</v>
      </c>
      <c r="AU32" s="119" t="s">
        <v>153</v>
      </c>
      <c r="AV32" s="120" t="s">
        <v>153</v>
      </c>
      <c r="AW32" s="121" t="s">
        <v>153</v>
      </c>
      <c r="AX32" s="122" t="s">
        <v>153</v>
      </c>
      <c r="AY32" s="123" t="s">
        <v>153</v>
      </c>
      <c r="AZ32" s="312" t="s">
        <v>153</v>
      </c>
      <c r="BA32" s="340"/>
      <c r="BB32" s="314"/>
    </row>
    <row r="33" spans="1:54" ht="27" x14ac:dyDescent="0.3">
      <c r="A33" s="155" t="s">
        <v>240</v>
      </c>
      <c r="B33" s="92">
        <v>2145.6158935399812</v>
      </c>
      <c r="C33" s="93">
        <v>1</v>
      </c>
      <c r="D33" s="137"/>
      <c r="E33" s="299">
        <v>0</v>
      </c>
      <c r="F33" s="144">
        <v>0</v>
      </c>
      <c r="G33" s="126">
        <v>0</v>
      </c>
      <c r="H33" s="139">
        <v>0</v>
      </c>
      <c r="I33" s="126">
        <v>0</v>
      </c>
      <c r="J33" s="126"/>
      <c r="K33" s="127">
        <v>0</v>
      </c>
      <c r="L33" s="301">
        <v>2145.6158935399812</v>
      </c>
      <c r="M33" s="128">
        <v>0</v>
      </c>
      <c r="N33" s="302">
        <v>0</v>
      </c>
      <c r="O33" s="110">
        <v>0</v>
      </c>
      <c r="P33" s="303">
        <v>0</v>
      </c>
      <c r="Q33" s="303">
        <v>0</v>
      </c>
      <c r="R33" s="129">
        <v>0</v>
      </c>
      <c r="S33" s="318">
        <v>0</v>
      </c>
      <c r="T33" s="132">
        <v>0</v>
      </c>
      <c r="U33" s="323"/>
      <c r="V33" s="323"/>
      <c r="W33" s="323"/>
      <c r="X33" s="323"/>
      <c r="Y33" s="323"/>
      <c r="Z33" s="323"/>
      <c r="AA33" s="323"/>
      <c r="AB33" s="320"/>
      <c r="AC33" s="133"/>
      <c r="AD33" s="115"/>
      <c r="AE33" s="134"/>
      <c r="AF33" s="307"/>
      <c r="AG33" s="321"/>
      <c r="AH33" s="136"/>
      <c r="AI33" s="309"/>
      <c r="AJ33" s="92">
        <v>0</v>
      </c>
      <c r="AK33" s="110">
        <v>0</v>
      </c>
      <c r="AL33" s="111">
        <v>0</v>
      </c>
      <c r="AM33" s="112">
        <v>0</v>
      </c>
      <c r="AN33" s="113">
        <v>0</v>
      </c>
      <c r="AO33" s="114">
        <v>0</v>
      </c>
      <c r="AP33" s="115">
        <v>0</v>
      </c>
      <c r="AQ33" s="116">
        <v>0</v>
      </c>
      <c r="AR33" s="310">
        <v>0</v>
      </c>
      <c r="AS33" s="311" t="s">
        <v>153</v>
      </c>
      <c r="AT33" s="118" t="s">
        <v>153</v>
      </c>
      <c r="AU33" s="119" t="s">
        <v>153</v>
      </c>
      <c r="AV33" s="120" t="s">
        <v>153</v>
      </c>
      <c r="AW33" s="121" t="s">
        <v>153</v>
      </c>
      <c r="AX33" s="122" t="s">
        <v>153</v>
      </c>
      <c r="AY33" s="123" t="s">
        <v>153</v>
      </c>
      <c r="AZ33" s="312" t="s">
        <v>153</v>
      </c>
      <c r="BA33" s="340"/>
      <c r="BB33" s="314"/>
    </row>
    <row r="34" spans="1:54" ht="14.4" x14ac:dyDescent="0.3">
      <c r="A34" s="341" t="s">
        <v>241</v>
      </c>
      <c r="B34" s="92">
        <v>3640.0594999999998</v>
      </c>
      <c r="C34" s="93">
        <v>0.42503719439587123</v>
      </c>
      <c r="D34" s="342">
        <v>4676.1051421283028</v>
      </c>
      <c r="E34" s="299">
        <v>0.54601267103197637</v>
      </c>
      <c r="F34" s="144">
        <v>1.4858255900480915E-2</v>
      </c>
      <c r="G34" s="126">
        <v>4249.0922425317058</v>
      </c>
      <c r="H34" s="139">
        <v>0</v>
      </c>
      <c r="I34" s="126">
        <v>674.94464243012521</v>
      </c>
      <c r="J34" s="126"/>
      <c r="K34" s="127">
        <v>4924.0368849618308</v>
      </c>
      <c r="L34" s="301">
        <v>8564.0963849618311</v>
      </c>
      <c r="M34" s="128">
        <v>0</v>
      </c>
      <c r="N34" s="302">
        <v>2918.40085</v>
      </c>
      <c r="O34" s="110">
        <v>0</v>
      </c>
      <c r="P34" s="303">
        <v>0</v>
      </c>
      <c r="Q34" s="303">
        <v>721.65864999999962</v>
      </c>
      <c r="R34" s="129">
        <v>0</v>
      </c>
      <c r="S34" s="318">
        <v>15.831690400816077</v>
      </c>
      <c r="T34" s="132">
        <v>1541.0017397823128</v>
      </c>
      <c r="U34" s="132">
        <v>1036.0456421283038</v>
      </c>
      <c r="V34" s="2409">
        <v>0</v>
      </c>
      <c r="W34" s="2409">
        <v>0</v>
      </c>
      <c r="X34" s="132">
        <v>0</v>
      </c>
      <c r="Y34" s="132">
        <v>0</v>
      </c>
      <c r="Z34" s="132">
        <v>477.34103166397023</v>
      </c>
      <c r="AA34" s="132">
        <v>1063.6607081183427</v>
      </c>
      <c r="AB34" s="324">
        <v>0</v>
      </c>
      <c r="AC34" s="133">
        <v>0</v>
      </c>
      <c r="AD34" s="115">
        <v>0</v>
      </c>
      <c r="AE34" s="134">
        <v>0</v>
      </c>
      <c r="AF34" s="322">
        <v>2262.6603897823124</v>
      </c>
      <c r="AG34" s="321">
        <v>2110.4591056028412</v>
      </c>
      <c r="AH34" s="136">
        <v>220.69870704755635</v>
      </c>
      <c r="AI34" s="309">
        <v>0</v>
      </c>
      <c r="AJ34" s="92">
        <v>0</v>
      </c>
      <c r="AK34" s="110">
        <v>3954.4464921283038</v>
      </c>
      <c r="AL34" s="111">
        <v>0</v>
      </c>
      <c r="AM34" s="112">
        <v>3954.4464921283038</v>
      </c>
      <c r="AN34" s="113">
        <v>0</v>
      </c>
      <c r="AO34" s="114">
        <v>3954.4464921283038</v>
      </c>
      <c r="AP34" s="115">
        <v>4593.8182024327098</v>
      </c>
      <c r="AQ34" s="116">
        <v>0</v>
      </c>
      <c r="AR34" s="310">
        <v>15.831690400816077</v>
      </c>
      <c r="AS34" s="311" t="s">
        <v>153</v>
      </c>
      <c r="AT34" s="118">
        <v>0.4617470792449434</v>
      </c>
      <c r="AU34" s="119" t="s">
        <v>153</v>
      </c>
      <c r="AV34" s="120">
        <v>0.4617470792449434</v>
      </c>
      <c r="AW34" s="121" t="s">
        <v>153</v>
      </c>
      <c r="AX34" s="122">
        <v>0.4617470792449434</v>
      </c>
      <c r="AY34" s="123">
        <v>0.53640430886546864</v>
      </c>
      <c r="AZ34" s="312" t="s">
        <v>153</v>
      </c>
      <c r="BA34" s="340"/>
      <c r="BB34" s="61">
        <v>0</v>
      </c>
    </row>
    <row r="35" spans="1:54" ht="14.4" x14ac:dyDescent="0.3">
      <c r="A35" s="155" t="s">
        <v>149</v>
      </c>
      <c r="B35" s="92">
        <v>13696.53</v>
      </c>
      <c r="C35" s="93">
        <v>0.21963525724619795</v>
      </c>
      <c r="D35" s="137">
        <v>15518.67</v>
      </c>
      <c r="E35" s="299">
        <v>0.24885478859016516</v>
      </c>
      <c r="F35" s="144">
        <v>0.16021107899684936</v>
      </c>
      <c r="G35" s="126">
        <v>45816.390395531751</v>
      </c>
      <c r="H35" s="139">
        <v>0</v>
      </c>
      <c r="I35" s="126">
        <v>2847.4227102520904</v>
      </c>
      <c r="J35" s="126"/>
      <c r="K35" s="127">
        <v>48663.81310578384</v>
      </c>
      <c r="L35" s="301">
        <v>62360.343105783839</v>
      </c>
      <c r="M35" s="128">
        <v>0</v>
      </c>
      <c r="N35" s="302">
        <v>13293.520700000001</v>
      </c>
      <c r="O35" s="110">
        <v>0</v>
      </c>
      <c r="P35" s="303">
        <v>12.96616087482607</v>
      </c>
      <c r="Q35" s="303">
        <v>390.04313912517244</v>
      </c>
      <c r="R35" s="129">
        <v>0</v>
      </c>
      <c r="S35" s="318">
        <v>156.4631705271878</v>
      </c>
      <c r="T35" s="132">
        <v>23646.587202481125</v>
      </c>
      <c r="U35" s="132">
        <v>1822.1399999999999</v>
      </c>
      <c r="V35" s="2409">
        <v>0</v>
      </c>
      <c r="W35" s="2409">
        <v>0</v>
      </c>
      <c r="X35" s="2409">
        <v>4991.4241902104732</v>
      </c>
      <c r="Y35" s="2409">
        <v>18655.163012270648</v>
      </c>
      <c r="Z35" s="323">
        <v>0</v>
      </c>
      <c r="AA35" s="323">
        <v>0</v>
      </c>
      <c r="AB35" s="320">
        <v>0</v>
      </c>
      <c r="AC35" s="133">
        <v>20857.477285784487</v>
      </c>
      <c r="AD35" s="115">
        <v>12.96616087482607</v>
      </c>
      <c r="AE35" s="134">
        <v>4991.4241902104732</v>
      </c>
      <c r="AF35" s="307">
        <v>19045.206151395822</v>
      </c>
      <c r="AG35" s="321">
        <v>0</v>
      </c>
      <c r="AH35" s="136">
        <v>2181.1454469910364</v>
      </c>
      <c r="AI35" s="309">
        <v>0</v>
      </c>
      <c r="AJ35" s="92">
        <v>0</v>
      </c>
      <c r="AK35" s="110">
        <v>15115.6607</v>
      </c>
      <c r="AL35" s="111">
        <v>0</v>
      </c>
      <c r="AM35" s="112">
        <v>15115.6607</v>
      </c>
      <c r="AN35" s="113">
        <v>25861.867636869785</v>
      </c>
      <c r="AO35" s="114">
        <v>40977.528336869786</v>
      </c>
      <c r="AP35" s="115">
        <v>21226.351598386856</v>
      </c>
      <c r="AQ35" s="116">
        <v>0</v>
      </c>
      <c r="AR35" s="310">
        <v>156.4631705271878</v>
      </c>
      <c r="AS35" s="311" t="s">
        <v>153</v>
      </c>
      <c r="AT35" s="118">
        <v>0.24239219906726336</v>
      </c>
      <c r="AU35" s="119" t="s">
        <v>153</v>
      </c>
      <c r="AV35" s="120">
        <v>0.24239219906726336</v>
      </c>
      <c r="AW35" s="121">
        <v>0.41471657064168932</v>
      </c>
      <c r="AX35" s="122">
        <v>0.6571087697089526</v>
      </c>
      <c r="AY35" s="123">
        <v>0.34038221313792194</v>
      </c>
      <c r="AZ35" s="312" t="s">
        <v>153</v>
      </c>
      <c r="BA35" s="340"/>
      <c r="BB35" s="61">
        <v>0</v>
      </c>
    </row>
    <row r="36" spans="1:54" ht="14.4" x14ac:dyDescent="0.3">
      <c r="A36" s="155" t="s">
        <v>242</v>
      </c>
      <c r="B36" s="92">
        <v>102878.80098875897</v>
      </c>
      <c r="C36" s="93">
        <v>0.58556079184342991</v>
      </c>
      <c r="D36" s="342">
        <v>118860.44657838237</v>
      </c>
      <c r="E36" s="299">
        <v>0.67652438158669936</v>
      </c>
      <c r="F36" s="144">
        <v>0</v>
      </c>
      <c r="G36" s="126">
        <v>56006.798733511052</v>
      </c>
      <c r="H36" s="139">
        <v>0</v>
      </c>
      <c r="I36" s="126">
        <v>16807.176197513912</v>
      </c>
      <c r="J36" s="126"/>
      <c r="K36" s="127">
        <v>72813.974931024961</v>
      </c>
      <c r="L36" s="301">
        <v>175692.77591978392</v>
      </c>
      <c r="M36" s="128">
        <v>1063.2532000000003</v>
      </c>
      <c r="N36" s="302">
        <v>93964.341229114551</v>
      </c>
      <c r="O36" s="110">
        <v>0</v>
      </c>
      <c r="P36" s="303">
        <v>221.25034192213423</v>
      </c>
      <c r="Q36" s="303">
        <v>7539.9501547222771</v>
      </c>
      <c r="R36" s="129">
        <v>90.006063000000452</v>
      </c>
      <c r="S36" s="318">
        <v>234.11041283654114</v>
      </c>
      <c r="T36" s="132">
        <v>32278.584756170312</v>
      </c>
      <c r="U36" s="132">
        <v>5829.387999999999</v>
      </c>
      <c r="V36" s="2409">
        <v>6418.2893534588438</v>
      </c>
      <c r="W36" s="2409">
        <v>760.60173616455472</v>
      </c>
      <c r="X36" s="132">
        <v>3786.6562832381501</v>
      </c>
      <c r="Y36" s="132">
        <v>14152.411725253087</v>
      </c>
      <c r="Z36" s="2409">
        <v>2303.8843127652131</v>
      </c>
      <c r="AA36" s="2409">
        <v>4856.7413452904611</v>
      </c>
      <c r="AB36" s="320">
        <v>0</v>
      </c>
      <c r="AC36" s="133">
        <v>25344.163609845898</v>
      </c>
      <c r="AD36" s="115">
        <v>221.25034192213423</v>
      </c>
      <c r="AE36" s="134">
        <v>12508.829949462208</v>
      </c>
      <c r="AF36" s="307">
        <v>27309.704961430376</v>
      </c>
      <c r="AG36" s="321">
        <v>5864.1559049072584</v>
      </c>
      <c r="AH36" s="136">
        <v>3263.5722472649509</v>
      </c>
      <c r="AI36" s="309">
        <v>90.006063000000452</v>
      </c>
      <c r="AJ36" s="92">
        <v>1063.2532000000003</v>
      </c>
      <c r="AK36" s="110">
        <v>99793.729229114542</v>
      </c>
      <c r="AL36" s="111">
        <v>0</v>
      </c>
      <c r="AM36" s="112">
        <v>100856.98242911455</v>
      </c>
      <c r="AN36" s="113">
        <v>38074.243901230235</v>
      </c>
      <c r="AO36" s="114">
        <v>138931.2263303448</v>
      </c>
      <c r="AP36" s="115">
        <v>36437.433113602587</v>
      </c>
      <c r="AQ36" s="116">
        <v>90.006063000000452</v>
      </c>
      <c r="AR36" s="310">
        <v>234.11041283654114</v>
      </c>
      <c r="AS36" s="311">
        <v>6.0517752903252548E-3</v>
      </c>
      <c r="AT36" s="118">
        <v>0.56800132337073084</v>
      </c>
      <c r="AU36" s="119" t="s">
        <v>153</v>
      </c>
      <c r="AV36" s="120">
        <v>0.57405309866105614</v>
      </c>
      <c r="AW36" s="121">
        <v>0.21670921699486267</v>
      </c>
      <c r="AX36" s="122">
        <v>0.79076231565591892</v>
      </c>
      <c r="AY36" s="123">
        <v>0.20739289320716767</v>
      </c>
      <c r="AZ36" s="312">
        <v>5.1229233830931407E-4</v>
      </c>
      <c r="BA36" s="340"/>
      <c r="BB36" s="61">
        <v>0</v>
      </c>
    </row>
    <row r="37" spans="1:54" ht="14.4" x14ac:dyDescent="0.3">
      <c r="A37" s="155" t="s">
        <v>174</v>
      </c>
      <c r="B37" s="92">
        <v>11922.444</v>
      </c>
      <c r="C37" s="93">
        <v>0.27485485425628442</v>
      </c>
      <c r="D37" s="137">
        <v>13744.583999999999</v>
      </c>
      <c r="E37" s="299">
        <v>0.31686167971376161</v>
      </c>
      <c r="F37" s="144">
        <v>0.10999134137524048</v>
      </c>
      <c r="G37" s="126">
        <v>31454.792440885598</v>
      </c>
      <c r="H37" s="139">
        <v>0</v>
      </c>
      <c r="I37" s="126">
        <v>0</v>
      </c>
      <c r="J37" s="126"/>
      <c r="K37" s="127">
        <v>31454.792440885598</v>
      </c>
      <c r="L37" s="301">
        <v>43377.236440885594</v>
      </c>
      <c r="M37" s="128">
        <v>0</v>
      </c>
      <c r="N37" s="302">
        <v>11608.139000000001</v>
      </c>
      <c r="O37" s="110">
        <v>0</v>
      </c>
      <c r="P37" s="303">
        <v>12.96616087482607</v>
      </c>
      <c r="Q37" s="303">
        <v>301.3388391251724</v>
      </c>
      <c r="R37" s="129">
        <v>0</v>
      </c>
      <c r="S37" s="318">
        <v>101.13298238420704</v>
      </c>
      <c r="T37" s="132">
        <v>14640.062132540368</v>
      </c>
      <c r="U37" s="132">
        <v>1822.1399999999999</v>
      </c>
      <c r="V37" s="2409"/>
      <c r="W37" s="2409"/>
      <c r="X37" s="132">
        <v>3090.2878140012922</v>
      </c>
      <c r="Y37" s="132">
        <v>11549.774318539074</v>
      </c>
      <c r="Z37" s="323"/>
      <c r="AA37" s="323"/>
      <c r="AB37" s="320"/>
      <c r="AC37" s="133">
        <v>13481.631976489351</v>
      </c>
      <c r="AD37" s="115">
        <v>12.96616087482607</v>
      </c>
      <c r="AE37" s="134">
        <v>3090.2878140012922</v>
      </c>
      <c r="AF37" s="307">
        <v>11851.113157664246</v>
      </c>
      <c r="AG37" s="321"/>
      <c r="AH37" s="136">
        <v>1409.8253494716689</v>
      </c>
      <c r="AI37" s="309"/>
      <c r="AJ37" s="92">
        <v>0</v>
      </c>
      <c r="AK37" s="110">
        <v>13430.279</v>
      </c>
      <c r="AL37" s="111">
        <v>0</v>
      </c>
      <c r="AM37" s="112">
        <v>13430.279</v>
      </c>
      <c r="AN37" s="113">
        <v>16584.885951365468</v>
      </c>
      <c r="AO37" s="114">
        <v>30015.16495136547</v>
      </c>
      <c r="AP37" s="115">
        <v>13260.938507135914</v>
      </c>
      <c r="AQ37" s="116">
        <v>0</v>
      </c>
      <c r="AR37" s="310">
        <v>101.13298238420704</v>
      </c>
      <c r="AS37" s="311" t="s">
        <v>153</v>
      </c>
      <c r="AT37" s="118">
        <v>0.30961582853031122</v>
      </c>
      <c r="AU37" s="119" t="s">
        <v>153</v>
      </c>
      <c r="AV37" s="120">
        <v>0.30961582853031122</v>
      </c>
      <c r="AW37" s="121">
        <v>0.38234076931035743</v>
      </c>
      <c r="AX37" s="122">
        <v>0.69195659784066865</v>
      </c>
      <c r="AY37" s="123">
        <v>0.30571192623596233</v>
      </c>
      <c r="AZ37" s="312" t="s">
        <v>153</v>
      </c>
      <c r="BA37" s="340"/>
      <c r="BB37" s="61">
        <v>0</v>
      </c>
    </row>
    <row r="38" spans="1:54" ht="14.4" x14ac:dyDescent="0.3">
      <c r="A38" s="155" t="s">
        <v>243</v>
      </c>
      <c r="B38" s="92">
        <v>21303.123000000007</v>
      </c>
      <c r="C38" s="93">
        <v>0.91748421114780776</v>
      </c>
      <c r="D38" s="137">
        <v>21303.123000000007</v>
      </c>
      <c r="E38" s="299">
        <v>0.91748421114780776</v>
      </c>
      <c r="F38" s="144">
        <v>6.699669916895773E-3</v>
      </c>
      <c r="G38" s="126">
        <v>1915.9392368846911</v>
      </c>
      <c r="H38" s="139">
        <v>0</v>
      </c>
      <c r="I38" s="126">
        <v>0</v>
      </c>
      <c r="J38" s="126"/>
      <c r="K38" s="127">
        <v>1915.9392368846911</v>
      </c>
      <c r="L38" s="301">
        <v>23219.062236884696</v>
      </c>
      <c r="M38" s="128">
        <v>1063.2532000000003</v>
      </c>
      <c r="N38" s="302">
        <v>20239.869800000004</v>
      </c>
      <c r="O38" s="110">
        <v>0</v>
      </c>
      <c r="P38" s="303">
        <v>0</v>
      </c>
      <c r="Q38" s="303">
        <v>0</v>
      </c>
      <c r="R38" s="129">
        <v>0</v>
      </c>
      <c r="S38" s="318">
        <v>6.1600994334081571</v>
      </c>
      <c r="T38" s="132">
        <v>1002.7272966603279</v>
      </c>
      <c r="U38" s="323"/>
      <c r="V38" s="132"/>
      <c r="W38" s="132"/>
      <c r="X38" s="132">
        <v>211.66002695769811</v>
      </c>
      <c r="Y38" s="132">
        <v>791.06726970262969</v>
      </c>
      <c r="Z38" s="323"/>
      <c r="AA38" s="323"/>
      <c r="AB38" s="320"/>
      <c r="AC38" s="133">
        <v>821.17813142587761</v>
      </c>
      <c r="AD38" s="115">
        <v>0</v>
      </c>
      <c r="AE38" s="134">
        <v>211.66002695769811</v>
      </c>
      <c r="AF38" s="307">
        <v>791.06726970262969</v>
      </c>
      <c r="AG38" s="321"/>
      <c r="AH38" s="136">
        <v>85.87370936507736</v>
      </c>
      <c r="AI38" s="309">
        <v>0</v>
      </c>
      <c r="AJ38" s="92">
        <v>1063.2532000000003</v>
      </c>
      <c r="AK38" s="110">
        <v>20239.869800000004</v>
      </c>
      <c r="AL38" s="111">
        <v>0</v>
      </c>
      <c r="AM38" s="112">
        <v>21303.123000000003</v>
      </c>
      <c r="AN38" s="113">
        <v>1032.8381583835758</v>
      </c>
      <c r="AO38" s="114">
        <v>22335.961158383579</v>
      </c>
      <c r="AP38" s="115">
        <v>876.94097906770708</v>
      </c>
      <c r="AQ38" s="116">
        <v>0</v>
      </c>
      <c r="AR38" s="310">
        <v>6.1600994334081571</v>
      </c>
      <c r="AS38" s="311"/>
      <c r="AT38" s="118">
        <v>0.8716919569580166</v>
      </c>
      <c r="AU38" s="119" t="s">
        <v>153</v>
      </c>
      <c r="AV38" s="120">
        <v>0.91748421114780754</v>
      </c>
      <c r="AW38" s="121">
        <v>4.4482337307441222E-2</v>
      </c>
      <c r="AX38" s="122">
        <v>0.96196654845524876</v>
      </c>
      <c r="AY38" s="123">
        <v>3.7768148003610606E-2</v>
      </c>
      <c r="AZ38" s="312" t="s">
        <v>153</v>
      </c>
      <c r="BA38" s="340"/>
      <c r="BB38" s="61">
        <v>0</v>
      </c>
    </row>
    <row r="39" spans="1:54" ht="14.4" x14ac:dyDescent="0.3">
      <c r="A39" s="155" t="s">
        <v>244</v>
      </c>
      <c r="B39" s="92">
        <v>2299.8233371519314</v>
      </c>
      <c r="C39" s="93">
        <v>0.63703610343949857</v>
      </c>
      <c r="D39" s="137">
        <v>2985.6193645721487</v>
      </c>
      <c r="E39" s="299">
        <v>0.82699714175259131</v>
      </c>
      <c r="F39" s="144">
        <v>4.5821102400788391E-3</v>
      </c>
      <c r="G39" s="126">
        <v>1310.3697503900109</v>
      </c>
      <c r="H39" s="139">
        <v>0</v>
      </c>
      <c r="I39" s="126">
        <v>0</v>
      </c>
      <c r="J39" s="126"/>
      <c r="K39" s="127">
        <v>1310.3697503900109</v>
      </c>
      <c r="L39" s="301">
        <v>3610.1930875419421</v>
      </c>
      <c r="M39" s="128">
        <v>0</v>
      </c>
      <c r="N39" s="302">
        <v>1714.7760000000001</v>
      </c>
      <c r="O39" s="110">
        <v>0</v>
      </c>
      <c r="P39" s="303">
        <v>0</v>
      </c>
      <c r="Q39" s="303">
        <v>585.04733715193129</v>
      </c>
      <c r="R39" s="129">
        <v>0</v>
      </c>
      <c r="S39" s="318">
        <v>4.2130813971207903</v>
      </c>
      <c r="T39" s="132">
        <v>5.5067062021407764E-14</v>
      </c>
      <c r="U39" s="132">
        <v>685.79602742021746</v>
      </c>
      <c r="V39" s="132"/>
      <c r="W39" s="132"/>
      <c r="X39" s="132"/>
      <c r="Y39" s="132"/>
      <c r="Z39" s="132"/>
      <c r="AA39" s="132"/>
      <c r="AB39" s="324"/>
      <c r="AC39" s="133"/>
      <c r="AD39" s="115"/>
      <c r="AE39" s="134"/>
      <c r="AF39" s="322">
        <v>585.04733715193129</v>
      </c>
      <c r="AG39" s="321">
        <v>561.62897151786012</v>
      </c>
      <c r="AH39" s="136">
        <v>58.731670054812419</v>
      </c>
      <c r="AI39" s="309"/>
      <c r="AJ39" s="92">
        <v>0</v>
      </c>
      <c r="AK39" s="110">
        <v>2400.5720274202176</v>
      </c>
      <c r="AL39" s="111">
        <v>0</v>
      </c>
      <c r="AM39" s="112">
        <v>2400.5720274202176</v>
      </c>
      <c r="AN39" s="113">
        <v>0</v>
      </c>
      <c r="AO39" s="114">
        <v>2400.5720274202176</v>
      </c>
      <c r="AP39" s="115">
        <v>1205.4079787246039</v>
      </c>
      <c r="AQ39" s="116">
        <v>0</v>
      </c>
      <c r="AR39" s="310">
        <v>4.2130813971207903</v>
      </c>
      <c r="AS39" s="311" t="s">
        <v>153</v>
      </c>
      <c r="AT39" s="118">
        <v>0.66494283524726527</v>
      </c>
      <c r="AU39" s="119" t="s">
        <v>153</v>
      </c>
      <c r="AV39" s="120">
        <v>0.66494283524726527</v>
      </c>
      <c r="AW39" s="121" t="s">
        <v>153</v>
      </c>
      <c r="AX39" s="122">
        <v>0.66494283524726527</v>
      </c>
      <c r="AY39" s="123">
        <v>0.33389016861292736</v>
      </c>
      <c r="AZ39" s="312" t="s">
        <v>153</v>
      </c>
      <c r="BA39" s="340"/>
      <c r="BB39" s="61">
        <v>0</v>
      </c>
    </row>
    <row r="40" spans="1:54" ht="14.4" x14ac:dyDescent="0.3">
      <c r="A40" s="155" t="s">
        <v>245</v>
      </c>
      <c r="B40" s="92">
        <v>652.11316284806844</v>
      </c>
      <c r="C40" s="93">
        <v>0.45570151969459555</v>
      </c>
      <c r="D40" s="137">
        <v>1002.3627775561547</v>
      </c>
      <c r="E40" s="299">
        <v>0.70045855081759367</v>
      </c>
      <c r="F40" s="144">
        <v>2.7236499233215436E-3</v>
      </c>
      <c r="G40" s="126">
        <v>778.89624718221887</v>
      </c>
      <c r="H40" s="139">
        <v>0</v>
      </c>
      <c r="I40" s="126">
        <v>0</v>
      </c>
      <c r="J40" s="126"/>
      <c r="K40" s="127">
        <v>778.89624718221887</v>
      </c>
      <c r="L40" s="301">
        <v>1431.0094100302872</v>
      </c>
      <c r="M40" s="128">
        <v>0</v>
      </c>
      <c r="N40" s="302">
        <v>549.90800000000002</v>
      </c>
      <c r="O40" s="110">
        <v>0</v>
      </c>
      <c r="P40" s="303">
        <v>0</v>
      </c>
      <c r="Q40" s="303">
        <v>102.20516284806837</v>
      </c>
      <c r="R40" s="129">
        <v>0</v>
      </c>
      <c r="S40" s="318">
        <v>2.5042956679318187</v>
      </c>
      <c r="T40" s="132">
        <v>57.394069016370814</v>
      </c>
      <c r="U40" s="132">
        <v>350.24961470808631</v>
      </c>
      <c r="V40" s="2409"/>
      <c r="W40" s="2409"/>
      <c r="X40" s="132"/>
      <c r="Y40" s="132"/>
      <c r="Z40" s="323"/>
      <c r="AA40" s="132">
        <v>57.394069016370814</v>
      </c>
      <c r="AB40" s="320"/>
      <c r="AC40" s="133"/>
      <c r="AD40" s="115"/>
      <c r="AE40" s="134"/>
      <c r="AF40" s="322">
        <v>159.59923186443919</v>
      </c>
      <c r="AG40" s="321">
        <v>333.83760430509801</v>
      </c>
      <c r="AH40" s="136">
        <v>34.910663484731813</v>
      </c>
      <c r="AI40" s="309"/>
      <c r="AJ40" s="92">
        <v>0</v>
      </c>
      <c r="AK40" s="110">
        <v>900.15761470808638</v>
      </c>
      <c r="AL40" s="111">
        <v>0</v>
      </c>
      <c r="AM40" s="112">
        <v>900.15761470808638</v>
      </c>
      <c r="AN40" s="113">
        <v>0</v>
      </c>
      <c r="AO40" s="114">
        <v>900.15761470808638</v>
      </c>
      <c r="AP40" s="115">
        <v>528.34749965426897</v>
      </c>
      <c r="AQ40" s="116">
        <v>0</v>
      </c>
      <c r="AR40" s="310">
        <v>2.5042956679318187</v>
      </c>
      <c r="AS40" s="311" t="s">
        <v>153</v>
      </c>
      <c r="AT40" s="118">
        <v>0.62903682421559659</v>
      </c>
      <c r="AU40" s="119" t="s">
        <v>153</v>
      </c>
      <c r="AV40" s="120">
        <v>0.62903682421559659</v>
      </c>
      <c r="AW40" s="121" t="s">
        <v>153</v>
      </c>
      <c r="AX40" s="122">
        <v>0.62903682421559659</v>
      </c>
      <c r="AY40" s="123">
        <v>0.36921315537896188</v>
      </c>
      <c r="AZ40" s="312" t="s">
        <v>153</v>
      </c>
      <c r="BA40" s="340"/>
      <c r="BB40" s="61">
        <v>0</v>
      </c>
    </row>
    <row r="41" spans="1:54" ht="14.4" x14ac:dyDescent="0.3">
      <c r="A41" s="155" t="s">
        <v>246</v>
      </c>
      <c r="B41" s="92">
        <v>37261.162499999999</v>
      </c>
      <c r="C41" s="93">
        <v>0.71587135440761729</v>
      </c>
      <c r="D41" s="137">
        <v>44440.0535896234</v>
      </c>
      <c r="E41" s="299">
        <v>0.8537941174849496</v>
      </c>
      <c r="F41" s="144">
        <v>5.1437720214439986E-2</v>
      </c>
      <c r="G41" s="126">
        <v>9292.3387911102382</v>
      </c>
      <c r="H41" s="139">
        <v>0</v>
      </c>
      <c r="I41" s="126">
        <v>5496.5804317903321</v>
      </c>
      <c r="J41" s="126"/>
      <c r="K41" s="127">
        <v>14788.919222900571</v>
      </c>
      <c r="L41" s="301">
        <v>52050.08172290057</v>
      </c>
      <c r="M41" s="128">
        <v>0</v>
      </c>
      <c r="N41" s="302">
        <v>33934.523649999996</v>
      </c>
      <c r="O41" s="110">
        <v>0</v>
      </c>
      <c r="P41" s="303">
        <v>67.589565956869379</v>
      </c>
      <c r="Q41" s="303">
        <v>3259.0492840431307</v>
      </c>
      <c r="R41" s="129">
        <v>0</v>
      </c>
      <c r="S41" s="318">
        <v>47.54911386116764</v>
      </c>
      <c r="T41" s="132">
        <v>7178.8910896234001</v>
      </c>
      <c r="U41" s="132">
        <v>561.048</v>
      </c>
      <c r="V41" s="2409">
        <v>6418.2893534588438</v>
      </c>
      <c r="W41" s="2409">
        <v>760.60173616455472</v>
      </c>
      <c r="X41" s="132"/>
      <c r="Y41" s="132"/>
      <c r="Z41" s="323"/>
      <c r="AA41" s="323"/>
      <c r="AB41" s="320"/>
      <c r="AC41" s="133">
        <v>6338.581526737963</v>
      </c>
      <c r="AD41" s="115">
        <v>67.589565956869379</v>
      </c>
      <c r="AE41" s="134">
        <v>6418.2893534588438</v>
      </c>
      <c r="AF41" s="307">
        <v>4019.6510202076852</v>
      </c>
      <c r="AG41" s="321"/>
      <c r="AH41" s="136">
        <v>662.84949267804041</v>
      </c>
      <c r="AI41" s="309"/>
      <c r="AJ41" s="92">
        <v>0</v>
      </c>
      <c r="AK41" s="110">
        <v>34495.571649999998</v>
      </c>
      <c r="AL41" s="111">
        <v>0</v>
      </c>
      <c r="AM41" s="112">
        <v>34495.571649999998</v>
      </c>
      <c r="AN41" s="113">
        <v>12824.460446153675</v>
      </c>
      <c r="AO41" s="114">
        <v>47320.032096153671</v>
      </c>
      <c r="AP41" s="115">
        <v>4682.5005128857256</v>
      </c>
      <c r="AQ41" s="116">
        <v>0</v>
      </c>
      <c r="AR41" s="310">
        <v>47.54911386116764</v>
      </c>
      <c r="AS41" s="311" t="s">
        <v>153</v>
      </c>
      <c r="AT41" s="118">
        <v>0.66273808816755264</v>
      </c>
      <c r="AU41" s="119" t="s">
        <v>153</v>
      </c>
      <c r="AV41" s="120">
        <v>0.66273808816755264</v>
      </c>
      <c r="AW41" s="121">
        <v>0.24638694160803351</v>
      </c>
      <c r="AX41" s="122">
        <v>0.90912502977558607</v>
      </c>
      <c r="AY41" s="123">
        <v>8.9961444014900693E-2</v>
      </c>
      <c r="AZ41" s="312" t="s">
        <v>153</v>
      </c>
      <c r="BA41" s="340"/>
      <c r="BB41" s="61">
        <v>0</v>
      </c>
    </row>
    <row r="42" spans="1:54" ht="14.4" x14ac:dyDescent="0.3">
      <c r="A42" s="155" t="s">
        <v>247</v>
      </c>
      <c r="B42" s="92">
        <v>2951.9364999999998</v>
      </c>
      <c r="C42" s="93">
        <v>0.58556197681438305</v>
      </c>
      <c r="D42" s="92">
        <v>3987.9821421283032</v>
      </c>
      <c r="E42" s="299">
        <v>0.79107755422418713</v>
      </c>
      <c r="F42" s="144">
        <v>7.3057601634003823E-3</v>
      </c>
      <c r="G42" s="126">
        <v>2089.2659975722299</v>
      </c>
      <c r="H42" s="139">
        <v>0</v>
      </c>
      <c r="I42" s="126">
        <v>0</v>
      </c>
      <c r="J42" s="126"/>
      <c r="K42" s="127">
        <v>2089.2659975722299</v>
      </c>
      <c r="L42" s="301">
        <v>5041.2024975722297</v>
      </c>
      <c r="M42" s="128">
        <v>0</v>
      </c>
      <c r="N42" s="302">
        <v>2264.6840000000002</v>
      </c>
      <c r="O42" s="110">
        <v>0</v>
      </c>
      <c r="P42" s="303">
        <v>0</v>
      </c>
      <c r="Q42" s="303">
        <v>687.2524999999996</v>
      </c>
      <c r="R42" s="129">
        <v>0</v>
      </c>
      <c r="S42" s="318">
        <v>6.7173770650526095</v>
      </c>
      <c r="T42" s="132">
        <v>57.394069016370871</v>
      </c>
      <c r="U42" s="132">
        <v>1036.0456421283038</v>
      </c>
      <c r="V42" s="2409">
        <v>0</v>
      </c>
      <c r="W42" s="2409">
        <v>0</v>
      </c>
      <c r="X42" s="132">
        <v>0</v>
      </c>
      <c r="Y42" s="132">
        <v>0</v>
      </c>
      <c r="Z42" s="323">
        <v>0</v>
      </c>
      <c r="AA42" s="132">
        <v>57.394069016370814</v>
      </c>
      <c r="AB42" s="320">
        <v>0</v>
      </c>
      <c r="AC42" s="133">
        <v>0</v>
      </c>
      <c r="AD42" s="115">
        <v>0</v>
      </c>
      <c r="AE42" s="134">
        <v>0</v>
      </c>
      <c r="AF42" s="307">
        <v>744.64656901637045</v>
      </c>
      <c r="AG42" s="321">
        <v>895.46657582295813</v>
      </c>
      <c r="AH42" s="136">
        <v>93.642333539544239</v>
      </c>
      <c r="AI42" s="309">
        <v>0</v>
      </c>
      <c r="AJ42" s="92">
        <v>0</v>
      </c>
      <c r="AK42" s="110">
        <v>3300.729642128304</v>
      </c>
      <c r="AL42" s="111">
        <v>0</v>
      </c>
      <c r="AM42" s="112">
        <v>3300.729642128304</v>
      </c>
      <c r="AN42" s="113">
        <v>0</v>
      </c>
      <c r="AO42" s="114">
        <v>3300.729642128304</v>
      </c>
      <c r="AP42" s="115">
        <v>1733.7554783788728</v>
      </c>
      <c r="AQ42" s="116">
        <v>0</v>
      </c>
      <c r="AR42" s="310">
        <v>6.7173770650526095</v>
      </c>
      <c r="AS42" s="311" t="s">
        <v>153</v>
      </c>
      <c r="AT42" s="118">
        <v>0.65475045759774331</v>
      </c>
      <c r="AU42" s="119" t="s">
        <v>153</v>
      </c>
      <c r="AV42" s="120">
        <v>0.65475045759774331</v>
      </c>
      <c r="AW42" s="121" t="s">
        <v>153</v>
      </c>
      <c r="AX42" s="122">
        <v>0.65475045759774331</v>
      </c>
      <c r="AY42" s="123">
        <v>0.3439170474135535</v>
      </c>
      <c r="AZ42" s="312" t="s">
        <v>153</v>
      </c>
      <c r="BA42" s="340"/>
      <c r="BB42" s="61">
        <v>0</v>
      </c>
    </row>
    <row r="43" spans="1:54" ht="14.4" x14ac:dyDescent="0.3">
      <c r="A43" s="155" t="s">
        <v>178</v>
      </c>
      <c r="B43" s="92">
        <v>0</v>
      </c>
      <c r="C43" s="93"/>
      <c r="D43" s="137">
        <v>0</v>
      </c>
      <c r="E43" s="299"/>
      <c r="F43" s="144">
        <v>0</v>
      </c>
      <c r="G43" s="126">
        <v>0</v>
      </c>
      <c r="H43" s="139">
        <v>0</v>
      </c>
      <c r="I43" s="126">
        <v>0</v>
      </c>
      <c r="J43" s="126"/>
      <c r="K43" s="127">
        <v>0</v>
      </c>
      <c r="L43" s="301">
        <v>0</v>
      </c>
      <c r="M43" s="128">
        <v>0</v>
      </c>
      <c r="N43" s="302">
        <v>0</v>
      </c>
      <c r="O43" s="110">
        <v>0</v>
      </c>
      <c r="P43" s="303">
        <v>0</v>
      </c>
      <c r="Q43" s="303">
        <v>0</v>
      </c>
      <c r="R43" s="129">
        <v>0</v>
      </c>
      <c r="S43" s="318">
        <v>0</v>
      </c>
      <c r="T43" s="132">
        <v>0</v>
      </c>
      <c r="U43" s="343"/>
      <c r="V43" s="344"/>
      <c r="W43" s="344"/>
      <c r="X43" s="345"/>
      <c r="Y43" s="345"/>
      <c r="Z43" s="323"/>
      <c r="AA43" s="323"/>
      <c r="AB43" s="320"/>
      <c r="AC43" s="133"/>
      <c r="AD43" s="115"/>
      <c r="AE43" s="134"/>
      <c r="AF43" s="307"/>
      <c r="AG43" s="321"/>
      <c r="AH43" s="136"/>
      <c r="AI43" s="309"/>
      <c r="AJ43" s="92">
        <v>0</v>
      </c>
      <c r="AK43" s="110">
        <v>0</v>
      </c>
      <c r="AL43" s="111">
        <v>0</v>
      </c>
      <c r="AM43" s="112">
        <v>0</v>
      </c>
      <c r="AN43" s="113">
        <v>0</v>
      </c>
      <c r="AO43" s="114">
        <v>0</v>
      </c>
      <c r="AP43" s="115">
        <v>0</v>
      </c>
      <c r="AQ43" s="116">
        <v>0</v>
      </c>
      <c r="AR43" s="310">
        <v>0</v>
      </c>
      <c r="AS43" s="311" t="s">
        <v>153</v>
      </c>
      <c r="AT43" s="118" t="s">
        <v>153</v>
      </c>
      <c r="AU43" s="119" t="s">
        <v>153</v>
      </c>
      <c r="AV43" s="120" t="s">
        <v>153</v>
      </c>
      <c r="AW43" s="121" t="s">
        <v>153</v>
      </c>
      <c r="AX43" s="122" t="s">
        <v>153</v>
      </c>
      <c r="AY43" s="123" t="s">
        <v>153</v>
      </c>
      <c r="AZ43" s="312" t="s">
        <v>153</v>
      </c>
      <c r="BA43" s="340"/>
      <c r="BB43" s="61">
        <v>0</v>
      </c>
    </row>
    <row r="44" spans="1:54" ht="15" thickBot="1" x14ac:dyDescent="0.35">
      <c r="A44" s="155" t="s">
        <v>65</v>
      </c>
      <c r="B44" s="251">
        <v>0</v>
      </c>
      <c r="C44" s="250" t="s">
        <v>153</v>
      </c>
      <c r="D44" s="251">
        <v>0</v>
      </c>
      <c r="E44" s="346" t="s">
        <v>153</v>
      </c>
      <c r="F44" s="144">
        <v>0</v>
      </c>
      <c r="G44" s="254">
        <v>0</v>
      </c>
      <c r="H44" s="255">
        <v>0</v>
      </c>
      <c r="I44" s="254">
        <v>0</v>
      </c>
      <c r="J44" s="254"/>
      <c r="K44" s="256">
        <v>0</v>
      </c>
      <c r="L44" s="347">
        <v>0</v>
      </c>
      <c r="M44" s="258">
        <v>0</v>
      </c>
      <c r="N44" s="348">
        <v>0</v>
      </c>
      <c r="O44" s="349">
        <v>0</v>
      </c>
      <c r="P44" s="350">
        <v>0</v>
      </c>
      <c r="Q44" s="350">
        <v>0</v>
      </c>
      <c r="R44" s="259">
        <v>0</v>
      </c>
      <c r="S44" s="318">
        <v>0</v>
      </c>
      <c r="T44" s="262"/>
      <c r="U44" s="352"/>
      <c r="V44" s="352"/>
      <c r="W44" s="352"/>
      <c r="X44" s="352"/>
      <c r="Y44" s="352"/>
      <c r="Z44" s="352"/>
      <c r="AA44" s="352"/>
      <c r="AB44" s="353"/>
      <c r="AC44" s="263"/>
      <c r="AD44" s="354"/>
      <c r="AE44" s="264"/>
      <c r="AF44" s="355"/>
      <c r="AG44" s="356"/>
      <c r="AH44" s="357"/>
      <c r="AI44" s="358"/>
      <c r="AJ44" s="92">
        <v>0</v>
      </c>
      <c r="AK44" s="110">
        <v>0</v>
      </c>
      <c r="AL44" s="111">
        <v>0</v>
      </c>
      <c r="AM44" s="112">
        <v>0</v>
      </c>
      <c r="AN44" s="113">
        <v>0</v>
      </c>
      <c r="AO44" s="114">
        <v>0</v>
      </c>
      <c r="AP44" s="115">
        <v>0</v>
      </c>
      <c r="AQ44" s="116">
        <v>0</v>
      </c>
      <c r="AR44" s="310">
        <v>0</v>
      </c>
      <c r="AS44" s="359" t="s">
        <v>153</v>
      </c>
      <c r="AT44" s="360" t="s">
        <v>153</v>
      </c>
      <c r="AU44" s="361" t="s">
        <v>153</v>
      </c>
      <c r="AV44" s="362" t="s">
        <v>153</v>
      </c>
      <c r="AW44" s="363" t="s">
        <v>153</v>
      </c>
      <c r="AX44" s="364" t="s">
        <v>153</v>
      </c>
      <c r="AY44" s="365" t="s">
        <v>153</v>
      </c>
      <c r="AZ44" s="366" t="s">
        <v>153</v>
      </c>
      <c r="BA44" s="367"/>
      <c r="BB44" s="61">
        <v>0</v>
      </c>
    </row>
    <row r="45" spans="1:54" x14ac:dyDescent="0.25">
      <c r="V45" s="61"/>
      <c r="W45" s="61"/>
      <c r="X45" s="61"/>
      <c r="Y45" s="61"/>
    </row>
    <row r="46" spans="1:54" x14ac:dyDescent="0.25">
      <c r="A46" s="1" t="s">
        <v>1470</v>
      </c>
      <c r="B46" s="512">
        <v>0</v>
      </c>
      <c r="C46" s="512">
        <v>-0.14395767043314678</v>
      </c>
      <c r="D46" s="512">
        <v>0</v>
      </c>
      <c r="E46" s="512">
        <v>-0.14395767043314678</v>
      </c>
      <c r="F46" s="512">
        <v>0</v>
      </c>
      <c r="G46" s="512">
        <v>0</v>
      </c>
      <c r="H46" s="512">
        <v>0.3306</v>
      </c>
      <c r="I46" s="512">
        <v>0</v>
      </c>
      <c r="J46" s="512">
        <v>0</v>
      </c>
      <c r="K46" s="512">
        <v>0</v>
      </c>
      <c r="L46" s="512">
        <v>0</v>
      </c>
      <c r="M46" s="512">
        <v>0</v>
      </c>
      <c r="N46" s="512">
        <v>0</v>
      </c>
      <c r="O46" s="512">
        <v>0</v>
      </c>
      <c r="P46" s="512">
        <v>0</v>
      </c>
      <c r="Q46" s="512">
        <v>0</v>
      </c>
      <c r="R46" s="512">
        <v>0</v>
      </c>
      <c r="S46" s="512">
        <v>0</v>
      </c>
      <c r="T46" s="512">
        <v>0</v>
      </c>
      <c r="U46" s="512">
        <v>0</v>
      </c>
      <c r="V46" s="512">
        <v>0</v>
      </c>
      <c r="W46" s="512">
        <v>0</v>
      </c>
      <c r="X46" s="512">
        <v>0</v>
      </c>
      <c r="Y46" s="512">
        <v>0</v>
      </c>
      <c r="Z46" s="512">
        <v>0</v>
      </c>
      <c r="AA46" s="512">
        <v>0</v>
      </c>
      <c r="AB46" s="512">
        <v>0</v>
      </c>
      <c r="AC46" s="512">
        <v>0</v>
      </c>
      <c r="AD46" s="512">
        <v>0</v>
      </c>
      <c r="AE46" s="512">
        <v>0</v>
      </c>
      <c r="AF46" s="512">
        <v>0</v>
      </c>
      <c r="AG46" s="512">
        <v>0</v>
      </c>
      <c r="AH46" s="512">
        <v>0</v>
      </c>
      <c r="AI46" s="512">
        <v>0</v>
      </c>
      <c r="AJ46" s="512">
        <v>0</v>
      </c>
      <c r="AK46" s="512">
        <v>0</v>
      </c>
      <c r="AL46" s="512">
        <v>0</v>
      </c>
      <c r="AM46" s="512">
        <v>0</v>
      </c>
      <c r="AN46" s="512">
        <v>0</v>
      </c>
      <c r="AO46" s="512">
        <v>0</v>
      </c>
      <c r="AP46" s="512">
        <v>0</v>
      </c>
      <c r="AQ46" s="512">
        <v>0</v>
      </c>
      <c r="AR46" s="512">
        <v>0</v>
      </c>
      <c r="AS46" s="512" t="e">
        <v>#VALUE!</v>
      </c>
      <c r="AT46" s="512" t="e">
        <v>#VALUE!</v>
      </c>
      <c r="AU46" s="512">
        <v>-0.13934786396913934</v>
      </c>
      <c r="AV46" s="1" t="s">
        <v>1470</v>
      </c>
      <c r="AW46" s="512">
        <v>-0.53190584593990253</v>
      </c>
      <c r="AX46" s="512">
        <v>-0.67125370990904187</v>
      </c>
      <c r="AY46" s="512">
        <v>-6.2531970984440355E-2</v>
      </c>
      <c r="AZ46" s="512">
        <v>-0.26346198449808195</v>
      </c>
      <c r="BA46" s="512">
        <v>2.9077961110092212E-3</v>
      </c>
    </row>
    <row r="47" spans="1:54" x14ac:dyDescent="0.25">
      <c r="M47" s="61"/>
      <c r="V47" s="314"/>
      <c r="W47" s="314"/>
    </row>
    <row r="48" spans="1:54" x14ac:dyDescent="0.25">
      <c r="B48" s="61"/>
      <c r="C48" s="61"/>
      <c r="T48" s="314"/>
      <c r="U48" s="314"/>
    </row>
    <row r="49" spans="1:30" x14ac:dyDescent="0.25">
      <c r="A49" s="65" t="s">
        <v>182</v>
      </c>
      <c r="B49" s="61"/>
    </row>
    <row r="50" spans="1:30" x14ac:dyDescent="0.25">
      <c r="A50" s="52" t="s">
        <v>248</v>
      </c>
    </row>
    <row r="51" spans="1:30" x14ac:dyDescent="0.25">
      <c r="A51" s="52" t="s">
        <v>114</v>
      </c>
    </row>
    <row r="52" spans="1:30" x14ac:dyDescent="0.25">
      <c r="A52" s="52" t="s">
        <v>151</v>
      </c>
      <c r="B52" s="61"/>
    </row>
    <row r="53" spans="1:30" ht="13.8" thickBot="1" x14ac:dyDescent="0.3"/>
    <row r="54" spans="1:30" ht="15" customHeight="1" thickBot="1" x14ac:dyDescent="0.3">
      <c r="F54" s="3749" t="s">
        <v>1318</v>
      </c>
      <c r="G54" s="3750"/>
      <c r="H54" s="3750"/>
      <c r="I54" s="3750"/>
      <c r="J54" s="3750"/>
      <c r="K54" s="3750"/>
      <c r="L54" s="3750"/>
      <c r="M54" s="3750"/>
      <c r="N54" s="3751"/>
    </row>
    <row r="55" spans="1:30" ht="14.4" thickBot="1" x14ac:dyDescent="0.3">
      <c r="U55" s="3752" t="s">
        <v>1336</v>
      </c>
      <c r="V55" s="3753"/>
      <c r="W55" s="3754"/>
      <c r="Y55" s="3752">
        <v>2020</v>
      </c>
      <c r="Z55" s="3754"/>
    </row>
    <row r="56" spans="1:30" ht="24.6" thickBot="1" x14ac:dyDescent="0.35">
      <c r="B56" s="3773" t="s">
        <v>1319</v>
      </c>
      <c r="C56" s="3774"/>
      <c r="R56" s="15"/>
      <c r="S56" s="28">
        <v>2015</v>
      </c>
      <c r="T56" s="29" t="s">
        <v>135</v>
      </c>
      <c r="U56" s="29">
        <v>6670.96</v>
      </c>
      <c r="V56" s="2406" t="s">
        <v>63</v>
      </c>
      <c r="W56" s="2406" t="s">
        <v>114</v>
      </c>
      <c r="X56" s="16"/>
      <c r="Y56" s="2407" t="s">
        <v>1337</v>
      </c>
      <c r="Z56" s="2404" t="s">
        <v>1338</v>
      </c>
      <c r="AA56" s="61"/>
      <c r="AC56" s="2488"/>
      <c r="AD56" s="2587" t="s">
        <v>1466</v>
      </c>
    </row>
    <row r="57" spans="1:30" ht="40.799999999999997" thickBot="1" x14ac:dyDescent="0.35">
      <c r="B57" s="2394" t="s">
        <v>1321</v>
      </c>
      <c r="C57" s="2395" t="s">
        <v>1322</v>
      </c>
      <c r="G57" s="2396" t="s">
        <v>261</v>
      </c>
      <c r="H57" s="2400">
        <v>178081.61</v>
      </c>
      <c r="I57" s="61"/>
      <c r="K57" s="2396" t="s">
        <v>262</v>
      </c>
      <c r="L57" s="2400">
        <v>145170.21921316907</v>
      </c>
      <c r="R57" s="15" t="s">
        <v>129</v>
      </c>
      <c r="S57" s="16">
        <v>806.71570127655548</v>
      </c>
      <c r="T57" s="16" t="s">
        <v>129</v>
      </c>
      <c r="U57" s="2408">
        <v>2866.3</v>
      </c>
      <c r="V57" s="33">
        <v>2420.070847670183</v>
      </c>
      <c r="W57" s="33">
        <v>446.22915232981666</v>
      </c>
      <c r="X57" s="16"/>
      <c r="Y57" s="2403" t="s">
        <v>164</v>
      </c>
      <c r="Z57" s="2405">
        <v>1402.62</v>
      </c>
      <c r="AC57" s="2489" t="s">
        <v>138</v>
      </c>
      <c r="AD57" s="2490">
        <v>15181</v>
      </c>
    </row>
    <row r="58" spans="1:30" ht="15" thickBot="1" x14ac:dyDescent="0.35">
      <c r="B58" s="2386" t="s">
        <v>1323</v>
      </c>
      <c r="C58" s="2387">
        <v>178081.61</v>
      </c>
      <c r="G58" s="2397" t="s">
        <v>263</v>
      </c>
      <c r="H58" s="2400">
        <v>173564.5</v>
      </c>
      <c r="L58" s="61"/>
      <c r="M58" s="368" t="s">
        <v>121</v>
      </c>
      <c r="R58" s="15" t="s">
        <v>14</v>
      </c>
      <c r="S58" s="16">
        <v>4206.4652807715147</v>
      </c>
      <c r="T58" s="16" t="s">
        <v>14</v>
      </c>
      <c r="U58" s="2408">
        <v>5268.3399999999992</v>
      </c>
      <c r="V58" s="33">
        <v>4448.1582701094558</v>
      </c>
      <c r="W58" s="33">
        <v>820.18172989054392</v>
      </c>
      <c r="X58" s="31"/>
      <c r="Y58" s="2403" t="s">
        <v>127</v>
      </c>
      <c r="Z58" s="2405">
        <v>1206.56</v>
      </c>
      <c r="AC58" s="2489" t="s">
        <v>169</v>
      </c>
      <c r="AD58" s="2490">
        <v>145170</v>
      </c>
    </row>
    <row r="59" spans="1:30" ht="15" thickBot="1" x14ac:dyDescent="0.35">
      <c r="B59" s="2386" t="s">
        <v>1324</v>
      </c>
      <c r="C59" s="2387">
        <v>173564.5</v>
      </c>
      <c r="H59" s="314"/>
      <c r="L59" s="61"/>
      <c r="R59" s="15" t="s">
        <v>130</v>
      </c>
      <c r="S59" s="16">
        <v>2951.8425214920294</v>
      </c>
      <c r="T59" s="16" t="s">
        <v>130</v>
      </c>
      <c r="U59" s="2408">
        <v>1402.62</v>
      </c>
      <c r="V59" s="33">
        <v>1184.2583722426655</v>
      </c>
      <c r="W59" s="33">
        <v>218.36162775733433</v>
      </c>
      <c r="X59" s="32"/>
      <c r="Y59" s="2403" t="s">
        <v>165</v>
      </c>
      <c r="Z59" s="2405">
        <v>301.82</v>
      </c>
      <c r="AC59" s="2489" t="s">
        <v>157</v>
      </c>
      <c r="AD59" s="2490">
        <v>178354</v>
      </c>
    </row>
    <row r="60" spans="1:30" ht="28.2" thickBot="1" x14ac:dyDescent="0.35">
      <c r="B60" s="2386" t="s">
        <v>122</v>
      </c>
      <c r="C60" s="2388">
        <v>6670.96</v>
      </c>
      <c r="K60" s="2499" t="s">
        <v>138</v>
      </c>
      <c r="L60" s="2500">
        <v>15181</v>
      </c>
      <c r="M60" s="2501">
        <v>4.4820685182431799</v>
      </c>
      <c r="N60" s="2502">
        <v>4.4820685182431798E-2</v>
      </c>
      <c r="R60" s="15" t="s">
        <v>128</v>
      </c>
      <c r="S60" s="16">
        <v>1931.9764964599017</v>
      </c>
      <c r="T60" s="16" t="s">
        <v>128</v>
      </c>
      <c r="U60" s="2408">
        <v>1780.6599999999999</v>
      </c>
      <c r="V60" s="33">
        <v>1503.4446344110486</v>
      </c>
      <c r="W60" s="33">
        <v>277.21536558895139</v>
      </c>
      <c r="X60" s="33"/>
      <c r="Y60" s="2403" t="s">
        <v>166</v>
      </c>
      <c r="Z60" s="2405">
        <v>579.9</v>
      </c>
      <c r="AC60" s="2491" t="s">
        <v>160</v>
      </c>
      <c r="AD60" s="2492">
        <v>6642</v>
      </c>
    </row>
    <row r="61" spans="1:30" ht="28.2" thickBot="1" x14ac:dyDescent="0.35">
      <c r="B61" s="2386" t="s">
        <v>170</v>
      </c>
      <c r="C61" s="2389">
        <v>56628.52</v>
      </c>
      <c r="F61" s="3770" t="s">
        <v>1319</v>
      </c>
      <c r="G61" s="369" t="s">
        <v>160</v>
      </c>
      <c r="H61" s="2398">
        <v>6670.96</v>
      </c>
      <c r="I61" s="3757">
        <v>178081.61000000002</v>
      </c>
      <c r="J61" s="2401">
        <v>3.7460128533204518E-2</v>
      </c>
      <c r="K61" s="2499" t="s">
        <v>169</v>
      </c>
      <c r="L61" s="2500">
        <v>145170.21921316907</v>
      </c>
      <c r="M61" s="2501">
        <v>42.860343147474225</v>
      </c>
      <c r="N61" s="2502">
        <v>0.42860343147474222</v>
      </c>
      <c r="R61" s="15"/>
      <c r="S61" s="16"/>
      <c r="T61" s="16"/>
      <c r="U61" s="16"/>
      <c r="V61" s="34"/>
      <c r="W61" s="16"/>
      <c r="X61" s="35"/>
      <c r="Y61" s="2403" t="s">
        <v>167</v>
      </c>
      <c r="Z61" s="2405">
        <v>272.27999999999997</v>
      </c>
      <c r="AA61" s="2402"/>
      <c r="AB61" s="485"/>
      <c r="AC61" s="2491" t="s">
        <v>134</v>
      </c>
      <c r="AD61" s="2492">
        <v>67340</v>
      </c>
    </row>
    <row r="62" spans="1:30" ht="27" thickBot="1" x14ac:dyDescent="0.35">
      <c r="B62" s="2390" t="s">
        <v>1325</v>
      </c>
      <c r="C62" s="2391">
        <v>12293.74</v>
      </c>
      <c r="F62" s="3771"/>
      <c r="G62" s="369" t="s">
        <v>264</v>
      </c>
      <c r="H62" s="2398">
        <v>67974.52</v>
      </c>
      <c r="I62" s="3758"/>
      <c r="J62" s="2401">
        <v>0.38170432084480815</v>
      </c>
      <c r="K62" s="2499" t="s">
        <v>157</v>
      </c>
      <c r="L62" s="2500">
        <v>178354</v>
      </c>
      <c r="M62" s="2501">
        <v>52.657588334282593</v>
      </c>
      <c r="N62" s="2502">
        <v>0.5265758833428259</v>
      </c>
      <c r="R62" s="15"/>
      <c r="S62" s="16"/>
      <c r="T62" s="16"/>
      <c r="U62" s="16"/>
      <c r="V62" s="34"/>
      <c r="W62" s="16"/>
      <c r="X62" s="35"/>
      <c r="Y62" s="2403" t="s">
        <v>168</v>
      </c>
      <c r="Z62" s="2405">
        <v>2463.6799999999998</v>
      </c>
      <c r="AA62" s="2402"/>
      <c r="AB62" s="485"/>
      <c r="AC62" s="2491" t="s">
        <v>133</v>
      </c>
      <c r="AD62" s="2492">
        <v>64888</v>
      </c>
    </row>
    <row r="63" spans="1:30" ht="42" thickBot="1" x14ac:dyDescent="0.35">
      <c r="B63" s="2390" t="s">
        <v>1326</v>
      </c>
      <c r="C63" s="2391">
        <v>43906.78</v>
      </c>
      <c r="F63" s="3771"/>
      <c r="G63" s="369" t="s">
        <v>133</v>
      </c>
      <c r="H63" s="2398">
        <v>64763.72</v>
      </c>
      <c r="I63" s="3758"/>
      <c r="J63" s="2401">
        <v>0.36367438501931781</v>
      </c>
      <c r="K63" s="2503" t="s">
        <v>125</v>
      </c>
      <c r="L63" s="2500">
        <v>338705.21921316907</v>
      </c>
      <c r="M63" s="2504">
        <v>100</v>
      </c>
      <c r="N63" s="2505">
        <v>1</v>
      </c>
      <c r="R63" s="15"/>
      <c r="S63" s="36"/>
      <c r="T63" s="29" t="s">
        <v>134</v>
      </c>
      <c r="U63" s="29">
        <v>67974.52</v>
      </c>
      <c r="V63" s="2406" t="s">
        <v>63</v>
      </c>
      <c r="W63" s="2406" t="s">
        <v>114</v>
      </c>
      <c r="X63" s="16"/>
      <c r="Y63" s="2403" t="s">
        <v>132</v>
      </c>
      <c r="Z63" s="2405">
        <v>402.62</v>
      </c>
      <c r="AC63" s="2491" t="s">
        <v>1467</v>
      </c>
      <c r="AD63" s="2492">
        <v>1089</v>
      </c>
    </row>
    <row r="64" spans="1:30" ht="28.2" thickBot="1" x14ac:dyDescent="0.35">
      <c r="B64" s="2390" t="s">
        <v>1327</v>
      </c>
      <c r="C64" s="2391">
        <v>428</v>
      </c>
      <c r="F64" s="3771"/>
      <c r="G64" s="369" t="s">
        <v>265</v>
      </c>
      <c r="H64" s="2398">
        <v>4517.109999999986</v>
      </c>
      <c r="I64" s="3758"/>
      <c r="J64" s="2401">
        <v>2.5365392866787233E-2</v>
      </c>
      <c r="R64" s="16">
        <v>89.405024722217149</v>
      </c>
      <c r="S64" s="31">
        <v>49002</v>
      </c>
      <c r="T64" s="16" t="s">
        <v>170</v>
      </c>
      <c r="U64" s="2408">
        <v>49799.471175432824</v>
      </c>
      <c r="V64" s="33">
        <v>42046.62750621239</v>
      </c>
      <c r="W64" s="33">
        <v>7752.8436692204332</v>
      </c>
      <c r="X64" s="16"/>
      <c r="Y64" s="2403" t="s">
        <v>171</v>
      </c>
      <c r="Z64" s="2405">
        <v>41.48</v>
      </c>
      <c r="AC64" s="2491" t="s">
        <v>1468</v>
      </c>
      <c r="AD64" s="2492">
        <v>38395</v>
      </c>
    </row>
    <row r="65" spans="2:30" ht="15" thickBot="1" x14ac:dyDescent="0.35">
      <c r="B65" s="2386" t="s">
        <v>1328</v>
      </c>
      <c r="C65" s="2389">
        <v>55467.5</v>
      </c>
      <c r="F65" s="3772"/>
      <c r="G65" s="369" t="s">
        <v>266</v>
      </c>
      <c r="H65" s="2398">
        <v>34155.300000000017</v>
      </c>
      <c r="I65" s="3759"/>
      <c r="J65" s="2401">
        <v>0.19179577273588225</v>
      </c>
      <c r="R65" s="16">
        <v>21.108433734939759</v>
      </c>
      <c r="S65" s="31">
        <v>11388</v>
      </c>
      <c r="T65" s="16" t="s">
        <v>172</v>
      </c>
      <c r="U65" s="2408">
        <v>11573.331246598691</v>
      </c>
      <c r="V65" s="33">
        <v>9771.5806301935991</v>
      </c>
      <c r="W65" s="33">
        <v>1801.7506164050917</v>
      </c>
      <c r="X65" s="16"/>
      <c r="Y65" s="2403" t="s">
        <v>173</v>
      </c>
      <c r="Z65" s="2405">
        <v>6670.96</v>
      </c>
      <c r="AC65" s="2493" t="s">
        <v>125</v>
      </c>
      <c r="AD65" s="2494">
        <v>338705</v>
      </c>
    </row>
    <row r="66" spans="2:30" ht="14.4" x14ac:dyDescent="0.3">
      <c r="B66" s="2390" t="s">
        <v>1329</v>
      </c>
      <c r="C66" s="2391">
        <v>45557.5</v>
      </c>
      <c r="R66" s="16">
        <v>32.17434373452204</v>
      </c>
      <c r="S66" s="31">
        <v>6496</v>
      </c>
      <c r="T66" s="16" t="s">
        <v>139</v>
      </c>
      <c r="U66" s="2408">
        <v>6601.717577968484</v>
      </c>
      <c r="V66" s="33">
        <v>5573.9539667841254</v>
      </c>
      <c r="W66" s="33">
        <v>1027.7636111843585</v>
      </c>
      <c r="X66" s="16"/>
      <c r="Y66" s="15" t="s">
        <v>174</v>
      </c>
      <c r="Z66" s="16">
        <v>1822.1399999999999</v>
      </c>
    </row>
    <row r="67" spans="2:30" ht="27" x14ac:dyDescent="0.3">
      <c r="B67" s="2390" t="s">
        <v>1330</v>
      </c>
      <c r="C67" s="2391">
        <v>9557.2199999999993</v>
      </c>
      <c r="G67" s="267" t="s">
        <v>267</v>
      </c>
      <c r="H67" s="2399">
        <v>139409.20000000001</v>
      </c>
      <c r="R67" s="16"/>
      <c r="S67" s="16">
        <v>66886</v>
      </c>
      <c r="T67" s="16"/>
      <c r="U67" s="31"/>
      <c r="V67" s="36"/>
      <c r="W67" s="16"/>
      <c r="X67" s="16"/>
    </row>
    <row r="68" spans="2:30" ht="27" x14ac:dyDescent="0.3">
      <c r="B68" s="2390" t="s">
        <v>1331</v>
      </c>
      <c r="C68" s="2391">
        <v>352.78</v>
      </c>
      <c r="G68" s="267" t="s">
        <v>1320</v>
      </c>
      <c r="H68" s="509">
        <v>173564.5</v>
      </c>
      <c r="R68" s="16"/>
      <c r="S68" s="16"/>
      <c r="T68" s="16"/>
      <c r="U68" s="31"/>
      <c r="V68" s="36"/>
      <c r="W68" s="16"/>
      <c r="X68" s="16"/>
    </row>
    <row r="69" spans="2:30" ht="14.4" x14ac:dyDescent="0.3">
      <c r="B69" s="2392" t="s">
        <v>1332</v>
      </c>
      <c r="C69" s="2388">
        <v>20642.22</v>
      </c>
      <c r="I69" s="61"/>
      <c r="S69" s="16"/>
      <c r="T69" s="29" t="s">
        <v>138</v>
      </c>
      <c r="U69" s="30">
        <v>64763.72</v>
      </c>
      <c r="V69" s="2406" t="s">
        <v>63</v>
      </c>
      <c r="W69" s="2406" t="s">
        <v>114</v>
      </c>
      <c r="X69" s="16"/>
    </row>
    <row r="70" spans="2:30" ht="14.4" x14ac:dyDescent="0.3">
      <c r="B70" s="2390" t="s">
        <v>1333</v>
      </c>
      <c r="C70" s="2391">
        <v>6912.48</v>
      </c>
      <c r="R70" s="16">
        <v>10.594975277782845</v>
      </c>
      <c r="S70" s="16">
        <v>5807</v>
      </c>
      <c r="T70" s="16" t="s">
        <v>170</v>
      </c>
      <c r="U70" s="2408">
        <v>6059.6961481075687</v>
      </c>
      <c r="V70" s="33">
        <v>5116.31510790023</v>
      </c>
      <c r="W70" s="33">
        <v>943.38104020733897</v>
      </c>
      <c r="X70" s="16"/>
    </row>
    <row r="71" spans="2:30" ht="14.4" x14ac:dyDescent="0.3">
      <c r="B71" s="2390" t="s">
        <v>1334</v>
      </c>
      <c r="C71" s="2391">
        <v>13729.74</v>
      </c>
      <c r="H71" s="2495" t="s">
        <v>1469</v>
      </c>
      <c r="I71" s="2496">
        <v>178354</v>
      </c>
      <c r="R71" s="16">
        <v>78.891566265060234</v>
      </c>
      <c r="S71" s="16">
        <v>42562</v>
      </c>
      <c r="T71" s="16" t="s">
        <v>172</v>
      </c>
      <c r="U71" s="2408">
        <v>44414.118728388894</v>
      </c>
      <c r="V71" s="33">
        <v>37499.673432486576</v>
      </c>
      <c r="W71" s="33">
        <v>6914.4452959023174</v>
      </c>
      <c r="X71" s="16"/>
    </row>
    <row r="72" spans="2:30" ht="14.4" x14ac:dyDescent="0.3">
      <c r="B72" s="2392" t="s">
        <v>162</v>
      </c>
      <c r="C72" s="2388">
        <v>34155.300000000017</v>
      </c>
      <c r="D72" s="61"/>
      <c r="F72" s="2487"/>
      <c r="H72" s="2495" t="s">
        <v>263</v>
      </c>
      <c r="I72" s="2496">
        <v>177265</v>
      </c>
      <c r="R72" s="16">
        <v>67.82565626547796</v>
      </c>
      <c r="S72" s="16">
        <v>13694</v>
      </c>
      <c r="T72" s="16" t="s">
        <v>139</v>
      </c>
      <c r="U72" s="2408">
        <v>14289.905123503539</v>
      </c>
      <c r="V72" s="33">
        <v>12065.234904009945</v>
      </c>
      <c r="W72" s="33">
        <v>2224.6702194935938</v>
      </c>
      <c r="X72" s="16"/>
    </row>
    <row r="73" spans="2:30" ht="13.8" x14ac:dyDescent="0.25">
      <c r="H73" s="2497" t="s">
        <v>160</v>
      </c>
      <c r="I73" s="2498">
        <v>6670.96</v>
      </c>
      <c r="J73" s="485">
        <v>3.7402917792704396E-2</v>
      </c>
      <c r="R73" s="15"/>
      <c r="S73" s="16">
        <v>62063</v>
      </c>
      <c r="T73" s="16"/>
      <c r="U73" s="16"/>
      <c r="V73" s="36"/>
      <c r="W73" s="16"/>
      <c r="X73" s="16"/>
    </row>
    <row r="74" spans="2:30" ht="14.4" x14ac:dyDescent="0.3">
      <c r="B74" s="2393" t="s">
        <v>618</v>
      </c>
      <c r="C74" s="2391">
        <v>6670.96</v>
      </c>
      <c r="H74" s="2497" t="s">
        <v>264</v>
      </c>
      <c r="I74" s="2498">
        <v>67974.52</v>
      </c>
      <c r="J74" s="485">
        <v>0.38112136537447999</v>
      </c>
      <c r="R74" s="15"/>
      <c r="S74" s="16"/>
      <c r="T74" s="16"/>
      <c r="U74" s="16"/>
      <c r="V74" s="16"/>
      <c r="W74" s="16"/>
      <c r="X74" s="16"/>
    </row>
    <row r="75" spans="2:30" ht="14.4" x14ac:dyDescent="0.3">
      <c r="B75" s="2393" t="s">
        <v>134</v>
      </c>
      <c r="C75" s="2391">
        <v>67974.52</v>
      </c>
      <c r="D75" s="2391">
        <v>67193.740000000005</v>
      </c>
      <c r="H75" s="2497" t="s">
        <v>133</v>
      </c>
      <c r="I75" s="2498">
        <v>64763.72</v>
      </c>
      <c r="J75" s="485">
        <v>0.36311896565257856</v>
      </c>
      <c r="R75" s="15"/>
      <c r="S75" s="16"/>
      <c r="T75" s="16"/>
      <c r="U75" s="16"/>
      <c r="V75" s="16"/>
      <c r="W75" s="16"/>
      <c r="X75" s="16"/>
    </row>
    <row r="76" spans="2:30" ht="26.4" x14ac:dyDescent="0.3">
      <c r="B76" s="2393" t="s">
        <v>133</v>
      </c>
      <c r="C76" s="2391">
        <v>64763.72</v>
      </c>
      <c r="D76" s="2391">
        <v>64763.72</v>
      </c>
      <c r="H76" s="2497" t="s">
        <v>265</v>
      </c>
      <c r="I76" s="2496">
        <v>1089</v>
      </c>
      <c r="J76" s="485">
        <v>6.1058344640434192E-3</v>
      </c>
    </row>
    <row r="77" spans="2:30" ht="14.4" x14ac:dyDescent="0.3">
      <c r="B77" s="2393" t="s">
        <v>162</v>
      </c>
      <c r="C77" s="2391">
        <v>34155.300000000017</v>
      </c>
      <c r="D77" s="2391">
        <v>34936.080000000002</v>
      </c>
      <c r="H77" s="2495" t="s">
        <v>266</v>
      </c>
      <c r="I77" s="2496">
        <v>37855.799999999996</v>
      </c>
      <c r="J77" s="485">
        <v>0.21225091671619362</v>
      </c>
    </row>
    <row r="78" spans="2:30" ht="14.4" x14ac:dyDescent="0.3">
      <c r="B78" s="2386" t="s">
        <v>159</v>
      </c>
      <c r="C78" s="2387">
        <v>173564.50000000003</v>
      </c>
      <c r="D78" s="2387">
        <v>173564.5</v>
      </c>
    </row>
    <row r="79" spans="2:30" ht="14.4" x14ac:dyDescent="0.3">
      <c r="B79" s="2393" t="s">
        <v>1335</v>
      </c>
      <c r="C79" s="2391">
        <v>139409.20000000001</v>
      </c>
      <c r="D79" s="2391">
        <v>138628.42000000001</v>
      </c>
      <c r="E79" s="61">
        <v>139409.20000000001</v>
      </c>
    </row>
  </sheetData>
  <autoFilter ref="A4:BB48" xr:uid="{00000000-0009-0000-0000-000008000000}"/>
  <mergeCells count="12">
    <mergeCell ref="Y55:Z55"/>
    <mergeCell ref="F54:N54"/>
    <mergeCell ref="F61:F65"/>
    <mergeCell ref="U55:W55"/>
    <mergeCell ref="B56:C56"/>
    <mergeCell ref="I61:I65"/>
    <mergeCell ref="AF3:AH3"/>
    <mergeCell ref="AJ3:AR3"/>
    <mergeCell ref="AS3:BA3"/>
    <mergeCell ref="M3:R3"/>
    <mergeCell ref="S3:AB3"/>
    <mergeCell ref="AC3:AE3"/>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BZ57"/>
  <sheetViews>
    <sheetView workbookViewId="0"/>
  </sheetViews>
  <sheetFormatPr baseColWidth="10" defaultColWidth="11.44140625" defaultRowHeight="13.2" x14ac:dyDescent="0.25"/>
  <cols>
    <col min="1" max="1" width="30" style="1" bestFit="1" customWidth="1"/>
    <col min="2" max="32" width="11.44140625" style="1"/>
    <col min="33" max="33" width="12.5546875" style="1" customWidth="1"/>
    <col min="34" max="41" width="11.44140625" style="1"/>
    <col min="42" max="42" width="11.44140625" style="1" customWidth="1"/>
    <col min="43" max="57" width="11.44140625" style="1"/>
    <col min="58" max="58" width="11.44140625" style="1" customWidth="1"/>
    <col min="59" max="16384" width="11.44140625" style="1"/>
  </cols>
  <sheetData>
    <row r="1" spans="1:78" x14ac:dyDescent="0.25">
      <c r="A1" s="1" t="s">
        <v>39</v>
      </c>
      <c r="AD1" s="512"/>
      <c r="AE1" s="512"/>
      <c r="AF1" s="512"/>
      <c r="AH1" s="2637"/>
      <c r="AN1" s="512"/>
      <c r="AO1" s="512"/>
      <c r="AS1" s="2588">
        <v>-1.1548979655298663E-2</v>
      </c>
      <c r="AT1" s="2589">
        <v>-1.2674848459076071E-3</v>
      </c>
    </row>
    <row r="2" spans="1:78" ht="13.8" thickBot="1" x14ac:dyDescent="0.3">
      <c r="A2" s="2585" t="s">
        <v>293</v>
      </c>
      <c r="B2" s="512">
        <v>2213559</v>
      </c>
      <c r="AB2" s="512"/>
      <c r="AH2" s="513"/>
      <c r="AI2" s="512"/>
      <c r="AJ2" s="512"/>
      <c r="AK2" s="512"/>
      <c r="AL2" s="512"/>
      <c r="AM2" s="512"/>
      <c r="AN2" s="512"/>
      <c r="AO2" s="512"/>
      <c r="AP2" s="512"/>
    </row>
    <row r="3" spans="1:78" ht="16.2" thickBot="1" x14ac:dyDescent="0.35">
      <c r="A3" s="52">
        <v>2020</v>
      </c>
      <c r="B3" s="61"/>
      <c r="C3" s="52"/>
      <c r="D3" s="52"/>
      <c r="E3" s="52"/>
      <c r="F3" s="52"/>
      <c r="G3" s="52"/>
      <c r="H3" s="52"/>
      <c r="I3" s="52"/>
      <c r="J3" s="52"/>
      <c r="K3" s="52"/>
      <c r="L3" s="61"/>
      <c r="M3" s="3734" t="s">
        <v>193</v>
      </c>
      <c r="N3" s="3735"/>
      <c r="O3" s="3735"/>
      <c r="P3" s="3735"/>
      <c r="Q3" s="3735"/>
      <c r="R3" s="3736"/>
      <c r="AB3" s="512"/>
      <c r="AH3" s="3762" t="s">
        <v>195</v>
      </c>
      <c r="AI3" s="3763"/>
      <c r="AJ3" s="3763"/>
      <c r="AK3" s="3763"/>
      <c r="AL3" s="3763"/>
      <c r="AM3" s="3763"/>
      <c r="AN3" s="3763"/>
      <c r="AO3" s="3763"/>
      <c r="AP3" s="3764"/>
      <c r="AQ3" s="3734" t="s">
        <v>196</v>
      </c>
      <c r="AR3" s="3735"/>
      <c r="AS3" s="3735"/>
      <c r="AT3" s="3735"/>
      <c r="AU3" s="3735"/>
      <c r="AV3" s="3735"/>
      <c r="AW3" s="3735"/>
      <c r="AX3" s="3735"/>
      <c r="AY3" s="3736"/>
    </row>
    <row r="4" spans="1:78" ht="69" customHeight="1" thickBot="1" x14ac:dyDescent="0.3">
      <c r="A4" s="8" t="s">
        <v>198</v>
      </c>
      <c r="B4" s="270" t="s">
        <v>9</v>
      </c>
      <c r="C4" s="271" t="s">
        <v>199</v>
      </c>
      <c r="D4" s="271" t="s">
        <v>158</v>
      </c>
      <c r="E4" s="272" t="s">
        <v>200</v>
      </c>
      <c r="F4" s="273" t="s">
        <v>201</v>
      </c>
      <c r="G4" s="274" t="s">
        <v>11</v>
      </c>
      <c r="H4" s="274" t="s">
        <v>202</v>
      </c>
      <c r="I4" s="274" t="s">
        <v>99</v>
      </c>
      <c r="J4" s="274" t="s">
        <v>203</v>
      </c>
      <c r="K4" s="275" t="s">
        <v>204</v>
      </c>
      <c r="L4" s="2566" t="s">
        <v>205</v>
      </c>
      <c r="M4" s="277" t="s">
        <v>206</v>
      </c>
      <c r="N4" s="278" t="s">
        <v>207</v>
      </c>
      <c r="O4" s="76" t="s">
        <v>140</v>
      </c>
      <c r="P4" s="76" t="s">
        <v>134</v>
      </c>
      <c r="Q4" s="76" t="s">
        <v>133</v>
      </c>
      <c r="R4" s="2518" t="s">
        <v>124</v>
      </c>
      <c r="S4" s="279" t="s">
        <v>122</v>
      </c>
      <c r="T4" s="280" t="s">
        <v>294</v>
      </c>
      <c r="U4" s="77" t="s">
        <v>295</v>
      </c>
      <c r="V4" s="280" t="s">
        <v>296</v>
      </c>
      <c r="W4" s="280" t="s">
        <v>297</v>
      </c>
      <c r="X4" s="280" t="s">
        <v>298</v>
      </c>
      <c r="Y4" s="280" t="s">
        <v>299</v>
      </c>
      <c r="Z4" s="2510" t="s">
        <v>218</v>
      </c>
      <c r="AA4" s="2510" t="s">
        <v>256</v>
      </c>
      <c r="AB4" s="2511" t="s">
        <v>257</v>
      </c>
      <c r="AC4" s="78" t="s">
        <v>300</v>
      </c>
      <c r="AD4" s="282" t="s">
        <v>209</v>
      </c>
      <c r="AE4" s="79" t="s">
        <v>219</v>
      </c>
      <c r="AF4" s="283" t="s">
        <v>161</v>
      </c>
      <c r="AG4" s="284" t="s">
        <v>162</v>
      </c>
      <c r="AH4" s="2553" t="s">
        <v>220</v>
      </c>
      <c r="AI4" s="2554" t="s">
        <v>221</v>
      </c>
      <c r="AJ4" s="2555" t="s">
        <v>222</v>
      </c>
      <c r="AK4" s="2561" t="s">
        <v>223</v>
      </c>
      <c r="AL4" s="2556" t="s">
        <v>224</v>
      </c>
      <c r="AM4" s="2557" t="s">
        <v>225</v>
      </c>
      <c r="AN4" s="2558" t="s">
        <v>226</v>
      </c>
      <c r="AO4" s="2559" t="s">
        <v>227</v>
      </c>
      <c r="AP4" s="2560" t="s">
        <v>259</v>
      </c>
      <c r="AQ4" s="2562" t="s">
        <v>228</v>
      </c>
      <c r="AR4" s="2563" t="s">
        <v>229</v>
      </c>
      <c r="AS4" s="2564" t="s">
        <v>230</v>
      </c>
      <c r="AT4" s="2561" t="s">
        <v>231</v>
      </c>
      <c r="AU4" s="2556" t="s">
        <v>232</v>
      </c>
      <c r="AV4" s="2557" t="s">
        <v>233</v>
      </c>
      <c r="AW4" s="2558" t="s">
        <v>234</v>
      </c>
      <c r="AX4" s="2565" t="s">
        <v>235</v>
      </c>
      <c r="AY4" s="2560" t="s">
        <v>260</v>
      </c>
    </row>
    <row r="5" spans="1:78" ht="14.4" x14ac:dyDescent="0.3">
      <c r="A5" s="8" t="s">
        <v>113</v>
      </c>
      <c r="B5" s="92">
        <v>441184.68793192017</v>
      </c>
      <c r="C5" s="93">
        <v>0.44665713297349968</v>
      </c>
      <c r="D5" s="137">
        <v>454512.39047338394</v>
      </c>
      <c r="E5" s="299">
        <v>0.46015015204040899</v>
      </c>
      <c r="F5" s="144"/>
      <c r="G5" s="126">
        <v>472594.42661773693</v>
      </c>
      <c r="H5" s="139"/>
      <c r="I5" s="126">
        <v>73968.881312072073</v>
      </c>
      <c r="J5" s="300"/>
      <c r="K5" s="127">
        <v>546563.30792980909</v>
      </c>
      <c r="L5" s="2567">
        <v>987747.99586172914</v>
      </c>
      <c r="M5" s="2520">
        <v>8142.6950560544283</v>
      </c>
      <c r="N5" s="401">
        <v>314344.70885421732</v>
      </c>
      <c r="O5" s="401">
        <v>78276.774649866056</v>
      </c>
      <c r="P5" s="401">
        <v>21974.232797581855</v>
      </c>
      <c r="Q5" s="401">
        <v>18080.61594054442</v>
      </c>
      <c r="R5" s="101">
        <v>365.66063365600104</v>
      </c>
      <c r="S5" s="2515">
        <v>14399.739999999998</v>
      </c>
      <c r="T5" s="104">
        <v>49799.471175432831</v>
      </c>
      <c r="U5" s="305">
        <v>21817.69614810757</v>
      </c>
      <c r="V5" s="104">
        <v>58974.175246598686</v>
      </c>
      <c r="W5" s="104">
        <v>44414.118728388894</v>
      </c>
      <c r="X5" s="104">
        <v>6153.0713062820632</v>
      </c>
      <c r="Y5" s="104">
        <v>67210.637046433883</v>
      </c>
      <c r="Z5" s="2506">
        <v>136949.11600725175</v>
      </c>
      <c r="AA5" s="2506">
        <v>21974.232797581855</v>
      </c>
      <c r="AB5" s="2507">
        <v>112145.49238388438</v>
      </c>
      <c r="AC5" s="133">
        <v>7079.1484346871412</v>
      </c>
      <c r="AD5" s="115">
        <v>154304.29320790395</v>
      </c>
      <c r="AE5" s="134">
        <v>31348.453957698468</v>
      </c>
      <c r="AF5" s="307">
        <v>25410.13287892774</v>
      </c>
      <c r="AG5" s="2540">
        <v>83373.207633655999</v>
      </c>
      <c r="AH5" s="2542">
        <v>8142.6950560544283</v>
      </c>
      <c r="AI5" s="2543">
        <v>328744.44885421731</v>
      </c>
      <c r="AJ5" s="2520">
        <v>78276.774649866056</v>
      </c>
      <c r="AK5" s="401">
        <v>415163.9185601378</v>
      </c>
      <c r="AL5" s="402">
        <v>271068.84118871798</v>
      </c>
      <c r="AM5" s="2544">
        <v>686232.75974885584</v>
      </c>
      <c r="AN5" s="2545">
        <v>192731.89560028957</v>
      </c>
      <c r="AO5" s="2546">
        <v>83373.207633655999</v>
      </c>
      <c r="AP5" s="106">
        <v>25410.13287892774</v>
      </c>
      <c r="AQ5" s="2532">
        <v>8.2436968641486277E-3</v>
      </c>
      <c r="AR5" s="2533">
        <v>0.33282218767491878</v>
      </c>
      <c r="AS5" s="2534">
        <v>7.9247718018983157E-2</v>
      </c>
      <c r="AT5" s="2590">
        <v>0.42031360255805056</v>
      </c>
      <c r="AU5" s="2535">
        <v>0.27443117305667891</v>
      </c>
      <c r="AV5" s="2536">
        <v>0.69474477561472958</v>
      </c>
      <c r="AW5" s="2537">
        <v>0.19512253774015181</v>
      </c>
      <c r="AX5" s="2538">
        <v>8.4407367043979387E-2</v>
      </c>
      <c r="AY5" s="2539">
        <v>2.5725319601139239E-2</v>
      </c>
      <c r="AZ5" s="512">
        <v>0</v>
      </c>
      <c r="BA5" s="512">
        <v>1.0913936421275139E-10</v>
      </c>
    </row>
    <row r="6" spans="1:78" ht="14.4" x14ac:dyDescent="0.3">
      <c r="A6" s="2512" t="s">
        <v>236</v>
      </c>
      <c r="B6" s="92">
        <v>541208.32806922705</v>
      </c>
      <c r="C6" s="93">
        <v>0.4942028173559152</v>
      </c>
      <c r="D6" s="137">
        <v>554536.03061069082</v>
      </c>
      <c r="E6" s="299">
        <v>0.50637297033262718</v>
      </c>
      <c r="F6" s="144"/>
      <c r="G6" s="126">
        <v>479840.31153594615</v>
      </c>
      <c r="H6" s="139"/>
      <c r="I6" s="126">
        <v>74065.166027908359</v>
      </c>
      <c r="J6" s="300"/>
      <c r="K6" s="127">
        <v>553905.47756385454</v>
      </c>
      <c r="L6" s="301">
        <v>1095113.8056330816</v>
      </c>
      <c r="M6" s="92">
        <v>8142.6950560544283</v>
      </c>
      <c r="N6" s="2519">
        <v>404941.95865719748</v>
      </c>
      <c r="O6" s="2519">
        <v>78276.774649866056</v>
      </c>
      <c r="P6" s="2519">
        <v>22643.159597581856</v>
      </c>
      <c r="Q6" s="2519">
        <v>26838.079474871145</v>
      </c>
      <c r="R6" s="129">
        <v>365.66063365600104</v>
      </c>
      <c r="S6" s="2516">
        <v>14399.739999999998</v>
      </c>
      <c r="T6" s="316">
        <v>49799.471175432831</v>
      </c>
      <c r="U6" s="316">
        <v>21817.69614810757</v>
      </c>
      <c r="V6" s="316">
        <v>58974.175246598686</v>
      </c>
      <c r="W6" s="316">
        <v>44414.118728388894</v>
      </c>
      <c r="X6" s="316">
        <v>6601.717577968484</v>
      </c>
      <c r="Y6" s="316">
        <v>71675.145123503549</v>
      </c>
      <c r="Z6" s="2508">
        <v>138091.07077848192</v>
      </c>
      <c r="AA6" s="2508">
        <v>22643.159597581856</v>
      </c>
      <c r="AB6" s="2507">
        <v>112594.1386555708</v>
      </c>
      <c r="AC6" s="133">
        <v>7079.1484346871412</v>
      </c>
      <c r="AD6" s="115">
        <v>167526.26481930036</v>
      </c>
      <c r="AE6" s="134">
        <v>31799.270350685445</v>
      </c>
      <c r="AF6" s="307">
        <v>26246.376999999993</v>
      </c>
      <c r="AG6" s="2540">
        <v>83373.207633655999</v>
      </c>
      <c r="AH6" s="2547">
        <v>8142.6950560544283</v>
      </c>
      <c r="AI6" s="309">
        <v>419341.69865719747</v>
      </c>
      <c r="AJ6" s="92">
        <v>78276.774649866056</v>
      </c>
      <c r="AK6" s="2519">
        <v>505761.16836311796</v>
      </c>
      <c r="AL6" s="2548">
        <v>273328.36903163459</v>
      </c>
      <c r="AM6" s="2549">
        <v>779089.53739475249</v>
      </c>
      <c r="AN6" s="2550">
        <v>206404.68360467296</v>
      </c>
      <c r="AO6" s="2551">
        <v>83373.207633655999</v>
      </c>
      <c r="AP6" s="134">
        <v>26246.376999999993</v>
      </c>
      <c r="AQ6" s="2521">
        <v>7.435478407969813E-3</v>
      </c>
      <c r="AR6" s="2522">
        <v>0.38292065765235922</v>
      </c>
      <c r="AS6" s="2474">
        <v>7.1478210070244269E-2</v>
      </c>
      <c r="AT6" s="2523">
        <v>0.46183434613057328</v>
      </c>
      <c r="AU6" s="2524">
        <v>0.24958900858128108</v>
      </c>
      <c r="AV6" s="2525">
        <v>0.71142335471185436</v>
      </c>
      <c r="AW6" s="2526">
        <v>0.18847783905468263</v>
      </c>
      <c r="AX6" s="2527">
        <v>7.6132003089357664E-2</v>
      </c>
      <c r="AY6" s="2528">
        <v>2.396680314410524E-2</v>
      </c>
      <c r="AZ6" s="512"/>
      <c r="BB6" s="2628" t="s">
        <v>198</v>
      </c>
      <c r="BC6" s="2628" t="s">
        <v>395</v>
      </c>
      <c r="BD6" s="2628" t="s">
        <v>156</v>
      </c>
      <c r="BE6" s="2628" t="s">
        <v>220</v>
      </c>
      <c r="BF6" s="2628" t="s">
        <v>221</v>
      </c>
      <c r="BG6" s="2628" t="s">
        <v>222</v>
      </c>
      <c r="BH6" s="2628" t="s">
        <v>223</v>
      </c>
      <c r="BI6" s="2628" t="s">
        <v>224</v>
      </c>
      <c r="BJ6" s="2628" t="s">
        <v>225</v>
      </c>
      <c r="BK6" s="2628" t="s">
        <v>226</v>
      </c>
      <c r="BL6" s="2628" t="s">
        <v>227</v>
      </c>
      <c r="BM6" s="2628" t="s">
        <v>259</v>
      </c>
      <c r="BO6" s="2628" t="s">
        <v>198</v>
      </c>
      <c r="BP6" s="2628" t="s">
        <v>395</v>
      </c>
      <c r="BQ6" s="2628" t="s">
        <v>156</v>
      </c>
      <c r="BR6" s="2628" t="s">
        <v>228</v>
      </c>
      <c r="BS6" s="2628" t="s">
        <v>229</v>
      </c>
      <c r="BT6" s="2628" t="s">
        <v>230</v>
      </c>
      <c r="BU6" s="2628" t="s">
        <v>231</v>
      </c>
      <c r="BV6" s="2628" t="s">
        <v>232</v>
      </c>
      <c r="BW6" s="2628" t="s">
        <v>233</v>
      </c>
      <c r="BX6" s="2628" t="s">
        <v>234</v>
      </c>
      <c r="BY6" s="2628" t="s">
        <v>235</v>
      </c>
      <c r="BZ6" s="2628" t="s">
        <v>260</v>
      </c>
    </row>
    <row r="7" spans="1:78" ht="14.4" x14ac:dyDescent="0.3">
      <c r="A7" s="2512" t="s">
        <v>14</v>
      </c>
      <c r="B7" s="92">
        <v>56633.022498758946</v>
      </c>
      <c r="C7" s="93">
        <v>0.4398955005201643</v>
      </c>
      <c r="D7" s="137">
        <v>66847.268040222814</v>
      </c>
      <c r="E7" s="299">
        <v>0.51923438191213955</v>
      </c>
      <c r="F7" s="144"/>
      <c r="G7" s="126">
        <v>61954.634079348434</v>
      </c>
      <c r="H7" s="139"/>
      <c r="I7" s="126">
        <v>10154.334262426237</v>
      </c>
      <c r="J7" s="300"/>
      <c r="K7" s="127">
        <v>72108.968341774671</v>
      </c>
      <c r="L7" s="301">
        <v>128741.99084053363</v>
      </c>
      <c r="M7" s="92" t="s">
        <v>153</v>
      </c>
      <c r="N7" s="2519">
        <v>43447.157663656537</v>
      </c>
      <c r="O7" s="2519" t="s">
        <v>153</v>
      </c>
      <c r="P7" s="2519">
        <v>6235.2511771801337</v>
      </c>
      <c r="Q7" s="2519">
        <v>6950.6136579222766</v>
      </c>
      <c r="R7" s="129" t="s">
        <v>153</v>
      </c>
      <c r="S7" s="2517">
        <v>10214.245541463861</v>
      </c>
      <c r="T7" s="132" t="s">
        <v>153</v>
      </c>
      <c r="U7" s="319" t="s">
        <v>153</v>
      </c>
      <c r="V7" s="132">
        <v>12385.32940826101</v>
      </c>
      <c r="W7" s="132">
        <v>13361.344455550457</v>
      </c>
      <c r="X7" s="132" t="s">
        <v>153</v>
      </c>
      <c r="Y7" s="132">
        <v>10577.407490834854</v>
      </c>
      <c r="Z7" s="2507">
        <v>18184.403951682059</v>
      </c>
      <c r="AA7" s="2507">
        <v>6235.2511771801346</v>
      </c>
      <c r="AB7" s="2507">
        <v>12385.32940826101</v>
      </c>
      <c r="AC7" s="133" t="s">
        <v>153</v>
      </c>
      <c r="AD7" s="115">
        <v>30889.365604307586</v>
      </c>
      <c r="AE7" s="134">
        <v>4253.5828854964384</v>
      </c>
      <c r="AF7" s="307">
        <v>3132.6546084859915</v>
      </c>
      <c r="AG7" s="2541" t="s">
        <v>153</v>
      </c>
      <c r="AH7" s="2547" t="s">
        <v>153</v>
      </c>
      <c r="AI7" s="309">
        <v>53661.403205120398</v>
      </c>
      <c r="AJ7" s="92" t="s">
        <v>153</v>
      </c>
      <c r="AK7" s="2519">
        <v>53661.403205120398</v>
      </c>
      <c r="AL7" s="2548">
        <v>36804.9845371232</v>
      </c>
      <c r="AM7" s="2549">
        <v>90466.387742243591</v>
      </c>
      <c r="AN7" s="2550">
        <v>35142.948489804025</v>
      </c>
      <c r="AO7" s="2551" t="s">
        <v>153</v>
      </c>
      <c r="AP7" s="134">
        <v>3132.6546084859915</v>
      </c>
      <c r="AQ7" s="2521" t="s">
        <v>153</v>
      </c>
      <c r="AR7" s="2522">
        <v>0.41681352645531278</v>
      </c>
      <c r="AS7" s="2474" t="s">
        <v>153</v>
      </c>
      <c r="AT7" s="2523">
        <v>0.41681352645531278</v>
      </c>
      <c r="AU7" s="2524">
        <v>0.28588174143362227</v>
      </c>
      <c r="AV7" s="2525">
        <v>0.70269526788893499</v>
      </c>
      <c r="AW7" s="2526">
        <v>0.27297192050831237</v>
      </c>
      <c r="AX7" s="2527" t="s">
        <v>153</v>
      </c>
      <c r="AY7" s="2528">
        <v>2.433281160275249E-2</v>
      </c>
      <c r="AZ7" s="512">
        <v>0</v>
      </c>
      <c r="BB7" s="2629" t="s">
        <v>14</v>
      </c>
      <c r="BC7" s="2630">
        <v>128741.99084053363</v>
      </c>
      <c r="BD7" s="2631">
        <v>0.4398955005201643</v>
      </c>
      <c r="BE7" s="2630" t="s">
        <v>153</v>
      </c>
      <c r="BF7" s="2630">
        <v>53661.403205120398</v>
      </c>
      <c r="BG7" s="2630" t="s">
        <v>153</v>
      </c>
      <c r="BH7" s="2630">
        <v>53661.403205120398</v>
      </c>
      <c r="BI7" s="2630">
        <v>36804.9845371232</v>
      </c>
      <c r="BJ7" s="2630">
        <v>90466.387742243591</v>
      </c>
      <c r="BK7" s="2630">
        <v>35142.948489804025</v>
      </c>
      <c r="BL7" s="2630" t="s">
        <v>153</v>
      </c>
      <c r="BM7" s="2630">
        <v>3132.6546084859915</v>
      </c>
      <c r="BO7" s="2629" t="s">
        <v>14</v>
      </c>
      <c r="BP7" s="2630">
        <v>128741.99084053363</v>
      </c>
      <c r="BQ7" s="2634">
        <v>0.4398955005201643</v>
      </c>
      <c r="BR7" s="2634" t="s">
        <v>153</v>
      </c>
      <c r="BS7" s="2634">
        <v>0.41681352645531278</v>
      </c>
      <c r="BT7" s="2634" t="s">
        <v>153</v>
      </c>
      <c r="BU7" s="2634">
        <v>0.41681352645531278</v>
      </c>
      <c r="BV7" s="2634">
        <v>0.28588174143362227</v>
      </c>
      <c r="BW7" s="2634">
        <v>0.70269526788893499</v>
      </c>
      <c r="BX7" s="2634">
        <v>0.27297192050831237</v>
      </c>
      <c r="BY7" s="2634" t="s">
        <v>153</v>
      </c>
      <c r="BZ7" s="2634">
        <v>2.433281160275249E-2</v>
      </c>
    </row>
    <row r="8" spans="1:78" ht="14.4" x14ac:dyDescent="0.3">
      <c r="A8" s="2512" t="s">
        <v>32</v>
      </c>
      <c r="B8" s="92">
        <v>57939.888000000006</v>
      </c>
      <c r="C8" s="93">
        <v>0.71915353946006355</v>
      </c>
      <c r="D8" s="137">
        <v>58335.888000000006</v>
      </c>
      <c r="E8" s="299">
        <v>0.72406871640390202</v>
      </c>
      <c r="F8" s="144"/>
      <c r="G8" s="126">
        <v>16894.252321149521</v>
      </c>
      <c r="H8" s="139"/>
      <c r="I8" s="126">
        <v>5732.6438505601072</v>
      </c>
      <c r="J8" s="300"/>
      <c r="K8" s="127">
        <v>22626.896171709624</v>
      </c>
      <c r="L8" s="301">
        <v>80566.784171709631</v>
      </c>
      <c r="M8" s="92" t="s">
        <v>153</v>
      </c>
      <c r="N8" s="2519">
        <v>56137.957483200007</v>
      </c>
      <c r="O8" s="2519" t="s">
        <v>153</v>
      </c>
      <c r="P8" s="2519" t="s">
        <v>153</v>
      </c>
      <c r="Q8" s="2519">
        <v>1599.1409088</v>
      </c>
      <c r="R8" s="129">
        <v>202.78960800000101</v>
      </c>
      <c r="S8" s="2517">
        <v>396</v>
      </c>
      <c r="T8" s="132" t="s">
        <v>153</v>
      </c>
      <c r="U8" s="319" t="s">
        <v>153</v>
      </c>
      <c r="V8" s="132" t="s">
        <v>153</v>
      </c>
      <c r="W8" s="132">
        <v>0</v>
      </c>
      <c r="X8" s="132">
        <v>2303.8843127652131</v>
      </c>
      <c r="Y8" s="132">
        <v>11493.434963720512</v>
      </c>
      <c r="Z8" s="2507" t="s">
        <v>153</v>
      </c>
      <c r="AA8" s="2507" t="s">
        <v>153</v>
      </c>
      <c r="AB8" s="2507" t="s">
        <v>153</v>
      </c>
      <c r="AC8" s="133">
        <v>5864.1559049072584</v>
      </c>
      <c r="AD8" s="115">
        <v>15396.460185285723</v>
      </c>
      <c r="AE8" s="134">
        <v>1267.5619485606712</v>
      </c>
      <c r="AF8" s="322">
        <v>1301.8590417559733</v>
      </c>
      <c r="AG8" s="2541">
        <v>202.78960800000101</v>
      </c>
      <c r="AH8" s="2547" t="s">
        <v>153</v>
      </c>
      <c r="AI8" s="309">
        <v>56533.957483200007</v>
      </c>
      <c r="AJ8" s="92" t="s">
        <v>153</v>
      </c>
      <c r="AK8" s="2519">
        <v>56533.957483200007</v>
      </c>
      <c r="AL8" s="2548">
        <v>0</v>
      </c>
      <c r="AM8" s="2549">
        <v>56533.957483200007</v>
      </c>
      <c r="AN8" s="2550">
        <v>22528.178038753656</v>
      </c>
      <c r="AO8" s="2551">
        <v>202.78960800000101</v>
      </c>
      <c r="AP8" s="134">
        <v>1301.8590417559733</v>
      </c>
      <c r="AQ8" s="2521" t="s">
        <v>153</v>
      </c>
      <c r="AR8" s="2522">
        <v>0.70170304132669414</v>
      </c>
      <c r="AS8" s="2474" t="s">
        <v>153</v>
      </c>
      <c r="AT8" s="2523">
        <v>0.70170304132669414</v>
      </c>
      <c r="AU8" s="2524">
        <v>0</v>
      </c>
      <c r="AV8" s="2525">
        <v>0.70170304132669414</v>
      </c>
      <c r="AW8" s="2526">
        <v>0.279621164855482</v>
      </c>
      <c r="AX8" s="2527">
        <v>2.5170373881102347E-3</v>
      </c>
      <c r="AY8" s="2528">
        <v>1.6158756429713754E-2</v>
      </c>
      <c r="AZ8" s="512">
        <v>0</v>
      </c>
      <c r="BB8" s="2629" t="s">
        <v>32</v>
      </c>
      <c r="BC8" s="2630">
        <v>80566.784171709631</v>
      </c>
      <c r="BD8" s="2631">
        <v>0.71915353946006355</v>
      </c>
      <c r="BE8" s="2630" t="s">
        <v>153</v>
      </c>
      <c r="BF8" s="2630">
        <v>56533.957483200007</v>
      </c>
      <c r="BG8" s="2630" t="s">
        <v>153</v>
      </c>
      <c r="BH8" s="2630">
        <v>56533.957483200007</v>
      </c>
      <c r="BI8" s="2630">
        <v>0</v>
      </c>
      <c r="BJ8" s="2630">
        <v>56533.957483200007</v>
      </c>
      <c r="BK8" s="2630">
        <v>22528.178038753656</v>
      </c>
      <c r="BL8" s="2630">
        <v>202.78960800000101</v>
      </c>
      <c r="BM8" s="2630">
        <v>1301.8590417559733</v>
      </c>
      <c r="BO8" s="2629" t="s">
        <v>32</v>
      </c>
      <c r="BP8" s="2630">
        <v>80566.784171709631</v>
      </c>
      <c r="BQ8" s="2634">
        <v>0.71915353946006355</v>
      </c>
      <c r="BR8" s="2634" t="s">
        <v>153</v>
      </c>
      <c r="BS8" s="2634">
        <v>0.70170304132669414</v>
      </c>
      <c r="BT8" s="2634" t="s">
        <v>153</v>
      </c>
      <c r="BU8" s="2634">
        <v>0.70170304132669414</v>
      </c>
      <c r="BV8" s="2634">
        <v>0</v>
      </c>
      <c r="BW8" s="2634">
        <v>0.70170304132669414</v>
      </c>
      <c r="BX8" s="2634">
        <v>0.279621164855482</v>
      </c>
      <c r="BY8" s="2634">
        <v>2.5170373881102347E-3</v>
      </c>
      <c r="BZ8" s="2634">
        <v>1.6158756429713754E-2</v>
      </c>
    </row>
    <row r="9" spans="1:78" ht="14.4" x14ac:dyDescent="0.3">
      <c r="A9" s="2512" t="s">
        <v>47</v>
      </c>
      <c r="B9" s="92">
        <v>722.71134000000006</v>
      </c>
      <c r="C9" s="93">
        <v>0.35662817578959077</v>
      </c>
      <c r="D9" s="137">
        <v>722.71134000000006</v>
      </c>
      <c r="E9" s="299">
        <v>0.35662817578959077</v>
      </c>
      <c r="F9" s="144"/>
      <c r="G9" s="126">
        <v>874.22287151757291</v>
      </c>
      <c r="H9" s="139"/>
      <c r="I9" s="126">
        <v>429.57796296186848</v>
      </c>
      <c r="J9" s="300"/>
      <c r="K9" s="127">
        <v>1303.8008344794414</v>
      </c>
      <c r="L9" s="301">
        <v>2026.5121744794415</v>
      </c>
      <c r="M9" s="92" t="s">
        <v>153</v>
      </c>
      <c r="N9" s="2519">
        <v>616.43739300000004</v>
      </c>
      <c r="O9" s="2519" t="s">
        <v>153</v>
      </c>
      <c r="P9" s="2519">
        <v>55.751020000000004</v>
      </c>
      <c r="Q9" s="2519">
        <v>50.522927000000003</v>
      </c>
      <c r="R9" s="129" t="s">
        <v>153</v>
      </c>
      <c r="S9" s="2517" t="s">
        <v>153</v>
      </c>
      <c r="T9" s="132" t="s">
        <v>153</v>
      </c>
      <c r="U9" s="132" t="s">
        <v>153</v>
      </c>
      <c r="V9" s="323">
        <v>592.65434865154396</v>
      </c>
      <c r="W9" s="323">
        <v>0</v>
      </c>
      <c r="X9" s="323">
        <v>51.498784851312806</v>
      </c>
      <c r="Y9" s="132">
        <v>283.90018540564643</v>
      </c>
      <c r="Z9" s="2507">
        <v>131.08162662859829</v>
      </c>
      <c r="AA9" s="2507">
        <v>55.751020000000004</v>
      </c>
      <c r="AB9" s="2507">
        <v>644.1531335028568</v>
      </c>
      <c r="AC9" s="133" t="s">
        <v>153</v>
      </c>
      <c r="AD9" s="115">
        <v>334.42311240564641</v>
      </c>
      <c r="AE9" s="134">
        <v>85.191099963141781</v>
      </c>
      <c r="AF9" s="307">
        <v>159.47478897919811</v>
      </c>
      <c r="AG9" s="2541" t="s">
        <v>153</v>
      </c>
      <c r="AH9" s="2547" t="s">
        <v>153</v>
      </c>
      <c r="AI9" s="309">
        <v>616.43739300000004</v>
      </c>
      <c r="AJ9" s="92" t="s">
        <v>153</v>
      </c>
      <c r="AK9" s="2519">
        <v>616.43739300000004</v>
      </c>
      <c r="AL9" s="2548">
        <v>830.98578013145516</v>
      </c>
      <c r="AM9" s="2549">
        <v>1447.4231731314553</v>
      </c>
      <c r="AN9" s="2550">
        <v>419.61421236878817</v>
      </c>
      <c r="AO9" s="2551" t="s">
        <v>153</v>
      </c>
      <c r="AP9" s="134">
        <v>159.47478897919811</v>
      </c>
      <c r="AQ9" s="2521" t="s">
        <v>153</v>
      </c>
      <c r="AR9" s="2522">
        <v>0.30418637537094828</v>
      </c>
      <c r="AS9" s="2474" t="s">
        <v>153</v>
      </c>
      <c r="AT9" s="2523">
        <v>0.30418637537094828</v>
      </c>
      <c r="AU9" s="2524">
        <v>0.41005713688589801</v>
      </c>
      <c r="AV9" s="2525">
        <v>0.71424351225684635</v>
      </c>
      <c r="AW9" s="2526">
        <v>0.20706227066046431</v>
      </c>
      <c r="AX9" s="2527" t="s">
        <v>153</v>
      </c>
      <c r="AY9" s="2528">
        <v>7.8694217082689408E-2</v>
      </c>
      <c r="AZ9" s="512">
        <v>0</v>
      </c>
      <c r="BB9" s="2629" t="s">
        <v>47</v>
      </c>
      <c r="BC9" s="2630">
        <v>2026.5121744794415</v>
      </c>
      <c r="BD9" s="2631">
        <v>0.35662817578959077</v>
      </c>
      <c r="BE9" s="2630" t="s">
        <v>153</v>
      </c>
      <c r="BF9" s="2630">
        <v>616.43739300000004</v>
      </c>
      <c r="BG9" s="2630" t="s">
        <v>153</v>
      </c>
      <c r="BH9" s="2630">
        <v>616.43739300000004</v>
      </c>
      <c r="BI9" s="2630">
        <v>830.98578013145516</v>
      </c>
      <c r="BJ9" s="2630">
        <v>1447.4231731314553</v>
      </c>
      <c r="BK9" s="2630">
        <v>419.61421236878817</v>
      </c>
      <c r="BL9" s="2630" t="s">
        <v>153</v>
      </c>
      <c r="BM9" s="2630">
        <v>159.47478897919811</v>
      </c>
      <c r="BO9" s="2629" t="s">
        <v>47</v>
      </c>
      <c r="BP9" s="2630">
        <v>2026.5121744794415</v>
      </c>
      <c r="BQ9" s="2634">
        <v>0.35662817578959077</v>
      </c>
      <c r="BR9" s="2634" t="s">
        <v>153</v>
      </c>
      <c r="BS9" s="2634">
        <v>0.30418637537094828</v>
      </c>
      <c r="BT9" s="2634" t="s">
        <v>153</v>
      </c>
      <c r="BU9" s="2634">
        <v>0.30418637537094828</v>
      </c>
      <c r="BV9" s="2634">
        <v>0.41005713688589801</v>
      </c>
      <c r="BW9" s="2634">
        <v>0.71424351225684635</v>
      </c>
      <c r="BX9" s="2634">
        <v>0.20706227066046431</v>
      </c>
      <c r="BY9" s="2634" t="s">
        <v>153</v>
      </c>
      <c r="BZ9" s="2634">
        <v>7.8694217082689408E-2</v>
      </c>
    </row>
    <row r="10" spans="1:78" ht="14.4" x14ac:dyDescent="0.3">
      <c r="A10" s="2512" t="s">
        <v>1</v>
      </c>
      <c r="B10" s="92">
        <v>19074.051499912537</v>
      </c>
      <c r="C10" s="93">
        <v>0.93683643162773289</v>
      </c>
      <c r="D10" s="137">
        <v>19074.051499912537</v>
      </c>
      <c r="E10" s="299">
        <v>0.93683643162773289</v>
      </c>
      <c r="F10" s="144"/>
      <c r="G10" s="126">
        <v>1286.014415512836</v>
      </c>
      <c r="H10" s="139"/>
      <c r="I10" s="126" t="s">
        <v>153</v>
      </c>
      <c r="J10" s="300"/>
      <c r="K10" s="127">
        <v>1286.014415512836</v>
      </c>
      <c r="L10" s="301">
        <v>20360.065915425374</v>
      </c>
      <c r="M10" s="92">
        <v>190.74051499912537</v>
      </c>
      <c r="N10" s="2519">
        <v>18562.866919714877</v>
      </c>
      <c r="O10" s="2519" t="s">
        <v>153</v>
      </c>
      <c r="P10" s="2519">
        <v>173.57386864920409</v>
      </c>
      <c r="Q10" s="2519">
        <v>146.87019654932652</v>
      </c>
      <c r="R10" s="129" t="s">
        <v>153</v>
      </c>
      <c r="S10" s="2517" t="s">
        <v>153</v>
      </c>
      <c r="T10" s="132" t="s">
        <v>153</v>
      </c>
      <c r="U10" s="132" t="s">
        <v>153</v>
      </c>
      <c r="V10" s="323" t="s">
        <v>153</v>
      </c>
      <c r="W10" s="323">
        <v>0</v>
      </c>
      <c r="X10" s="323" t="s">
        <v>153</v>
      </c>
      <c r="Y10" s="132">
        <v>1025.4242730750566</v>
      </c>
      <c r="Z10" s="2507" t="s">
        <v>153</v>
      </c>
      <c r="AA10" s="2507">
        <v>173.57386864920409</v>
      </c>
      <c r="AB10" s="2507" t="s">
        <v>153</v>
      </c>
      <c r="AC10" s="133" t="s">
        <v>153</v>
      </c>
      <c r="AD10" s="115">
        <v>1172.2944696243831</v>
      </c>
      <c r="AE10" s="134">
        <v>99.5829296377796</v>
      </c>
      <c r="AF10" s="307">
        <v>161.00721279999999</v>
      </c>
      <c r="AG10" s="2541" t="s">
        <v>153</v>
      </c>
      <c r="AH10" s="2547">
        <v>190.74051499912537</v>
      </c>
      <c r="AI10" s="309">
        <v>18562.866919714877</v>
      </c>
      <c r="AJ10" s="92" t="s">
        <v>153</v>
      </c>
      <c r="AK10" s="2519">
        <v>18753.607434714002</v>
      </c>
      <c r="AL10" s="2548">
        <v>173.57386864920409</v>
      </c>
      <c r="AM10" s="2549">
        <v>18927.181303363206</v>
      </c>
      <c r="AN10" s="2550">
        <v>1271.8773992621627</v>
      </c>
      <c r="AO10" s="2551" t="s">
        <v>153</v>
      </c>
      <c r="AP10" s="134">
        <v>161.00721279999999</v>
      </c>
      <c r="AQ10" s="2521">
        <v>9.3683643162773278E-3</v>
      </c>
      <c r="AR10" s="2522">
        <v>0.91172921526010942</v>
      </c>
      <c r="AS10" s="2474" t="s">
        <v>153</v>
      </c>
      <c r="AT10" s="2523">
        <v>0.92109757957638672</v>
      </c>
      <c r="AU10" s="2524">
        <v>8.5252115278123698E-3</v>
      </c>
      <c r="AV10" s="2525">
        <v>0.9296227911041991</v>
      </c>
      <c r="AW10" s="2526">
        <v>6.2469218152115688E-2</v>
      </c>
      <c r="AX10" s="2527" t="s">
        <v>153</v>
      </c>
      <c r="AY10" s="2528">
        <v>7.9079907436849835E-3</v>
      </c>
      <c r="AZ10" s="512">
        <v>0</v>
      </c>
      <c r="BB10" s="2629" t="s">
        <v>1</v>
      </c>
      <c r="BC10" s="2630">
        <v>20360.065915425374</v>
      </c>
      <c r="BD10" s="2631">
        <v>0.93683643162773289</v>
      </c>
      <c r="BE10" s="2630">
        <v>190.74051499912537</v>
      </c>
      <c r="BF10" s="2630">
        <v>18562.866919714877</v>
      </c>
      <c r="BG10" s="2630" t="s">
        <v>153</v>
      </c>
      <c r="BH10" s="2630">
        <v>18753.607434714002</v>
      </c>
      <c r="BI10" s="2630">
        <v>173.57386864920409</v>
      </c>
      <c r="BJ10" s="2630">
        <v>18927.181303363206</v>
      </c>
      <c r="BK10" s="2630">
        <v>1271.8773992621627</v>
      </c>
      <c r="BL10" s="2630" t="s">
        <v>153</v>
      </c>
      <c r="BM10" s="2630">
        <v>161.00721279999999</v>
      </c>
      <c r="BO10" s="2629" t="s">
        <v>1</v>
      </c>
      <c r="BP10" s="2630">
        <v>20360.065915425374</v>
      </c>
      <c r="BQ10" s="2634">
        <v>0.93683643162773289</v>
      </c>
      <c r="BR10" s="2634">
        <v>9.3683643162773278E-3</v>
      </c>
      <c r="BS10" s="2634">
        <v>0.91172921526010942</v>
      </c>
      <c r="BT10" s="2634" t="s">
        <v>153</v>
      </c>
      <c r="BU10" s="2634">
        <v>0.92109757957638672</v>
      </c>
      <c r="BV10" s="2634">
        <v>8.5252115278123698E-3</v>
      </c>
      <c r="BW10" s="2634">
        <v>0.9296227911041991</v>
      </c>
      <c r="BX10" s="2634">
        <v>6.2469218152115688E-2</v>
      </c>
      <c r="BY10" s="2634" t="s">
        <v>153</v>
      </c>
      <c r="BZ10" s="2634">
        <v>7.9079907436849835E-3</v>
      </c>
    </row>
    <row r="11" spans="1:78" ht="14.4" x14ac:dyDescent="0.3">
      <c r="A11" s="2512" t="s">
        <v>5</v>
      </c>
      <c r="B11" s="92">
        <v>80042.77773999999</v>
      </c>
      <c r="C11" s="93">
        <v>0.2620002961459566</v>
      </c>
      <c r="D11" s="137">
        <v>80042.77773999999</v>
      </c>
      <c r="E11" s="299">
        <v>0.2620002961459566</v>
      </c>
      <c r="F11" s="144"/>
      <c r="G11" s="126">
        <v>200977.71831584175</v>
      </c>
      <c r="H11" s="139"/>
      <c r="I11" s="126">
        <v>24485.943888826507</v>
      </c>
      <c r="J11" s="139"/>
      <c r="K11" s="127">
        <v>225463.66220466828</v>
      </c>
      <c r="L11" s="301">
        <v>305506.43994466827</v>
      </c>
      <c r="M11" s="92" t="s">
        <v>153</v>
      </c>
      <c r="N11" s="2519" t="s">
        <v>153</v>
      </c>
      <c r="O11" s="2519">
        <v>78276.774649866056</v>
      </c>
      <c r="P11" s="2519">
        <v>1173.7957148</v>
      </c>
      <c r="Q11" s="2519">
        <v>592.20737533394333</v>
      </c>
      <c r="R11" s="129" t="s">
        <v>153</v>
      </c>
      <c r="S11" s="2517" t="s">
        <v>153</v>
      </c>
      <c r="T11" s="132">
        <v>26959.476578785077</v>
      </c>
      <c r="U11" s="132">
        <v>18952.842669544203</v>
      </c>
      <c r="V11" s="132">
        <v>11726.705775525184</v>
      </c>
      <c r="W11" s="132">
        <v>0</v>
      </c>
      <c r="X11" s="323" t="s">
        <v>153</v>
      </c>
      <c r="Y11" s="132">
        <v>4124.3465074330597</v>
      </c>
      <c r="Z11" s="2507">
        <v>55696.521704756895</v>
      </c>
      <c r="AA11" s="2507">
        <v>1173.7957148</v>
      </c>
      <c r="AB11" s="2507">
        <v>38686.182354310266</v>
      </c>
      <c r="AC11" s="133" t="s">
        <v>153</v>
      </c>
      <c r="AD11" s="115">
        <v>23669.396552311206</v>
      </c>
      <c r="AE11" s="134">
        <v>13204.762220620101</v>
      </c>
      <c r="AF11" s="307">
        <v>11791.459748003728</v>
      </c>
      <c r="AG11" s="2541">
        <v>83007.546999999991</v>
      </c>
      <c r="AH11" s="2547" t="s">
        <v>153</v>
      </c>
      <c r="AI11" s="309">
        <v>0</v>
      </c>
      <c r="AJ11" s="92">
        <v>78276.774649866056</v>
      </c>
      <c r="AK11" s="2519">
        <v>78276.774649866056</v>
      </c>
      <c r="AL11" s="2548">
        <v>95556.499773867166</v>
      </c>
      <c r="AM11" s="2549">
        <v>173833.27442373324</v>
      </c>
      <c r="AN11" s="2550">
        <v>36874.158772931303</v>
      </c>
      <c r="AO11" s="2551">
        <v>83007.546999999991</v>
      </c>
      <c r="AP11" s="134">
        <v>11791.459748003728</v>
      </c>
      <c r="AQ11" s="2521" t="s">
        <v>153</v>
      </c>
      <c r="AR11" s="2522">
        <v>0</v>
      </c>
      <c r="AS11" s="2474">
        <v>0.25621972048786645</v>
      </c>
      <c r="AT11" s="2523">
        <v>0.25621972048786645</v>
      </c>
      <c r="AU11" s="2524">
        <v>0.31278063988167931</v>
      </c>
      <c r="AV11" s="2525">
        <v>0.56900036036954582</v>
      </c>
      <c r="AW11" s="2526">
        <v>0.12069846638784361</v>
      </c>
      <c r="AX11" s="2527">
        <v>0.27170473727177041</v>
      </c>
      <c r="AY11" s="2528">
        <v>3.8596435970840212E-2</v>
      </c>
      <c r="AZ11" s="512">
        <v>0</v>
      </c>
      <c r="BB11" s="2629" t="s">
        <v>5</v>
      </c>
      <c r="BC11" s="2630">
        <v>305506.43994466827</v>
      </c>
      <c r="BD11" s="2631">
        <v>0.2620002961459566</v>
      </c>
      <c r="BE11" s="2630" t="s">
        <v>153</v>
      </c>
      <c r="BF11" s="2630">
        <v>0</v>
      </c>
      <c r="BG11" s="2630">
        <v>78276.774649866056</v>
      </c>
      <c r="BH11" s="2630">
        <v>78276.774649866056</v>
      </c>
      <c r="BI11" s="2630">
        <v>95556.499773867166</v>
      </c>
      <c r="BJ11" s="2630">
        <v>173833.27442373324</v>
      </c>
      <c r="BK11" s="2630">
        <v>36874.158772931303</v>
      </c>
      <c r="BL11" s="2630">
        <v>83007.546999999991</v>
      </c>
      <c r="BM11" s="2630">
        <v>11791.459748003728</v>
      </c>
      <c r="BO11" s="2629" t="s">
        <v>5</v>
      </c>
      <c r="BP11" s="2630">
        <v>305506.43994466827</v>
      </c>
      <c r="BQ11" s="2634">
        <v>0.2620002961459566</v>
      </c>
      <c r="BR11" s="2634" t="s">
        <v>153</v>
      </c>
      <c r="BS11" s="2634">
        <v>0</v>
      </c>
      <c r="BT11" s="2634">
        <v>0.25621972048786645</v>
      </c>
      <c r="BU11" s="2634">
        <v>0.25621972048786645</v>
      </c>
      <c r="BV11" s="2634">
        <v>0.31278063988167931</v>
      </c>
      <c r="BW11" s="2634">
        <v>0.56900036036954582</v>
      </c>
      <c r="BX11" s="2634">
        <v>0.12069846638784361</v>
      </c>
      <c r="BY11" s="2634">
        <v>0.27170473727177041</v>
      </c>
      <c r="BZ11" s="2634">
        <v>3.8596435970840212E-2</v>
      </c>
    </row>
    <row r="12" spans="1:78" ht="14.4" x14ac:dyDescent="0.3">
      <c r="A12" s="2512" t="s">
        <v>28</v>
      </c>
      <c r="B12" s="92">
        <v>135512.80485599997</v>
      </c>
      <c r="C12" s="93">
        <v>0.69624545200962984</v>
      </c>
      <c r="D12" s="137">
        <v>138272.42485599997</v>
      </c>
      <c r="E12" s="299">
        <v>0.71042398573798504</v>
      </c>
      <c r="F12" s="144"/>
      <c r="G12" s="126">
        <v>39819.479014346878</v>
      </c>
      <c r="H12" s="139"/>
      <c r="I12" s="126">
        <v>19301.382266872919</v>
      </c>
      <c r="J12" s="300"/>
      <c r="K12" s="127">
        <v>59120.861281219797</v>
      </c>
      <c r="L12" s="301">
        <v>194633.66613721979</v>
      </c>
      <c r="M12" s="92" t="s">
        <v>153</v>
      </c>
      <c r="N12" s="2519">
        <v>128737.16461319997</v>
      </c>
      <c r="O12" s="2519" t="s">
        <v>153</v>
      </c>
      <c r="P12" s="2519" t="s">
        <v>153</v>
      </c>
      <c r="Q12" s="2519">
        <v>6775.6402427999983</v>
      </c>
      <c r="R12" s="129" t="s">
        <v>153</v>
      </c>
      <c r="S12" s="2517">
        <v>2759.62</v>
      </c>
      <c r="T12" s="132">
        <v>16045.72338364711</v>
      </c>
      <c r="U12" s="132">
        <v>1901.5043404113867</v>
      </c>
      <c r="V12" s="132">
        <v>10162.098973193826</v>
      </c>
      <c r="W12" s="132">
        <v>0</v>
      </c>
      <c r="X12" s="323" t="s">
        <v>153</v>
      </c>
      <c r="Y12" s="132">
        <v>6652.2827284577015</v>
      </c>
      <c r="Z12" s="2507">
        <v>15846.453816844907</v>
      </c>
      <c r="AA12" s="2507" t="s">
        <v>153</v>
      </c>
      <c r="AB12" s="2507">
        <v>26207.822356840938</v>
      </c>
      <c r="AC12" s="133" t="s">
        <v>153</v>
      </c>
      <c r="AD12" s="115">
        <v>15329.427311669087</v>
      </c>
      <c r="AE12" s="134">
        <v>3365.1098486119449</v>
      </c>
      <c r="AF12" s="307">
        <v>2388.0681900529189</v>
      </c>
      <c r="AG12" s="2541" t="s">
        <v>153</v>
      </c>
      <c r="AH12" s="2547" t="s">
        <v>153</v>
      </c>
      <c r="AI12" s="309">
        <v>131496.78461319997</v>
      </c>
      <c r="AJ12" s="92" t="s">
        <v>153</v>
      </c>
      <c r="AK12" s="2519">
        <v>131496.78461319997</v>
      </c>
      <c r="AL12" s="2548">
        <v>42054.276173685845</v>
      </c>
      <c r="AM12" s="2549">
        <v>173551.06078688582</v>
      </c>
      <c r="AN12" s="2550">
        <v>18694.537160281034</v>
      </c>
      <c r="AO12" s="2551" t="s">
        <v>153</v>
      </c>
      <c r="AP12" s="134">
        <v>2388.0681900529189</v>
      </c>
      <c r="AQ12" s="2521" t="s">
        <v>153</v>
      </c>
      <c r="AR12" s="2522">
        <v>0.67561171313750357</v>
      </c>
      <c r="AS12" s="2474" t="s">
        <v>153</v>
      </c>
      <c r="AT12" s="2523">
        <v>0.67561171313750357</v>
      </c>
      <c r="AU12" s="2524">
        <v>0.21606886931902583</v>
      </c>
      <c r="AV12" s="2525">
        <v>0.89168058245652937</v>
      </c>
      <c r="AW12" s="2526">
        <v>9.6049863989619816E-2</v>
      </c>
      <c r="AX12" s="2527" t="s">
        <v>153</v>
      </c>
      <c r="AY12" s="2528">
        <v>1.2269553553850716E-2</v>
      </c>
      <c r="AZ12" s="512">
        <v>0</v>
      </c>
      <c r="BB12" s="2629" t="s">
        <v>28</v>
      </c>
      <c r="BC12" s="2630">
        <v>194633.66613721979</v>
      </c>
      <c r="BD12" s="2631">
        <v>0.69624545200962984</v>
      </c>
      <c r="BE12" s="2630" t="s">
        <v>153</v>
      </c>
      <c r="BF12" s="2630">
        <v>131496.78461319997</v>
      </c>
      <c r="BG12" s="2630" t="s">
        <v>153</v>
      </c>
      <c r="BH12" s="2630">
        <v>131496.78461319997</v>
      </c>
      <c r="BI12" s="2630">
        <v>42054.276173685845</v>
      </c>
      <c r="BJ12" s="2630">
        <v>173551.06078688582</v>
      </c>
      <c r="BK12" s="2630">
        <v>18694.537160281034</v>
      </c>
      <c r="BL12" s="2630" t="s">
        <v>153</v>
      </c>
      <c r="BM12" s="2630">
        <v>2388.0681900529189</v>
      </c>
      <c r="BO12" s="2629" t="s">
        <v>28</v>
      </c>
      <c r="BP12" s="2630">
        <v>194633.66613721979</v>
      </c>
      <c r="BQ12" s="2634">
        <v>0.69624545200962984</v>
      </c>
      <c r="BR12" s="2634" t="s">
        <v>153</v>
      </c>
      <c r="BS12" s="2634">
        <v>0.67561171313750357</v>
      </c>
      <c r="BT12" s="2634" t="s">
        <v>153</v>
      </c>
      <c r="BU12" s="2634">
        <v>0.67561171313750357</v>
      </c>
      <c r="BV12" s="2634">
        <v>0.21606886931902583</v>
      </c>
      <c r="BW12" s="2634">
        <v>0.89168058245652937</v>
      </c>
      <c r="BX12" s="2634">
        <v>9.6049863989619816E-2</v>
      </c>
      <c r="BY12" s="2634" t="s">
        <v>153</v>
      </c>
      <c r="BZ12" s="2634">
        <v>1.2269553553850716E-2</v>
      </c>
    </row>
    <row r="13" spans="1:78" ht="14.4" x14ac:dyDescent="0.3">
      <c r="A13" s="2512" t="s">
        <v>17</v>
      </c>
      <c r="B13" s="92">
        <v>2610.01044</v>
      </c>
      <c r="C13" s="93">
        <v>0.36176422478020714</v>
      </c>
      <c r="D13" s="137">
        <v>2610.01044</v>
      </c>
      <c r="E13" s="299">
        <v>0.36176422478020714</v>
      </c>
      <c r="F13" s="144"/>
      <c r="G13" s="126">
        <v>3656.6280343396775</v>
      </c>
      <c r="H13" s="139"/>
      <c r="I13" s="126">
        <v>948.03412515722721</v>
      </c>
      <c r="J13" s="300"/>
      <c r="K13" s="127">
        <v>4604.6621594969047</v>
      </c>
      <c r="L13" s="301">
        <v>7214.6725994969056</v>
      </c>
      <c r="M13" s="92" t="s">
        <v>153</v>
      </c>
      <c r="N13" s="2519">
        <v>2479.5099179999997</v>
      </c>
      <c r="O13" s="2519" t="s">
        <v>153</v>
      </c>
      <c r="P13" s="2519" t="s">
        <v>153</v>
      </c>
      <c r="Q13" s="2519">
        <v>130.50052200000002</v>
      </c>
      <c r="R13" s="129" t="s">
        <v>153</v>
      </c>
      <c r="S13" s="2517">
        <v>560.8245977011494</v>
      </c>
      <c r="T13" s="132" t="s">
        <v>153</v>
      </c>
      <c r="U13" s="132" t="s">
        <v>153</v>
      </c>
      <c r="V13" s="132" t="s">
        <v>153</v>
      </c>
      <c r="W13" s="132">
        <v>0</v>
      </c>
      <c r="X13" s="132">
        <v>477.34103166397023</v>
      </c>
      <c r="Y13" s="132">
        <v>1851.5395013815385</v>
      </c>
      <c r="Z13" s="2507" t="s">
        <v>153</v>
      </c>
      <c r="AA13" s="2507" t="s">
        <v>153</v>
      </c>
      <c r="AB13" s="2507" t="s">
        <v>153</v>
      </c>
      <c r="AC13" s="133">
        <v>1214.9925297798829</v>
      </c>
      <c r="AD13" s="115">
        <v>2459.3810550455087</v>
      </c>
      <c r="AE13" s="134">
        <v>259.40231723459999</v>
      </c>
      <c r="AF13" s="322">
        <v>240.56218173576343</v>
      </c>
      <c r="AG13" s="2541" t="s">
        <v>153</v>
      </c>
      <c r="AH13" s="2547" t="s">
        <v>153</v>
      </c>
      <c r="AI13" s="309">
        <v>3040.334515701149</v>
      </c>
      <c r="AJ13" s="92" t="s">
        <v>153</v>
      </c>
      <c r="AK13" s="2519">
        <v>3040.334515701149</v>
      </c>
      <c r="AL13" s="2548">
        <v>0</v>
      </c>
      <c r="AM13" s="2549">
        <v>3040.334515701149</v>
      </c>
      <c r="AN13" s="2550">
        <v>3933.7759020599919</v>
      </c>
      <c r="AO13" s="2551" t="s">
        <v>153</v>
      </c>
      <c r="AP13" s="134">
        <v>240.56218173576343</v>
      </c>
      <c r="AQ13" s="2521" t="s">
        <v>153</v>
      </c>
      <c r="AR13" s="2522">
        <v>0.42140990790256483</v>
      </c>
      <c r="AS13" s="2474" t="s">
        <v>153</v>
      </c>
      <c r="AT13" s="2523">
        <v>0.42140990790256483</v>
      </c>
      <c r="AU13" s="2524">
        <v>0</v>
      </c>
      <c r="AV13" s="2525">
        <v>0.42140990790256483</v>
      </c>
      <c r="AW13" s="2526">
        <v>0.54524662731532714</v>
      </c>
      <c r="AX13" s="2527" t="s">
        <v>153</v>
      </c>
      <c r="AY13" s="2528">
        <v>3.3343464782107833E-2</v>
      </c>
      <c r="AZ13" s="512">
        <v>0</v>
      </c>
      <c r="BB13" s="2629" t="s">
        <v>17</v>
      </c>
      <c r="BC13" s="2630">
        <v>7214.6725994969056</v>
      </c>
      <c r="BD13" s="2631">
        <v>0.36176422478020714</v>
      </c>
      <c r="BE13" s="2630" t="s">
        <v>153</v>
      </c>
      <c r="BF13" s="2630">
        <v>3040.334515701149</v>
      </c>
      <c r="BG13" s="2630" t="s">
        <v>153</v>
      </c>
      <c r="BH13" s="2630">
        <v>3040.334515701149</v>
      </c>
      <c r="BI13" s="2630">
        <v>0</v>
      </c>
      <c r="BJ13" s="2630">
        <v>3040.334515701149</v>
      </c>
      <c r="BK13" s="2630">
        <v>3933.7759020599919</v>
      </c>
      <c r="BL13" s="2630" t="s">
        <v>153</v>
      </c>
      <c r="BM13" s="2630">
        <v>240.56218173576343</v>
      </c>
      <c r="BO13" s="2629" t="s">
        <v>17</v>
      </c>
      <c r="BP13" s="2630">
        <v>7214.6725994969056</v>
      </c>
      <c r="BQ13" s="2634">
        <v>0.36176422478020714</v>
      </c>
      <c r="BR13" s="2634" t="s">
        <v>153</v>
      </c>
      <c r="BS13" s="2634">
        <v>0.42140990790256483</v>
      </c>
      <c r="BT13" s="2634" t="s">
        <v>153</v>
      </c>
      <c r="BU13" s="2634">
        <v>0.42140990790256483</v>
      </c>
      <c r="BV13" s="2634">
        <v>0</v>
      </c>
      <c r="BW13" s="2634">
        <v>0.42140990790256483</v>
      </c>
      <c r="BX13" s="2634">
        <v>0.54524662731532714</v>
      </c>
      <c r="BY13" s="2634" t="s">
        <v>153</v>
      </c>
      <c r="BZ13" s="2634">
        <v>3.3343464782107833E-2</v>
      </c>
    </row>
    <row r="14" spans="1:78" ht="14.4" x14ac:dyDescent="0.3">
      <c r="A14" s="2512" t="s">
        <v>29</v>
      </c>
      <c r="B14" s="92">
        <v>55939.643949999998</v>
      </c>
      <c r="C14" s="93">
        <v>0.85154315621870535</v>
      </c>
      <c r="D14" s="137">
        <v>56047.643949999998</v>
      </c>
      <c r="E14" s="299">
        <v>0.85318718993750808</v>
      </c>
      <c r="F14" s="144"/>
      <c r="G14" s="126">
        <v>9263.6092520267048</v>
      </c>
      <c r="H14" s="139"/>
      <c r="I14" s="126">
        <v>488.83009578419524</v>
      </c>
      <c r="J14" s="300"/>
      <c r="K14" s="127">
        <v>9752.4393478108996</v>
      </c>
      <c r="L14" s="301">
        <v>65692.08329781091</v>
      </c>
      <c r="M14" s="92">
        <v>2641.3128475000003</v>
      </c>
      <c r="N14" s="2519">
        <v>52737.921442499995</v>
      </c>
      <c r="O14" s="2519" t="s">
        <v>153</v>
      </c>
      <c r="P14" s="2519">
        <v>404.74030999999997</v>
      </c>
      <c r="Q14" s="2519">
        <v>155.66935000000001</v>
      </c>
      <c r="R14" s="129" t="s">
        <v>153</v>
      </c>
      <c r="S14" s="2517">
        <v>108</v>
      </c>
      <c r="T14" s="132" t="s">
        <v>153</v>
      </c>
      <c r="U14" s="132" t="s">
        <v>153</v>
      </c>
      <c r="V14" s="132">
        <v>1538.5651575776028</v>
      </c>
      <c r="W14" s="132">
        <v>3092.2276518364852</v>
      </c>
      <c r="X14" s="132" t="s">
        <v>153</v>
      </c>
      <c r="Y14" s="132">
        <v>1067.7009579089743</v>
      </c>
      <c r="Z14" s="2507">
        <v>3209.9289432528935</v>
      </c>
      <c r="AA14" s="2507">
        <v>404.74030999999997</v>
      </c>
      <c r="AB14" s="2507">
        <v>1538.5651575776028</v>
      </c>
      <c r="AC14" s="133" t="s">
        <v>153</v>
      </c>
      <c r="AD14" s="115">
        <v>4315.5979597454589</v>
      </c>
      <c r="AE14" s="134">
        <v>520.7411662301655</v>
      </c>
      <c r="AF14" s="307">
        <v>215.27547100477744</v>
      </c>
      <c r="AG14" s="2541" t="s">
        <v>153</v>
      </c>
      <c r="AH14" s="2547">
        <v>2641.3128475000003</v>
      </c>
      <c r="AI14" s="309">
        <v>52845.921442499995</v>
      </c>
      <c r="AJ14" s="92" t="s">
        <v>153</v>
      </c>
      <c r="AK14" s="2519">
        <v>55487.234289999993</v>
      </c>
      <c r="AL14" s="2548">
        <v>5153.2344108304969</v>
      </c>
      <c r="AM14" s="2549">
        <v>60640.46870083049</v>
      </c>
      <c r="AN14" s="2550">
        <v>4836.3391259756245</v>
      </c>
      <c r="AO14" s="2551" t="s">
        <v>153</v>
      </c>
      <c r="AP14" s="134">
        <v>215.27547100477744</v>
      </c>
      <c r="AQ14" s="2521">
        <v>4.0207475770341693E-2</v>
      </c>
      <c r="AR14" s="2522">
        <v>0.80444885882102946</v>
      </c>
      <c r="AS14" s="2474" t="s">
        <v>153</v>
      </c>
      <c r="AT14" s="2523">
        <v>0.84465633459137113</v>
      </c>
      <c r="AU14" s="2524">
        <v>7.8445288262036603E-2</v>
      </c>
      <c r="AV14" s="2525">
        <v>0.92310162285340769</v>
      </c>
      <c r="AW14" s="2526">
        <v>7.362133887656426E-2</v>
      </c>
      <c r="AX14" s="2527" t="s">
        <v>153</v>
      </c>
      <c r="AY14" s="2528">
        <v>3.2770382700277548E-3</v>
      </c>
      <c r="AZ14" s="512">
        <v>0</v>
      </c>
      <c r="BB14" s="2629" t="s">
        <v>29</v>
      </c>
      <c r="BC14" s="2630">
        <v>65692.08329781091</v>
      </c>
      <c r="BD14" s="2631">
        <v>0.85154315621870535</v>
      </c>
      <c r="BE14" s="2630">
        <v>2641.3128475000003</v>
      </c>
      <c r="BF14" s="2630">
        <v>52845.921442499995</v>
      </c>
      <c r="BG14" s="2630" t="s">
        <v>153</v>
      </c>
      <c r="BH14" s="2630">
        <v>55487.234289999993</v>
      </c>
      <c r="BI14" s="2630">
        <v>5153.2344108304969</v>
      </c>
      <c r="BJ14" s="2630">
        <v>60640.46870083049</v>
      </c>
      <c r="BK14" s="2630">
        <v>4836.3391259756245</v>
      </c>
      <c r="BL14" s="2630" t="s">
        <v>153</v>
      </c>
      <c r="BM14" s="2630">
        <v>215.27547100477744</v>
      </c>
      <c r="BO14" s="2629" t="s">
        <v>29</v>
      </c>
      <c r="BP14" s="2630">
        <v>65692.08329781091</v>
      </c>
      <c r="BQ14" s="2634">
        <v>0.85154315621870535</v>
      </c>
      <c r="BR14" s="2634">
        <v>4.0207475770341693E-2</v>
      </c>
      <c r="BS14" s="2634">
        <v>0.80444885882102946</v>
      </c>
      <c r="BT14" s="2634" t="s">
        <v>153</v>
      </c>
      <c r="BU14" s="2634">
        <v>0.84465633459137113</v>
      </c>
      <c r="BV14" s="2634">
        <v>7.8445288262036603E-2</v>
      </c>
      <c r="BW14" s="2634">
        <v>0.92310162285340769</v>
      </c>
      <c r="BX14" s="2634">
        <v>7.362133887656426E-2</v>
      </c>
      <c r="BY14" s="2634" t="s">
        <v>153</v>
      </c>
      <c r="BZ14" s="2634">
        <v>3.2770382700277548E-3</v>
      </c>
    </row>
    <row r="15" spans="1:78" ht="14.4" x14ac:dyDescent="0.3">
      <c r="A15" s="2513" t="s">
        <v>308</v>
      </c>
      <c r="B15" s="92">
        <v>384.23514</v>
      </c>
      <c r="C15" s="93">
        <v>0.68540219000481872</v>
      </c>
      <c r="D15" s="137">
        <v>384.23514</v>
      </c>
      <c r="E15" s="299">
        <v>0.68540219000481872</v>
      </c>
      <c r="F15" s="144"/>
      <c r="G15" s="126">
        <v>146.73685645364691</v>
      </c>
      <c r="H15" s="139"/>
      <c r="I15" s="126">
        <v>29.62606641116335</v>
      </c>
      <c r="J15" s="300"/>
      <c r="K15" s="127">
        <v>176.36292286481026</v>
      </c>
      <c r="L15" s="301">
        <v>560.59806286481023</v>
      </c>
      <c r="M15" s="92" t="s">
        <v>153</v>
      </c>
      <c r="N15" s="2519">
        <v>189.58161807599998</v>
      </c>
      <c r="O15" s="2519" t="s">
        <v>153</v>
      </c>
      <c r="P15" s="2519">
        <v>3.0738811200000002</v>
      </c>
      <c r="Q15" s="2519">
        <v>191.57964080400001</v>
      </c>
      <c r="R15" s="129" t="s">
        <v>153</v>
      </c>
      <c r="S15" s="2517" t="s">
        <v>153</v>
      </c>
      <c r="T15" s="132" t="s">
        <v>153</v>
      </c>
      <c r="U15" s="132" t="s">
        <v>153</v>
      </c>
      <c r="V15" s="323" t="s">
        <v>153</v>
      </c>
      <c r="W15" s="323">
        <v>0</v>
      </c>
      <c r="X15" s="323">
        <v>17.998065209943469</v>
      </c>
      <c r="Y15" s="132">
        <v>92.256519576146857</v>
      </c>
      <c r="Z15" s="2507">
        <v>45.811093809271377</v>
      </c>
      <c r="AA15" s="2507">
        <v>3.0738811200000002</v>
      </c>
      <c r="AB15" s="2509">
        <v>17.998065209943469</v>
      </c>
      <c r="AC15" s="133" t="s">
        <v>153</v>
      </c>
      <c r="AD15" s="115">
        <v>283.83616038014685</v>
      </c>
      <c r="AE15" s="134">
        <v>9.8906397818761747</v>
      </c>
      <c r="AF15" s="307">
        <v>10.40660448757238</v>
      </c>
      <c r="AG15" s="2541" t="s">
        <v>153</v>
      </c>
      <c r="AH15" s="2547" t="s">
        <v>153</v>
      </c>
      <c r="AI15" s="309">
        <v>189.58161807599998</v>
      </c>
      <c r="AJ15" s="92" t="s">
        <v>153</v>
      </c>
      <c r="AK15" s="2519">
        <v>189.58161807599998</v>
      </c>
      <c r="AL15" s="2548">
        <v>66.883040139214842</v>
      </c>
      <c r="AM15" s="2549">
        <v>256.46465821521485</v>
      </c>
      <c r="AN15" s="2550">
        <v>293.72680016202304</v>
      </c>
      <c r="AO15" s="2551" t="s">
        <v>153</v>
      </c>
      <c r="AP15" s="134">
        <v>10.40660448757238</v>
      </c>
      <c r="AQ15" s="2521" t="s">
        <v>153</v>
      </c>
      <c r="AR15" s="2522">
        <v>0.33817744054837756</v>
      </c>
      <c r="AS15" s="2474" t="s">
        <v>153</v>
      </c>
      <c r="AT15" s="2523">
        <v>0.33817744054837756</v>
      </c>
      <c r="AU15" s="2524">
        <v>0.11930658446699605</v>
      </c>
      <c r="AV15" s="2525">
        <v>0.45748402501537366</v>
      </c>
      <c r="AW15" s="2526">
        <v>0.52395257782554283</v>
      </c>
      <c r="AX15" s="2527" t="s">
        <v>153</v>
      </c>
      <c r="AY15" s="2528">
        <v>1.8563397159083585E-2</v>
      </c>
      <c r="AZ15" s="512">
        <v>0</v>
      </c>
      <c r="BB15" s="2629" t="s">
        <v>308</v>
      </c>
      <c r="BC15" s="2630">
        <v>560.59806286481023</v>
      </c>
      <c r="BD15" s="2631">
        <v>0.68540219000481872</v>
      </c>
      <c r="BE15" s="2630" t="s">
        <v>153</v>
      </c>
      <c r="BF15" s="2630">
        <v>189.58161807599998</v>
      </c>
      <c r="BG15" s="2630" t="s">
        <v>153</v>
      </c>
      <c r="BH15" s="2630">
        <v>189.58161807599998</v>
      </c>
      <c r="BI15" s="2630">
        <v>66.883040139214842</v>
      </c>
      <c r="BJ15" s="2630">
        <v>256.46465821521485</v>
      </c>
      <c r="BK15" s="2630">
        <v>293.72680016202304</v>
      </c>
      <c r="BL15" s="2630" t="s">
        <v>153</v>
      </c>
      <c r="BM15" s="2630">
        <v>10.40660448757238</v>
      </c>
      <c r="BO15" s="2629" t="s">
        <v>308</v>
      </c>
      <c r="BP15" s="2630">
        <v>560.59806286481023</v>
      </c>
      <c r="BQ15" s="2634">
        <v>0.68540219000481872</v>
      </c>
      <c r="BR15" s="2634" t="s">
        <v>153</v>
      </c>
      <c r="BS15" s="2634">
        <v>0.33817744054837756</v>
      </c>
      <c r="BT15" s="2634" t="s">
        <v>153</v>
      </c>
      <c r="BU15" s="2634">
        <v>0.33817744054837756</v>
      </c>
      <c r="BV15" s="2634">
        <v>0.11930658446699605</v>
      </c>
      <c r="BW15" s="2634">
        <v>0.45748402501537366</v>
      </c>
      <c r="BX15" s="2634">
        <v>0.52395257782554283</v>
      </c>
      <c r="BY15" s="2634" t="s">
        <v>153</v>
      </c>
      <c r="BZ15" s="2634">
        <v>1.8563397159083585E-2</v>
      </c>
    </row>
    <row r="16" spans="1:78" ht="14.4" x14ac:dyDescent="0.3">
      <c r="A16" s="2514" t="s">
        <v>60</v>
      </c>
      <c r="B16" s="92">
        <v>187.43821000000003</v>
      </c>
      <c r="C16" s="93">
        <v>1</v>
      </c>
      <c r="D16" s="137">
        <v>187.43821000000003</v>
      </c>
      <c r="E16" s="299">
        <v>1</v>
      </c>
      <c r="F16" s="144"/>
      <c r="G16" s="126" t="s">
        <v>153</v>
      </c>
      <c r="H16" s="2108"/>
      <c r="I16" s="126" t="s">
        <v>153</v>
      </c>
      <c r="J16" s="2111"/>
      <c r="K16" s="127" t="s">
        <v>153</v>
      </c>
      <c r="L16" s="301">
        <v>187.43821000000003</v>
      </c>
      <c r="M16" s="92" t="s">
        <v>153</v>
      </c>
      <c r="N16" s="2519">
        <v>92.482012814000001</v>
      </c>
      <c r="O16" s="2519" t="s">
        <v>153</v>
      </c>
      <c r="P16" s="2519">
        <v>1.4995056800000002</v>
      </c>
      <c r="Q16" s="2519">
        <v>93.456691505999999</v>
      </c>
      <c r="R16" s="129" t="s">
        <v>153</v>
      </c>
      <c r="S16" s="2517" t="s">
        <v>153</v>
      </c>
      <c r="T16" s="132" t="s">
        <v>153</v>
      </c>
      <c r="U16" s="2109" t="s">
        <v>153</v>
      </c>
      <c r="V16" s="2112" t="s">
        <v>153</v>
      </c>
      <c r="W16" s="2112">
        <v>0</v>
      </c>
      <c r="X16" s="2112" t="s">
        <v>153</v>
      </c>
      <c r="Y16" s="2109">
        <v>0</v>
      </c>
      <c r="Z16" s="2507" t="s">
        <v>153</v>
      </c>
      <c r="AA16" s="2507">
        <v>1.4995056800000002</v>
      </c>
      <c r="AB16" s="2509" t="s">
        <v>153</v>
      </c>
      <c r="AC16" s="133" t="s">
        <v>153</v>
      </c>
      <c r="AD16" s="115">
        <v>93.456691505999999</v>
      </c>
      <c r="AE16" s="134" t="s">
        <v>153</v>
      </c>
      <c r="AF16" s="307" t="s">
        <v>153</v>
      </c>
      <c r="AG16" s="2541" t="s">
        <v>153</v>
      </c>
      <c r="AH16" s="2547" t="s">
        <v>153</v>
      </c>
      <c r="AI16" s="309">
        <v>92.482012814000001</v>
      </c>
      <c r="AJ16" s="92" t="s">
        <v>153</v>
      </c>
      <c r="AK16" s="2519">
        <v>92.482012814000001</v>
      </c>
      <c r="AL16" s="2548">
        <v>1.4995056800000002</v>
      </c>
      <c r="AM16" s="2549">
        <v>93.981518493999999</v>
      </c>
      <c r="AN16" s="2550">
        <v>93.456691505999999</v>
      </c>
      <c r="AO16" s="2551" t="s">
        <v>153</v>
      </c>
      <c r="AP16" s="134" t="s">
        <v>153</v>
      </c>
      <c r="AQ16" s="2521" t="s">
        <v>153</v>
      </c>
      <c r="AR16" s="2522">
        <v>0.49339999999999995</v>
      </c>
      <c r="AS16" s="2474" t="s">
        <v>153</v>
      </c>
      <c r="AT16" s="2523">
        <v>0.49339999999999995</v>
      </c>
      <c r="AU16" s="2524">
        <v>8.0000000000000002E-3</v>
      </c>
      <c r="AV16" s="2525">
        <v>0.50139999999999996</v>
      </c>
      <c r="AW16" s="2526">
        <v>0.49859999999999993</v>
      </c>
      <c r="AX16" s="2527" t="s">
        <v>153</v>
      </c>
      <c r="AY16" s="2528" t="s">
        <v>153</v>
      </c>
      <c r="AZ16" s="512">
        <v>0</v>
      </c>
      <c r="BB16" s="2629" t="s">
        <v>60</v>
      </c>
      <c r="BC16" s="2630">
        <v>187.43821000000003</v>
      </c>
      <c r="BD16" s="2631">
        <v>1</v>
      </c>
      <c r="BE16" s="2630" t="s">
        <v>153</v>
      </c>
      <c r="BF16" s="2630">
        <v>92.482012814000001</v>
      </c>
      <c r="BG16" s="2630" t="s">
        <v>153</v>
      </c>
      <c r="BH16" s="2630">
        <v>92.482012814000001</v>
      </c>
      <c r="BI16" s="2630">
        <v>1.4995056800000002</v>
      </c>
      <c r="BJ16" s="2630">
        <v>93.981518493999999</v>
      </c>
      <c r="BK16" s="2630">
        <v>93.456691505999999</v>
      </c>
      <c r="BL16" s="2630" t="s">
        <v>153</v>
      </c>
      <c r="BM16" s="2630" t="s">
        <v>153</v>
      </c>
      <c r="BO16" s="2629" t="s">
        <v>60</v>
      </c>
      <c r="BP16" s="2630">
        <v>187.43821000000003</v>
      </c>
      <c r="BQ16" s="2634">
        <v>1</v>
      </c>
      <c r="BR16" s="2634" t="s">
        <v>153</v>
      </c>
      <c r="BS16" s="2634">
        <v>0.49339999999999995</v>
      </c>
      <c r="BT16" s="2634" t="s">
        <v>153</v>
      </c>
      <c r="BU16" s="2634">
        <v>0.49339999999999995</v>
      </c>
      <c r="BV16" s="2634">
        <v>8.0000000000000002E-3</v>
      </c>
      <c r="BW16" s="2634">
        <v>0.50139999999999996</v>
      </c>
      <c r="BX16" s="2634">
        <v>0.49859999999999993</v>
      </c>
      <c r="BY16" s="2634" t="s">
        <v>153</v>
      </c>
      <c r="BZ16" s="2634" t="s">
        <v>153</v>
      </c>
    </row>
    <row r="17" spans="1:78" ht="14.4" x14ac:dyDescent="0.3">
      <c r="A17" s="2512" t="s">
        <v>57</v>
      </c>
      <c r="B17" s="92">
        <v>8874.2380499999999</v>
      </c>
      <c r="C17" s="93">
        <v>0.17350723627509249</v>
      </c>
      <c r="D17" s="137">
        <v>8874.2380499999999</v>
      </c>
      <c r="E17" s="299">
        <v>0.17350723627509249</v>
      </c>
      <c r="F17" s="144"/>
      <c r="G17" s="126">
        <v>40798.078067850729</v>
      </c>
      <c r="H17" s="2108"/>
      <c r="I17" s="126">
        <v>1473.8968039553765</v>
      </c>
      <c r="J17" s="2111"/>
      <c r="K17" s="127">
        <v>42271.974871806102</v>
      </c>
      <c r="L17" s="301">
        <v>51146.212921806102</v>
      </c>
      <c r="M17" s="92">
        <v>5267.2565152500001</v>
      </c>
      <c r="N17" s="2519">
        <v>2567.0894683500001</v>
      </c>
      <c r="O17" s="2519" t="s">
        <v>153</v>
      </c>
      <c r="P17" s="2519">
        <v>1039.8920663999997</v>
      </c>
      <c r="Q17" s="2519" t="s">
        <v>153</v>
      </c>
      <c r="R17" s="129" t="s">
        <v>153</v>
      </c>
      <c r="S17" s="2517" t="s">
        <v>153</v>
      </c>
      <c r="T17" s="132" t="s">
        <v>153</v>
      </c>
      <c r="U17" s="2109" t="s">
        <v>153</v>
      </c>
      <c r="V17" s="2112">
        <v>9100.1784548054147</v>
      </c>
      <c r="W17" s="2109">
        <v>12280.639263550773</v>
      </c>
      <c r="X17" s="2112" t="s">
        <v>153</v>
      </c>
      <c r="Y17" s="2109">
        <v>4102.9262581690573</v>
      </c>
      <c r="Z17" s="2507">
        <v>12748.084504809294</v>
      </c>
      <c r="AA17" s="2507">
        <v>1039.8920663999997</v>
      </c>
      <c r="AB17" s="2509">
        <v>9100.1784548054147</v>
      </c>
      <c r="AC17" s="133" t="s">
        <v>153</v>
      </c>
      <c r="AD17" s="115">
        <v>16383.565521719829</v>
      </c>
      <c r="AE17" s="134">
        <v>2286.6449984459441</v>
      </c>
      <c r="AF17" s="307">
        <v>1753.5013920256156</v>
      </c>
      <c r="AG17" s="2541" t="s">
        <v>153</v>
      </c>
      <c r="AH17" s="2547">
        <v>5267.2565152500001</v>
      </c>
      <c r="AI17" s="309">
        <v>2567.0894683500001</v>
      </c>
      <c r="AJ17" s="92" t="s">
        <v>153</v>
      </c>
      <c r="AK17" s="2519">
        <v>7834.3459836000002</v>
      </c>
      <c r="AL17" s="2548">
        <v>22888.155026014709</v>
      </c>
      <c r="AM17" s="2549">
        <v>30722.501009614709</v>
      </c>
      <c r="AN17" s="2550">
        <v>18670.210520165772</v>
      </c>
      <c r="AO17" s="2551" t="s">
        <v>153</v>
      </c>
      <c r="AP17" s="134">
        <v>1753.5013920256156</v>
      </c>
      <c r="AQ17" s="2521">
        <v>0.10298429178525384</v>
      </c>
      <c r="AR17" s="2522">
        <v>5.0191193476526702E-2</v>
      </c>
      <c r="AS17" s="2474" t="s">
        <v>153</v>
      </c>
      <c r="AT17" s="2523">
        <v>0.15317548526178054</v>
      </c>
      <c r="AU17" s="2524">
        <v>0.44750439413777948</v>
      </c>
      <c r="AV17" s="2525">
        <v>0.60067987939956002</v>
      </c>
      <c r="AW17" s="2526">
        <v>0.36503603011056485</v>
      </c>
      <c r="AX17" s="2527" t="s">
        <v>153</v>
      </c>
      <c r="AY17" s="2528">
        <v>3.4284090489875026E-2</v>
      </c>
      <c r="AZ17" s="512">
        <v>0</v>
      </c>
      <c r="BB17" s="2629" t="s">
        <v>57</v>
      </c>
      <c r="BC17" s="2630">
        <v>51146.212921806102</v>
      </c>
      <c r="BD17" s="2631">
        <v>0.17350723627509249</v>
      </c>
      <c r="BE17" s="2630">
        <v>5267.2565152500001</v>
      </c>
      <c r="BF17" s="2630">
        <v>2567.0894683500001</v>
      </c>
      <c r="BG17" s="2630" t="s">
        <v>153</v>
      </c>
      <c r="BH17" s="2630">
        <v>7834.3459836000002</v>
      </c>
      <c r="BI17" s="2630">
        <v>22888.155026014709</v>
      </c>
      <c r="BJ17" s="2630">
        <v>30722.501009614709</v>
      </c>
      <c r="BK17" s="2630">
        <v>18670.210520165772</v>
      </c>
      <c r="BL17" s="2630" t="s">
        <v>153</v>
      </c>
      <c r="BM17" s="2630">
        <v>1753.5013920256156</v>
      </c>
      <c r="BO17" s="2629" t="s">
        <v>57</v>
      </c>
      <c r="BP17" s="2630">
        <v>51146.212921806102</v>
      </c>
      <c r="BQ17" s="2634">
        <v>0.17350723627509249</v>
      </c>
      <c r="BR17" s="2634">
        <v>0.10298429178525384</v>
      </c>
      <c r="BS17" s="2634">
        <v>5.0191193476526702E-2</v>
      </c>
      <c r="BT17" s="2634" t="s">
        <v>153</v>
      </c>
      <c r="BU17" s="2634">
        <v>0.15317548526178054</v>
      </c>
      <c r="BV17" s="2634">
        <v>0.44750439413777948</v>
      </c>
      <c r="BW17" s="2634">
        <v>0.60067987939956002</v>
      </c>
      <c r="BX17" s="2634">
        <v>0.36503603011056485</v>
      </c>
      <c r="BY17" s="2634" t="s">
        <v>153</v>
      </c>
      <c r="BZ17" s="2634">
        <v>3.4284090489875026E-2</v>
      </c>
    </row>
    <row r="18" spans="1:78" ht="14.4" x14ac:dyDescent="0.3">
      <c r="A18" s="2512" t="s">
        <v>35</v>
      </c>
      <c r="B18" s="92">
        <v>267.28500000000003</v>
      </c>
      <c r="C18" s="93">
        <v>1</v>
      </c>
      <c r="D18" s="137">
        <v>117.122</v>
      </c>
      <c r="E18" s="299">
        <v>0.43819144359017526</v>
      </c>
      <c r="F18" s="144"/>
      <c r="G18" s="126" t="s">
        <v>153</v>
      </c>
      <c r="H18" s="2108"/>
      <c r="I18" s="126" t="s">
        <v>153</v>
      </c>
      <c r="J18" s="2111"/>
      <c r="K18" s="127" t="s">
        <v>153</v>
      </c>
      <c r="L18" s="301">
        <v>267.28500000000003</v>
      </c>
      <c r="M18" s="92" t="s">
        <v>153</v>
      </c>
      <c r="N18" s="2519">
        <v>267.28500000000003</v>
      </c>
      <c r="O18" s="2519" t="s">
        <v>153</v>
      </c>
      <c r="P18" s="2519" t="s">
        <v>153</v>
      </c>
      <c r="Q18" s="2519" t="s">
        <v>153</v>
      </c>
      <c r="R18" s="129" t="s">
        <v>153</v>
      </c>
      <c r="S18" s="2517" t="s">
        <v>153</v>
      </c>
      <c r="T18" s="132" t="s">
        <v>153</v>
      </c>
      <c r="U18" s="2109" t="s">
        <v>153</v>
      </c>
      <c r="V18" s="2112" t="s">
        <v>153</v>
      </c>
      <c r="W18" s="2112">
        <v>0</v>
      </c>
      <c r="X18" s="2112" t="s">
        <v>153</v>
      </c>
      <c r="Y18" s="2109">
        <v>0</v>
      </c>
      <c r="Z18" s="2507" t="s">
        <v>153</v>
      </c>
      <c r="AA18" s="2507" t="s">
        <v>153</v>
      </c>
      <c r="AB18" s="2509" t="s">
        <v>153</v>
      </c>
      <c r="AC18" s="133" t="s">
        <v>153</v>
      </c>
      <c r="AD18" s="115" t="s">
        <v>153</v>
      </c>
      <c r="AE18" s="134" t="s">
        <v>153</v>
      </c>
      <c r="AF18" s="307" t="s">
        <v>153</v>
      </c>
      <c r="AG18" s="2541" t="s">
        <v>153</v>
      </c>
      <c r="AH18" s="2547" t="s">
        <v>153</v>
      </c>
      <c r="AI18" s="309">
        <v>267.28500000000003</v>
      </c>
      <c r="AJ18" s="92" t="s">
        <v>153</v>
      </c>
      <c r="AK18" s="2519">
        <v>267.28500000000003</v>
      </c>
      <c r="AL18" s="2548">
        <v>0</v>
      </c>
      <c r="AM18" s="2549">
        <v>267.28500000000003</v>
      </c>
      <c r="AN18" s="2550">
        <v>0</v>
      </c>
      <c r="AO18" s="2551" t="s">
        <v>153</v>
      </c>
      <c r="AP18" s="134" t="s">
        <v>153</v>
      </c>
      <c r="AQ18" s="2521" t="s">
        <v>153</v>
      </c>
      <c r="AR18" s="2522">
        <v>1</v>
      </c>
      <c r="AS18" s="2474" t="s">
        <v>153</v>
      </c>
      <c r="AT18" s="2523">
        <v>1</v>
      </c>
      <c r="AU18" s="2524">
        <v>0</v>
      </c>
      <c r="AV18" s="2525">
        <v>1</v>
      </c>
      <c r="AW18" s="2526">
        <v>0</v>
      </c>
      <c r="AX18" s="2527" t="s">
        <v>153</v>
      </c>
      <c r="AY18" s="2528" t="s">
        <v>153</v>
      </c>
      <c r="AZ18" s="512">
        <v>0</v>
      </c>
      <c r="BB18" s="2629" t="s">
        <v>35</v>
      </c>
      <c r="BC18" s="2630">
        <v>267.28500000000003</v>
      </c>
      <c r="BD18" s="2631">
        <v>1</v>
      </c>
      <c r="BE18" s="2630" t="s">
        <v>153</v>
      </c>
      <c r="BF18" s="2630">
        <v>267.28500000000003</v>
      </c>
      <c r="BG18" s="2630" t="s">
        <v>153</v>
      </c>
      <c r="BH18" s="2630">
        <v>267.28500000000003</v>
      </c>
      <c r="BI18" s="2630">
        <v>0</v>
      </c>
      <c r="BJ18" s="2630">
        <v>267.28500000000003</v>
      </c>
      <c r="BK18" s="2630">
        <v>0</v>
      </c>
      <c r="BL18" s="2630" t="s">
        <v>153</v>
      </c>
      <c r="BM18" s="2630" t="s">
        <v>153</v>
      </c>
      <c r="BO18" s="2629" t="s">
        <v>35</v>
      </c>
      <c r="BP18" s="2630">
        <v>267.28500000000003</v>
      </c>
      <c r="BQ18" s="2634">
        <v>1</v>
      </c>
      <c r="BR18" s="2634" t="s">
        <v>153</v>
      </c>
      <c r="BS18" s="2634">
        <v>1</v>
      </c>
      <c r="BT18" s="2634" t="s">
        <v>153</v>
      </c>
      <c r="BU18" s="2634">
        <v>1</v>
      </c>
      <c r="BV18" s="2634">
        <v>0</v>
      </c>
      <c r="BW18" s="2634">
        <v>1</v>
      </c>
      <c r="BX18" s="2634">
        <v>0</v>
      </c>
      <c r="BY18" s="2634" t="s">
        <v>153</v>
      </c>
      <c r="BZ18" s="2634" t="s">
        <v>153</v>
      </c>
    </row>
    <row r="19" spans="1:78" ht="14.4" x14ac:dyDescent="0.3">
      <c r="A19" s="2512" t="s">
        <v>67</v>
      </c>
      <c r="B19" s="92">
        <v>202.19003000000001</v>
      </c>
      <c r="C19" s="93">
        <v>1</v>
      </c>
      <c r="D19" s="137">
        <v>202.19003000000001</v>
      </c>
      <c r="E19" s="299">
        <v>1</v>
      </c>
      <c r="F19" s="144"/>
      <c r="G19" s="126" t="s">
        <v>153</v>
      </c>
      <c r="H19" s="2108"/>
      <c r="I19" s="126" t="s">
        <v>153</v>
      </c>
      <c r="J19" s="2111"/>
      <c r="K19" s="127" t="s">
        <v>153</v>
      </c>
      <c r="L19" s="301">
        <v>202.19003000000001</v>
      </c>
      <c r="M19" s="92">
        <v>30.605136141894434</v>
      </c>
      <c r="N19" s="2519">
        <v>95.361119331789496</v>
      </c>
      <c r="O19" s="2519" t="s">
        <v>153</v>
      </c>
      <c r="P19" s="2519">
        <v>76.223774526316049</v>
      </c>
      <c r="Q19" s="2519" t="s">
        <v>153</v>
      </c>
      <c r="R19" s="129" t="s">
        <v>153</v>
      </c>
      <c r="S19" s="2517" t="s">
        <v>153</v>
      </c>
      <c r="T19" s="132" t="s">
        <v>153</v>
      </c>
      <c r="U19" s="2109" t="s">
        <v>153</v>
      </c>
      <c r="V19" s="2112" t="s">
        <v>153</v>
      </c>
      <c r="W19" s="2112">
        <v>0</v>
      </c>
      <c r="X19" s="2112" t="s">
        <v>153</v>
      </c>
      <c r="Y19" s="2109">
        <v>0</v>
      </c>
      <c r="Z19" s="2507" t="s">
        <v>153</v>
      </c>
      <c r="AA19" s="2507">
        <v>76.223774526316049</v>
      </c>
      <c r="AB19" s="2509" t="s">
        <v>153</v>
      </c>
      <c r="AC19" s="133" t="s">
        <v>153</v>
      </c>
      <c r="AD19" s="115" t="s">
        <v>153</v>
      </c>
      <c r="AE19" s="134" t="s">
        <v>153</v>
      </c>
      <c r="AF19" s="307" t="s">
        <v>153</v>
      </c>
      <c r="AG19" s="2541" t="s">
        <v>153</v>
      </c>
      <c r="AH19" s="2547">
        <v>30.605136141894434</v>
      </c>
      <c r="AI19" s="309">
        <v>95.361119331789496</v>
      </c>
      <c r="AJ19" s="92" t="s">
        <v>153</v>
      </c>
      <c r="AK19" s="2519">
        <v>125.96625547368393</v>
      </c>
      <c r="AL19" s="2548">
        <v>76.223774526316049</v>
      </c>
      <c r="AM19" s="2549">
        <v>202.19002999999998</v>
      </c>
      <c r="AN19" s="2550">
        <v>0</v>
      </c>
      <c r="AO19" s="2551" t="s">
        <v>153</v>
      </c>
      <c r="AP19" s="134" t="s">
        <v>153</v>
      </c>
      <c r="AQ19" s="2521">
        <v>0.15136817647187861</v>
      </c>
      <c r="AR19" s="2522">
        <v>0.4716410563458025</v>
      </c>
      <c r="AS19" s="2474" t="s">
        <v>153</v>
      </c>
      <c r="AT19" s="2523">
        <v>0.62300923281768106</v>
      </c>
      <c r="AU19" s="2524">
        <v>0.37699076718231878</v>
      </c>
      <c r="AV19" s="2525">
        <v>0.99999999999999989</v>
      </c>
      <c r="AW19" s="2526">
        <v>0</v>
      </c>
      <c r="AX19" s="2527" t="s">
        <v>153</v>
      </c>
      <c r="AY19" s="2528" t="s">
        <v>153</v>
      </c>
      <c r="AZ19" s="512">
        <v>0</v>
      </c>
      <c r="BB19" s="2629" t="s">
        <v>67</v>
      </c>
      <c r="BC19" s="2630">
        <v>202.19003000000001</v>
      </c>
      <c r="BD19" s="2631">
        <v>1</v>
      </c>
      <c r="BE19" s="2630">
        <v>30.605136141894434</v>
      </c>
      <c r="BF19" s="2630">
        <v>95.361119331789496</v>
      </c>
      <c r="BG19" s="2630" t="s">
        <v>153</v>
      </c>
      <c r="BH19" s="2630">
        <v>125.96625547368393</v>
      </c>
      <c r="BI19" s="2630">
        <v>76.223774526316049</v>
      </c>
      <c r="BJ19" s="2630">
        <v>202.19002999999998</v>
      </c>
      <c r="BK19" s="2630">
        <v>0</v>
      </c>
      <c r="BL19" s="2630" t="s">
        <v>153</v>
      </c>
      <c r="BM19" s="2630" t="s">
        <v>153</v>
      </c>
      <c r="BO19" s="2629" t="s">
        <v>67</v>
      </c>
      <c r="BP19" s="2630">
        <v>202.19003000000001</v>
      </c>
      <c r="BQ19" s="2634">
        <v>1</v>
      </c>
      <c r="BR19" s="2634">
        <v>0.15136817647187861</v>
      </c>
      <c r="BS19" s="2634">
        <v>0.4716410563458025</v>
      </c>
      <c r="BT19" s="2634" t="s">
        <v>153</v>
      </c>
      <c r="BU19" s="2634">
        <v>0.62300923281768106</v>
      </c>
      <c r="BV19" s="2634">
        <v>0.37699076718231878</v>
      </c>
      <c r="BW19" s="2634">
        <v>0.99999999999999989</v>
      </c>
      <c r="BX19" s="2634">
        <v>0</v>
      </c>
      <c r="BY19" s="2634" t="s">
        <v>153</v>
      </c>
      <c r="BZ19" s="2634" t="s">
        <v>153</v>
      </c>
    </row>
    <row r="20" spans="1:78" ht="14.4" x14ac:dyDescent="0.3">
      <c r="A20" s="2512" t="s">
        <v>76</v>
      </c>
      <c r="B20" s="92">
        <v>16775.811163408653</v>
      </c>
      <c r="C20" s="93">
        <v>0.89967262730220066</v>
      </c>
      <c r="D20" s="137">
        <v>16775.811163408653</v>
      </c>
      <c r="E20" s="299">
        <v>0.89967262730220066</v>
      </c>
      <c r="F20" s="144"/>
      <c r="G20" s="126">
        <v>1870.7616613235641</v>
      </c>
      <c r="H20" s="2108"/>
      <c r="I20" s="126" t="s">
        <v>153</v>
      </c>
      <c r="J20" s="2111"/>
      <c r="K20" s="127">
        <v>1870.7616613235641</v>
      </c>
      <c r="L20" s="301">
        <v>18646.572824732219</v>
      </c>
      <c r="M20" s="92">
        <v>12.780042163408652</v>
      </c>
      <c r="N20" s="2519">
        <v>3879.4648932110531</v>
      </c>
      <c r="O20" s="2519" t="s">
        <v>153</v>
      </c>
      <c r="P20" s="2519">
        <v>11724.793218034192</v>
      </c>
      <c r="Q20" s="2519">
        <v>1158.7730100000001</v>
      </c>
      <c r="R20" s="129" t="s">
        <v>153</v>
      </c>
      <c r="S20" s="2517" t="s">
        <v>153</v>
      </c>
      <c r="T20" s="132" t="s">
        <v>153</v>
      </c>
      <c r="U20" s="2109" t="s">
        <v>153</v>
      </c>
      <c r="V20" s="2112">
        <v>1348.972553308789</v>
      </c>
      <c r="W20" s="2112">
        <v>0</v>
      </c>
      <c r="X20" s="2112" t="s">
        <v>153</v>
      </c>
      <c r="Y20" s="2109">
        <v>-1.1368683772161603E-13</v>
      </c>
      <c r="Z20" s="2507" t="s">
        <v>153</v>
      </c>
      <c r="AA20" s="2507">
        <v>11724.793218034192</v>
      </c>
      <c r="AB20" s="2509">
        <v>1348.972553308789</v>
      </c>
      <c r="AC20" s="133" t="s">
        <v>153</v>
      </c>
      <c r="AD20" s="115">
        <v>1158.7730099999999</v>
      </c>
      <c r="AE20" s="134">
        <v>124.30255141477546</v>
      </c>
      <c r="AF20" s="307">
        <v>397.48655659999997</v>
      </c>
      <c r="AG20" s="2541" t="s">
        <v>153</v>
      </c>
      <c r="AH20" s="2547">
        <v>12.780042163408652</v>
      </c>
      <c r="AI20" s="309">
        <v>3879.4648932110531</v>
      </c>
      <c r="AJ20" s="92" t="s">
        <v>153</v>
      </c>
      <c r="AK20" s="2519">
        <v>3892.2449353744619</v>
      </c>
      <c r="AL20" s="2548">
        <v>13073.765771342982</v>
      </c>
      <c r="AM20" s="2549">
        <v>16966.010706717443</v>
      </c>
      <c r="AN20" s="2550">
        <v>1283.0755614147754</v>
      </c>
      <c r="AO20" s="2551" t="s">
        <v>153</v>
      </c>
      <c r="AP20" s="134">
        <v>397.48655659999997</v>
      </c>
      <c r="AQ20" s="2521">
        <v>6.8538290030742877E-4</v>
      </c>
      <c r="AR20" s="2522">
        <v>0.20805243567683682</v>
      </c>
      <c r="AS20" s="2474" t="s">
        <v>153</v>
      </c>
      <c r="AT20" s="2523">
        <v>0.20873781857714424</v>
      </c>
      <c r="AU20" s="2524">
        <v>0.70113505008289545</v>
      </c>
      <c r="AV20" s="2525">
        <v>0.90987286866003969</v>
      </c>
      <c r="AW20" s="2526">
        <v>6.8810261996936239E-2</v>
      </c>
      <c r="AX20" s="2527" t="s">
        <v>153</v>
      </c>
      <c r="AY20" s="2528">
        <v>2.131686934302407E-2</v>
      </c>
      <c r="AZ20" s="512">
        <v>0</v>
      </c>
      <c r="BB20" s="2629" t="s">
        <v>76</v>
      </c>
      <c r="BC20" s="2630">
        <v>18646.572824732219</v>
      </c>
      <c r="BD20" s="2631">
        <v>0.89967262730220066</v>
      </c>
      <c r="BE20" s="2630">
        <v>12.780042163408652</v>
      </c>
      <c r="BF20" s="2630">
        <v>3879.4648932110531</v>
      </c>
      <c r="BG20" s="2630" t="s">
        <v>153</v>
      </c>
      <c r="BH20" s="2630">
        <v>3892.2449353744619</v>
      </c>
      <c r="BI20" s="2630">
        <v>13073.765771342982</v>
      </c>
      <c r="BJ20" s="2630">
        <v>16966.010706717443</v>
      </c>
      <c r="BK20" s="2630">
        <v>1283.0755614147754</v>
      </c>
      <c r="BL20" s="2630" t="s">
        <v>153</v>
      </c>
      <c r="BM20" s="2630">
        <v>397.48655659999997</v>
      </c>
      <c r="BO20" s="2629" t="s">
        <v>76</v>
      </c>
      <c r="BP20" s="2630">
        <v>18646.572824732219</v>
      </c>
      <c r="BQ20" s="2634">
        <v>0.89967262730220066</v>
      </c>
      <c r="BR20" s="2634">
        <v>6.8538290030742877E-4</v>
      </c>
      <c r="BS20" s="2634">
        <v>0.20805243567683682</v>
      </c>
      <c r="BT20" s="2634" t="s">
        <v>153</v>
      </c>
      <c r="BU20" s="2634">
        <v>0.20873781857714424</v>
      </c>
      <c r="BV20" s="2634">
        <v>0.70113505008289545</v>
      </c>
      <c r="BW20" s="2634">
        <v>0.90987286866003969</v>
      </c>
      <c r="BX20" s="2634">
        <v>6.8810261996936239E-2</v>
      </c>
      <c r="BY20" s="2634" t="s">
        <v>153</v>
      </c>
      <c r="BZ20" s="2634">
        <v>2.131686934302407E-2</v>
      </c>
    </row>
    <row r="21" spans="1:78" ht="14.4" x14ac:dyDescent="0.3">
      <c r="A21" s="2512" t="s">
        <v>62</v>
      </c>
      <c r="B21" s="92">
        <v>1197.5810710000001</v>
      </c>
      <c r="C21" s="93">
        <v>1</v>
      </c>
      <c r="D21" s="137">
        <v>1197.5810710000001</v>
      </c>
      <c r="E21" s="299">
        <v>1</v>
      </c>
      <c r="F21" s="144"/>
      <c r="G21" s="126" t="s">
        <v>153</v>
      </c>
      <c r="H21" s="2108"/>
      <c r="I21" s="126" t="s">
        <v>153</v>
      </c>
      <c r="J21" s="2111"/>
      <c r="K21" s="127" t="s">
        <v>153</v>
      </c>
      <c r="L21" s="301">
        <v>1197.5810710000001</v>
      </c>
      <c r="M21" s="92" t="s">
        <v>153</v>
      </c>
      <c r="N21" s="2519">
        <v>31.137107845999996</v>
      </c>
      <c r="O21" s="2519" t="s">
        <v>153</v>
      </c>
      <c r="P21" s="2519">
        <v>1003.572937498</v>
      </c>
      <c r="Q21" s="2519" t="s">
        <v>153</v>
      </c>
      <c r="R21" s="129">
        <v>162.87102565600003</v>
      </c>
      <c r="S21" s="2517" t="s">
        <v>153</v>
      </c>
      <c r="T21" s="132" t="s">
        <v>153</v>
      </c>
      <c r="U21" s="2109" t="s">
        <v>153</v>
      </c>
      <c r="V21" s="2112" t="s">
        <v>153</v>
      </c>
      <c r="W21" s="2112">
        <v>0</v>
      </c>
      <c r="X21" s="2112" t="s">
        <v>153</v>
      </c>
      <c r="Y21" s="2109">
        <v>0</v>
      </c>
      <c r="Z21" s="2507" t="s">
        <v>153</v>
      </c>
      <c r="AA21" s="2507">
        <v>1003.5729374979999</v>
      </c>
      <c r="AB21" s="2509" t="s">
        <v>153</v>
      </c>
      <c r="AC21" s="133" t="s">
        <v>153</v>
      </c>
      <c r="AD21" s="115" t="s">
        <v>153</v>
      </c>
      <c r="AE21" s="134" t="s">
        <v>153</v>
      </c>
      <c r="AF21" s="307" t="s">
        <v>153</v>
      </c>
      <c r="AG21" s="2541">
        <v>162.87102565600003</v>
      </c>
      <c r="AH21" s="2547" t="s">
        <v>153</v>
      </c>
      <c r="AI21" s="309">
        <v>31.137107845999996</v>
      </c>
      <c r="AJ21" s="92" t="s">
        <v>153</v>
      </c>
      <c r="AK21" s="2519">
        <v>31.137107845999996</v>
      </c>
      <c r="AL21" s="2548">
        <v>1003.5729374979999</v>
      </c>
      <c r="AM21" s="2549">
        <v>1034.7100453439998</v>
      </c>
      <c r="AN21" s="2550">
        <v>0</v>
      </c>
      <c r="AO21" s="2551">
        <v>162.87102565600003</v>
      </c>
      <c r="AP21" s="134" t="s">
        <v>153</v>
      </c>
      <c r="AQ21" s="2521" t="s">
        <v>153</v>
      </c>
      <c r="AR21" s="2522">
        <v>2.5999999999999995E-2</v>
      </c>
      <c r="AS21" s="2474" t="s">
        <v>153</v>
      </c>
      <c r="AT21" s="2523">
        <v>2.5999999999999995E-2</v>
      </c>
      <c r="AU21" s="2524">
        <v>0.83799999999999986</v>
      </c>
      <c r="AV21" s="2525">
        <v>0.86399999999999977</v>
      </c>
      <c r="AW21" s="2526">
        <v>0</v>
      </c>
      <c r="AX21" s="2527">
        <v>0.13600000000000001</v>
      </c>
      <c r="AY21" s="2528" t="s">
        <v>153</v>
      </c>
      <c r="AZ21" s="512">
        <v>0</v>
      </c>
      <c r="BB21" s="2629" t="s">
        <v>62</v>
      </c>
      <c r="BC21" s="2630">
        <v>1197.5810710000001</v>
      </c>
      <c r="BD21" s="2631">
        <v>1</v>
      </c>
      <c r="BE21" s="2630" t="s">
        <v>153</v>
      </c>
      <c r="BF21" s="2630">
        <v>31.137107845999996</v>
      </c>
      <c r="BG21" s="2630" t="s">
        <v>153</v>
      </c>
      <c r="BH21" s="2630">
        <v>31.137107845999996</v>
      </c>
      <c r="BI21" s="2630">
        <v>1003.5729374979999</v>
      </c>
      <c r="BJ21" s="2630">
        <v>1034.7100453439998</v>
      </c>
      <c r="BK21" s="2630">
        <v>0</v>
      </c>
      <c r="BL21" s="2630">
        <v>162.87102565600003</v>
      </c>
      <c r="BM21" s="2630" t="s">
        <v>153</v>
      </c>
      <c r="BO21" s="2629" t="s">
        <v>62</v>
      </c>
      <c r="BP21" s="2630">
        <v>1197.5810710000001</v>
      </c>
      <c r="BQ21" s="2634">
        <v>1</v>
      </c>
      <c r="BR21" s="2634" t="s">
        <v>153</v>
      </c>
      <c r="BS21" s="2634">
        <v>2.5999999999999995E-2</v>
      </c>
      <c r="BT21" s="2634" t="s">
        <v>153</v>
      </c>
      <c r="BU21" s="2634">
        <v>2.5999999999999995E-2</v>
      </c>
      <c r="BV21" s="2634">
        <v>0.83799999999999986</v>
      </c>
      <c r="BW21" s="2634">
        <v>0.86399999999999977</v>
      </c>
      <c r="BX21" s="2634">
        <v>0</v>
      </c>
      <c r="BY21" s="2634">
        <v>0.13600000000000001</v>
      </c>
      <c r="BZ21" s="2634" t="s">
        <v>153</v>
      </c>
    </row>
    <row r="22" spans="1:78" ht="14.4" x14ac:dyDescent="0.3">
      <c r="A22" s="2512" t="s">
        <v>16</v>
      </c>
      <c r="B22" s="92">
        <v>4462.1958200000008</v>
      </c>
      <c r="C22" s="93">
        <v>0.16020574562535908</v>
      </c>
      <c r="D22" s="137">
        <v>4462.1958200000008</v>
      </c>
      <c r="E22" s="299">
        <v>0.16020574562535908</v>
      </c>
      <c r="F22" s="144"/>
      <c r="G22" s="126">
        <v>19391.192752745916</v>
      </c>
      <c r="H22" s="2108"/>
      <c r="I22" s="126">
        <v>3999.5189655070517</v>
      </c>
      <c r="J22" s="2111"/>
      <c r="K22" s="127">
        <v>23390.711718252966</v>
      </c>
      <c r="L22" s="301">
        <v>27852.907538252963</v>
      </c>
      <c r="M22" s="92" t="s">
        <v>153</v>
      </c>
      <c r="N22" s="2519">
        <v>4239.0860290000001</v>
      </c>
      <c r="O22" s="2519" t="s">
        <v>153</v>
      </c>
      <c r="P22" s="2519" t="s">
        <v>153</v>
      </c>
      <c r="Q22" s="2519">
        <v>223.10979100000003</v>
      </c>
      <c r="R22" s="129" t="s">
        <v>153</v>
      </c>
      <c r="S22" s="2517">
        <v>361.04986083499006</v>
      </c>
      <c r="T22" s="132" t="s">
        <v>153</v>
      </c>
      <c r="U22" s="2109" t="s">
        <v>153</v>
      </c>
      <c r="V22" s="2112">
        <v>4833.3641017281116</v>
      </c>
      <c r="W22" s="2109">
        <v>7105.3886937315747</v>
      </c>
      <c r="X22" s="2112" t="s">
        <v>153</v>
      </c>
      <c r="Y22" s="2109">
        <v>1610.0344396358837</v>
      </c>
      <c r="Z22" s="2507">
        <v>7375.8453092951386</v>
      </c>
      <c r="AA22" s="2507" t="s">
        <v>153</v>
      </c>
      <c r="AB22" s="2509">
        <v>4833.3641017281116</v>
      </c>
      <c r="AC22" s="133" t="s">
        <v>153</v>
      </c>
      <c r="AD22" s="115">
        <v>8938.5329243674587</v>
      </c>
      <c r="AE22" s="134">
        <v>1229.568634684284</v>
      </c>
      <c r="AF22" s="307">
        <v>875.4606783429806</v>
      </c>
      <c r="AG22" s="2541" t="s">
        <v>153</v>
      </c>
      <c r="AH22" s="2547" t="s">
        <v>153</v>
      </c>
      <c r="AI22" s="309">
        <v>4600.1358898349899</v>
      </c>
      <c r="AJ22" s="92" t="s">
        <v>153</v>
      </c>
      <c r="AK22" s="2519">
        <v>4600.1358898349899</v>
      </c>
      <c r="AL22" s="2548">
        <v>12209.20941102325</v>
      </c>
      <c r="AM22" s="2549">
        <v>16809.34530085824</v>
      </c>
      <c r="AN22" s="2550">
        <v>10168.101559051742</v>
      </c>
      <c r="AO22" s="2551" t="s">
        <v>153</v>
      </c>
      <c r="AP22" s="134">
        <v>875.4606783429806</v>
      </c>
      <c r="AQ22" s="2521" t="s">
        <v>153</v>
      </c>
      <c r="AR22" s="2522">
        <v>0.16515819339568769</v>
      </c>
      <c r="AS22" s="2474" t="s">
        <v>153</v>
      </c>
      <c r="AT22" s="2523">
        <v>0.16515819339568769</v>
      </c>
      <c r="AU22" s="2524">
        <v>0.43834595703357787</v>
      </c>
      <c r="AV22" s="2525">
        <v>0.60350415042926553</v>
      </c>
      <c r="AW22" s="2526">
        <v>0.36506427722444962</v>
      </c>
      <c r="AX22" s="2527" t="s">
        <v>153</v>
      </c>
      <c r="AY22" s="2528">
        <v>3.1431572346284846E-2</v>
      </c>
      <c r="AZ22" s="512">
        <v>0</v>
      </c>
      <c r="BB22" s="2629" t="s">
        <v>16</v>
      </c>
      <c r="BC22" s="2630">
        <v>27852.907538252963</v>
      </c>
      <c r="BD22" s="2631">
        <v>0.16020574562535908</v>
      </c>
      <c r="BE22" s="2630" t="s">
        <v>153</v>
      </c>
      <c r="BF22" s="2630">
        <v>4600.1358898349899</v>
      </c>
      <c r="BG22" s="2630" t="s">
        <v>153</v>
      </c>
      <c r="BH22" s="2630">
        <v>4600.1358898349899</v>
      </c>
      <c r="BI22" s="2630">
        <v>12209.20941102325</v>
      </c>
      <c r="BJ22" s="2630">
        <v>16809.34530085824</v>
      </c>
      <c r="BK22" s="2630">
        <v>10168.101559051742</v>
      </c>
      <c r="BL22" s="2630" t="s">
        <v>153</v>
      </c>
      <c r="BM22" s="2630">
        <v>875.4606783429806</v>
      </c>
      <c r="BO22" s="2629" t="s">
        <v>16</v>
      </c>
      <c r="BP22" s="2630">
        <v>27852.907538252963</v>
      </c>
      <c r="BQ22" s="2634">
        <v>0.16020574562535908</v>
      </c>
      <c r="BR22" s="2634" t="s">
        <v>153</v>
      </c>
      <c r="BS22" s="2634">
        <v>0.16515819339568769</v>
      </c>
      <c r="BT22" s="2634" t="s">
        <v>153</v>
      </c>
      <c r="BU22" s="2634">
        <v>0.16515819339568769</v>
      </c>
      <c r="BV22" s="2634">
        <v>0.43834595703357787</v>
      </c>
      <c r="BW22" s="2634">
        <v>0.60350415042926553</v>
      </c>
      <c r="BX22" s="2634">
        <v>0.36506427722444962</v>
      </c>
      <c r="BY22" s="2634" t="s">
        <v>153</v>
      </c>
      <c r="BZ22" s="2634">
        <v>3.1431572346284846E-2</v>
      </c>
    </row>
    <row r="23" spans="1:78" ht="14.4" x14ac:dyDescent="0.3">
      <c r="A23" s="2512" t="s">
        <v>95</v>
      </c>
      <c r="B23" s="92" t="s">
        <v>153</v>
      </c>
      <c r="C23" s="93">
        <v>0</v>
      </c>
      <c r="D23" s="137" t="s">
        <v>153</v>
      </c>
      <c r="E23" s="299">
        <v>0</v>
      </c>
      <c r="F23" s="144"/>
      <c r="G23" s="126" t="s">
        <v>153</v>
      </c>
      <c r="H23" s="2108"/>
      <c r="I23" s="126" t="s">
        <v>153</v>
      </c>
      <c r="J23" s="2111"/>
      <c r="K23" s="127" t="s">
        <v>153</v>
      </c>
      <c r="L23" s="301">
        <v>0</v>
      </c>
      <c r="M23" s="92" t="s">
        <v>153</v>
      </c>
      <c r="N23" s="2519" t="s">
        <v>153</v>
      </c>
      <c r="O23" s="2519" t="s">
        <v>153</v>
      </c>
      <c r="P23" s="2519" t="s">
        <v>153</v>
      </c>
      <c r="Q23" s="2519" t="s">
        <v>153</v>
      </c>
      <c r="R23" s="129" t="s">
        <v>153</v>
      </c>
      <c r="S23" s="2517" t="s">
        <v>153</v>
      </c>
      <c r="T23" s="132" t="s">
        <v>153</v>
      </c>
      <c r="U23" s="2109" t="s">
        <v>153</v>
      </c>
      <c r="V23" s="2112" t="s">
        <v>153</v>
      </c>
      <c r="W23" s="2112">
        <v>0</v>
      </c>
      <c r="X23" s="2112" t="s">
        <v>153</v>
      </c>
      <c r="Y23" s="2109">
        <v>0</v>
      </c>
      <c r="Z23" s="2507" t="s">
        <v>153</v>
      </c>
      <c r="AA23" s="2507" t="s">
        <v>153</v>
      </c>
      <c r="AB23" s="2509" t="s">
        <v>153</v>
      </c>
      <c r="AC23" s="133" t="s">
        <v>153</v>
      </c>
      <c r="AD23" s="115" t="s">
        <v>153</v>
      </c>
      <c r="AE23" s="134" t="s">
        <v>153</v>
      </c>
      <c r="AF23" s="307" t="s">
        <v>153</v>
      </c>
      <c r="AG23" s="2541" t="s">
        <v>153</v>
      </c>
      <c r="AH23" s="2547" t="s">
        <v>153</v>
      </c>
      <c r="AI23" s="309">
        <v>0</v>
      </c>
      <c r="AJ23" s="92" t="s">
        <v>153</v>
      </c>
      <c r="AK23" s="2519">
        <v>0</v>
      </c>
      <c r="AL23" s="2548">
        <v>0</v>
      </c>
      <c r="AM23" s="2549">
        <v>0</v>
      </c>
      <c r="AN23" s="2550">
        <v>0</v>
      </c>
      <c r="AO23" s="2551" t="s">
        <v>153</v>
      </c>
      <c r="AP23" s="134" t="s">
        <v>153</v>
      </c>
      <c r="AQ23" s="2521" t="s">
        <v>153</v>
      </c>
      <c r="AR23" s="2522" t="s">
        <v>153</v>
      </c>
      <c r="AS23" s="2474" t="s">
        <v>153</v>
      </c>
      <c r="AT23" s="2523" t="s">
        <v>153</v>
      </c>
      <c r="AU23" s="2524" t="s">
        <v>153</v>
      </c>
      <c r="AV23" s="2525" t="s">
        <v>153</v>
      </c>
      <c r="AW23" s="2526" t="s">
        <v>153</v>
      </c>
      <c r="AX23" s="2527" t="s">
        <v>153</v>
      </c>
      <c r="AY23" s="2528" t="s">
        <v>153</v>
      </c>
      <c r="AZ23" s="512">
        <v>0</v>
      </c>
      <c r="BB23" s="2629" t="s">
        <v>95</v>
      </c>
      <c r="BC23" s="2630">
        <v>0</v>
      </c>
      <c r="BD23" s="2631">
        <v>0</v>
      </c>
      <c r="BE23" s="2630" t="s">
        <v>153</v>
      </c>
      <c r="BF23" s="2630">
        <v>0</v>
      </c>
      <c r="BG23" s="2630" t="s">
        <v>153</v>
      </c>
      <c r="BH23" s="2630">
        <v>0</v>
      </c>
      <c r="BI23" s="2630">
        <v>0</v>
      </c>
      <c r="BJ23" s="2630">
        <v>0</v>
      </c>
      <c r="BK23" s="2630">
        <v>0</v>
      </c>
      <c r="BL23" s="2630" t="s">
        <v>153</v>
      </c>
      <c r="BM23" s="2630" t="s">
        <v>153</v>
      </c>
      <c r="BO23" s="2629" t="s">
        <v>95</v>
      </c>
      <c r="BP23" s="2630">
        <v>0</v>
      </c>
      <c r="BQ23" s="2634">
        <v>0</v>
      </c>
      <c r="BR23" s="2634" t="s">
        <v>153</v>
      </c>
      <c r="BS23" s="2634" t="s">
        <v>153</v>
      </c>
      <c r="BT23" s="2634" t="s">
        <v>153</v>
      </c>
      <c r="BU23" s="2634" t="s">
        <v>153</v>
      </c>
      <c r="BV23" s="2634" t="s">
        <v>153</v>
      </c>
      <c r="BW23" s="2634" t="s">
        <v>153</v>
      </c>
      <c r="BX23" s="2634" t="s">
        <v>153</v>
      </c>
      <c r="BY23" s="2634" t="s">
        <v>153</v>
      </c>
      <c r="BZ23" s="2634" t="s">
        <v>153</v>
      </c>
    </row>
    <row r="24" spans="1:78" ht="14.4" x14ac:dyDescent="0.3">
      <c r="A24" s="2512" t="s">
        <v>74</v>
      </c>
      <c r="B24" s="92">
        <v>2.4470000000000001</v>
      </c>
      <c r="C24" s="93">
        <v>1</v>
      </c>
      <c r="D24" s="137">
        <v>2.4470000000000001</v>
      </c>
      <c r="E24" s="299">
        <v>1</v>
      </c>
      <c r="F24" s="144"/>
      <c r="G24" s="126" t="s">
        <v>153</v>
      </c>
      <c r="H24" s="2108"/>
      <c r="I24" s="126" t="s">
        <v>153</v>
      </c>
      <c r="J24" s="2111"/>
      <c r="K24" s="127" t="s">
        <v>153</v>
      </c>
      <c r="L24" s="301">
        <v>2.4470000000000001</v>
      </c>
      <c r="M24" s="92" t="s">
        <v>153</v>
      </c>
      <c r="N24" s="2519">
        <v>0.40346680942184154</v>
      </c>
      <c r="O24" s="2519" t="s">
        <v>153</v>
      </c>
      <c r="P24" s="2519">
        <v>2.0435331905781586</v>
      </c>
      <c r="Q24" s="2519" t="s">
        <v>153</v>
      </c>
      <c r="R24" s="129" t="s">
        <v>153</v>
      </c>
      <c r="S24" s="2517" t="s">
        <v>153</v>
      </c>
      <c r="T24" s="132" t="s">
        <v>153</v>
      </c>
      <c r="U24" s="2109" t="s">
        <v>153</v>
      </c>
      <c r="V24" s="2112" t="s">
        <v>153</v>
      </c>
      <c r="W24" s="2109">
        <v>0</v>
      </c>
      <c r="X24" s="2112" t="s">
        <v>153</v>
      </c>
      <c r="Y24" s="2109">
        <v>0</v>
      </c>
      <c r="Z24" s="2507" t="s">
        <v>153</v>
      </c>
      <c r="AA24" s="2507">
        <v>2.0435331905781586</v>
      </c>
      <c r="AB24" s="2509" t="s">
        <v>153</v>
      </c>
      <c r="AC24" s="133" t="s">
        <v>153</v>
      </c>
      <c r="AD24" s="115" t="s">
        <v>153</v>
      </c>
      <c r="AE24" s="134" t="s">
        <v>153</v>
      </c>
      <c r="AF24" s="307" t="s">
        <v>153</v>
      </c>
      <c r="AG24" s="2541" t="s">
        <v>153</v>
      </c>
      <c r="AH24" s="2547" t="s">
        <v>153</v>
      </c>
      <c r="AI24" s="309">
        <v>0.40346680942184154</v>
      </c>
      <c r="AJ24" s="92" t="s">
        <v>153</v>
      </c>
      <c r="AK24" s="2519">
        <v>0.40346680942184154</v>
      </c>
      <c r="AL24" s="2548">
        <v>2.0435331905781586</v>
      </c>
      <c r="AM24" s="2549">
        <v>2.4470000000000001</v>
      </c>
      <c r="AN24" s="2550">
        <v>0</v>
      </c>
      <c r="AO24" s="2551" t="s">
        <v>153</v>
      </c>
      <c r="AP24" s="134" t="s">
        <v>153</v>
      </c>
      <c r="AQ24" s="2521" t="s">
        <v>153</v>
      </c>
      <c r="AR24" s="2522">
        <v>0.16488222698072805</v>
      </c>
      <c r="AS24" s="2474" t="s">
        <v>153</v>
      </c>
      <c r="AT24" s="2523">
        <v>0.16488222698072805</v>
      </c>
      <c r="AU24" s="2524">
        <v>0.83511777301927204</v>
      </c>
      <c r="AV24" s="2525">
        <v>1</v>
      </c>
      <c r="AW24" s="2526">
        <v>0</v>
      </c>
      <c r="AX24" s="2527" t="s">
        <v>153</v>
      </c>
      <c r="AY24" s="2528" t="s">
        <v>153</v>
      </c>
      <c r="AZ24" s="512">
        <v>0</v>
      </c>
      <c r="BB24" s="2629" t="s">
        <v>74</v>
      </c>
      <c r="BC24" s="2630">
        <v>2.4470000000000001</v>
      </c>
      <c r="BD24" s="2631">
        <v>1</v>
      </c>
      <c r="BE24" s="2630" t="s">
        <v>153</v>
      </c>
      <c r="BF24" s="2630">
        <v>0.40346680942184154</v>
      </c>
      <c r="BG24" s="2630" t="s">
        <v>153</v>
      </c>
      <c r="BH24" s="2630">
        <v>0.40346680942184154</v>
      </c>
      <c r="BI24" s="2630">
        <v>2.0435331905781586</v>
      </c>
      <c r="BJ24" s="2630">
        <v>2.4470000000000001</v>
      </c>
      <c r="BK24" s="2630">
        <v>0</v>
      </c>
      <c r="BL24" s="2630" t="s">
        <v>153</v>
      </c>
      <c r="BM24" s="2630" t="s">
        <v>153</v>
      </c>
      <c r="BO24" s="2629" t="s">
        <v>74</v>
      </c>
      <c r="BP24" s="2630">
        <v>2.4470000000000001</v>
      </c>
      <c r="BQ24" s="2634">
        <v>1</v>
      </c>
      <c r="BR24" s="2634" t="s">
        <v>153</v>
      </c>
      <c r="BS24" s="2634">
        <v>0.16488222698072805</v>
      </c>
      <c r="BT24" s="2634" t="s">
        <v>153</v>
      </c>
      <c r="BU24" s="2634">
        <v>0.16488222698072805</v>
      </c>
      <c r="BV24" s="2634">
        <v>0.83511777301927204</v>
      </c>
      <c r="BW24" s="2634">
        <v>1</v>
      </c>
      <c r="BX24" s="2634">
        <v>0</v>
      </c>
      <c r="BY24" s="2634" t="s">
        <v>153</v>
      </c>
      <c r="BZ24" s="2634" t="s">
        <v>153</v>
      </c>
    </row>
    <row r="25" spans="1:78" ht="14.4" x14ac:dyDescent="0.3">
      <c r="A25" s="2512" t="s">
        <v>73</v>
      </c>
      <c r="B25" s="92">
        <v>148.45605283999998</v>
      </c>
      <c r="C25" s="93">
        <v>0.24206077775252341</v>
      </c>
      <c r="D25" s="137">
        <v>148.45605283999998</v>
      </c>
      <c r="E25" s="299">
        <v>0.24206077775252341</v>
      </c>
      <c r="F25" s="144"/>
      <c r="G25" s="126">
        <v>331.52738301936574</v>
      </c>
      <c r="H25" s="2108"/>
      <c r="I25" s="126">
        <v>133.31729885023506</v>
      </c>
      <c r="J25" s="2111"/>
      <c r="K25" s="127">
        <v>464.84468186960078</v>
      </c>
      <c r="L25" s="301">
        <v>613.30073470960076</v>
      </c>
      <c r="M25" s="92" t="s">
        <v>153</v>
      </c>
      <c r="N25" s="2519">
        <v>85.555223251691999</v>
      </c>
      <c r="O25" s="2519" t="s">
        <v>153</v>
      </c>
      <c r="P25" s="2519">
        <v>62.707836719615997</v>
      </c>
      <c r="Q25" s="2519">
        <v>0.192992868692</v>
      </c>
      <c r="R25" s="129" t="s">
        <v>153</v>
      </c>
      <c r="S25" s="2517" t="s">
        <v>153</v>
      </c>
      <c r="T25" s="132" t="s">
        <v>153</v>
      </c>
      <c r="U25" s="2109" t="s">
        <v>153</v>
      </c>
      <c r="V25" s="2112" t="s">
        <v>153</v>
      </c>
      <c r="W25" s="2112">
        <v>0</v>
      </c>
      <c r="X25" s="2112">
        <v>15.982381505579839</v>
      </c>
      <c r="Y25" s="2109">
        <v>308.06151547665308</v>
      </c>
      <c r="Z25" s="2507">
        <v>40.68050481577189</v>
      </c>
      <c r="AA25" s="2507">
        <v>62.707836719615997</v>
      </c>
      <c r="AB25" s="2509">
        <v>15.982381505579839</v>
      </c>
      <c r="AC25" s="133" t="s">
        <v>153</v>
      </c>
      <c r="AD25" s="115">
        <v>308.25450834534513</v>
      </c>
      <c r="AE25" s="134">
        <v>29.374458095293157</v>
      </c>
      <c r="AF25" s="307">
        <v>70.74582197630285</v>
      </c>
      <c r="AG25" s="2541" t="s">
        <v>153</v>
      </c>
      <c r="AH25" s="2547" t="s">
        <v>153</v>
      </c>
      <c r="AI25" s="309">
        <v>85.555223251691999</v>
      </c>
      <c r="AJ25" s="92" t="s">
        <v>153</v>
      </c>
      <c r="AK25" s="2519">
        <v>85.555223251691999</v>
      </c>
      <c r="AL25" s="2548">
        <v>119.37072304096773</v>
      </c>
      <c r="AM25" s="2549">
        <v>204.92594629265972</v>
      </c>
      <c r="AN25" s="2550">
        <v>337.62896644063829</v>
      </c>
      <c r="AO25" s="2551" t="s">
        <v>153</v>
      </c>
      <c r="AP25" s="134">
        <v>70.74582197630285</v>
      </c>
      <c r="AQ25" s="2521" t="s">
        <v>153</v>
      </c>
      <c r="AR25" s="2522">
        <v>0.13949962621877926</v>
      </c>
      <c r="AS25" s="2474" t="s">
        <v>153</v>
      </c>
      <c r="AT25" s="2523">
        <v>0.13949962621877926</v>
      </c>
      <c r="AU25" s="2524">
        <v>0.19463652378875762</v>
      </c>
      <c r="AV25" s="2525">
        <v>0.33413615000753683</v>
      </c>
      <c r="AW25" s="2526">
        <v>0.55051127013651202</v>
      </c>
      <c r="AX25" s="2527" t="s">
        <v>153</v>
      </c>
      <c r="AY25" s="2528">
        <v>0.11535257985595133</v>
      </c>
      <c r="AZ25" s="512">
        <v>0</v>
      </c>
      <c r="BB25" s="2629" t="s">
        <v>73</v>
      </c>
      <c r="BC25" s="2630">
        <v>613.30073470960076</v>
      </c>
      <c r="BD25" s="2631">
        <v>0.24206077775252341</v>
      </c>
      <c r="BE25" s="2630" t="s">
        <v>153</v>
      </c>
      <c r="BF25" s="2630">
        <v>85.555223251691999</v>
      </c>
      <c r="BG25" s="2630" t="s">
        <v>153</v>
      </c>
      <c r="BH25" s="2630">
        <v>85.555223251691999</v>
      </c>
      <c r="BI25" s="2630">
        <v>119.37072304096773</v>
      </c>
      <c r="BJ25" s="2630">
        <v>204.92594629265972</v>
      </c>
      <c r="BK25" s="2630">
        <v>337.62896644063829</v>
      </c>
      <c r="BL25" s="2630" t="s">
        <v>153</v>
      </c>
      <c r="BM25" s="2630">
        <v>70.74582197630285</v>
      </c>
      <c r="BO25" s="2629" t="s">
        <v>73</v>
      </c>
      <c r="BP25" s="2630">
        <v>613.30073470960076</v>
      </c>
      <c r="BQ25" s="2634">
        <v>0.24206077775252341</v>
      </c>
      <c r="BR25" s="2634" t="s">
        <v>153</v>
      </c>
      <c r="BS25" s="2634">
        <v>0.13949962621877926</v>
      </c>
      <c r="BT25" s="2634" t="s">
        <v>153</v>
      </c>
      <c r="BU25" s="2634">
        <v>0.13949962621877926</v>
      </c>
      <c r="BV25" s="2634">
        <v>0.19463652378875762</v>
      </c>
      <c r="BW25" s="2634">
        <v>0.33413615000753683</v>
      </c>
      <c r="BX25" s="2634">
        <v>0.55051127013651202</v>
      </c>
      <c r="BY25" s="2634" t="s">
        <v>153</v>
      </c>
      <c r="BZ25" s="2634">
        <v>0.11535257985595133</v>
      </c>
    </row>
    <row r="26" spans="1:78" ht="14.4" x14ac:dyDescent="0.3">
      <c r="A26" s="2512" t="s">
        <v>44</v>
      </c>
      <c r="B26" s="92">
        <v>207.90006999999997</v>
      </c>
      <c r="C26" s="93">
        <v>0.99638337849530234</v>
      </c>
      <c r="D26" s="137">
        <v>207.90006999999997</v>
      </c>
      <c r="E26" s="299">
        <v>0.99638337849530234</v>
      </c>
      <c r="F26" s="144"/>
      <c r="G26" s="126">
        <v>0.75462505719999995</v>
      </c>
      <c r="H26" s="2108"/>
      <c r="I26" s="126" t="s">
        <v>153</v>
      </c>
      <c r="J26" s="2111"/>
      <c r="K26" s="127">
        <v>0.75462505719999995</v>
      </c>
      <c r="L26" s="301">
        <v>208.65469505719997</v>
      </c>
      <c r="M26" s="92" t="s">
        <v>153</v>
      </c>
      <c r="N26" s="2519">
        <v>178.24748225599836</v>
      </c>
      <c r="O26" s="2519" t="s">
        <v>153</v>
      </c>
      <c r="P26" s="2519">
        <v>17.313953783815649</v>
      </c>
      <c r="Q26" s="2519">
        <v>12.33863396018595</v>
      </c>
      <c r="R26" s="129" t="s">
        <v>153</v>
      </c>
      <c r="S26" s="2517" t="s">
        <v>153</v>
      </c>
      <c r="T26" s="132" t="s">
        <v>153</v>
      </c>
      <c r="U26" s="2109" t="s">
        <v>153</v>
      </c>
      <c r="V26" s="2112" t="s">
        <v>153</v>
      </c>
      <c r="W26" s="2112">
        <v>0</v>
      </c>
      <c r="X26" s="2112" t="s">
        <v>153</v>
      </c>
      <c r="Y26" s="2109">
        <v>0.68429287282184847</v>
      </c>
      <c r="Z26" s="2507" t="s">
        <v>153</v>
      </c>
      <c r="AA26" s="2507">
        <v>17.313953783815649</v>
      </c>
      <c r="AB26" s="2509" t="s">
        <v>153</v>
      </c>
      <c r="AC26" s="133" t="s">
        <v>153</v>
      </c>
      <c r="AD26" s="115">
        <v>13.022926833007798</v>
      </c>
      <c r="AE26" s="134">
        <v>7.0332184378151474E-2</v>
      </c>
      <c r="AF26" s="307" t="s">
        <v>153</v>
      </c>
      <c r="AG26" s="2541" t="s">
        <v>153</v>
      </c>
      <c r="AH26" s="2547" t="s">
        <v>153</v>
      </c>
      <c r="AI26" s="309">
        <v>178.24748225599836</v>
      </c>
      <c r="AJ26" s="92" t="s">
        <v>153</v>
      </c>
      <c r="AK26" s="2519">
        <v>178.24748225599836</v>
      </c>
      <c r="AL26" s="2548">
        <v>17.313953783815649</v>
      </c>
      <c r="AM26" s="2549">
        <v>195.561436039814</v>
      </c>
      <c r="AN26" s="2550">
        <v>13.09325901738595</v>
      </c>
      <c r="AO26" s="2551" t="s">
        <v>153</v>
      </c>
      <c r="AP26" s="134" t="s">
        <v>153</v>
      </c>
      <c r="AQ26" s="2521" t="s">
        <v>153</v>
      </c>
      <c r="AR26" s="2522">
        <v>0.85427017210005329</v>
      </c>
      <c r="AS26" s="2474" t="s">
        <v>153</v>
      </c>
      <c r="AT26" s="2523">
        <v>0.85427017210005329</v>
      </c>
      <c r="AU26" s="2524">
        <v>8.2978980075522638E-2</v>
      </c>
      <c r="AV26" s="2525">
        <v>0.93724915217557592</v>
      </c>
      <c r="AW26" s="2526">
        <v>6.2750847824424E-2</v>
      </c>
      <c r="AX26" s="2527" t="s">
        <v>153</v>
      </c>
      <c r="AY26" s="2528" t="s">
        <v>153</v>
      </c>
      <c r="AZ26" s="512">
        <v>0</v>
      </c>
      <c r="BB26" s="2629" t="s">
        <v>44</v>
      </c>
      <c r="BC26" s="2630">
        <v>208.65469505719997</v>
      </c>
      <c r="BD26" s="2631">
        <v>0.99638337849530234</v>
      </c>
      <c r="BE26" s="2630" t="s">
        <v>153</v>
      </c>
      <c r="BF26" s="2630">
        <v>178.24748225599836</v>
      </c>
      <c r="BG26" s="2630" t="s">
        <v>153</v>
      </c>
      <c r="BH26" s="2630">
        <v>178.24748225599836</v>
      </c>
      <c r="BI26" s="2630">
        <v>17.313953783815649</v>
      </c>
      <c r="BJ26" s="2630">
        <v>195.561436039814</v>
      </c>
      <c r="BK26" s="2630">
        <v>13.09325901738595</v>
      </c>
      <c r="BL26" s="2630" t="s">
        <v>153</v>
      </c>
      <c r="BM26" s="2630" t="s">
        <v>153</v>
      </c>
      <c r="BO26" s="2629" t="s">
        <v>44</v>
      </c>
      <c r="BP26" s="2630">
        <v>208.65469505719997</v>
      </c>
      <c r="BQ26" s="2634">
        <v>0.99638337849530234</v>
      </c>
      <c r="BR26" s="2634" t="s">
        <v>153</v>
      </c>
      <c r="BS26" s="2634">
        <v>0.85427017210005329</v>
      </c>
      <c r="BT26" s="2634" t="s">
        <v>153</v>
      </c>
      <c r="BU26" s="2634">
        <v>0.85427017210005329</v>
      </c>
      <c r="BV26" s="2634">
        <v>8.2978980075522638E-2</v>
      </c>
      <c r="BW26" s="2634">
        <v>0.93724915217557592</v>
      </c>
      <c r="BX26" s="2634">
        <v>6.2750847824424E-2</v>
      </c>
      <c r="BY26" s="2634" t="s">
        <v>153</v>
      </c>
      <c r="BZ26" s="2634" t="s">
        <v>153</v>
      </c>
    </row>
    <row r="27" spans="1:78" ht="14.4" x14ac:dyDescent="0.3">
      <c r="A27" s="2512" t="s">
        <v>119</v>
      </c>
      <c r="B27" s="92" t="s">
        <v>153</v>
      </c>
      <c r="C27" s="93">
        <v>0</v>
      </c>
      <c r="D27" s="137" t="s">
        <v>153</v>
      </c>
      <c r="E27" s="299">
        <v>0</v>
      </c>
      <c r="F27" s="144"/>
      <c r="G27" s="126">
        <v>75328.816967203165</v>
      </c>
      <c r="H27" s="2108"/>
      <c r="I27" s="126">
        <v>6791.7757247591962</v>
      </c>
      <c r="J27" s="2111"/>
      <c r="K27" s="127">
        <v>82120.592691962374</v>
      </c>
      <c r="L27" s="301">
        <v>82120.592691962374</v>
      </c>
      <c r="M27" s="92" t="s">
        <v>153</v>
      </c>
      <c r="N27" s="2519" t="s">
        <v>153</v>
      </c>
      <c r="O27" s="2519" t="s">
        <v>153</v>
      </c>
      <c r="P27" s="2519" t="s">
        <v>153</v>
      </c>
      <c r="Q27" s="2519" t="s">
        <v>153</v>
      </c>
      <c r="R27" s="129" t="s">
        <v>153</v>
      </c>
      <c r="S27" s="2517" t="s">
        <v>153</v>
      </c>
      <c r="T27" s="132">
        <v>6794.2712130006366</v>
      </c>
      <c r="U27" s="2109">
        <v>963.3491381519807</v>
      </c>
      <c r="V27" s="2112">
        <v>7286.306473547198</v>
      </c>
      <c r="W27" s="2112">
        <v>8574.518663719602</v>
      </c>
      <c r="X27" s="2112">
        <v>3286.366730286044</v>
      </c>
      <c r="Y27" s="2109">
        <v>24020.637412485976</v>
      </c>
      <c r="Z27" s="2507">
        <v>23670.304551356927</v>
      </c>
      <c r="AA27" s="2507" t="s">
        <v>153</v>
      </c>
      <c r="AB27" s="2509">
        <v>17366.944416833878</v>
      </c>
      <c r="AC27" s="133" t="s">
        <v>153</v>
      </c>
      <c r="AD27" s="115">
        <v>33558.505214357559</v>
      </c>
      <c r="AE27" s="134">
        <v>4612.6679267370773</v>
      </c>
      <c r="AF27" s="307">
        <v>2912.1705826769216</v>
      </c>
      <c r="AG27" s="2541" t="s">
        <v>153</v>
      </c>
      <c r="AH27" s="2547" t="s">
        <v>153</v>
      </c>
      <c r="AI27" s="309">
        <v>0</v>
      </c>
      <c r="AJ27" s="92" t="s">
        <v>153</v>
      </c>
      <c r="AK27" s="2519">
        <v>0</v>
      </c>
      <c r="AL27" s="2548">
        <v>41037.248968190805</v>
      </c>
      <c r="AM27" s="2549">
        <v>41037.248968190805</v>
      </c>
      <c r="AN27" s="2550">
        <v>38171.173141094638</v>
      </c>
      <c r="AO27" s="2551" t="s">
        <v>153</v>
      </c>
      <c r="AP27" s="134">
        <v>2912.1705826769216</v>
      </c>
      <c r="AQ27" s="2521" t="s">
        <v>153</v>
      </c>
      <c r="AR27" s="2522">
        <v>0</v>
      </c>
      <c r="AS27" s="2474" t="s">
        <v>153</v>
      </c>
      <c r="AT27" s="2523">
        <v>0</v>
      </c>
      <c r="AU27" s="2524">
        <v>0.49971934715721261</v>
      </c>
      <c r="AV27" s="2525">
        <v>0.49971934715721261</v>
      </c>
      <c r="AW27" s="2526">
        <v>0.46481852955294944</v>
      </c>
      <c r="AX27" s="2527" t="s">
        <v>153</v>
      </c>
      <c r="AY27" s="2528">
        <v>3.5462123289837784E-2</v>
      </c>
      <c r="AZ27" s="512">
        <v>0</v>
      </c>
      <c r="BB27" s="2629" t="s">
        <v>119</v>
      </c>
      <c r="BC27" s="2630">
        <v>82120.592691962374</v>
      </c>
      <c r="BD27" s="2631">
        <v>0</v>
      </c>
      <c r="BE27" s="2630" t="s">
        <v>153</v>
      </c>
      <c r="BF27" s="2630">
        <v>0</v>
      </c>
      <c r="BG27" s="2630" t="s">
        <v>153</v>
      </c>
      <c r="BH27" s="2630">
        <v>0</v>
      </c>
      <c r="BI27" s="2630">
        <v>41037.248968190805</v>
      </c>
      <c r="BJ27" s="2630">
        <v>41037.248968190805</v>
      </c>
      <c r="BK27" s="2630">
        <v>38171.173141094638</v>
      </c>
      <c r="BL27" s="2630" t="s">
        <v>153</v>
      </c>
      <c r="BM27" s="2630">
        <v>2912.1705826769216</v>
      </c>
      <c r="BO27" s="2629" t="s">
        <v>119</v>
      </c>
      <c r="BP27" s="2630">
        <v>82120.592691962374</v>
      </c>
      <c r="BQ27" s="2634">
        <v>0</v>
      </c>
      <c r="BR27" s="2634" t="s">
        <v>153</v>
      </c>
      <c r="BS27" s="2634">
        <v>0</v>
      </c>
      <c r="BT27" s="2634" t="s">
        <v>153</v>
      </c>
      <c r="BU27" s="2634">
        <v>0</v>
      </c>
      <c r="BV27" s="2634">
        <v>0.49971934715721261</v>
      </c>
      <c r="BW27" s="2634">
        <v>0.49971934715721261</v>
      </c>
      <c r="BX27" s="2634">
        <v>0.46481852955294944</v>
      </c>
      <c r="BY27" s="2634" t="s">
        <v>153</v>
      </c>
      <c r="BZ27" s="2634">
        <v>3.5462123289837784E-2</v>
      </c>
    </row>
    <row r="28" spans="1:78" ht="14.4" x14ac:dyDescent="0.3">
      <c r="A28" s="154" t="s">
        <v>82</v>
      </c>
      <c r="B28" s="92">
        <v>100023.64013730689</v>
      </c>
      <c r="C28" s="93">
        <v>0.93161538436042679</v>
      </c>
      <c r="D28" s="137">
        <v>100023.64013730689</v>
      </c>
      <c r="E28" s="299">
        <v>0.93161538436042679</v>
      </c>
      <c r="F28" s="144"/>
      <c r="G28" s="126">
        <v>7245.884918209199</v>
      </c>
      <c r="H28" s="2108"/>
      <c r="I28" s="126">
        <v>96.284715836280881</v>
      </c>
      <c r="J28" s="2111"/>
      <c r="K28" s="127">
        <v>7342.1696340454801</v>
      </c>
      <c r="L28" s="301">
        <v>107365.80977135236</v>
      </c>
      <c r="M28" s="92" t="s">
        <v>153</v>
      </c>
      <c r="N28" s="2519">
        <v>90597.249802980165</v>
      </c>
      <c r="O28" s="2519" t="s">
        <v>153</v>
      </c>
      <c r="P28" s="2519">
        <v>668.92679999999996</v>
      </c>
      <c r="Q28" s="2519">
        <v>8757.4635343267255</v>
      </c>
      <c r="R28" s="129" t="s">
        <v>153</v>
      </c>
      <c r="S28" s="2517" t="s">
        <v>153</v>
      </c>
      <c r="T28" s="132" t="s">
        <v>153</v>
      </c>
      <c r="U28" s="2109" t="s">
        <v>153</v>
      </c>
      <c r="V28" s="2112" t="s">
        <v>153</v>
      </c>
      <c r="W28" s="2112">
        <v>0</v>
      </c>
      <c r="X28" s="2112">
        <v>448.6462716864209</v>
      </c>
      <c r="Y28" s="2109">
        <v>4464.5080770696677</v>
      </c>
      <c r="Z28" s="2507">
        <v>1141.9547712301589</v>
      </c>
      <c r="AA28" s="2507">
        <v>668.92679999999996</v>
      </c>
      <c r="AB28" s="2509">
        <v>448.6462716864209</v>
      </c>
      <c r="AC28" s="133" t="s">
        <v>153</v>
      </c>
      <c r="AD28" s="115">
        <v>13221.971611396391</v>
      </c>
      <c r="AE28" s="134">
        <v>450.81639298697922</v>
      </c>
      <c r="AF28" s="307">
        <v>836.24412107225351</v>
      </c>
      <c r="AG28" s="2541" t="s">
        <v>153</v>
      </c>
      <c r="AH28" s="2547" t="s">
        <v>153</v>
      </c>
      <c r="AI28" s="309">
        <v>90597.249802980165</v>
      </c>
      <c r="AJ28" s="92" t="s">
        <v>153</v>
      </c>
      <c r="AK28" s="2519">
        <v>90597.249802980165</v>
      </c>
      <c r="AL28" s="2548">
        <v>2259.5278429165796</v>
      </c>
      <c r="AM28" s="2549">
        <v>92856.777645896742</v>
      </c>
      <c r="AN28" s="2550">
        <v>13672.78800438337</v>
      </c>
      <c r="AO28" s="2551" t="s">
        <v>153</v>
      </c>
      <c r="AP28" s="134">
        <v>836.24412107225351</v>
      </c>
      <c r="AQ28" s="2521" t="s">
        <v>153</v>
      </c>
      <c r="AR28" s="2522">
        <v>0.84381843713485005</v>
      </c>
      <c r="AS28" s="2474" t="s">
        <v>153</v>
      </c>
      <c r="AT28" s="2523">
        <v>0.84381843713485005</v>
      </c>
      <c r="AU28" s="2524">
        <v>2.1045133899967781E-2</v>
      </c>
      <c r="AV28" s="2525">
        <v>0.86486357103481781</v>
      </c>
      <c r="AW28" s="2526">
        <v>0.12734769135072999</v>
      </c>
      <c r="AX28" s="2527" t="s">
        <v>153</v>
      </c>
      <c r="AY28" s="2528">
        <v>7.788737614452217E-3</v>
      </c>
      <c r="AZ28" s="512">
        <v>0</v>
      </c>
      <c r="BB28" s="2628" t="s">
        <v>1473</v>
      </c>
      <c r="BC28" s="2632">
        <v>987747.99586172914</v>
      </c>
      <c r="BD28" s="2633">
        <v>0.44665713297349968</v>
      </c>
      <c r="BE28" s="2632">
        <v>8142.6950560544283</v>
      </c>
      <c r="BF28" s="2632">
        <v>328744.44885421731</v>
      </c>
      <c r="BG28" s="2632">
        <v>78276.774649866056</v>
      </c>
      <c r="BH28" s="2632">
        <v>415163.9185601378</v>
      </c>
      <c r="BI28" s="2632">
        <v>271068.84118871798</v>
      </c>
      <c r="BJ28" s="2632">
        <v>686232.75974885584</v>
      </c>
      <c r="BK28" s="2632">
        <v>192731.89560028957</v>
      </c>
      <c r="BL28" s="2632">
        <v>83373.207633655999</v>
      </c>
      <c r="BM28" s="2632">
        <v>25410.13287892774</v>
      </c>
      <c r="BO28" s="2628" t="s">
        <v>1473</v>
      </c>
      <c r="BP28" s="2632">
        <v>987747.99586172914</v>
      </c>
      <c r="BQ28" s="2635">
        <v>0.44665713297349968</v>
      </c>
      <c r="BR28" s="2635">
        <v>8.2436968641486277E-3</v>
      </c>
      <c r="BS28" s="2635">
        <v>0.33282218767491878</v>
      </c>
      <c r="BT28" s="2635">
        <v>7.9247718018983157E-2</v>
      </c>
      <c r="BU28" s="2635">
        <v>0.42031360255805056</v>
      </c>
      <c r="BV28" s="2635">
        <v>0.27443117305667891</v>
      </c>
      <c r="BW28" s="2635">
        <v>0.69474477561472958</v>
      </c>
      <c r="BX28" s="2635">
        <v>0.19512253774015181</v>
      </c>
      <c r="BY28" s="2635">
        <v>8.4407367043979387E-2</v>
      </c>
      <c r="BZ28" s="2635">
        <v>2.5725319601139239E-2</v>
      </c>
    </row>
    <row r="29" spans="1:78" ht="14.4" x14ac:dyDescent="0.3">
      <c r="A29" s="155" t="s">
        <v>20</v>
      </c>
      <c r="B29" s="92">
        <v>15018.40849</v>
      </c>
      <c r="C29" s="93">
        <v>0.34282453941233382</v>
      </c>
      <c r="D29" s="137">
        <v>15018.40849</v>
      </c>
      <c r="E29" s="299">
        <v>0.34282453941233382</v>
      </c>
      <c r="F29" s="144"/>
      <c r="G29" s="126">
        <v>25254.733025063739</v>
      </c>
      <c r="H29" s="2108"/>
      <c r="I29" s="126">
        <v>3534.7157513513062</v>
      </c>
      <c r="J29" s="2111"/>
      <c r="K29" s="127">
        <v>28789.448776415047</v>
      </c>
      <c r="L29" s="301">
        <v>43807.857266415049</v>
      </c>
      <c r="M29" s="92" t="s">
        <v>153</v>
      </c>
      <c r="N29" s="2519" t="s">
        <v>153</v>
      </c>
      <c r="O29" s="2519">
        <v>14666.184374143275</v>
      </c>
      <c r="P29" s="2519">
        <v>165.45864980000002</v>
      </c>
      <c r="Q29" s="2519">
        <v>186.76546605672462</v>
      </c>
      <c r="R29" s="129" t="s">
        <v>153</v>
      </c>
      <c r="S29" s="2517" t="s">
        <v>153</v>
      </c>
      <c r="T29" s="132">
        <v>4298.3025534659882</v>
      </c>
      <c r="U29" s="2109">
        <v>509.37192212515811</v>
      </c>
      <c r="V29" s="2112">
        <v>2002.5559062793554</v>
      </c>
      <c r="W29" s="2112">
        <v>0</v>
      </c>
      <c r="X29" s="2112" t="s">
        <v>153</v>
      </c>
      <c r="Y29" s="2109">
        <v>2891.5598111556333</v>
      </c>
      <c r="Z29" s="2507">
        <v>9802.5188352148471</v>
      </c>
      <c r="AA29" s="2507">
        <v>165.45864980000002</v>
      </c>
      <c r="AB29" s="2509">
        <v>6300.8584597453437</v>
      </c>
      <c r="AC29" s="133" t="s">
        <v>153</v>
      </c>
      <c r="AD29" s="115">
        <v>3587.6971993375164</v>
      </c>
      <c r="AE29" s="134">
        <v>1503.668418189754</v>
      </c>
      <c r="AF29" s="307">
        <v>619.4490541171499</v>
      </c>
      <c r="AG29" s="2541">
        <v>7162.0222758671589</v>
      </c>
      <c r="AH29" s="2547" t="s">
        <v>153</v>
      </c>
      <c r="AI29" s="309">
        <v>0</v>
      </c>
      <c r="AJ29" s="92">
        <v>14666.184374143275</v>
      </c>
      <c r="AK29" s="2519">
        <v>14666.184374143275</v>
      </c>
      <c r="AL29" s="2548">
        <v>16268.835944760191</v>
      </c>
      <c r="AM29" s="2549">
        <v>30935.020318903466</v>
      </c>
      <c r="AN29" s="2550">
        <v>5091.3656175272699</v>
      </c>
      <c r="AO29" s="2551">
        <v>7162.0222758671589</v>
      </c>
      <c r="AP29" s="134">
        <v>619.4490541171499</v>
      </c>
      <c r="AQ29" s="2521" t="s">
        <v>153</v>
      </c>
      <c r="AR29" s="2522">
        <v>0</v>
      </c>
      <c r="AS29" s="2474">
        <v>0.33478433526094853</v>
      </c>
      <c r="AT29" s="2523">
        <v>0.33478433526094853</v>
      </c>
      <c r="AU29" s="2524">
        <v>0.37136799103919121</v>
      </c>
      <c r="AV29" s="2525">
        <v>0.70615232630013969</v>
      </c>
      <c r="AW29" s="2526">
        <v>0.11622037541266657</v>
      </c>
      <c r="AX29" s="2527">
        <v>0.16348716241270872</v>
      </c>
      <c r="AY29" s="2528">
        <v>1.414013587448491E-2</v>
      </c>
      <c r="AZ29" s="512">
        <v>0</v>
      </c>
      <c r="BB29" s="2629" t="s">
        <v>39</v>
      </c>
      <c r="BC29" s="2630">
        <v>107365.80977135236</v>
      </c>
      <c r="BD29" s="2631">
        <v>0.93161538436042679</v>
      </c>
      <c r="BE29" s="2630">
        <v>0</v>
      </c>
      <c r="BF29" s="2630">
        <v>90597.249802980165</v>
      </c>
      <c r="BG29" s="2630">
        <v>0</v>
      </c>
      <c r="BH29" s="2630">
        <v>90597.249802980165</v>
      </c>
      <c r="BI29" s="2630">
        <v>2259.5278429165796</v>
      </c>
      <c r="BJ29" s="2630">
        <v>92856.777645896742</v>
      </c>
      <c r="BK29" s="2630">
        <v>13672.78800438337</v>
      </c>
      <c r="BL29" s="2630">
        <v>0</v>
      </c>
      <c r="BM29" s="2630">
        <v>836.24412107225351</v>
      </c>
      <c r="BO29" s="2629" t="s">
        <v>39</v>
      </c>
      <c r="BP29" s="2630">
        <v>107365.80977135236</v>
      </c>
      <c r="BQ29" s="2634">
        <v>0.93161538436042679</v>
      </c>
      <c r="BR29" s="2634">
        <v>0</v>
      </c>
      <c r="BS29" s="2634">
        <v>9.1721016071454026E-2</v>
      </c>
      <c r="BT29" s="2634">
        <v>0</v>
      </c>
      <c r="BU29" s="2634">
        <v>9.1721016071454026E-2</v>
      </c>
      <c r="BV29" s="2634">
        <v>2.2875549759484217E-3</v>
      </c>
      <c r="BW29" s="2634">
        <v>9.4008571047402442E-2</v>
      </c>
      <c r="BX29" s="2634">
        <v>1.3842384962224077E-2</v>
      </c>
      <c r="BY29" s="2634">
        <v>0</v>
      </c>
      <c r="BZ29" s="2634">
        <v>8.4661687452243224E-4</v>
      </c>
    </row>
    <row r="30" spans="1:78" ht="14.4" x14ac:dyDescent="0.3">
      <c r="A30" s="155" t="s">
        <v>24</v>
      </c>
      <c r="B30" s="92">
        <v>65024.369250000011</v>
      </c>
      <c r="C30" s="93">
        <v>0.24847046775925644</v>
      </c>
      <c r="D30" s="137">
        <v>65024.369250000011</v>
      </c>
      <c r="E30" s="299">
        <v>0.24847046775925644</v>
      </c>
      <c r="F30" s="144"/>
      <c r="G30" s="126">
        <v>175722.98529077802</v>
      </c>
      <c r="H30" s="2108"/>
      <c r="I30" s="126">
        <v>20951.228137475198</v>
      </c>
      <c r="J30" s="2111"/>
      <c r="K30" s="127">
        <v>196674.21342825319</v>
      </c>
      <c r="L30" s="301">
        <v>261698.58267825318</v>
      </c>
      <c r="M30" s="92" t="s">
        <v>153</v>
      </c>
      <c r="N30" s="2519" t="s">
        <v>153</v>
      </c>
      <c r="O30" s="2519">
        <v>63610.590275722789</v>
      </c>
      <c r="P30" s="2519">
        <v>1008.3370650000002</v>
      </c>
      <c r="Q30" s="2519">
        <v>405.44190927721871</v>
      </c>
      <c r="R30" s="129" t="s">
        <v>153</v>
      </c>
      <c r="S30" s="2517" t="s">
        <v>153</v>
      </c>
      <c r="T30" s="132">
        <v>22661.174025319098</v>
      </c>
      <c r="U30" s="2109">
        <v>18443.470747419044</v>
      </c>
      <c r="V30" s="2112">
        <v>9724.1498692458299</v>
      </c>
      <c r="W30" s="2112">
        <v>0</v>
      </c>
      <c r="X30" s="2112" t="s">
        <v>153</v>
      </c>
      <c r="Y30" s="2109">
        <v>1232.7866962774206</v>
      </c>
      <c r="Z30" s="2507">
        <v>45894.002869542048</v>
      </c>
      <c r="AA30" s="2507">
        <v>1008.3370650000002</v>
      </c>
      <c r="AB30" s="2509">
        <v>32385.323894564928</v>
      </c>
      <c r="AC30" s="133" t="s">
        <v>153</v>
      </c>
      <c r="AD30" s="115">
        <v>20081.699352973686</v>
      </c>
      <c r="AE30" s="134">
        <v>11701.093802430345</v>
      </c>
      <c r="AF30" s="307">
        <v>11172.010693886577</v>
      </c>
      <c r="AG30" s="2541">
        <v>75845.524724132832</v>
      </c>
      <c r="AH30" s="2547" t="s">
        <v>153</v>
      </c>
      <c r="AI30" s="309">
        <v>0</v>
      </c>
      <c r="AJ30" s="92">
        <v>63610.590275722789</v>
      </c>
      <c r="AK30" s="2519">
        <v>63610.590275722789</v>
      </c>
      <c r="AL30" s="2548">
        <v>79287.663829106983</v>
      </c>
      <c r="AM30" s="2549">
        <v>142898.25410482977</v>
      </c>
      <c r="AN30" s="2550">
        <v>31782.793155404033</v>
      </c>
      <c r="AO30" s="2551">
        <v>75845.524724132832</v>
      </c>
      <c r="AP30" s="134">
        <v>11172.010693886577</v>
      </c>
      <c r="AQ30" s="2521" t="s">
        <v>153</v>
      </c>
      <c r="AR30" s="2522">
        <v>0</v>
      </c>
      <c r="AS30" s="2474">
        <v>0.2430681497191339</v>
      </c>
      <c r="AT30" s="2523">
        <v>0.2430681497191339</v>
      </c>
      <c r="AU30" s="2524">
        <v>0.3029732259826094</v>
      </c>
      <c r="AV30" s="2525">
        <v>0.54604137570174327</v>
      </c>
      <c r="AW30" s="2526">
        <v>0.12144809050983502</v>
      </c>
      <c r="AX30" s="2527">
        <v>0.28982015855004284</v>
      </c>
      <c r="AY30" s="2528">
        <v>4.2690375238378993E-2</v>
      </c>
      <c r="AZ30" s="512">
        <v>0</v>
      </c>
      <c r="BB30" s="2629" t="s">
        <v>1474</v>
      </c>
      <c r="BC30" s="2630">
        <v>1095113.8056330816</v>
      </c>
      <c r="BD30" s="2631">
        <v>0.4942028173559152</v>
      </c>
      <c r="BE30" s="2630">
        <v>8142.6950560544283</v>
      </c>
      <c r="BF30" s="2630">
        <v>419341.69865719747</v>
      </c>
      <c r="BG30" s="2630">
        <v>78276.774649866056</v>
      </c>
      <c r="BH30" s="2630">
        <v>505761.16836311796</v>
      </c>
      <c r="BI30" s="2630">
        <v>273328.36903163459</v>
      </c>
      <c r="BJ30" s="2630">
        <v>779089.53739475249</v>
      </c>
      <c r="BK30" s="2630">
        <v>206404.68360467296</v>
      </c>
      <c r="BL30" s="2630">
        <v>83373.207633655999</v>
      </c>
      <c r="BM30" s="2630">
        <v>26246.376999999993</v>
      </c>
      <c r="BO30" s="2629" t="s">
        <v>1474</v>
      </c>
      <c r="BP30" s="2630">
        <v>1095113.8056330816</v>
      </c>
      <c r="BQ30" s="2634">
        <v>0.4942028173559152</v>
      </c>
      <c r="BR30" s="2634">
        <v>7.435478407969813E-3</v>
      </c>
      <c r="BS30" s="2634">
        <v>0.38292065765235922</v>
      </c>
      <c r="BT30" s="2634">
        <v>7.1478210070244269E-2</v>
      </c>
      <c r="BU30" s="2634">
        <v>0.46183434613057328</v>
      </c>
      <c r="BV30" s="2634">
        <v>0.24958900858128108</v>
      </c>
      <c r="BW30" s="2634">
        <v>0.71142335471185436</v>
      </c>
      <c r="BX30" s="2634">
        <v>0.18847783905468263</v>
      </c>
      <c r="BY30" s="2634">
        <v>7.6132003089357664E-2</v>
      </c>
      <c r="BZ30" s="2634">
        <v>2.396680314410524E-2</v>
      </c>
    </row>
    <row r="31" spans="1:78" ht="14.4" x14ac:dyDescent="0.3">
      <c r="A31" s="155" t="s">
        <v>238</v>
      </c>
      <c r="B31" s="92">
        <v>54288.689760000001</v>
      </c>
      <c r="C31" s="93">
        <v>0.9510484273690748</v>
      </c>
      <c r="D31" s="137" t="s">
        <v>153</v>
      </c>
      <c r="E31" s="299">
        <v>0</v>
      </c>
      <c r="F31" s="144"/>
      <c r="G31" s="126">
        <v>2794.3022283060827</v>
      </c>
      <c r="H31" s="2108"/>
      <c r="I31" s="126" t="s">
        <v>153</v>
      </c>
      <c r="J31" s="2111"/>
      <c r="K31" s="127">
        <v>2794.3022283060827</v>
      </c>
      <c r="L31" s="301">
        <v>57082.991988306087</v>
      </c>
      <c r="M31" s="92" t="s">
        <v>153</v>
      </c>
      <c r="N31" s="2519">
        <v>51574.255272000002</v>
      </c>
      <c r="O31" s="2519" t="s">
        <v>153</v>
      </c>
      <c r="P31" s="2519">
        <v>2714.4344880000003</v>
      </c>
      <c r="Q31" s="2519" t="s">
        <v>153</v>
      </c>
      <c r="R31" s="129" t="s">
        <v>153</v>
      </c>
      <c r="S31" s="2517" t="s">
        <v>153</v>
      </c>
      <c r="T31" s="132" t="s">
        <v>153</v>
      </c>
      <c r="U31" s="2109" t="s">
        <v>153</v>
      </c>
      <c r="V31" s="2112" t="s">
        <v>153</v>
      </c>
      <c r="W31" s="2112">
        <v>0</v>
      </c>
      <c r="X31" s="2112" t="s">
        <v>153</v>
      </c>
      <c r="Y31" s="2109">
        <v>2014.9210289928742</v>
      </c>
      <c r="Z31" s="2507" t="s">
        <v>153</v>
      </c>
      <c r="AA31" s="2507">
        <v>2714.4344880000003</v>
      </c>
      <c r="AB31" s="2509" t="s">
        <v>153</v>
      </c>
      <c r="AC31" s="133" t="s">
        <v>153</v>
      </c>
      <c r="AD31" s="115">
        <v>2014.9210289928742</v>
      </c>
      <c r="AE31" s="134">
        <v>185.6671021132089</v>
      </c>
      <c r="AF31" s="307">
        <v>593.71409719999986</v>
      </c>
      <c r="AG31" s="2541" t="s">
        <v>153</v>
      </c>
      <c r="AH31" s="2547" t="s">
        <v>153</v>
      </c>
      <c r="AI31" s="309">
        <v>51574.255272000002</v>
      </c>
      <c r="AJ31" s="92" t="s">
        <v>153</v>
      </c>
      <c r="AK31" s="2519">
        <v>51574.255272000002</v>
      </c>
      <c r="AL31" s="2548">
        <v>2714.4344880000003</v>
      </c>
      <c r="AM31" s="2549">
        <v>54288.689760000001</v>
      </c>
      <c r="AN31" s="2550">
        <v>2200.588131106083</v>
      </c>
      <c r="AO31" s="2551" t="s">
        <v>153</v>
      </c>
      <c r="AP31" s="134">
        <v>593.71409719999986</v>
      </c>
      <c r="AQ31" s="2521" t="s">
        <v>153</v>
      </c>
      <c r="AR31" s="2522">
        <v>0.90349600600062108</v>
      </c>
      <c r="AS31" s="2474" t="s">
        <v>153</v>
      </c>
      <c r="AT31" s="2523">
        <v>0.90349600600062108</v>
      </c>
      <c r="AU31" s="2524">
        <v>4.7552421368453744E-2</v>
      </c>
      <c r="AV31" s="2525">
        <v>0.9510484273690748</v>
      </c>
      <c r="AW31" s="2526">
        <v>3.8550679536154854E-2</v>
      </c>
      <c r="AX31" s="2527" t="s">
        <v>153</v>
      </c>
      <c r="AY31" s="2528">
        <v>1.0400893094770278E-2</v>
      </c>
      <c r="AZ31" s="512">
        <v>0</v>
      </c>
    </row>
    <row r="32" spans="1:78" ht="14.4" x14ac:dyDescent="0.3">
      <c r="A32" s="155" t="s">
        <v>239</v>
      </c>
      <c r="B32" s="92">
        <v>9885.7033995756901</v>
      </c>
      <c r="C32" s="93">
        <v>1</v>
      </c>
      <c r="D32" s="137" t="s">
        <v>153</v>
      </c>
      <c r="E32" s="299">
        <v>0</v>
      </c>
      <c r="F32" s="144"/>
      <c r="G32" s="126" t="s">
        <v>153</v>
      </c>
      <c r="H32" s="2108"/>
      <c r="I32" s="126" t="s">
        <v>153</v>
      </c>
      <c r="J32" s="2111"/>
      <c r="K32" s="127" t="s">
        <v>153</v>
      </c>
      <c r="L32" s="301">
        <v>9885.7033995756901</v>
      </c>
      <c r="M32" s="92" t="s">
        <v>153</v>
      </c>
      <c r="N32" s="2519" t="s">
        <v>153</v>
      </c>
      <c r="O32" s="2519" t="s">
        <v>153</v>
      </c>
      <c r="P32" s="2519" t="s">
        <v>153</v>
      </c>
      <c r="Q32" s="2519" t="s">
        <v>153</v>
      </c>
      <c r="R32" s="129" t="s">
        <v>153</v>
      </c>
      <c r="S32" s="2517" t="s">
        <v>153</v>
      </c>
      <c r="T32" s="132" t="s">
        <v>153</v>
      </c>
      <c r="U32" s="2109" t="s">
        <v>153</v>
      </c>
      <c r="V32" s="2112" t="s">
        <v>153</v>
      </c>
      <c r="W32" s="2112">
        <v>0</v>
      </c>
      <c r="X32" s="2112" t="s">
        <v>153</v>
      </c>
      <c r="Y32" s="2109">
        <v>0</v>
      </c>
      <c r="Z32" s="2507" t="s">
        <v>153</v>
      </c>
      <c r="AA32" s="2507" t="s">
        <v>153</v>
      </c>
      <c r="AB32" s="2509" t="s">
        <v>153</v>
      </c>
      <c r="AC32" s="133" t="s">
        <v>153</v>
      </c>
      <c r="AD32" s="115" t="s">
        <v>153</v>
      </c>
      <c r="AE32" s="134" t="s">
        <v>153</v>
      </c>
      <c r="AF32" s="307" t="s">
        <v>153</v>
      </c>
      <c r="AG32" s="2541" t="s">
        <v>153</v>
      </c>
      <c r="AH32" s="2547" t="s">
        <v>153</v>
      </c>
      <c r="AI32" s="309">
        <v>0</v>
      </c>
      <c r="AJ32" s="92" t="s">
        <v>153</v>
      </c>
      <c r="AK32" s="2519">
        <v>0</v>
      </c>
      <c r="AL32" s="2548">
        <v>0</v>
      </c>
      <c r="AM32" s="2549">
        <v>0</v>
      </c>
      <c r="AN32" s="2550">
        <v>0</v>
      </c>
      <c r="AO32" s="2551" t="s">
        <v>153</v>
      </c>
      <c r="AP32" s="134" t="s">
        <v>153</v>
      </c>
      <c r="AQ32" s="2521" t="s">
        <v>153</v>
      </c>
      <c r="AR32" s="2522">
        <v>0</v>
      </c>
      <c r="AS32" s="2474" t="s">
        <v>153</v>
      </c>
      <c r="AT32" s="2523">
        <v>0</v>
      </c>
      <c r="AU32" s="2524">
        <v>0</v>
      </c>
      <c r="AV32" s="2525">
        <v>0</v>
      </c>
      <c r="AW32" s="2526">
        <v>0</v>
      </c>
      <c r="AX32" s="2527" t="s">
        <v>153</v>
      </c>
      <c r="AY32" s="2528" t="s">
        <v>153</v>
      </c>
      <c r="AZ32" s="512">
        <v>9885.7033995756901</v>
      </c>
    </row>
    <row r="33" spans="1:52" ht="27" x14ac:dyDescent="0.3">
      <c r="A33" s="155" t="s">
        <v>240</v>
      </c>
      <c r="B33" s="92">
        <v>3732.4206068927501</v>
      </c>
      <c r="C33" s="93">
        <v>1</v>
      </c>
      <c r="D33" s="137" t="s">
        <v>153</v>
      </c>
      <c r="E33" s="299">
        <v>0</v>
      </c>
      <c r="F33" s="144"/>
      <c r="G33" s="126" t="s">
        <v>153</v>
      </c>
      <c r="H33" s="2108"/>
      <c r="I33" s="126" t="s">
        <v>153</v>
      </c>
      <c r="J33" s="2111"/>
      <c r="K33" s="127" t="s">
        <v>153</v>
      </c>
      <c r="L33" s="301">
        <v>3732.4206068927501</v>
      </c>
      <c r="M33" s="92" t="s">
        <v>153</v>
      </c>
      <c r="N33" s="2519" t="s">
        <v>153</v>
      </c>
      <c r="O33" s="2519" t="s">
        <v>153</v>
      </c>
      <c r="P33" s="2519" t="s">
        <v>153</v>
      </c>
      <c r="Q33" s="2519" t="s">
        <v>153</v>
      </c>
      <c r="R33" s="129" t="s">
        <v>153</v>
      </c>
      <c r="S33" s="2517" t="s">
        <v>153</v>
      </c>
      <c r="T33" s="132" t="s">
        <v>153</v>
      </c>
      <c r="U33" s="2109" t="s">
        <v>153</v>
      </c>
      <c r="V33" s="2112" t="s">
        <v>153</v>
      </c>
      <c r="W33" s="2112">
        <v>0</v>
      </c>
      <c r="X33" s="2112" t="s">
        <v>153</v>
      </c>
      <c r="Y33" s="2109">
        <v>0</v>
      </c>
      <c r="Z33" s="2507" t="s">
        <v>153</v>
      </c>
      <c r="AA33" s="2507" t="s">
        <v>153</v>
      </c>
      <c r="AB33" s="2509" t="s">
        <v>153</v>
      </c>
      <c r="AC33" s="133" t="s">
        <v>153</v>
      </c>
      <c r="AD33" s="115" t="s">
        <v>153</v>
      </c>
      <c r="AE33" s="134" t="s">
        <v>153</v>
      </c>
      <c r="AF33" s="307" t="s">
        <v>153</v>
      </c>
      <c r="AG33" s="2541" t="s">
        <v>153</v>
      </c>
      <c r="AH33" s="2547" t="s">
        <v>153</v>
      </c>
      <c r="AI33" s="309">
        <v>0</v>
      </c>
      <c r="AJ33" s="92" t="s">
        <v>153</v>
      </c>
      <c r="AK33" s="2519">
        <v>0</v>
      </c>
      <c r="AL33" s="2548">
        <v>0</v>
      </c>
      <c r="AM33" s="2549">
        <v>0</v>
      </c>
      <c r="AN33" s="2550">
        <v>0</v>
      </c>
      <c r="AO33" s="2551" t="s">
        <v>153</v>
      </c>
      <c r="AP33" s="134" t="s">
        <v>153</v>
      </c>
      <c r="AQ33" s="2521" t="s">
        <v>153</v>
      </c>
      <c r="AR33" s="2522">
        <v>0</v>
      </c>
      <c r="AS33" s="2474" t="s">
        <v>153</v>
      </c>
      <c r="AT33" s="2523">
        <v>0</v>
      </c>
      <c r="AU33" s="2524">
        <v>0</v>
      </c>
      <c r="AV33" s="2525">
        <v>0</v>
      </c>
      <c r="AW33" s="2526">
        <v>0</v>
      </c>
      <c r="AX33" s="2527" t="s">
        <v>153</v>
      </c>
      <c r="AY33" s="2528" t="s">
        <v>153</v>
      </c>
      <c r="AZ33" s="512">
        <v>3732.4206068927501</v>
      </c>
    </row>
    <row r="34" spans="1:52" ht="14.4" x14ac:dyDescent="0.3">
      <c r="A34" s="341" t="s">
        <v>241</v>
      </c>
      <c r="B34" s="92">
        <v>9312.6712640345195</v>
      </c>
      <c r="C34" s="93">
        <v>0.44282967123758998</v>
      </c>
      <c r="D34" s="137">
        <v>13603.931214330101</v>
      </c>
      <c r="E34" s="299">
        <v>0.64688468178256209</v>
      </c>
      <c r="F34" s="144"/>
      <c r="G34" s="126">
        <v>10769.211684811251</v>
      </c>
      <c r="H34" s="2108"/>
      <c r="I34" s="126">
        <v>948.03412515722721</v>
      </c>
      <c r="J34" s="2111"/>
      <c r="K34" s="127">
        <v>11717.245809968477</v>
      </c>
      <c r="L34" s="301">
        <v>21029.917074003002</v>
      </c>
      <c r="M34" s="92" t="s">
        <v>153</v>
      </c>
      <c r="N34" s="2519">
        <v>7399.0819179999999</v>
      </c>
      <c r="O34" s="2519" t="s">
        <v>153</v>
      </c>
      <c r="P34" s="2519" t="s">
        <v>153</v>
      </c>
      <c r="Q34" s="2519">
        <v>1913.5893460345242</v>
      </c>
      <c r="R34" s="129" t="s">
        <v>153</v>
      </c>
      <c r="S34" s="2517">
        <v>3300.0845479967279</v>
      </c>
      <c r="T34" s="132" t="s">
        <v>153</v>
      </c>
      <c r="U34" s="2109" t="s">
        <v>153</v>
      </c>
      <c r="V34" s="2112" t="s">
        <v>153</v>
      </c>
      <c r="W34" s="2109">
        <v>0</v>
      </c>
      <c r="X34" s="2112">
        <v>477.34103166397023</v>
      </c>
      <c r="Y34" s="2109">
        <v>4197.9294948793649</v>
      </c>
      <c r="Z34" s="2507" t="s">
        <v>153</v>
      </c>
      <c r="AA34" s="2507" t="s">
        <v>153</v>
      </c>
      <c r="AB34" s="2509" t="s">
        <v>153</v>
      </c>
      <c r="AC34" s="133">
        <v>2110.4591056028412</v>
      </c>
      <c r="AD34" s="115">
        <v>6588.8598725778584</v>
      </c>
      <c r="AE34" s="134">
        <v>740.12321982475828</v>
      </c>
      <c r="AF34" s="307">
        <v>891.30841000081602</v>
      </c>
      <c r="AG34" s="2541" t="s">
        <v>153</v>
      </c>
      <c r="AH34" s="2547" t="s">
        <v>153</v>
      </c>
      <c r="AI34" s="309">
        <v>10699.166465996728</v>
      </c>
      <c r="AJ34" s="92" t="s">
        <v>153</v>
      </c>
      <c r="AK34" s="2519">
        <v>10699.166465996728</v>
      </c>
      <c r="AL34" s="2548">
        <v>0</v>
      </c>
      <c r="AM34" s="2549">
        <v>10699.166465996728</v>
      </c>
      <c r="AN34" s="2550">
        <v>9439.4421980054576</v>
      </c>
      <c r="AO34" s="2551" t="s">
        <v>153</v>
      </c>
      <c r="AP34" s="134">
        <v>891.30841000081602</v>
      </c>
      <c r="AQ34" s="2521" t="s">
        <v>153</v>
      </c>
      <c r="AR34" s="2522">
        <v>0.50875932740709395</v>
      </c>
      <c r="AS34" s="2474" t="s">
        <v>153</v>
      </c>
      <c r="AT34" s="2523">
        <v>0.50875932740709395</v>
      </c>
      <c r="AU34" s="2524">
        <v>0</v>
      </c>
      <c r="AV34" s="2525">
        <v>0.50875932740709395</v>
      </c>
      <c r="AW34" s="2526">
        <v>0.44885779457848707</v>
      </c>
      <c r="AX34" s="2527" t="s">
        <v>153</v>
      </c>
      <c r="AY34" s="2528">
        <v>4.2382878014418972E-2</v>
      </c>
      <c r="AZ34" s="512">
        <v>0</v>
      </c>
    </row>
    <row r="35" spans="1:52" ht="14.4" x14ac:dyDescent="0.3">
      <c r="A35" s="155" t="s">
        <v>149</v>
      </c>
      <c r="B35" s="92">
        <v>35525.024727840522</v>
      </c>
      <c r="C35" s="93">
        <v>0.33356268111247966</v>
      </c>
      <c r="D35" s="137">
        <v>38461.324727840525</v>
      </c>
      <c r="E35" s="299">
        <v>0.36113310810173943</v>
      </c>
      <c r="F35" s="144"/>
      <c r="G35" s="126">
        <v>83685.857507700159</v>
      </c>
      <c r="H35" s="2108"/>
      <c r="I35" s="126">
        <v>2847.4227102520904</v>
      </c>
      <c r="J35" s="2111"/>
      <c r="K35" s="127">
        <v>70976.771604289446</v>
      </c>
      <c r="L35" s="301">
        <v>106501.79633212996</v>
      </c>
      <c r="M35" s="92" t="s">
        <v>153</v>
      </c>
      <c r="N35" s="2519">
        <v>34486.445029000002</v>
      </c>
      <c r="O35" s="2519" t="s">
        <v>153</v>
      </c>
      <c r="P35" s="2519">
        <v>514.13106871535012</v>
      </c>
      <c r="Q35" s="2519">
        <v>524.44863012517249</v>
      </c>
      <c r="R35" s="129" t="s">
        <v>153</v>
      </c>
      <c r="S35" s="2517">
        <v>2936.3</v>
      </c>
      <c r="T35" s="132" t="s">
        <v>153</v>
      </c>
      <c r="U35" s="2109" t="s">
        <v>153</v>
      </c>
      <c r="V35" s="2112">
        <v>7923.6519157294024</v>
      </c>
      <c r="W35" s="2473">
        <v>18655.163012270648</v>
      </c>
      <c r="X35" s="2112" t="s">
        <v>153</v>
      </c>
      <c r="Y35" s="2109">
        <v>13989.459439698305</v>
      </c>
      <c r="Z35" s="2507">
        <v>20857.477285784487</v>
      </c>
      <c r="AA35" s="2507">
        <v>514.13106871535012</v>
      </c>
      <c r="AB35" s="2509">
        <v>7923.6519157294024</v>
      </c>
      <c r="AC35" s="133" t="s">
        <v>153</v>
      </c>
      <c r="AD35" s="115">
        <v>33169.071082094131</v>
      </c>
      <c r="AE35" s="134">
        <v>3927.424654079402</v>
      </c>
      <c r="AF35" s="307">
        <v>2687.2952967271872</v>
      </c>
      <c r="AG35" s="2541" t="s">
        <v>153</v>
      </c>
      <c r="AH35" s="2547" t="s">
        <v>153</v>
      </c>
      <c r="AI35" s="309">
        <v>37422.745029000005</v>
      </c>
      <c r="AJ35" s="92" t="s">
        <v>153</v>
      </c>
      <c r="AK35" s="2519">
        <v>37422.745029000005</v>
      </c>
      <c r="AL35" s="2548">
        <v>29295.260270229239</v>
      </c>
      <c r="AM35" s="2549">
        <v>66718.005299229248</v>
      </c>
      <c r="AN35" s="2550">
        <v>37096.495736173536</v>
      </c>
      <c r="AO35" s="2551" t="s">
        <v>153</v>
      </c>
      <c r="AP35" s="134">
        <v>2687.2952967271872</v>
      </c>
      <c r="AQ35" s="2521" t="s">
        <v>153</v>
      </c>
      <c r="AR35" s="2522">
        <v>0.35138135052948527</v>
      </c>
      <c r="AS35" s="2474" t="s">
        <v>153</v>
      </c>
      <c r="AT35" s="2523">
        <v>0.35138135052948527</v>
      </c>
      <c r="AU35" s="2524">
        <v>0.27506822682005139</v>
      </c>
      <c r="AV35" s="2525">
        <v>0.62644957734953666</v>
      </c>
      <c r="AW35" s="2526">
        <v>0.34831802855687694</v>
      </c>
      <c r="AX35" s="2527" t="s">
        <v>153</v>
      </c>
      <c r="AY35" s="2528">
        <v>2.5232394093586488E-2</v>
      </c>
      <c r="AZ35" s="512">
        <v>0</v>
      </c>
    </row>
    <row r="36" spans="1:52" ht="14.4" x14ac:dyDescent="0.3">
      <c r="A36" s="155" t="s">
        <v>242</v>
      </c>
      <c r="B36" s="92">
        <v>208441.22934506822</v>
      </c>
      <c r="C36" s="93">
        <v>0.63415194614860704</v>
      </c>
      <c r="D36" s="137">
        <v>231726.35406362644</v>
      </c>
      <c r="E36" s="299">
        <v>0.70499353158246358</v>
      </c>
      <c r="F36" s="144"/>
      <c r="G36" s="126">
        <v>98868.091807195698</v>
      </c>
      <c r="H36" s="2108"/>
      <c r="I36" s="126">
        <v>21383.558544776675</v>
      </c>
      <c r="J36" s="2111"/>
      <c r="K36" s="127">
        <v>120251.65035197236</v>
      </c>
      <c r="L36" s="301">
        <v>328692.87969704054</v>
      </c>
      <c r="M36" s="92">
        <v>1687.5054303472225</v>
      </c>
      <c r="N36" s="2519">
        <v>188501.43396390587</v>
      </c>
      <c r="O36" s="2519" t="s">
        <v>153</v>
      </c>
      <c r="P36" s="2519">
        <v>6493.8352641245783</v>
      </c>
      <c r="Q36" s="2519">
        <v>11555.665078690516</v>
      </c>
      <c r="R36" s="129">
        <v>202.78960800000101</v>
      </c>
      <c r="S36" s="2517">
        <v>8482.2935414638596</v>
      </c>
      <c r="T36" s="132">
        <v>6418.2893534588438</v>
      </c>
      <c r="U36" s="2109">
        <v>760.60173616455472</v>
      </c>
      <c r="V36" s="2112">
        <v>12596.989435218708</v>
      </c>
      <c r="W36" s="2109">
        <v>14152.411725253087</v>
      </c>
      <c r="X36" s="2112">
        <v>2303.8843127652131</v>
      </c>
      <c r="Y36" s="2109">
        <v>31982.150804688594</v>
      </c>
      <c r="Z36" s="2507">
        <v>25344.163609845898</v>
      </c>
      <c r="AA36" s="2507">
        <v>6493.8352641245792</v>
      </c>
      <c r="AB36" s="2509">
        <v>21319.163101442766</v>
      </c>
      <c r="AC36" s="133">
        <v>5864.1559049072584</v>
      </c>
      <c r="AD36" s="115">
        <v>58450.829344796752</v>
      </c>
      <c r="AE36" s="134">
        <v>6980.4946073698084</v>
      </c>
      <c r="AF36" s="307">
        <v>5366.2153208365407</v>
      </c>
      <c r="AG36" s="2541">
        <v>202.78960800000101</v>
      </c>
      <c r="AH36" s="2547">
        <v>1687.5054303472225</v>
      </c>
      <c r="AI36" s="309">
        <v>196983.72750536972</v>
      </c>
      <c r="AJ36" s="92" t="s">
        <v>153</v>
      </c>
      <c r="AK36" s="2519">
        <v>198671.23293571695</v>
      </c>
      <c r="AL36" s="2548">
        <v>53157.161975413241</v>
      </c>
      <c r="AM36" s="2549">
        <v>251828.39491113019</v>
      </c>
      <c r="AN36" s="2550">
        <v>71295.47985707382</v>
      </c>
      <c r="AO36" s="2551">
        <v>202.78960800000101</v>
      </c>
      <c r="AP36" s="134">
        <v>5366.2153208365407</v>
      </c>
      <c r="AQ36" s="2521">
        <v>5.1339883964100861E-3</v>
      </c>
      <c r="AR36" s="2522">
        <v>0.59929417298887511</v>
      </c>
      <c r="AS36" s="2474" t="s">
        <v>153</v>
      </c>
      <c r="AT36" s="2523">
        <v>0.60442816138528521</v>
      </c>
      <c r="AU36" s="2524">
        <v>0.16172288862602902</v>
      </c>
      <c r="AV36" s="2525">
        <v>0.76615105001131423</v>
      </c>
      <c r="AW36" s="2526">
        <v>0.21690606721626451</v>
      </c>
      <c r="AX36" s="2527">
        <v>6.1695771501626138E-4</v>
      </c>
      <c r="AY36" s="2528">
        <v>1.6325925057405058E-2</v>
      </c>
      <c r="AZ36" s="512">
        <v>0</v>
      </c>
    </row>
    <row r="37" spans="1:52" ht="14.4" x14ac:dyDescent="0.3">
      <c r="A37" s="155" t="s">
        <v>174</v>
      </c>
      <c r="B37" s="92">
        <v>31062.828907840525</v>
      </c>
      <c r="C37" s="93">
        <v>0.39193656864435222</v>
      </c>
      <c r="D37" s="137">
        <v>33638.079047005536</v>
      </c>
      <c r="E37" s="299">
        <v>0.42442989711549028</v>
      </c>
      <c r="F37" s="144"/>
      <c r="G37" s="126">
        <v>48191.90615115648</v>
      </c>
      <c r="H37" s="2108"/>
      <c r="I37" s="126" t="s">
        <v>153</v>
      </c>
      <c r="J37" s="2111"/>
      <c r="K37" s="127">
        <v>48191.90615115648</v>
      </c>
      <c r="L37" s="301">
        <v>79254.735058997001</v>
      </c>
      <c r="M37" s="92" t="s">
        <v>153</v>
      </c>
      <c r="N37" s="2519">
        <v>30247.359000000004</v>
      </c>
      <c r="O37" s="2519" t="s">
        <v>153</v>
      </c>
      <c r="P37" s="2519">
        <v>514.13106871535012</v>
      </c>
      <c r="Q37" s="2519">
        <v>301.3388391251724</v>
      </c>
      <c r="R37" s="129" t="s">
        <v>153</v>
      </c>
      <c r="S37" s="2517">
        <v>2575.2501391650098</v>
      </c>
      <c r="T37" s="132" t="s">
        <v>153</v>
      </c>
      <c r="U37" s="2109" t="s">
        <v>153</v>
      </c>
      <c r="V37" s="2112">
        <v>3090.2878140012922</v>
      </c>
      <c r="W37" s="2109">
        <v>11549.774318539074</v>
      </c>
      <c r="X37" s="2112" t="s">
        <v>153</v>
      </c>
      <c r="Y37" s="2109">
        <v>12928.80548682444</v>
      </c>
      <c r="Z37" s="2507">
        <v>13481.631976489351</v>
      </c>
      <c r="AA37" s="2507">
        <v>514.13106871535012</v>
      </c>
      <c r="AB37" s="2509">
        <v>3090.2878140012922</v>
      </c>
      <c r="AC37" s="133" t="s">
        <v>153</v>
      </c>
      <c r="AD37" s="115">
        <v>24779.918644488684</v>
      </c>
      <c r="AE37" s="134">
        <v>2754.3217977531003</v>
      </c>
      <c r="AF37" s="307">
        <v>1811.8346183842066</v>
      </c>
      <c r="AG37" s="2541" t="s">
        <v>153</v>
      </c>
      <c r="AH37" s="2547" t="s">
        <v>153</v>
      </c>
      <c r="AI37" s="309">
        <v>32822.609139165012</v>
      </c>
      <c r="AJ37" s="92" t="s">
        <v>153</v>
      </c>
      <c r="AK37" s="2519">
        <v>32822.609139165012</v>
      </c>
      <c r="AL37" s="2548">
        <v>17086.050859205992</v>
      </c>
      <c r="AM37" s="2549">
        <v>49908.659998371004</v>
      </c>
      <c r="AN37" s="2550">
        <v>27534.240442241782</v>
      </c>
      <c r="AO37" s="2551" t="s">
        <v>153</v>
      </c>
      <c r="AP37" s="134">
        <v>1811.8346183842066</v>
      </c>
      <c r="AQ37" s="2521" t="s">
        <v>153</v>
      </c>
      <c r="AR37" s="2522">
        <v>0.41414067077168265</v>
      </c>
      <c r="AS37" s="2474" t="s">
        <v>153</v>
      </c>
      <c r="AT37" s="2523">
        <v>0.41414067077168265</v>
      </c>
      <c r="AU37" s="2524">
        <v>0.21558397547461591</v>
      </c>
      <c r="AV37" s="2525">
        <v>0.62972464624629854</v>
      </c>
      <c r="AW37" s="2526">
        <v>0.34741445317740788</v>
      </c>
      <c r="AX37" s="2527" t="s">
        <v>153</v>
      </c>
      <c r="AY37" s="2528">
        <v>2.2860900576293416E-2</v>
      </c>
      <c r="AZ37" s="512">
        <v>0</v>
      </c>
    </row>
    <row r="38" spans="1:52" ht="14.4" x14ac:dyDescent="0.3">
      <c r="A38" s="155" t="s">
        <v>243</v>
      </c>
      <c r="B38" s="92">
        <v>35820.935968055564</v>
      </c>
      <c r="C38" s="93">
        <v>0.9147899400498275</v>
      </c>
      <c r="D38" s="137">
        <v>35820.935968055564</v>
      </c>
      <c r="E38" s="299">
        <v>0.9147899400498275</v>
      </c>
      <c r="F38" s="144"/>
      <c r="G38" s="126">
        <v>3336.6174765138421</v>
      </c>
      <c r="H38" s="2108"/>
      <c r="I38" s="126" t="s">
        <v>153</v>
      </c>
      <c r="J38" s="2111"/>
      <c r="K38" s="127">
        <v>3336.6174765138421</v>
      </c>
      <c r="L38" s="301">
        <v>39157.553444569407</v>
      </c>
      <c r="M38" s="92">
        <v>1687.5054303472225</v>
      </c>
      <c r="N38" s="2519">
        <v>33775.391032708336</v>
      </c>
      <c r="O38" s="2519" t="s">
        <v>153</v>
      </c>
      <c r="P38" s="2519">
        <v>258.58408694444449</v>
      </c>
      <c r="Q38" s="2519">
        <v>99.455418055555569</v>
      </c>
      <c r="R38" s="129" t="s">
        <v>153</v>
      </c>
      <c r="S38" s="2517" t="s">
        <v>153</v>
      </c>
      <c r="T38" s="132" t="s">
        <v>153</v>
      </c>
      <c r="U38" s="2109" t="s">
        <v>153</v>
      </c>
      <c r="V38" s="2112">
        <v>211.66002695769811</v>
      </c>
      <c r="W38" s="2109">
        <v>791.06726970262969</v>
      </c>
      <c r="X38" s="2112" t="s">
        <v>153</v>
      </c>
      <c r="Y38" s="2109">
        <v>1136.5425652087852</v>
      </c>
      <c r="Z38" s="2507">
        <v>821.17813142587761</v>
      </c>
      <c r="AA38" s="2507">
        <v>258.58408694444449</v>
      </c>
      <c r="AB38" s="2509">
        <v>211.66002695769811</v>
      </c>
      <c r="AC38" s="133" t="s">
        <v>153</v>
      </c>
      <c r="AD38" s="115">
        <v>2027.0652529669703</v>
      </c>
      <c r="AE38" s="134">
        <v>196.42348248544354</v>
      </c>
      <c r="AF38" s="307">
        <v>179.74600073340812</v>
      </c>
      <c r="AG38" s="2541" t="s">
        <v>153</v>
      </c>
      <c r="AH38" s="2547">
        <v>1687.5054303472225</v>
      </c>
      <c r="AI38" s="309">
        <v>33775.391032708336</v>
      </c>
      <c r="AJ38" s="92" t="s">
        <v>153</v>
      </c>
      <c r="AK38" s="2519">
        <v>35462.896463055557</v>
      </c>
      <c r="AL38" s="2548">
        <v>1291.4222453280202</v>
      </c>
      <c r="AM38" s="2549">
        <v>36754.31870838358</v>
      </c>
      <c r="AN38" s="2550">
        <v>2223.4887354524139</v>
      </c>
      <c r="AO38" s="2551" t="s">
        <v>153</v>
      </c>
      <c r="AP38" s="134">
        <v>179.74600073340812</v>
      </c>
      <c r="AQ38" s="2521">
        <v>4.3095272352396047E-2</v>
      </c>
      <c r="AR38" s="2522">
        <v>0.86255110602147433</v>
      </c>
      <c r="AS38" s="2474" t="s">
        <v>153</v>
      </c>
      <c r="AT38" s="2523">
        <v>0.90564637837387041</v>
      </c>
      <c r="AU38" s="2524">
        <v>3.2980156616682646E-2</v>
      </c>
      <c r="AV38" s="2525">
        <v>0.93862653499055315</v>
      </c>
      <c r="AW38" s="2526">
        <v>5.6783137347943276E-2</v>
      </c>
      <c r="AX38" s="2527" t="s">
        <v>153</v>
      </c>
      <c r="AY38" s="2528">
        <v>4.5903276615034874E-3</v>
      </c>
      <c r="AZ38" s="512">
        <v>0</v>
      </c>
    </row>
    <row r="39" spans="1:52" ht="14.4" x14ac:dyDescent="0.3">
      <c r="A39" s="155" t="s">
        <v>244</v>
      </c>
      <c r="B39" s="92">
        <v>5427.6308890951086</v>
      </c>
      <c r="C39" s="93">
        <v>0.50723646039870296</v>
      </c>
      <c r="D39" s="137">
        <v>9075.2469165153252</v>
      </c>
      <c r="E39" s="299">
        <v>0.84812254503639173</v>
      </c>
      <c r="F39" s="144"/>
      <c r="G39" s="126">
        <v>5272.7649082196758</v>
      </c>
      <c r="H39" s="2108"/>
      <c r="I39" s="126" t="s">
        <v>153</v>
      </c>
      <c r="J39" s="2111"/>
      <c r="K39" s="127">
        <v>5272.7649082196758</v>
      </c>
      <c r="L39" s="301">
        <v>10700.395797314784</v>
      </c>
      <c r="M39" s="92" t="s">
        <v>153</v>
      </c>
      <c r="N39" s="2519">
        <v>3923.9780000000001</v>
      </c>
      <c r="O39" s="2519" t="s">
        <v>153</v>
      </c>
      <c r="P39" s="2519" t="s">
        <v>153</v>
      </c>
      <c r="Q39" s="2519">
        <v>1503.6528890951085</v>
      </c>
      <c r="R39" s="129" t="s">
        <v>153</v>
      </c>
      <c r="S39" s="2517">
        <v>3647.6160274202175</v>
      </c>
      <c r="T39" s="132" t="s">
        <v>153</v>
      </c>
      <c r="U39" s="2109" t="s">
        <v>153</v>
      </c>
      <c r="V39" s="2112" t="s">
        <v>153</v>
      </c>
      <c r="W39" s="2109">
        <v>0</v>
      </c>
      <c r="X39" s="2112" t="s">
        <v>153</v>
      </c>
      <c r="Y39" s="2109">
        <v>182.69178722778213</v>
      </c>
      <c r="Z39" s="2507" t="s">
        <v>153</v>
      </c>
      <c r="AA39" s="2507" t="s">
        <v>153</v>
      </c>
      <c r="AB39" s="2509" t="s">
        <v>153</v>
      </c>
      <c r="AC39" s="133">
        <v>561.62897151786012</v>
      </c>
      <c r="AD39" s="115">
        <v>1686.3446763228906</v>
      </c>
      <c r="AE39" s="134">
        <v>363.40454985669521</v>
      </c>
      <c r="AF39" s="307">
        <v>517.42357219712085</v>
      </c>
      <c r="AG39" s="2541" t="s">
        <v>153</v>
      </c>
      <c r="AH39" s="2547" t="s">
        <v>153</v>
      </c>
      <c r="AI39" s="309">
        <v>7571.5940274202176</v>
      </c>
      <c r="AJ39" s="92" t="s">
        <v>153</v>
      </c>
      <c r="AK39" s="2519">
        <v>7571.5940274202176</v>
      </c>
      <c r="AL39" s="2548">
        <v>0</v>
      </c>
      <c r="AM39" s="2549">
        <v>7571.5940274202176</v>
      </c>
      <c r="AN39" s="2550">
        <v>2611.378197697446</v>
      </c>
      <c r="AO39" s="2551" t="s">
        <v>153</v>
      </c>
      <c r="AP39" s="134">
        <v>517.42357219712085</v>
      </c>
      <c r="AQ39" s="2521" t="s">
        <v>153</v>
      </c>
      <c r="AR39" s="2522">
        <v>0.70759943565080785</v>
      </c>
      <c r="AS39" s="2474" t="s">
        <v>153</v>
      </c>
      <c r="AT39" s="2523">
        <v>0.70759943565080785</v>
      </c>
      <c r="AU39" s="2524">
        <v>0</v>
      </c>
      <c r="AV39" s="2525">
        <v>0.70759943565080785</v>
      </c>
      <c r="AW39" s="2526">
        <v>0.2440450098446601</v>
      </c>
      <c r="AX39" s="2527" t="s">
        <v>153</v>
      </c>
      <c r="AY39" s="2528">
        <v>4.8355554504532057E-2</v>
      </c>
      <c r="AZ39" s="512">
        <v>0</v>
      </c>
    </row>
    <row r="40" spans="1:52" ht="14.4" x14ac:dyDescent="0.3">
      <c r="A40" s="155" t="s">
        <v>245</v>
      </c>
      <c r="B40" s="92">
        <v>1275.0299349394159</v>
      </c>
      <c r="C40" s="93">
        <v>0.409339286455842</v>
      </c>
      <c r="D40" s="137">
        <v>1918.673857814777</v>
      </c>
      <c r="E40" s="299">
        <v>0.61597658719808557</v>
      </c>
      <c r="F40" s="144"/>
      <c r="G40" s="126">
        <v>1839.8187422518981</v>
      </c>
      <c r="H40" s="2108"/>
      <c r="I40" s="126" t="s">
        <v>153</v>
      </c>
      <c r="J40" s="2111"/>
      <c r="K40" s="127">
        <v>1839.8187422518981</v>
      </c>
      <c r="L40" s="301">
        <v>3114.848677191314</v>
      </c>
      <c r="M40" s="92" t="s">
        <v>153</v>
      </c>
      <c r="N40" s="2519">
        <v>995.59400000000005</v>
      </c>
      <c r="O40" s="2519" t="s">
        <v>153</v>
      </c>
      <c r="P40" s="2519" t="s">
        <v>153</v>
      </c>
      <c r="Q40" s="2519">
        <v>279.4359349394158</v>
      </c>
      <c r="R40" s="129" t="s">
        <v>153</v>
      </c>
      <c r="S40" s="2517">
        <v>643.643922875361</v>
      </c>
      <c r="T40" s="132" t="s">
        <v>153</v>
      </c>
      <c r="U40" s="2109" t="s">
        <v>153</v>
      </c>
      <c r="V40" s="2112" t="s">
        <v>153</v>
      </c>
      <c r="W40" s="2109">
        <v>0</v>
      </c>
      <c r="X40" s="2112" t="s">
        <v>153</v>
      </c>
      <c r="Y40" s="2109">
        <v>611.69820627004356</v>
      </c>
      <c r="Z40" s="2507" t="s">
        <v>153</v>
      </c>
      <c r="AA40" s="2507" t="s">
        <v>153</v>
      </c>
      <c r="AB40" s="2509" t="s">
        <v>153</v>
      </c>
      <c r="AC40" s="133">
        <v>333.83760430509801</v>
      </c>
      <c r="AD40" s="115">
        <v>891.13414120945936</v>
      </c>
      <c r="AE40" s="134">
        <v>117.3163527334635</v>
      </c>
      <c r="AF40" s="307">
        <v>133.3226560679318</v>
      </c>
      <c r="AG40" s="2541" t="s">
        <v>153</v>
      </c>
      <c r="AH40" s="2547" t="s">
        <v>153</v>
      </c>
      <c r="AI40" s="309">
        <v>1639.2379228753612</v>
      </c>
      <c r="AJ40" s="92" t="s">
        <v>153</v>
      </c>
      <c r="AK40" s="2519">
        <v>1639.2379228753612</v>
      </c>
      <c r="AL40" s="2548">
        <v>0</v>
      </c>
      <c r="AM40" s="2549">
        <v>1639.2379228753612</v>
      </c>
      <c r="AN40" s="2550">
        <v>1342.2880982480208</v>
      </c>
      <c r="AO40" s="2551" t="s">
        <v>153</v>
      </c>
      <c r="AP40" s="134">
        <v>133.3226560679318</v>
      </c>
      <c r="AQ40" s="2521" t="s">
        <v>153</v>
      </c>
      <c r="AR40" s="2522">
        <v>0.52626566898057991</v>
      </c>
      <c r="AS40" s="2474" t="s">
        <v>153</v>
      </c>
      <c r="AT40" s="2523">
        <v>0.52626566898057991</v>
      </c>
      <c r="AU40" s="2524">
        <v>0</v>
      </c>
      <c r="AV40" s="2525">
        <v>0.52626566898057991</v>
      </c>
      <c r="AW40" s="2526">
        <v>0.43093204112193778</v>
      </c>
      <c r="AX40" s="2527" t="s">
        <v>153</v>
      </c>
      <c r="AY40" s="2528">
        <v>4.2802289897482276E-2</v>
      </c>
      <c r="AZ40" s="512">
        <v>0</v>
      </c>
    </row>
    <row r="41" spans="1:52" ht="14.4" x14ac:dyDescent="0.3">
      <c r="A41" s="155" t="s">
        <v>246</v>
      </c>
      <c r="B41" s="92">
        <v>63000.570965724655</v>
      </c>
      <c r="C41" s="93">
        <v>0.73961920361545441</v>
      </c>
      <c r="D41" s="137">
        <v>70722.262055348052</v>
      </c>
      <c r="E41" s="299">
        <v>0.83027093782559236</v>
      </c>
      <c r="F41" s="144"/>
      <c r="G41" s="126">
        <v>16682.587930183894</v>
      </c>
      <c r="H41" s="2108"/>
      <c r="I41" s="126">
        <v>5496.5804317903321</v>
      </c>
      <c r="J41" s="2111"/>
      <c r="K41" s="127">
        <v>22179.168361974225</v>
      </c>
      <c r="L41" s="301">
        <v>85179.739327698888</v>
      </c>
      <c r="M41" s="92" t="s">
        <v>153</v>
      </c>
      <c r="N41" s="2519">
        <v>57833.601784340986</v>
      </c>
      <c r="O41" s="2519" t="s">
        <v>153</v>
      </c>
      <c r="P41" s="2519">
        <v>67.589565956869379</v>
      </c>
      <c r="Q41" s="2519">
        <v>5099.3796154267957</v>
      </c>
      <c r="R41" s="129" t="s">
        <v>153</v>
      </c>
      <c r="S41" s="2517">
        <v>1103.848</v>
      </c>
      <c r="T41" s="132">
        <v>6418.2893534588438</v>
      </c>
      <c r="U41" s="2109">
        <v>760.60173616455472</v>
      </c>
      <c r="V41" s="2112" t="s">
        <v>153</v>
      </c>
      <c r="W41" s="2109">
        <v>0</v>
      </c>
      <c r="X41" s="2112" t="s">
        <v>153</v>
      </c>
      <c r="Y41" s="2109">
        <v>5542.9657849244413</v>
      </c>
      <c r="Z41" s="2507">
        <v>6338.581526737963</v>
      </c>
      <c r="AA41" s="2507">
        <v>67.589565956869379</v>
      </c>
      <c r="AB41" s="2509">
        <v>6418.2893534588438</v>
      </c>
      <c r="AC41" s="133" t="s">
        <v>153</v>
      </c>
      <c r="AD41" s="115">
        <v>11402.947136515791</v>
      </c>
      <c r="AE41" s="134">
        <v>1262.9262908272551</v>
      </c>
      <c r="AF41" s="307">
        <v>751.95566986116739</v>
      </c>
      <c r="AG41" s="2541" t="s">
        <v>153</v>
      </c>
      <c r="AH41" s="2547" t="s">
        <v>153</v>
      </c>
      <c r="AI41" s="309">
        <v>58937.449784340984</v>
      </c>
      <c r="AJ41" s="92" t="s">
        <v>153</v>
      </c>
      <c r="AK41" s="2519">
        <v>58937.449784340984</v>
      </c>
      <c r="AL41" s="2548">
        <v>12824.460446153676</v>
      </c>
      <c r="AM41" s="2549">
        <v>71761.910230494657</v>
      </c>
      <c r="AN41" s="2550">
        <v>12665.873427343047</v>
      </c>
      <c r="AO41" s="2551" t="s">
        <v>153</v>
      </c>
      <c r="AP41" s="134">
        <v>751.95566986116739</v>
      </c>
      <c r="AQ41" s="2521" t="s">
        <v>153</v>
      </c>
      <c r="AR41" s="2522">
        <v>0.69191864461571095</v>
      </c>
      <c r="AS41" s="2474" t="s">
        <v>153</v>
      </c>
      <c r="AT41" s="2523">
        <v>0.69191864461571095</v>
      </c>
      <c r="AU41" s="2524">
        <v>0.15055763902746996</v>
      </c>
      <c r="AV41" s="2525">
        <v>0.84247628364318083</v>
      </c>
      <c r="AW41" s="2526">
        <v>0.14869584630466623</v>
      </c>
      <c r="AX41" s="2527" t="s">
        <v>153</v>
      </c>
      <c r="AY41" s="2528">
        <v>8.827870052152709E-3</v>
      </c>
      <c r="AZ41" s="512">
        <v>0</v>
      </c>
    </row>
    <row r="42" spans="1:52" ht="14.4" x14ac:dyDescent="0.3">
      <c r="A42" s="155" t="s">
        <v>247</v>
      </c>
      <c r="B42" s="92">
        <v>6702.6608240345249</v>
      </c>
      <c r="C42" s="93">
        <v>0.4851641124703403</v>
      </c>
      <c r="D42" s="137">
        <v>10993.920774330103</v>
      </c>
      <c r="E42" s="299">
        <v>0.79578184769858296</v>
      </c>
      <c r="F42" s="144"/>
      <c r="G42" s="126">
        <v>7112.5836504715735</v>
      </c>
      <c r="H42" s="2108"/>
      <c r="I42" s="126" t="s">
        <v>153</v>
      </c>
      <c r="J42" s="2111"/>
      <c r="K42" s="127">
        <v>7112.5836504715735</v>
      </c>
      <c r="L42" s="301">
        <v>13815.2444745061</v>
      </c>
      <c r="M42" s="92" t="s">
        <v>153</v>
      </c>
      <c r="N42" s="2519">
        <v>4919.5720000000001</v>
      </c>
      <c r="O42" s="2519" t="s">
        <v>153</v>
      </c>
      <c r="P42" s="2519" t="s">
        <v>153</v>
      </c>
      <c r="Q42" s="2519">
        <v>1783.0888240345241</v>
      </c>
      <c r="R42" s="129" t="s">
        <v>153</v>
      </c>
      <c r="S42" s="2517">
        <v>4291.2599502955782</v>
      </c>
      <c r="T42" s="132" t="s">
        <v>153</v>
      </c>
      <c r="U42" s="2109" t="s">
        <v>153</v>
      </c>
      <c r="V42" s="2112" t="s">
        <v>153</v>
      </c>
      <c r="W42" s="2109">
        <v>0</v>
      </c>
      <c r="X42" s="2112" t="s">
        <v>153</v>
      </c>
      <c r="Y42" s="2109">
        <v>794.38999349782569</v>
      </c>
      <c r="Z42" s="2507" t="s">
        <v>153</v>
      </c>
      <c r="AA42" s="2507" t="s">
        <v>153</v>
      </c>
      <c r="AB42" s="2509" t="s">
        <v>153</v>
      </c>
      <c r="AC42" s="133">
        <v>895.46657582295813</v>
      </c>
      <c r="AD42" s="115">
        <v>2577.4788175323501</v>
      </c>
      <c r="AE42" s="134">
        <v>480.72090259015869</v>
      </c>
      <c r="AF42" s="307">
        <v>650.74622826505254</v>
      </c>
      <c r="AG42" s="2541" t="s">
        <v>153</v>
      </c>
      <c r="AH42" s="2547" t="s">
        <v>153</v>
      </c>
      <c r="AI42" s="309">
        <v>9210.8319502955783</v>
      </c>
      <c r="AJ42" s="92" t="s">
        <v>153</v>
      </c>
      <c r="AK42" s="2519">
        <v>9210.8319502955783</v>
      </c>
      <c r="AL42" s="2548">
        <v>0</v>
      </c>
      <c r="AM42" s="2549">
        <v>9210.8319502955783</v>
      </c>
      <c r="AN42" s="2550">
        <v>3953.666295945467</v>
      </c>
      <c r="AO42" s="2551" t="s">
        <v>153</v>
      </c>
      <c r="AP42" s="134">
        <v>650.74622826505254</v>
      </c>
      <c r="AQ42" s="2521" t="s">
        <v>153</v>
      </c>
      <c r="AR42" s="2522">
        <v>0.66671508906648347</v>
      </c>
      <c r="AS42" s="2474" t="s">
        <v>153</v>
      </c>
      <c r="AT42" s="2523">
        <v>0.66671508906648347</v>
      </c>
      <c r="AU42" s="2524">
        <v>0</v>
      </c>
      <c r="AV42" s="2525">
        <v>0.66671508906648347</v>
      </c>
      <c r="AW42" s="2526">
        <v>0.28618142105565686</v>
      </c>
      <c r="AX42" s="2527" t="s">
        <v>153</v>
      </c>
      <c r="AY42" s="2528">
        <v>4.7103489877859506E-2</v>
      </c>
      <c r="AZ42" s="512">
        <v>0</v>
      </c>
    </row>
    <row r="43" spans="1:52" ht="14.4" x14ac:dyDescent="0.3">
      <c r="A43" s="155" t="s">
        <v>178</v>
      </c>
      <c r="B43" s="92" t="s">
        <v>153</v>
      </c>
      <c r="C43" s="93">
        <v>0</v>
      </c>
      <c r="D43" s="137" t="s">
        <v>153</v>
      </c>
      <c r="E43" s="299">
        <v>0</v>
      </c>
      <c r="F43" s="144"/>
      <c r="G43" s="126">
        <v>30.185002287999996</v>
      </c>
      <c r="H43" s="2108"/>
      <c r="I43" s="126" t="s">
        <v>153</v>
      </c>
      <c r="J43" s="2111"/>
      <c r="K43" s="127">
        <v>30.185002287999996</v>
      </c>
      <c r="L43" s="301">
        <v>30.185002287999996</v>
      </c>
      <c r="M43" s="92" t="s">
        <v>153</v>
      </c>
      <c r="N43" s="2519" t="s">
        <v>153</v>
      </c>
      <c r="O43" s="2519" t="s">
        <v>153</v>
      </c>
      <c r="P43" s="2519" t="s">
        <v>153</v>
      </c>
      <c r="Q43" s="2519" t="s">
        <v>153</v>
      </c>
      <c r="R43" s="129" t="s">
        <v>153</v>
      </c>
      <c r="S43" s="2517" t="s">
        <v>153</v>
      </c>
      <c r="T43" s="132" t="s">
        <v>153</v>
      </c>
      <c r="U43" s="2109" t="s">
        <v>153</v>
      </c>
      <c r="V43" s="2112" t="s">
        <v>153</v>
      </c>
      <c r="W43" s="2112">
        <v>0</v>
      </c>
      <c r="X43" s="2112" t="s">
        <v>153</v>
      </c>
      <c r="Y43" s="2109">
        <v>27.371714912873937</v>
      </c>
      <c r="Z43" s="2507" t="s">
        <v>153</v>
      </c>
      <c r="AA43" s="2507" t="s">
        <v>153</v>
      </c>
      <c r="AB43" s="2509" t="s">
        <v>153</v>
      </c>
      <c r="AC43" s="133" t="s">
        <v>153</v>
      </c>
      <c r="AD43" s="115">
        <v>27.371714912873937</v>
      </c>
      <c r="AE43" s="134">
        <v>2.813287375126059</v>
      </c>
      <c r="AF43" s="307" t="s">
        <v>153</v>
      </c>
      <c r="AG43" s="2541" t="s">
        <v>153</v>
      </c>
      <c r="AH43" s="2547" t="s">
        <v>153</v>
      </c>
      <c r="AI43" s="309">
        <v>0</v>
      </c>
      <c r="AJ43" s="92" t="s">
        <v>153</v>
      </c>
      <c r="AK43" s="2519">
        <v>0</v>
      </c>
      <c r="AL43" s="2548">
        <v>0</v>
      </c>
      <c r="AM43" s="2549">
        <v>0</v>
      </c>
      <c r="AN43" s="2550">
        <v>30.185002287999996</v>
      </c>
      <c r="AO43" s="2551" t="s">
        <v>153</v>
      </c>
      <c r="AP43" s="134" t="s">
        <v>153</v>
      </c>
      <c r="AQ43" s="2521" t="s">
        <v>153</v>
      </c>
      <c r="AR43" s="2522">
        <v>0</v>
      </c>
      <c r="AS43" s="2474" t="s">
        <v>153</v>
      </c>
      <c r="AT43" s="2523">
        <v>0</v>
      </c>
      <c r="AU43" s="2524">
        <v>0</v>
      </c>
      <c r="AV43" s="2525">
        <v>0</v>
      </c>
      <c r="AW43" s="2526">
        <v>1</v>
      </c>
      <c r="AX43" s="2527" t="s">
        <v>153</v>
      </c>
      <c r="AY43" s="2528" t="s">
        <v>153</v>
      </c>
      <c r="AZ43" s="512">
        <v>0</v>
      </c>
    </row>
    <row r="44" spans="1:52" ht="15" thickBot="1" x14ac:dyDescent="0.35">
      <c r="A44" s="155" t="s">
        <v>65</v>
      </c>
      <c r="B44" s="92" t="s">
        <v>153</v>
      </c>
      <c r="C44" s="93">
        <v>0</v>
      </c>
      <c r="D44" s="137" t="s">
        <v>153</v>
      </c>
      <c r="E44" s="299">
        <v>0</v>
      </c>
      <c r="F44" s="144"/>
      <c r="G44" s="126">
        <v>300.74269745328183</v>
      </c>
      <c r="H44" s="2108"/>
      <c r="I44" s="126" t="s">
        <v>153</v>
      </c>
      <c r="J44" s="2111"/>
      <c r="K44" s="127">
        <v>300.74269745328183</v>
      </c>
      <c r="L44" s="347">
        <v>300.74269745328183</v>
      </c>
      <c r="M44" s="249" t="s">
        <v>153</v>
      </c>
      <c r="N44" s="349" t="s">
        <v>153</v>
      </c>
      <c r="O44" s="349" t="s">
        <v>153</v>
      </c>
      <c r="P44" s="349" t="s">
        <v>153</v>
      </c>
      <c r="Q44" s="349" t="s">
        <v>153</v>
      </c>
      <c r="R44" s="259" t="s">
        <v>153</v>
      </c>
      <c r="S44" s="2517" t="s">
        <v>153</v>
      </c>
      <c r="T44" s="132" t="s">
        <v>153</v>
      </c>
      <c r="U44" s="2109" t="s">
        <v>153</v>
      </c>
      <c r="V44" s="2112" t="s">
        <v>153</v>
      </c>
      <c r="W44" s="2112">
        <v>0</v>
      </c>
      <c r="X44" s="2112" t="s">
        <v>153</v>
      </c>
      <c r="Y44" s="2109">
        <v>216.86014464584329</v>
      </c>
      <c r="Z44" s="2507" t="s">
        <v>153</v>
      </c>
      <c r="AA44" s="2507" t="s">
        <v>153</v>
      </c>
      <c r="AB44" s="2509" t="s">
        <v>153</v>
      </c>
      <c r="AC44" s="133" t="s">
        <v>153</v>
      </c>
      <c r="AD44" s="115">
        <v>216.86014464584329</v>
      </c>
      <c r="AE44" s="134">
        <v>19.982815227438586</v>
      </c>
      <c r="AF44" s="307">
        <v>63.899737579999993</v>
      </c>
      <c r="AG44" s="2541" t="s">
        <v>153</v>
      </c>
      <c r="AH44" s="2552" t="s">
        <v>153</v>
      </c>
      <c r="AI44" s="358">
        <v>0</v>
      </c>
      <c r="AJ44" s="249" t="s">
        <v>153</v>
      </c>
      <c r="AK44" s="349">
        <v>0</v>
      </c>
      <c r="AL44" s="474">
        <v>0</v>
      </c>
      <c r="AM44" s="480">
        <v>0</v>
      </c>
      <c r="AN44" s="481">
        <v>236.84295987328187</v>
      </c>
      <c r="AO44" s="482" t="s">
        <v>153</v>
      </c>
      <c r="AP44" s="264">
        <v>63.899737579999993</v>
      </c>
      <c r="AQ44" s="2529" t="s">
        <v>153</v>
      </c>
      <c r="AR44" s="2530">
        <v>0</v>
      </c>
      <c r="AS44" s="359" t="s">
        <v>153</v>
      </c>
      <c r="AT44" s="360">
        <v>0</v>
      </c>
      <c r="AU44" s="361">
        <v>0</v>
      </c>
      <c r="AV44" s="362">
        <v>0</v>
      </c>
      <c r="AW44" s="363">
        <v>0.78752688553667605</v>
      </c>
      <c r="AX44" s="364" t="s">
        <v>153</v>
      </c>
      <c r="AY44" s="2531">
        <v>0.21247311446332406</v>
      </c>
      <c r="AZ44" s="512">
        <v>0</v>
      </c>
    </row>
    <row r="46" spans="1:52" x14ac:dyDescent="0.25">
      <c r="AG46" s="515" t="s">
        <v>301</v>
      </c>
      <c r="AH46" s="516">
        <v>8.2436968641486277E-3</v>
      </c>
      <c r="AI46" s="516">
        <v>0.33282218767491878</v>
      </c>
      <c r="AJ46" s="516">
        <v>7.9247718018983157E-2</v>
      </c>
      <c r="AK46" s="516"/>
      <c r="AL46" s="516">
        <v>0.27443117305667891</v>
      </c>
      <c r="AM46" s="516"/>
      <c r="AN46" s="516">
        <v>0.19512253774015181</v>
      </c>
      <c r="AO46" s="516">
        <v>8.4407367043979387E-2</v>
      </c>
      <c r="AP46" s="516">
        <v>2.5725319601139239E-2</v>
      </c>
      <c r="AQ46" s="516">
        <v>8.3459514964205812E-9</v>
      </c>
    </row>
    <row r="47" spans="1:52" x14ac:dyDescent="0.25">
      <c r="AG47" s="515" t="s">
        <v>236</v>
      </c>
      <c r="AH47" s="517">
        <v>7.435478407969813E-3</v>
      </c>
      <c r="AI47" s="517">
        <v>0.38292065765235922</v>
      </c>
      <c r="AJ47" s="517">
        <v>7.1478210070244269E-2</v>
      </c>
      <c r="AK47" s="517"/>
      <c r="AL47" s="517">
        <v>0.24958900858128108</v>
      </c>
      <c r="AM47" s="517"/>
      <c r="AN47" s="517">
        <v>0.18847783905468263</v>
      </c>
      <c r="AO47" s="517">
        <v>7.6132003089357664E-2</v>
      </c>
      <c r="AP47" s="517">
        <v>2.396680314410524E-2</v>
      </c>
      <c r="AQ47" s="517">
        <v>6.7896855739768415E-9</v>
      </c>
    </row>
    <row r="49" spans="1:52" x14ac:dyDescent="0.25">
      <c r="A49" s="1" t="s">
        <v>1470</v>
      </c>
      <c r="B49" s="512">
        <v>0</v>
      </c>
      <c r="C49" s="512">
        <v>-0.32929471102563368</v>
      </c>
      <c r="D49" s="512">
        <v>0</v>
      </c>
      <c r="E49" s="512">
        <v>-0.32929471102563368</v>
      </c>
      <c r="F49" s="512">
        <v>0</v>
      </c>
      <c r="G49" s="512">
        <v>0</v>
      </c>
      <c r="H49" s="512">
        <v>0</v>
      </c>
      <c r="I49" s="512">
        <v>0</v>
      </c>
      <c r="J49" s="512">
        <v>0</v>
      </c>
      <c r="K49" s="512">
        <v>0</v>
      </c>
      <c r="L49" s="512">
        <v>0</v>
      </c>
      <c r="M49" s="512" t="e">
        <v>#VALUE!</v>
      </c>
      <c r="N49" s="512" t="e">
        <v>#VALUE!</v>
      </c>
      <c r="O49" s="512">
        <v>0</v>
      </c>
      <c r="P49" s="512">
        <v>0</v>
      </c>
      <c r="Q49" s="512">
        <v>0</v>
      </c>
      <c r="R49" s="512" t="e">
        <v>#VALUE!</v>
      </c>
      <c r="S49" s="512" t="e">
        <v>#VALUE!</v>
      </c>
      <c r="T49" s="512">
        <v>0</v>
      </c>
      <c r="U49" s="2583">
        <v>0</v>
      </c>
      <c r="V49" s="512">
        <v>0</v>
      </c>
      <c r="W49" s="512">
        <v>0</v>
      </c>
      <c r="X49" s="512" t="e">
        <v>#VALUE!</v>
      </c>
      <c r="Y49" s="512">
        <v>5.9117155615240335E-12</v>
      </c>
      <c r="Z49" s="512">
        <v>0</v>
      </c>
      <c r="AA49" s="512">
        <v>0</v>
      </c>
      <c r="AB49" s="512">
        <v>0</v>
      </c>
      <c r="AC49" s="512" t="e">
        <v>#VALUE!</v>
      </c>
      <c r="AD49" s="512">
        <v>0</v>
      </c>
      <c r="AE49" s="512">
        <v>0</v>
      </c>
      <c r="AF49" s="512">
        <v>0</v>
      </c>
      <c r="AG49" s="512">
        <v>0</v>
      </c>
      <c r="AH49" s="512" t="e">
        <v>#VALUE!</v>
      </c>
      <c r="AI49" s="512">
        <v>0</v>
      </c>
      <c r="AJ49" s="512">
        <v>0</v>
      </c>
      <c r="AK49" s="512">
        <v>0</v>
      </c>
      <c r="AL49" s="512">
        <v>0</v>
      </c>
      <c r="AM49" s="512">
        <v>0</v>
      </c>
      <c r="AN49" s="512">
        <v>0</v>
      </c>
      <c r="AO49" s="512">
        <v>0</v>
      </c>
      <c r="AP49" s="512">
        <v>0</v>
      </c>
      <c r="AQ49" s="512" t="e">
        <v>#VALUE!</v>
      </c>
      <c r="AR49" s="512">
        <v>0</v>
      </c>
      <c r="AS49" s="512">
        <v>-0.32163276449221601</v>
      </c>
      <c r="AT49" s="512">
        <v>-0.32163276449221601</v>
      </c>
      <c r="AU49" s="512">
        <v>-0.3615605771401213</v>
      </c>
      <c r="AV49" s="512">
        <v>-0.68319334163233714</v>
      </c>
      <c r="AW49" s="512">
        <v>-0.11696999953465798</v>
      </c>
      <c r="AX49" s="512">
        <v>-0.18160258369098115</v>
      </c>
      <c r="AY49" s="512">
        <v>-1.823407514202369E-2</v>
      </c>
      <c r="AZ49" s="512">
        <v>0</v>
      </c>
    </row>
    <row r="56" spans="1:52" x14ac:dyDescent="0.25">
      <c r="B56" s="512"/>
      <c r="C56" s="2582"/>
      <c r="D56" s="512"/>
      <c r="E56" s="512"/>
      <c r="F56" s="512"/>
      <c r="G56" s="512"/>
      <c r="H56" s="512"/>
      <c r="I56" s="512"/>
      <c r="J56" s="512"/>
      <c r="K56" s="512"/>
      <c r="L56" s="512"/>
      <c r="M56" s="512"/>
      <c r="N56" s="512"/>
      <c r="O56" s="512"/>
      <c r="P56" s="512"/>
      <c r="Q56" s="512"/>
      <c r="R56" s="512"/>
      <c r="S56" s="512"/>
      <c r="T56" s="512"/>
      <c r="U56" s="512"/>
      <c r="V56" s="512"/>
      <c r="W56" s="512"/>
      <c r="X56" s="512"/>
      <c r="Y56" s="512"/>
      <c r="Z56" s="512"/>
      <c r="AA56" s="512"/>
      <c r="AB56" s="512"/>
      <c r="AC56" s="512"/>
      <c r="AD56" s="512"/>
      <c r="AE56" s="512"/>
      <c r="AF56" s="512"/>
      <c r="AG56" s="512"/>
      <c r="AH56" s="512"/>
      <c r="AI56" s="512"/>
      <c r="AJ56" s="512"/>
      <c r="AK56" s="512"/>
      <c r="AL56" s="512"/>
      <c r="AM56" s="512"/>
      <c r="AN56" s="512"/>
      <c r="AO56" s="512"/>
      <c r="AP56" s="512"/>
      <c r="AQ56" s="512"/>
      <c r="AR56" s="512"/>
      <c r="AS56" s="512"/>
      <c r="AT56" s="512"/>
      <c r="AU56" s="512"/>
      <c r="AV56" s="512"/>
      <c r="AW56" s="512"/>
      <c r="AX56" s="512"/>
      <c r="AY56" s="512"/>
      <c r="AZ56" s="512"/>
    </row>
    <row r="57" spans="1:52" x14ac:dyDescent="0.25">
      <c r="B57" s="512"/>
      <c r="C57" s="2582"/>
      <c r="D57" s="512"/>
      <c r="E57" s="512"/>
      <c r="F57" s="512"/>
      <c r="G57" s="512"/>
      <c r="H57" s="512"/>
      <c r="I57" s="512"/>
      <c r="J57" s="512"/>
      <c r="K57" s="512"/>
      <c r="L57" s="512"/>
      <c r="M57" s="512"/>
      <c r="N57" s="512"/>
      <c r="O57" s="512"/>
      <c r="P57" s="512"/>
      <c r="Q57" s="512"/>
      <c r="R57" s="512"/>
      <c r="S57" s="512"/>
      <c r="T57" s="512"/>
      <c r="U57" s="512"/>
      <c r="V57" s="512"/>
      <c r="W57" s="512"/>
      <c r="X57" s="512"/>
      <c r="Y57" s="512"/>
      <c r="Z57" s="512"/>
      <c r="AA57" s="512"/>
      <c r="AB57" s="512"/>
      <c r="AC57" s="512"/>
      <c r="AD57" s="512"/>
      <c r="AE57" s="512"/>
      <c r="AF57" s="512"/>
      <c r="AG57" s="512"/>
      <c r="AH57" s="512"/>
      <c r="AI57" s="512"/>
      <c r="AJ57" s="512"/>
      <c r="AK57" s="512"/>
      <c r="AL57" s="512"/>
      <c r="AM57" s="512"/>
      <c r="AN57" s="512"/>
      <c r="AO57" s="512"/>
      <c r="AP57" s="512"/>
      <c r="AQ57" s="512"/>
      <c r="AR57" s="512"/>
      <c r="AS57" s="512"/>
      <c r="AT57" s="512"/>
      <c r="AU57" s="512"/>
      <c r="AV57" s="512"/>
      <c r="AW57" s="512"/>
      <c r="AX57" s="512"/>
      <c r="AY57" s="512"/>
      <c r="AZ57" s="512"/>
    </row>
  </sheetData>
  <mergeCells count="3">
    <mergeCell ref="M3:R3"/>
    <mergeCell ref="AH3:AP3"/>
    <mergeCell ref="AQ3:AY3"/>
  </mergeCell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tabColor theme="9" tint="-0.249977111117893"/>
  </sheetPr>
  <dimension ref="A3:P67"/>
  <sheetViews>
    <sheetView workbookViewId="0"/>
  </sheetViews>
  <sheetFormatPr baseColWidth="10" defaultColWidth="11.44140625" defaultRowHeight="14.4" x14ac:dyDescent="0.3"/>
  <cols>
    <col min="1" max="1" width="13.88671875" style="519" customWidth="1"/>
    <col min="2" max="2" width="30.44140625" style="519" customWidth="1"/>
    <col min="3" max="3" width="33.44140625" style="519" customWidth="1"/>
    <col min="4" max="4" width="17.109375" style="519" customWidth="1"/>
    <col min="5" max="5" width="17" style="519" customWidth="1"/>
    <col min="6" max="9" width="11.44140625" style="519"/>
    <col min="10" max="10" width="28.88671875" style="519" customWidth="1"/>
    <col min="11" max="11" width="15.109375" style="519" bestFit="1" customWidth="1"/>
    <col min="12" max="12" width="16" style="519" customWidth="1"/>
    <col min="13" max="13" width="13.44140625" style="519" customWidth="1"/>
    <col min="14" max="16384" width="11.44140625" style="519"/>
  </cols>
  <sheetData>
    <row r="3" spans="1:15" x14ac:dyDescent="0.3">
      <c r="A3" s="537" t="s">
        <v>331</v>
      </c>
    </row>
    <row r="4" spans="1:15" x14ac:dyDescent="0.3">
      <c r="A4" s="537"/>
    </row>
    <row r="5" spans="1:15" ht="15" thickBot="1" x14ac:dyDescent="0.35"/>
    <row r="6" spans="1:15" ht="43.8" thickBot="1" x14ac:dyDescent="0.35">
      <c r="D6" s="520" t="s">
        <v>325</v>
      </c>
      <c r="E6" s="538" t="s">
        <v>332</v>
      </c>
      <c r="K6" s="3821" t="s">
        <v>333</v>
      </c>
      <c r="L6" s="3821" t="s">
        <v>334</v>
      </c>
      <c r="N6" s="3821" t="s">
        <v>333</v>
      </c>
      <c r="O6" s="3821" t="s">
        <v>334</v>
      </c>
    </row>
    <row r="7" spans="1:15" x14ac:dyDescent="0.3">
      <c r="A7" s="3833" t="s">
        <v>302</v>
      </c>
      <c r="B7" s="3817" t="s">
        <v>311</v>
      </c>
      <c r="C7" s="523" t="s">
        <v>335</v>
      </c>
      <c r="D7" s="524">
        <v>3.84</v>
      </c>
      <c r="E7" s="539">
        <v>2.68</v>
      </c>
      <c r="J7" s="3836" t="s">
        <v>336</v>
      </c>
      <c r="K7" s="3821"/>
      <c r="L7" s="3821"/>
      <c r="N7" s="3821"/>
      <c r="O7" s="3821"/>
    </row>
    <row r="8" spans="1:15" x14ac:dyDescent="0.3">
      <c r="A8" s="3834"/>
      <c r="B8" s="3818"/>
      <c r="C8" s="525" t="s">
        <v>337</v>
      </c>
      <c r="D8" s="526">
        <v>19.600000000000001</v>
      </c>
      <c r="E8" s="533">
        <v>7.37</v>
      </c>
      <c r="J8" s="3836"/>
      <c r="K8" s="3822"/>
      <c r="L8" s="3822"/>
      <c r="N8" s="3821"/>
      <c r="O8" s="3821"/>
    </row>
    <row r="9" spans="1:15" x14ac:dyDescent="0.3">
      <c r="A9" s="3834"/>
      <c r="B9" s="3818"/>
      <c r="C9" s="525" t="s">
        <v>119</v>
      </c>
      <c r="D9" s="526">
        <v>9.49</v>
      </c>
      <c r="E9" s="533">
        <v>21.34</v>
      </c>
      <c r="J9" s="540" t="s">
        <v>5</v>
      </c>
      <c r="K9" s="541">
        <f>D13</f>
        <v>37.049999999999997</v>
      </c>
      <c r="L9" s="541">
        <f>E13</f>
        <v>33.06</v>
      </c>
      <c r="N9" s="542">
        <f>K9/100</f>
        <v>0.3705</v>
      </c>
      <c r="O9" s="542">
        <f>L9/100</f>
        <v>0.3306</v>
      </c>
    </row>
    <row r="10" spans="1:15" x14ac:dyDescent="0.3">
      <c r="A10" s="3834"/>
      <c r="B10" s="529" t="s">
        <v>314</v>
      </c>
      <c r="C10" s="525"/>
      <c r="D10" s="526">
        <v>3.62</v>
      </c>
      <c r="E10" s="533">
        <v>1.57</v>
      </c>
      <c r="J10" s="540" t="s">
        <v>8</v>
      </c>
      <c r="K10" s="541">
        <f>D20</f>
        <v>18.330000000000002</v>
      </c>
      <c r="L10" s="541">
        <f>E20</f>
        <v>26.060000000000002</v>
      </c>
      <c r="N10" s="542">
        <f t="shared" ref="N10:O30" si="0">K10/100</f>
        <v>0.18330000000000002</v>
      </c>
      <c r="O10" s="542">
        <f t="shared" si="0"/>
        <v>0.2606</v>
      </c>
    </row>
    <row r="11" spans="1:15" x14ac:dyDescent="0.3">
      <c r="A11" s="3834"/>
      <c r="B11" s="3818" t="s">
        <v>338</v>
      </c>
      <c r="C11" s="525" t="s">
        <v>339</v>
      </c>
      <c r="D11" s="526">
        <v>0</v>
      </c>
      <c r="E11" s="533">
        <v>0</v>
      </c>
      <c r="J11" s="540" t="s">
        <v>304</v>
      </c>
      <c r="K11" s="541">
        <f>(D38-D37)</f>
        <v>4.22</v>
      </c>
      <c r="L11" s="541">
        <f>(E38-E37)</f>
        <v>7.74</v>
      </c>
      <c r="N11" s="542">
        <f t="shared" si="0"/>
        <v>4.2199999999999994E-2</v>
      </c>
      <c r="O11" s="542">
        <f t="shared" si="0"/>
        <v>7.7399999999999997E-2</v>
      </c>
    </row>
    <row r="12" spans="1:15" x14ac:dyDescent="0.3">
      <c r="A12" s="3834"/>
      <c r="B12" s="3818"/>
      <c r="C12" s="525" t="s">
        <v>119</v>
      </c>
      <c r="D12" s="526">
        <v>0.5</v>
      </c>
      <c r="E12" s="533">
        <v>0.1</v>
      </c>
      <c r="J12" s="540" t="s">
        <v>14</v>
      </c>
      <c r="K12" s="541">
        <f>D29+D42+D54</f>
        <v>14.09</v>
      </c>
      <c r="L12" s="541">
        <f>E29+E42+E54</f>
        <v>13.71</v>
      </c>
      <c r="N12" s="542">
        <f t="shared" si="0"/>
        <v>0.1409</v>
      </c>
      <c r="O12" s="542">
        <f t="shared" si="0"/>
        <v>0.1371</v>
      </c>
    </row>
    <row r="13" spans="1:15" ht="15" thickBot="1" x14ac:dyDescent="0.35">
      <c r="A13" s="3835"/>
      <c r="B13" s="3837" t="s">
        <v>340</v>
      </c>
      <c r="C13" s="3838"/>
      <c r="D13" s="543">
        <f>SUM(D7:D12)</f>
        <v>37.049999999999997</v>
      </c>
      <c r="E13" s="544">
        <f>SUM(E7:E12)</f>
        <v>33.06</v>
      </c>
      <c r="J13" s="540" t="s">
        <v>17</v>
      </c>
      <c r="K13" s="541">
        <f>D44-D42</f>
        <v>2.35</v>
      </c>
      <c r="L13" s="541">
        <f>E44-E42</f>
        <v>1.28</v>
      </c>
      <c r="N13" s="542">
        <f t="shared" si="0"/>
        <v>2.35E-2</v>
      </c>
      <c r="O13" s="542">
        <f t="shared" si="0"/>
        <v>1.2800000000000001E-2</v>
      </c>
    </row>
    <row r="14" spans="1:15" x14ac:dyDescent="0.3">
      <c r="A14" s="3823" t="s">
        <v>29</v>
      </c>
      <c r="B14" s="528" t="s">
        <v>341</v>
      </c>
      <c r="C14" s="523"/>
      <c r="D14" s="524">
        <v>0.5</v>
      </c>
      <c r="E14" s="539">
        <v>7.0000000000000007E-2</v>
      </c>
      <c r="J14" s="540" t="s">
        <v>16</v>
      </c>
      <c r="K14" s="541">
        <f>D34</f>
        <v>3.15</v>
      </c>
      <c r="L14" s="541">
        <f>E34</f>
        <v>5.4</v>
      </c>
      <c r="N14" s="542">
        <f t="shared" si="0"/>
        <v>3.15E-2</v>
      </c>
      <c r="O14" s="542">
        <f t="shared" si="0"/>
        <v>5.4000000000000006E-2</v>
      </c>
    </row>
    <row r="15" spans="1:15" x14ac:dyDescent="0.3">
      <c r="A15" s="3824"/>
      <c r="B15" s="519" t="s">
        <v>323</v>
      </c>
      <c r="C15" s="525"/>
      <c r="D15" s="526">
        <v>0.94</v>
      </c>
      <c r="E15" s="533">
        <v>0.59</v>
      </c>
      <c r="J15" s="540" t="s">
        <v>308</v>
      </c>
      <c r="K15" s="541">
        <f>D45</f>
        <v>0.03</v>
      </c>
      <c r="L15" s="541">
        <f>E45</f>
        <v>0.04</v>
      </c>
      <c r="N15" s="542">
        <f t="shared" si="0"/>
        <v>2.9999999999999997E-4</v>
      </c>
      <c r="O15" s="542">
        <f t="shared" si="0"/>
        <v>4.0000000000000002E-4</v>
      </c>
    </row>
    <row r="16" spans="1:15" ht="15" thickBot="1" x14ac:dyDescent="0.35">
      <c r="A16" s="3825"/>
      <c r="B16" s="3826" t="s">
        <v>342</v>
      </c>
      <c r="C16" s="3827"/>
      <c r="D16" s="545">
        <f>SUM(D14:D15)</f>
        <v>1.44</v>
      </c>
      <c r="E16" s="546">
        <f>SUM(E14:E15)</f>
        <v>0.65999999999999992</v>
      </c>
      <c r="J16" s="540" t="s">
        <v>44</v>
      </c>
      <c r="K16" s="541"/>
      <c r="L16" s="541"/>
      <c r="N16" s="542">
        <f t="shared" si="0"/>
        <v>0</v>
      </c>
      <c r="O16" s="542">
        <f t="shared" si="0"/>
        <v>0</v>
      </c>
    </row>
    <row r="17" spans="1:15" x14ac:dyDescent="0.3">
      <c r="A17" s="3828" t="s">
        <v>328</v>
      </c>
      <c r="B17" s="528" t="s">
        <v>320</v>
      </c>
      <c r="C17" s="523"/>
      <c r="D17" s="524">
        <v>7.81</v>
      </c>
      <c r="E17" s="539">
        <v>8.99</v>
      </c>
      <c r="J17" s="540" t="s">
        <v>326</v>
      </c>
      <c r="K17" s="541">
        <f>D49-D47-D45</f>
        <v>0.27</v>
      </c>
      <c r="L17" s="541">
        <f>E49-E47-E45</f>
        <v>0.58000000000000007</v>
      </c>
      <c r="N17" s="542">
        <f t="shared" si="0"/>
        <v>2.7000000000000001E-3</v>
      </c>
      <c r="O17" s="542">
        <f t="shared" si="0"/>
        <v>5.8000000000000005E-3</v>
      </c>
    </row>
    <row r="18" spans="1:15" x14ac:dyDescent="0.3">
      <c r="A18" s="3829"/>
      <c r="B18" s="3818" t="s">
        <v>343</v>
      </c>
      <c r="C18" s="525" t="s">
        <v>344</v>
      </c>
      <c r="D18" s="526">
        <v>6.49</v>
      </c>
      <c r="E18" s="533">
        <v>6.01</v>
      </c>
      <c r="J18" s="540" t="s">
        <v>25</v>
      </c>
      <c r="K18" s="541">
        <f>D40</f>
        <v>5.0599999999999996</v>
      </c>
      <c r="L18" s="541">
        <f>E40</f>
        <v>1.99</v>
      </c>
      <c r="N18" s="542">
        <f t="shared" si="0"/>
        <v>5.0599999999999999E-2</v>
      </c>
      <c r="O18" s="542">
        <f t="shared" si="0"/>
        <v>1.9900000000000001E-2</v>
      </c>
    </row>
    <row r="19" spans="1:15" x14ac:dyDescent="0.3">
      <c r="A19" s="3829"/>
      <c r="B19" s="3818"/>
      <c r="C19" s="525" t="s">
        <v>119</v>
      </c>
      <c r="D19" s="526">
        <v>4.03</v>
      </c>
      <c r="E19" s="533">
        <v>11.06</v>
      </c>
      <c r="J19" s="540" t="s">
        <v>29</v>
      </c>
      <c r="K19" s="541">
        <f>D16</f>
        <v>1.44</v>
      </c>
      <c r="L19" s="541">
        <f>E16</f>
        <v>0.65999999999999992</v>
      </c>
      <c r="N19" s="542">
        <f t="shared" si="0"/>
        <v>1.44E-2</v>
      </c>
      <c r="O19" s="542">
        <f t="shared" si="0"/>
        <v>6.5999999999999991E-3</v>
      </c>
    </row>
    <row r="20" spans="1:15" ht="15" thickBot="1" x14ac:dyDescent="0.35">
      <c r="A20" s="3830"/>
      <c r="B20" s="3831" t="s">
        <v>345</v>
      </c>
      <c r="C20" s="3832"/>
      <c r="D20" s="547">
        <f>SUM(D17:D19)</f>
        <v>18.330000000000002</v>
      </c>
      <c r="E20" s="548">
        <f>SUM(E17:E19)</f>
        <v>26.060000000000002</v>
      </c>
      <c r="J20" s="540" t="s">
        <v>60</v>
      </c>
      <c r="K20" s="541"/>
      <c r="L20" s="541"/>
      <c r="N20" s="542">
        <f t="shared" si="0"/>
        <v>0</v>
      </c>
      <c r="O20" s="542">
        <f t="shared" si="0"/>
        <v>0</v>
      </c>
    </row>
    <row r="21" spans="1:15" x14ac:dyDescent="0.3">
      <c r="A21" s="3814" t="s">
        <v>128</v>
      </c>
      <c r="B21" s="3817" t="s">
        <v>346</v>
      </c>
      <c r="C21" s="523" t="s">
        <v>127</v>
      </c>
      <c r="D21" s="524">
        <v>2.0499999999999998</v>
      </c>
      <c r="E21" s="524">
        <v>3.47</v>
      </c>
      <c r="J21" s="540" t="s">
        <v>33</v>
      </c>
      <c r="K21" s="541"/>
      <c r="L21" s="541"/>
      <c r="N21" s="542">
        <f t="shared" si="0"/>
        <v>0</v>
      </c>
      <c r="O21" s="542">
        <f t="shared" si="0"/>
        <v>0</v>
      </c>
    </row>
    <row r="22" spans="1:15" x14ac:dyDescent="0.3">
      <c r="A22" s="3815"/>
      <c r="B22" s="3818"/>
      <c r="C22" s="525" t="s">
        <v>347</v>
      </c>
      <c r="D22" s="526">
        <v>0.96</v>
      </c>
      <c r="E22" s="526">
        <v>0.51</v>
      </c>
      <c r="J22" s="540" t="s">
        <v>66</v>
      </c>
      <c r="K22" s="541"/>
      <c r="L22" s="541"/>
      <c r="N22" s="542">
        <f t="shared" si="0"/>
        <v>0</v>
      </c>
      <c r="O22" s="542">
        <f t="shared" si="0"/>
        <v>0</v>
      </c>
    </row>
    <row r="23" spans="1:15" ht="15" thickBot="1" x14ac:dyDescent="0.35">
      <c r="A23" s="3815"/>
      <c r="B23" s="3818"/>
      <c r="C23" s="525" t="s">
        <v>321</v>
      </c>
      <c r="D23" s="531">
        <v>0.02</v>
      </c>
      <c r="E23" s="531">
        <v>0.08</v>
      </c>
      <c r="J23" s="540" t="s">
        <v>73</v>
      </c>
      <c r="K23" s="541">
        <f>D47</f>
        <v>0.12</v>
      </c>
      <c r="L23" s="541">
        <f>E47</f>
        <v>0.18</v>
      </c>
      <c r="N23" s="542">
        <f t="shared" si="0"/>
        <v>1.1999999999999999E-3</v>
      </c>
      <c r="O23" s="542">
        <f t="shared" si="0"/>
        <v>1.8E-3</v>
      </c>
    </row>
    <row r="24" spans="1:15" x14ac:dyDescent="0.3">
      <c r="A24" s="3815"/>
      <c r="B24" s="3818"/>
      <c r="C24" s="525" t="s">
        <v>348</v>
      </c>
      <c r="D24" s="524">
        <v>0</v>
      </c>
      <c r="E24" s="524">
        <v>0</v>
      </c>
      <c r="J24" s="540" t="s">
        <v>74</v>
      </c>
      <c r="K24" s="541"/>
      <c r="L24" s="541"/>
      <c r="N24" s="542">
        <f t="shared" si="0"/>
        <v>0</v>
      </c>
      <c r="O24" s="542">
        <f t="shared" si="0"/>
        <v>0</v>
      </c>
    </row>
    <row r="25" spans="1:15" ht="15" customHeight="1" x14ac:dyDescent="0.3">
      <c r="A25" s="3815"/>
      <c r="B25" s="3818"/>
      <c r="C25" s="525" t="s">
        <v>167</v>
      </c>
      <c r="D25" s="526">
        <v>0</v>
      </c>
      <c r="E25" s="526">
        <v>0</v>
      </c>
      <c r="J25" s="540" t="s">
        <v>327</v>
      </c>
      <c r="K25" s="541">
        <f>D56</f>
        <v>2.4900000000000002</v>
      </c>
      <c r="L25" s="541">
        <f>E56</f>
        <v>1.53</v>
      </c>
      <c r="N25" s="542">
        <f t="shared" si="0"/>
        <v>2.4900000000000002E-2</v>
      </c>
      <c r="O25" s="542">
        <f t="shared" si="0"/>
        <v>1.5300000000000001E-2</v>
      </c>
    </row>
    <row r="26" spans="1:15" ht="15" thickBot="1" x14ac:dyDescent="0.35">
      <c r="A26" s="3815"/>
      <c r="B26" s="3818"/>
      <c r="C26" s="549" t="s">
        <v>349</v>
      </c>
      <c r="D26" s="550">
        <v>5.63</v>
      </c>
      <c r="E26" s="550">
        <v>3.74</v>
      </c>
      <c r="J26" s="540" t="s">
        <v>143</v>
      </c>
      <c r="K26" s="541">
        <f>D57-D56</f>
        <v>0.20000000000000018</v>
      </c>
      <c r="L26" s="541">
        <f>E57-E56</f>
        <v>9.000000000000008E-2</v>
      </c>
      <c r="N26" s="542">
        <f t="shared" si="0"/>
        <v>2.0000000000000018E-3</v>
      </c>
      <c r="O26" s="542">
        <f t="shared" si="0"/>
        <v>9.0000000000000084E-4</v>
      </c>
    </row>
    <row r="27" spans="1:15" x14ac:dyDescent="0.3">
      <c r="A27" s="3815"/>
      <c r="B27" s="3818"/>
      <c r="C27" s="525" t="s">
        <v>350</v>
      </c>
      <c r="D27" s="526">
        <v>0</v>
      </c>
      <c r="E27" s="526">
        <v>0</v>
      </c>
      <c r="J27" s="540" t="s">
        <v>76</v>
      </c>
      <c r="K27" s="541"/>
      <c r="L27" s="541"/>
      <c r="N27" s="542">
        <f t="shared" si="0"/>
        <v>0</v>
      </c>
      <c r="O27" s="542">
        <f t="shared" si="0"/>
        <v>0</v>
      </c>
    </row>
    <row r="28" spans="1:15" x14ac:dyDescent="0.3">
      <c r="A28" s="3815"/>
      <c r="B28" s="3818"/>
      <c r="C28" s="525" t="s">
        <v>351</v>
      </c>
      <c r="D28" s="526">
        <v>2.27</v>
      </c>
      <c r="E28" s="526">
        <v>3.09</v>
      </c>
      <c r="J28" s="540" t="s">
        <v>309</v>
      </c>
      <c r="K28" s="541">
        <f>D60</f>
        <v>0.28000000000000003</v>
      </c>
      <c r="L28" s="541">
        <f>E60</f>
        <v>0.13</v>
      </c>
      <c r="N28" s="542">
        <f t="shared" si="0"/>
        <v>2.8000000000000004E-3</v>
      </c>
      <c r="O28" s="542">
        <f t="shared" si="0"/>
        <v>1.2999999999999999E-3</v>
      </c>
    </row>
    <row r="29" spans="1:15" ht="15" thickBot="1" x14ac:dyDescent="0.35">
      <c r="A29" s="3815"/>
      <c r="B29" s="3819"/>
      <c r="C29" s="551" t="s">
        <v>317</v>
      </c>
      <c r="D29" s="550">
        <f>D28+D26+D21+D22+D23</f>
        <v>10.93</v>
      </c>
      <c r="E29" s="552">
        <f>E28+E26+E21+E22+E23</f>
        <v>10.89</v>
      </c>
      <c r="J29" s="540" t="s">
        <v>95</v>
      </c>
      <c r="K29" s="541"/>
      <c r="L29" s="541"/>
      <c r="N29" s="542">
        <f t="shared" si="0"/>
        <v>0</v>
      </c>
      <c r="O29" s="542">
        <f t="shared" si="0"/>
        <v>0</v>
      </c>
    </row>
    <row r="30" spans="1:15" x14ac:dyDescent="0.3">
      <c r="A30" s="3815"/>
      <c r="B30" s="3817" t="s">
        <v>16</v>
      </c>
      <c r="C30" s="523" t="s">
        <v>324</v>
      </c>
      <c r="D30" s="526">
        <v>2.11</v>
      </c>
      <c r="E30" s="533">
        <v>3.05</v>
      </c>
      <c r="J30" s="540" t="s">
        <v>119</v>
      </c>
      <c r="K30" s="541">
        <f>D37+D62+D64+D66</f>
        <v>10.93</v>
      </c>
      <c r="L30" s="541">
        <f>E37+E62+E64+E66</f>
        <v>7.57</v>
      </c>
      <c r="N30" s="542">
        <f t="shared" si="0"/>
        <v>0.10929999999999999</v>
      </c>
      <c r="O30" s="542">
        <f t="shared" si="0"/>
        <v>7.5700000000000003E-2</v>
      </c>
    </row>
    <row r="31" spans="1:15" x14ac:dyDescent="0.3">
      <c r="A31" s="3815"/>
      <c r="B31" s="3818"/>
      <c r="C31" s="525" t="s">
        <v>321</v>
      </c>
      <c r="D31" s="526">
        <v>0.09</v>
      </c>
      <c r="E31" s="533">
        <v>0.11</v>
      </c>
      <c r="J31" s="553" t="s">
        <v>125</v>
      </c>
      <c r="K31" s="554">
        <f>SUM(K9:K30)</f>
        <v>100.00999999999999</v>
      </c>
      <c r="L31" s="554">
        <f>SUM(L9:L30)</f>
        <v>100.02000000000001</v>
      </c>
    </row>
    <row r="32" spans="1:15" x14ac:dyDescent="0.3">
      <c r="A32" s="3815"/>
      <c r="B32" s="3818"/>
      <c r="C32" s="525" t="s">
        <v>350</v>
      </c>
      <c r="D32" s="526">
        <v>0</v>
      </c>
      <c r="E32" s="533">
        <v>0</v>
      </c>
    </row>
    <row r="33" spans="1:16" x14ac:dyDescent="0.3">
      <c r="A33" s="3815"/>
      <c r="B33" s="3818"/>
      <c r="C33" s="525" t="s">
        <v>119</v>
      </c>
      <c r="D33" s="526">
        <v>0.95</v>
      </c>
      <c r="E33" s="533">
        <v>2.2400000000000002</v>
      </c>
    </row>
    <row r="34" spans="1:16" ht="15" thickBot="1" x14ac:dyDescent="0.35">
      <c r="A34" s="3815"/>
      <c r="B34" s="3819"/>
      <c r="C34" s="551" t="s">
        <v>16</v>
      </c>
      <c r="D34" s="555">
        <f>D33+D32+D31+D30</f>
        <v>3.15</v>
      </c>
      <c r="E34" s="556">
        <f>E33+E32+E31+E30</f>
        <v>5.4</v>
      </c>
    </row>
    <row r="35" spans="1:16" ht="15" thickBot="1" x14ac:dyDescent="0.35">
      <c r="A35" s="3816"/>
      <c r="B35" s="3820" t="s">
        <v>352</v>
      </c>
      <c r="C35" s="3820"/>
      <c r="D35" s="532">
        <f>D34+D29</f>
        <v>14.08</v>
      </c>
      <c r="E35" s="557">
        <f>E34+E29</f>
        <v>16.29</v>
      </c>
      <c r="J35" s="16"/>
      <c r="K35" s="16"/>
      <c r="L35" s="16"/>
      <c r="M35" s="16"/>
      <c r="N35" s="16"/>
      <c r="O35" s="16"/>
      <c r="P35" s="16"/>
    </row>
    <row r="36" spans="1:16" x14ac:dyDescent="0.3">
      <c r="A36" s="3803" t="s">
        <v>12</v>
      </c>
      <c r="B36" s="528" t="s">
        <v>312</v>
      </c>
      <c r="C36" s="528"/>
      <c r="D36" s="524">
        <v>4.22</v>
      </c>
      <c r="E36" s="524">
        <v>7.74</v>
      </c>
      <c r="J36" s="16"/>
      <c r="K36" s="16"/>
      <c r="L36" s="16"/>
      <c r="M36" s="16"/>
      <c r="N36" s="16"/>
      <c r="O36" s="16"/>
      <c r="P36" s="16"/>
    </row>
    <row r="37" spans="1:16" x14ac:dyDescent="0.3">
      <c r="A37" s="3804"/>
      <c r="B37" s="519" t="s">
        <v>310</v>
      </c>
      <c r="D37" s="526">
        <v>0.32</v>
      </c>
      <c r="E37" s="526">
        <v>0.03</v>
      </c>
      <c r="J37" s="16"/>
      <c r="K37" s="16"/>
      <c r="L37" s="16"/>
      <c r="M37" s="16"/>
      <c r="N37" s="16"/>
      <c r="O37" s="16"/>
      <c r="P37" s="16"/>
    </row>
    <row r="38" spans="1:16" ht="15" thickBot="1" x14ac:dyDescent="0.35">
      <c r="A38" s="3805"/>
      <c r="B38" s="3806" t="s">
        <v>353</v>
      </c>
      <c r="C38" s="3806"/>
      <c r="D38" s="558">
        <f>SUM(D36:D37)</f>
        <v>4.54</v>
      </c>
      <c r="E38" s="558">
        <f>SUM(E36:E37)</f>
        <v>7.7700000000000005</v>
      </c>
      <c r="J38" s="16"/>
      <c r="K38" s="16"/>
      <c r="L38" s="16"/>
      <c r="M38" s="16"/>
      <c r="N38" s="16"/>
      <c r="O38" s="16"/>
      <c r="P38" s="16"/>
    </row>
    <row r="39" spans="1:16" x14ac:dyDescent="0.3">
      <c r="A39" s="3807" t="s">
        <v>57</v>
      </c>
      <c r="B39" s="528" t="s">
        <v>354</v>
      </c>
      <c r="C39" s="528"/>
      <c r="D39" s="526">
        <v>5.0599999999999996</v>
      </c>
      <c r="E39" s="533">
        <v>1.99</v>
      </c>
      <c r="J39" s="16"/>
      <c r="K39" s="16"/>
      <c r="L39" s="16"/>
      <c r="M39" s="16"/>
      <c r="N39" s="16"/>
      <c r="O39" s="16"/>
      <c r="P39" s="16"/>
    </row>
    <row r="40" spans="1:16" ht="15" thickBot="1" x14ac:dyDescent="0.35">
      <c r="A40" s="3808"/>
      <c r="B40" s="3809" t="s">
        <v>355</v>
      </c>
      <c r="C40" s="3809"/>
      <c r="D40" s="559">
        <f>SUM(D39)</f>
        <v>5.0599999999999996</v>
      </c>
      <c r="E40" s="560">
        <f>SUM(E39)</f>
        <v>1.99</v>
      </c>
      <c r="J40" s="26"/>
      <c r="K40" s="16"/>
      <c r="L40" s="16"/>
      <c r="M40" s="16"/>
      <c r="N40" s="16"/>
      <c r="O40" s="16"/>
      <c r="P40" s="16"/>
    </row>
    <row r="41" spans="1:16" x14ac:dyDescent="0.3">
      <c r="A41" s="3810" t="s">
        <v>129</v>
      </c>
      <c r="B41" s="528" t="s">
        <v>318</v>
      </c>
      <c r="C41" s="528"/>
      <c r="D41" s="524">
        <v>1.74</v>
      </c>
      <c r="E41" s="539">
        <v>0.93</v>
      </c>
      <c r="J41" s="16"/>
      <c r="K41" s="16"/>
      <c r="L41" s="16"/>
      <c r="M41" s="16"/>
      <c r="N41" s="16"/>
      <c r="O41" s="16"/>
      <c r="P41" s="16"/>
    </row>
    <row r="42" spans="1:16" x14ac:dyDescent="0.3">
      <c r="A42" s="3811"/>
      <c r="B42" s="519" t="s">
        <v>319</v>
      </c>
      <c r="D42" s="526">
        <v>0.36</v>
      </c>
      <c r="E42" s="533">
        <v>0.51</v>
      </c>
      <c r="J42" s="16"/>
      <c r="K42" s="16"/>
      <c r="L42" s="16"/>
      <c r="M42" s="16"/>
      <c r="N42" s="16"/>
      <c r="O42" s="16"/>
      <c r="P42" s="16"/>
    </row>
    <row r="43" spans="1:16" x14ac:dyDescent="0.3">
      <c r="A43" s="3811"/>
      <c r="B43" s="519" t="s">
        <v>356</v>
      </c>
      <c r="D43" s="526">
        <v>0.61</v>
      </c>
      <c r="E43" s="533">
        <v>0.35</v>
      </c>
      <c r="J43" s="16"/>
      <c r="K43" s="16"/>
      <c r="L43" s="16"/>
      <c r="M43" s="16"/>
      <c r="N43" s="16"/>
      <c r="O43" s="16"/>
      <c r="P43" s="16"/>
    </row>
    <row r="44" spans="1:16" ht="15" thickBot="1" x14ac:dyDescent="0.35">
      <c r="A44" s="3812"/>
      <c r="B44" s="3813" t="s">
        <v>316</v>
      </c>
      <c r="C44" s="3813"/>
      <c r="D44" s="561">
        <f>SUM(D41:D43)</f>
        <v>2.71</v>
      </c>
      <c r="E44" s="562">
        <f>SUM(E41:E43)</f>
        <v>1.79</v>
      </c>
      <c r="J44" s="16"/>
      <c r="K44" s="16"/>
      <c r="L44" s="16"/>
      <c r="M44" s="16"/>
      <c r="N44" s="16"/>
      <c r="O44" s="16"/>
      <c r="P44" s="16"/>
    </row>
    <row r="45" spans="1:16" x14ac:dyDescent="0.3">
      <c r="A45" s="3790" t="s">
        <v>313</v>
      </c>
      <c r="B45" s="528" t="s">
        <v>357</v>
      </c>
      <c r="C45" s="528"/>
      <c r="D45" s="524">
        <v>0.03</v>
      </c>
      <c r="E45" s="539">
        <v>0.04</v>
      </c>
      <c r="J45" s="16"/>
      <c r="K45" s="16"/>
      <c r="L45" s="16"/>
      <c r="M45" s="16"/>
      <c r="N45" s="16"/>
      <c r="O45" s="16"/>
      <c r="P45" s="16"/>
    </row>
    <row r="46" spans="1:16" x14ac:dyDescent="0.3">
      <c r="A46" s="3791"/>
      <c r="B46" s="519" t="s">
        <v>358</v>
      </c>
      <c r="D46" s="526">
        <v>0.12</v>
      </c>
      <c r="E46" s="533">
        <v>0.03</v>
      </c>
      <c r="J46" s="16"/>
      <c r="K46" s="16"/>
      <c r="L46" s="16"/>
      <c r="M46" s="16"/>
      <c r="N46" s="16"/>
      <c r="O46" s="16"/>
      <c r="P46" s="16"/>
    </row>
    <row r="47" spans="1:16" x14ac:dyDescent="0.3">
      <c r="A47" s="3791"/>
      <c r="B47" s="519" t="s">
        <v>73</v>
      </c>
      <c r="D47" s="526">
        <v>0.12</v>
      </c>
      <c r="E47" s="533">
        <v>0.18</v>
      </c>
      <c r="J47" s="16"/>
      <c r="K47" s="16"/>
      <c r="L47" s="16"/>
      <c r="M47" s="16"/>
      <c r="N47" s="16"/>
      <c r="O47" s="16"/>
      <c r="P47" s="16"/>
    </row>
    <row r="48" spans="1:16" x14ac:dyDescent="0.3">
      <c r="A48" s="3791"/>
      <c r="B48" s="519" t="s">
        <v>359</v>
      </c>
      <c r="D48" s="526">
        <v>0.15</v>
      </c>
      <c r="E48" s="533">
        <v>0.55000000000000004</v>
      </c>
      <c r="J48" s="16"/>
      <c r="K48" s="16"/>
      <c r="L48" s="16"/>
      <c r="M48" s="16"/>
      <c r="N48" s="16"/>
      <c r="O48" s="16"/>
      <c r="P48" s="16"/>
    </row>
    <row r="49" spans="1:16" ht="15" thickBot="1" x14ac:dyDescent="0.35">
      <c r="A49" s="3792"/>
      <c r="B49" s="3793" t="s">
        <v>360</v>
      </c>
      <c r="C49" s="3793"/>
      <c r="D49" s="563">
        <f>SUM(D45:D48)</f>
        <v>0.42000000000000004</v>
      </c>
      <c r="E49" s="564">
        <f>SUM(E45:E48)</f>
        <v>0.8</v>
      </c>
      <c r="J49" s="16"/>
      <c r="K49" s="16"/>
      <c r="L49" s="16"/>
      <c r="M49" s="16"/>
      <c r="N49" s="16"/>
      <c r="O49" s="16"/>
      <c r="P49" s="16"/>
    </row>
    <row r="50" spans="1:16" x14ac:dyDescent="0.3">
      <c r="A50" s="3794" t="s">
        <v>361</v>
      </c>
      <c r="B50" s="530" t="s">
        <v>362</v>
      </c>
      <c r="C50" s="528"/>
      <c r="D50" s="524">
        <v>1.0900000000000001</v>
      </c>
      <c r="E50" s="539">
        <v>0.69</v>
      </c>
      <c r="J50" s="16"/>
      <c r="K50" s="16"/>
      <c r="L50" s="16"/>
      <c r="M50" s="16"/>
      <c r="N50" s="16"/>
      <c r="O50" s="16"/>
      <c r="P50" s="16"/>
    </row>
    <row r="51" spans="1:16" x14ac:dyDescent="0.3">
      <c r="A51" s="3795"/>
      <c r="B51" s="522" t="s">
        <v>363</v>
      </c>
      <c r="D51" s="526">
        <v>0.04</v>
      </c>
      <c r="E51" s="533">
        <v>0.02</v>
      </c>
    </row>
    <row r="52" spans="1:16" x14ac:dyDescent="0.3">
      <c r="A52" s="3795"/>
      <c r="B52" s="522" t="s">
        <v>364</v>
      </c>
      <c r="D52" s="526">
        <v>0</v>
      </c>
      <c r="E52" s="533">
        <v>0</v>
      </c>
    </row>
    <row r="53" spans="1:16" x14ac:dyDescent="0.3">
      <c r="A53" s="3795"/>
      <c r="B53" s="522" t="s">
        <v>365</v>
      </c>
      <c r="D53" s="526">
        <v>1.67</v>
      </c>
      <c r="E53" s="533">
        <v>1.6</v>
      </c>
    </row>
    <row r="54" spans="1:16" ht="15" thickBot="1" x14ac:dyDescent="0.35">
      <c r="A54" s="3795"/>
      <c r="B54" s="565" t="s">
        <v>366</v>
      </c>
      <c r="C54" s="566"/>
      <c r="D54" s="550">
        <f>SUM(D50:D53)</f>
        <v>2.8</v>
      </c>
      <c r="E54" s="567">
        <f>SUM(E50:E53)</f>
        <v>2.31</v>
      </c>
    </row>
    <row r="55" spans="1:16" x14ac:dyDescent="0.3">
      <c r="A55" s="3795"/>
      <c r="B55" s="522" t="s">
        <v>1</v>
      </c>
      <c r="D55" s="526">
        <v>0.2</v>
      </c>
      <c r="E55" s="533">
        <v>0.09</v>
      </c>
    </row>
    <row r="56" spans="1:16" x14ac:dyDescent="0.3">
      <c r="A56" s="3795"/>
      <c r="B56" s="522" t="s">
        <v>367</v>
      </c>
      <c r="D56" s="526">
        <v>2.4900000000000002</v>
      </c>
      <c r="E56" s="533">
        <v>1.53</v>
      </c>
    </row>
    <row r="57" spans="1:16" x14ac:dyDescent="0.3">
      <c r="A57" s="3795"/>
      <c r="B57" s="565" t="s">
        <v>368</v>
      </c>
      <c r="C57" s="566"/>
      <c r="D57" s="555">
        <f>D56+D55</f>
        <v>2.6900000000000004</v>
      </c>
      <c r="E57" s="568">
        <f>E56+E55</f>
        <v>1.62</v>
      </c>
    </row>
    <row r="58" spans="1:16" ht="15" thickBot="1" x14ac:dyDescent="0.35">
      <c r="A58" s="3796"/>
      <c r="B58" s="3797" t="s">
        <v>369</v>
      </c>
      <c r="C58" s="3798"/>
      <c r="D58" s="569">
        <f>D54+D57</f>
        <v>5.49</v>
      </c>
      <c r="E58" s="569">
        <f>E54+E57</f>
        <v>3.93</v>
      </c>
    </row>
    <row r="59" spans="1:16" x14ac:dyDescent="0.3">
      <c r="A59" s="3799" t="s">
        <v>370</v>
      </c>
      <c r="B59" s="530" t="s">
        <v>371</v>
      </c>
      <c r="C59" s="528"/>
      <c r="D59" s="524">
        <v>0.28000000000000003</v>
      </c>
      <c r="E59" s="539">
        <v>0.13</v>
      </c>
    </row>
    <row r="60" spans="1:16" ht="15" thickBot="1" x14ac:dyDescent="0.35">
      <c r="A60" s="3800"/>
      <c r="B60" s="3801" t="s">
        <v>372</v>
      </c>
      <c r="C60" s="3802"/>
      <c r="D60" s="570">
        <f>SUM(D59)</f>
        <v>0.28000000000000003</v>
      </c>
      <c r="E60" s="571">
        <f>SUM(E59)</f>
        <v>0.13</v>
      </c>
    </row>
    <row r="61" spans="1:16" x14ac:dyDescent="0.3">
      <c r="A61" s="3778" t="s">
        <v>373</v>
      </c>
      <c r="B61" s="530" t="s">
        <v>374</v>
      </c>
      <c r="C61" s="528"/>
      <c r="D61" s="524">
        <v>7.57</v>
      </c>
      <c r="E61" s="539">
        <v>0.74</v>
      </c>
      <c r="G61" s="519">
        <f>D60+D62+D64+D66</f>
        <v>10.89</v>
      </c>
    </row>
    <row r="62" spans="1:16" ht="15" thickBot="1" x14ac:dyDescent="0.35">
      <c r="A62" s="3779"/>
      <c r="B62" s="3780" t="s">
        <v>375</v>
      </c>
      <c r="C62" s="3781"/>
      <c r="D62" s="572">
        <f>SUM(D61)</f>
        <v>7.57</v>
      </c>
      <c r="E62" s="573">
        <f>SUM(E61)</f>
        <v>0.74</v>
      </c>
    </row>
    <row r="63" spans="1:16" x14ac:dyDescent="0.3">
      <c r="A63" s="3782" t="s">
        <v>376</v>
      </c>
      <c r="B63" s="530" t="s">
        <v>377</v>
      </c>
      <c r="C63" s="528"/>
      <c r="D63" s="524">
        <v>2.6</v>
      </c>
      <c r="E63" s="539">
        <v>4.03</v>
      </c>
    </row>
    <row r="64" spans="1:16" ht="15" thickBot="1" x14ac:dyDescent="0.35">
      <c r="A64" s="3783"/>
      <c r="B64" s="3784" t="s">
        <v>378</v>
      </c>
      <c r="C64" s="3785"/>
      <c r="D64" s="574">
        <f>SUM(D63)</f>
        <v>2.6</v>
      </c>
      <c r="E64" s="575">
        <f>SUM(E63)</f>
        <v>4.03</v>
      </c>
    </row>
    <row r="65" spans="1:5" x14ac:dyDescent="0.3">
      <c r="A65" s="3786" t="s">
        <v>379</v>
      </c>
      <c r="B65" s="522" t="s">
        <v>380</v>
      </c>
      <c r="D65" s="526">
        <v>0.44</v>
      </c>
      <c r="E65" s="533">
        <v>2.77</v>
      </c>
    </row>
    <row r="66" spans="1:5" ht="15" thickBot="1" x14ac:dyDescent="0.35">
      <c r="A66" s="3787"/>
      <c r="B66" s="3788" t="s">
        <v>381</v>
      </c>
      <c r="C66" s="3789"/>
      <c r="D66" s="576">
        <f>SUM(D65)</f>
        <v>0.44</v>
      </c>
      <c r="E66" s="577">
        <f>SUM(E65)</f>
        <v>2.77</v>
      </c>
    </row>
    <row r="67" spans="1:5" ht="15" thickBot="1" x14ac:dyDescent="0.35">
      <c r="A67" s="3775" t="s">
        <v>125</v>
      </c>
      <c r="B67" s="3776"/>
      <c r="C67" s="3777"/>
      <c r="D67" s="534">
        <f>D66+D64+D62+D60+D58+D49+D44+D40+D38+D35+D20+D16+D13</f>
        <v>100.00999999999999</v>
      </c>
      <c r="E67" s="578">
        <f>E66+E64+E62+E60+E58+E49+E44+E40+E38+E35+E20+E16+E13</f>
        <v>100.02</v>
      </c>
    </row>
  </sheetData>
  <autoFilter ref="A6:E6" xr:uid="{00000000-0009-0000-0000-00000F000000}"/>
  <mergeCells count="37">
    <mergeCell ref="L6:L8"/>
    <mergeCell ref="N6:N8"/>
    <mergeCell ref="O6:O8"/>
    <mergeCell ref="A7:A13"/>
    <mergeCell ref="B7:B9"/>
    <mergeCell ref="J7:J8"/>
    <mergeCell ref="B11:B12"/>
    <mergeCell ref="B13:C13"/>
    <mergeCell ref="A21:A35"/>
    <mergeCell ref="B21:B29"/>
    <mergeCell ref="B30:B34"/>
    <mergeCell ref="B35:C35"/>
    <mergeCell ref="K6:K8"/>
    <mergeCell ref="A14:A16"/>
    <mergeCell ref="B16:C16"/>
    <mergeCell ref="A17:A20"/>
    <mergeCell ref="B18:B19"/>
    <mergeCell ref="B20:C20"/>
    <mergeCell ref="A36:A38"/>
    <mergeCell ref="B38:C38"/>
    <mergeCell ref="A39:A40"/>
    <mergeCell ref="B40:C40"/>
    <mergeCell ref="A41:A44"/>
    <mergeCell ref="B44:C44"/>
    <mergeCell ref="A45:A49"/>
    <mergeCell ref="B49:C49"/>
    <mergeCell ref="A50:A58"/>
    <mergeCell ref="B58:C58"/>
    <mergeCell ref="A59:A60"/>
    <mergeCell ref="B60:C60"/>
    <mergeCell ref="A67:C67"/>
    <mergeCell ref="A61:A62"/>
    <mergeCell ref="B62:C62"/>
    <mergeCell ref="A63:A64"/>
    <mergeCell ref="B64:C64"/>
    <mergeCell ref="A65:A66"/>
    <mergeCell ref="B66:C6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C7ACBD4147C18468E625CC1D52F5310" ma:contentTypeVersion="16" ma:contentTypeDescription="Crear nuevo documento." ma:contentTypeScope="" ma:versionID="9080a5ade7a7c1e62571233ff92e2ff9">
  <xsd:schema xmlns:xsd="http://www.w3.org/2001/XMLSchema" xmlns:xs="http://www.w3.org/2001/XMLSchema" xmlns:p="http://schemas.microsoft.com/office/2006/metadata/properties" xmlns:ns2="c8e9c400-5973-45a4-8dc7-bd30cc704374" xmlns:ns3="df76c8ef-b560-42fb-9372-233ad004ec4c" targetNamespace="http://schemas.microsoft.com/office/2006/metadata/properties" ma:root="true" ma:fieldsID="bba5eeb923b7c7937c3f3a6659d4bd0d" ns2:_="" ns3:_="">
    <xsd:import namespace="c8e9c400-5973-45a4-8dc7-bd30cc704374"/>
    <xsd:import namespace="df76c8ef-b560-42fb-9372-233ad004ec4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lcf76f155ced4ddcb4097134ff3c332f" minOccurs="0"/>
                <xsd:element ref="ns3:TaxCatchAll"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e9c400-5973-45a4-8dc7-bd30cc7043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16238219-447f-418f-809f-6e2596424ee1"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76c8ef-b560-42fb-9372-233ad004ec4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c89a0dbc-1669-4d45-82d0-93190beba560}" ma:internalName="TaxCatchAll" ma:showField="CatchAllData" ma:web="df76c8ef-b560-42fb-9372-233ad004ec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W o r k b o o k S t a t e   x m l n s : i = " h t t p : / / w w w . w 3 . o r g / 2 0 0 1 / X M L S c h e m a - i n s t a n c e "   x m l n s = " h t t p : / / s c h e m a s . m i c r o s o f t . c o m / P o w e r B I A d d I n " > < L a s t P r o v i d e d R a n g e N a m e I d > 0 < / L a s t P r o v i d e d R a n g e N a m e I d > < L a s t U s e d G r o u p O b j e c t I d > < / L a s t U s e d G r o u p O b j e c t I d > < T i l e s L i s t > < T i l e s / > < / T i l e s L i s t > < / W o r k b o o k S t a t e > 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8e9c400-5973-45a4-8dc7-bd30cc704374">
      <Terms xmlns="http://schemas.microsoft.com/office/infopath/2007/PartnerControls"/>
    </lcf76f155ced4ddcb4097134ff3c332f>
    <TaxCatchAll xmlns="df76c8ef-b560-42fb-9372-233ad004ec4c"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E78A32-3686-4F29-A29B-6960FE0373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e9c400-5973-45a4-8dc7-bd30cc704374"/>
    <ds:schemaRef ds:uri="df76c8ef-b560-42fb-9372-233ad004ec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F304F4-3410-41E0-AF2C-335FFECB95CC}">
  <ds:schemaRefs>
    <ds:schemaRef ds:uri="http://schemas.microsoft.com/PowerBIAddIn"/>
  </ds:schemaRefs>
</ds:datastoreItem>
</file>

<file path=customXml/itemProps3.xml><?xml version="1.0" encoding="utf-8"?>
<ds:datastoreItem xmlns:ds="http://schemas.openxmlformats.org/officeDocument/2006/customXml" ds:itemID="{A084FFCA-1AE0-44C7-8E80-893BB9458365}">
  <ds:schemaRefs>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7662d74b-4a56-498c-a4a5-e62ec9f46192"/>
    <ds:schemaRef ds:uri="fd018530-b91a-4dc3-b550-b498b01ca37b"/>
    <ds:schemaRef ds:uri="http://www.w3.org/XML/1998/namespace"/>
    <ds:schemaRef ds:uri="http://purl.org/dc/dcmitype/"/>
    <ds:schemaRef ds:uri="http://purl.org/dc/terms/"/>
    <ds:schemaRef ds:uri="c8e9c400-5973-45a4-8dc7-bd30cc704374"/>
    <ds:schemaRef ds:uri="df76c8ef-b560-42fb-9372-233ad004ec4c"/>
  </ds:schemaRefs>
</ds:datastoreItem>
</file>

<file path=customXml/itemProps4.xml><?xml version="1.0" encoding="utf-8"?>
<ds:datastoreItem xmlns:ds="http://schemas.openxmlformats.org/officeDocument/2006/customXml" ds:itemID="{3AECC5E2-90FF-4A43-8602-F6E5035969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48</vt:i4>
      </vt:variant>
      <vt:variant>
        <vt:lpstr>Rangos con nombre</vt:lpstr>
      </vt:variant>
      <vt:variant>
        <vt:i4>7</vt:i4>
      </vt:variant>
    </vt:vector>
  </HeadingPairs>
  <TitlesOfParts>
    <vt:vector size="55" baseType="lpstr">
      <vt:lpstr>Gestion final Alava 21</vt:lpstr>
      <vt:lpstr>Gestion final Gipuzkoa 21</vt:lpstr>
      <vt:lpstr>Gestion final Bizkaia 21</vt:lpstr>
      <vt:lpstr>Gestion final CAPV 21</vt:lpstr>
      <vt:lpstr>Gestion final Alava 20</vt:lpstr>
      <vt:lpstr>Gestion final Gipuzkoa 20</vt:lpstr>
      <vt:lpstr>Gestion final Bizkaia 20</vt:lpstr>
      <vt:lpstr>Gestion final CAPV 20</vt:lpstr>
      <vt:lpstr>CaracterizacionZabalgarbi 18</vt:lpstr>
      <vt:lpstr>Chequeos</vt:lpstr>
      <vt:lpstr>Índice</vt:lpstr>
      <vt:lpstr>1.1</vt:lpstr>
      <vt:lpstr>2.1</vt:lpstr>
      <vt:lpstr>2.2</vt:lpstr>
      <vt:lpstr>2.3</vt:lpstr>
      <vt:lpstr>2.4</vt:lpstr>
      <vt:lpstr>3.1</vt:lpstr>
      <vt:lpstr>3.2</vt:lpstr>
      <vt:lpstr>3.3</vt:lpstr>
      <vt:lpstr>4.1</vt:lpstr>
      <vt:lpstr>4.2</vt:lpstr>
      <vt:lpstr>5.1</vt:lpstr>
      <vt:lpstr>5.2</vt:lpstr>
      <vt:lpstr>5.3</vt:lpstr>
      <vt:lpstr>5.4</vt:lpstr>
      <vt:lpstr>5.5</vt:lpstr>
      <vt:lpstr>5.6</vt:lpstr>
      <vt:lpstr>Prevención 2019</vt:lpstr>
      <vt:lpstr>Gestion final Araba 2018</vt:lpstr>
      <vt:lpstr>Gestion final Bizkaia 2018</vt:lpstr>
      <vt:lpstr>Gestion final Gipuzkoa 2018</vt:lpstr>
      <vt:lpstr>Gestion final CAPV 2018</vt:lpstr>
      <vt:lpstr>RAEE 19</vt:lpstr>
      <vt:lpstr>DATOS DFB 21</vt:lpstr>
      <vt:lpstr>DATOS DFG 21</vt:lpstr>
      <vt:lpstr>DATOS DFA 21</vt:lpstr>
      <vt:lpstr>DATOS DFB 20</vt:lpstr>
      <vt:lpstr>DATOS DFG 20</vt:lpstr>
      <vt:lpstr>DATOS DFA 20</vt:lpstr>
      <vt:lpstr>Datos DFB 19</vt:lpstr>
      <vt:lpstr>DATOS DFG 19</vt:lpstr>
      <vt:lpstr>DATOS DFG 18</vt:lpstr>
      <vt:lpstr>DFG 2018_2017</vt:lpstr>
      <vt:lpstr>DATOS DFA 2018</vt:lpstr>
      <vt:lpstr>Privados DFG 18</vt:lpstr>
      <vt:lpstr>Envases ligeros 18</vt:lpstr>
      <vt:lpstr>Recogidas Gipuzkoa 2019</vt:lpstr>
      <vt:lpstr>CMG1-19</vt:lpstr>
      <vt:lpstr>'1.1'!Área_de_impresión</vt:lpstr>
      <vt:lpstr>'2.1'!Área_de_impresión</vt:lpstr>
      <vt:lpstr>'2.2'!Área_de_impresión</vt:lpstr>
      <vt:lpstr>'2.3'!Área_de_impresión</vt:lpstr>
      <vt:lpstr>'2.4'!Área_de_impresión</vt:lpstr>
      <vt:lpstr>'4.2'!Área_de_impresión</vt:lpstr>
      <vt:lpstr>Índice!Área_de_impresión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Zigor García</dc:creator>
  <cp:lastModifiedBy>Lopez Carrasco, Diego</cp:lastModifiedBy>
  <cp:lastPrinted>2024-06-19T12:41:02Z</cp:lastPrinted>
  <dcterms:created xsi:type="dcterms:W3CDTF">2021-06-30T07:37:54Z</dcterms:created>
  <dcterms:modified xsi:type="dcterms:W3CDTF">2026-05-28T10:56:41Z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0x0101000C7ACBD4147C18468E625CC1D52F5310</vt:lpwstr>
  </property>
  <property fmtid="{D5CDD505-2E9C-101B-9397-08002B2CF9AE}" pid="3" name="MediaServiceImageTags">
    <vt:lpwstr/>
  </property>
</Properties>
</file>