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grupospri-my.sharepoint.com/personal/lizaguirre_spri_eus/Documents/Desktop/"/>
    </mc:Choice>
  </mc:AlternateContent>
  <xr:revisionPtr revIDLastSave="54" documentId="8_{53D1CA99-F6F0-4E1E-8BDD-2D049301F7A1}" xr6:coauthVersionLast="47" xr6:coauthVersionMax="47" xr10:uidLastSave="{55CB8560-2851-49BC-A1B4-96463812889E}"/>
  <bookViews>
    <workbookView xWindow="-28920" yWindow="-120" windowWidth="29040" windowHeight="15840" activeTab="1" xr2:uid="{00000000-000D-0000-FFFF-FFFF00000000}"/>
  </bookViews>
  <sheets>
    <sheet name="Instrucciones" sheetId="5" r:id="rId1"/>
    <sheet name="Datos Proyecto" sheetId="2" r:id="rId2"/>
    <sheet name="Factores de emisión" sheetId="3" r:id="rId3"/>
    <sheet name="Factores de emisión 2" sheetId="4" r:id="rId4"/>
  </sheets>
  <externalReferences>
    <externalReference r:id="rId5"/>
    <externalReference r:id="rId6"/>
  </externalReferences>
  <definedNames>
    <definedName name="bio_lenosos">'Factores de emisión'!$B$21:$B$27</definedName>
    <definedName name="Emisiones_evitadas_vidautil" localSheetId="0">'[1]Datos Proyecto'!$C$61</definedName>
    <definedName name="Emisiones_evitadas_vidautil">'Datos Proyecto'!$C$68</definedName>
    <definedName name="FactorEmisMixElecPeninsula" localSheetId="0">'[1]Factores de emisión'!$D$35</definedName>
    <definedName name="FactorEmisMixElecPeninsula">'Factores de emisión'!$D$35</definedName>
    <definedName name="gases">'Factores de emisión'!$B$3:$B$9</definedName>
    <definedName name="gestion_residuos">'Factores de emisión 2'!$H$5:$H$27</definedName>
    <definedName name="hidrogenos">'Factores de emisión'!$B$30:$B$31</definedName>
    <definedName name="materias_primas">'Factores de emisión 2'!$C$5:$C$111</definedName>
    <definedName name="otros_combustibles">'Factores de emisión'!$B$12:$B$19</definedName>
    <definedName name="_xlnm.Print_Area" localSheetId="0">Instrucciones!$A$1:$P$53</definedName>
    <definedName name="refrigerantes_y_otros">'Factores de emisión 2'!$M$5:$M$54</definedName>
    <definedName name="Subvención_solicitada" localSheetId="0">'[1]Datos Proyecto'!$C$63</definedName>
    <definedName name="Subvención_solicitada">'Datos Proyecto'!$C$70</definedName>
    <definedName name="Vida_util" localSheetId="0">'[1]Datos Proyecto'!$C$3</definedName>
    <definedName name="Vida_util">'Datos Proyecto'!$C$3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c r="E14" i="2"/>
  <c r="D14" i="2"/>
  <c r="E12" i="2"/>
  <c r="D12" i="2"/>
  <c r="M42" i="2" l="1"/>
  <c r="L42" i="2"/>
  <c r="I42" i="2"/>
  <c r="M39" i="2"/>
  <c r="L39" i="2"/>
  <c r="I39" i="2"/>
  <c r="H39" i="2"/>
  <c r="M37" i="2"/>
  <c r="L37" i="2"/>
  <c r="I37" i="2"/>
  <c r="H37" i="2"/>
  <c r="M22" i="2"/>
  <c r="L22" i="2"/>
  <c r="I22" i="2"/>
  <c r="H22" i="2"/>
  <c r="M26" i="2"/>
  <c r="L26" i="2"/>
  <c r="H25" i="2"/>
  <c r="D9" i="2" l="1"/>
  <c r="I59" i="2"/>
  <c r="I49" i="2"/>
  <c r="I35" i="2"/>
  <c r="I20" i="2"/>
  <c r="E57" i="2"/>
  <c r="E58" i="2"/>
  <c r="D57" i="2"/>
  <c r="D58" i="2"/>
  <c r="E56" i="2"/>
  <c r="D56" i="2"/>
  <c r="E47" i="2"/>
  <c r="E48" i="2"/>
  <c r="E46" i="2"/>
  <c r="D47" i="2"/>
  <c r="D48" i="2"/>
  <c r="D46" i="2"/>
  <c r="E33" i="2"/>
  <c r="E34" i="2"/>
  <c r="E32" i="2"/>
  <c r="D33" i="2"/>
  <c r="D34" i="2"/>
  <c r="D32" i="2"/>
  <c r="E111" i="4" l="1"/>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P54" i="4"/>
  <c r="O54" i="4"/>
  <c r="E54" i="4"/>
  <c r="P53" i="4"/>
  <c r="O53" i="4"/>
  <c r="E53" i="4"/>
  <c r="P52" i="4"/>
  <c r="O52" i="4"/>
  <c r="E52" i="4"/>
  <c r="P51" i="4"/>
  <c r="O51" i="4"/>
  <c r="E51" i="4"/>
  <c r="P50" i="4"/>
  <c r="O50" i="4"/>
  <c r="E50" i="4"/>
  <c r="P49" i="4"/>
  <c r="O49" i="4"/>
  <c r="E49" i="4"/>
  <c r="P48" i="4"/>
  <c r="O48" i="4"/>
  <c r="E48" i="4"/>
  <c r="P47" i="4"/>
  <c r="O47" i="4"/>
  <c r="E47" i="4"/>
  <c r="P46" i="4"/>
  <c r="O46" i="4"/>
  <c r="E46" i="4"/>
  <c r="P45" i="4"/>
  <c r="O45" i="4"/>
  <c r="E45" i="4"/>
  <c r="P44" i="4"/>
  <c r="O44" i="4"/>
  <c r="E44" i="4"/>
  <c r="P43" i="4"/>
  <c r="O43" i="4"/>
  <c r="E43" i="4"/>
  <c r="P42" i="4"/>
  <c r="O42" i="4"/>
  <c r="E42" i="4"/>
  <c r="P41" i="4"/>
  <c r="O41" i="4"/>
  <c r="E41" i="4"/>
  <c r="P40" i="4"/>
  <c r="O40" i="4"/>
  <c r="E40" i="4"/>
  <c r="P39" i="4"/>
  <c r="O39" i="4"/>
  <c r="E39" i="4"/>
  <c r="P38" i="4"/>
  <c r="O38" i="4"/>
  <c r="E38" i="4"/>
  <c r="P37" i="4"/>
  <c r="O37" i="4"/>
  <c r="E37" i="4"/>
  <c r="P36" i="4"/>
  <c r="O36" i="4"/>
  <c r="E36" i="4"/>
  <c r="P35" i="4"/>
  <c r="O35" i="4"/>
  <c r="E35" i="4"/>
  <c r="P34" i="4"/>
  <c r="O34" i="4"/>
  <c r="E34" i="4"/>
  <c r="P33" i="4"/>
  <c r="O33" i="4"/>
  <c r="E33" i="4"/>
  <c r="P32" i="4"/>
  <c r="O32" i="4"/>
  <c r="E32" i="4"/>
  <c r="O31" i="4"/>
  <c r="E31" i="4"/>
  <c r="O30" i="4"/>
  <c r="E30" i="4"/>
  <c r="O29" i="4"/>
  <c r="E29" i="4"/>
  <c r="O28" i="4"/>
  <c r="E28" i="4"/>
  <c r="O27" i="4"/>
  <c r="J27" i="4"/>
  <c r="E27" i="4"/>
  <c r="O26" i="4"/>
  <c r="J26" i="4"/>
  <c r="E26" i="4"/>
  <c r="O25" i="4"/>
  <c r="J25" i="4"/>
  <c r="E25" i="4"/>
  <c r="O24" i="4"/>
  <c r="J24" i="4"/>
  <c r="E24" i="4"/>
  <c r="O23" i="4"/>
  <c r="J23" i="4"/>
  <c r="E23" i="4"/>
  <c r="O22" i="4"/>
  <c r="J22" i="4"/>
  <c r="E22" i="4"/>
  <c r="O21" i="4"/>
  <c r="J21" i="4"/>
  <c r="E21" i="4"/>
  <c r="O20" i="4"/>
  <c r="J20" i="4"/>
  <c r="E20" i="4"/>
  <c r="O19" i="4"/>
  <c r="J19" i="4"/>
  <c r="E19" i="4"/>
  <c r="O18" i="4"/>
  <c r="J18" i="4"/>
  <c r="E18" i="4"/>
  <c r="O17" i="4"/>
  <c r="J17" i="4"/>
  <c r="E17" i="4"/>
  <c r="O16" i="4"/>
  <c r="J16" i="4"/>
  <c r="E16" i="4"/>
  <c r="O15" i="4"/>
  <c r="J15" i="4"/>
  <c r="E15" i="4"/>
  <c r="O14" i="4"/>
  <c r="J14" i="4"/>
  <c r="E14" i="4"/>
  <c r="O13" i="4"/>
  <c r="J13" i="4"/>
  <c r="E13" i="4"/>
  <c r="O12" i="4"/>
  <c r="J12" i="4"/>
  <c r="E12" i="4"/>
  <c r="O11" i="4"/>
  <c r="J11" i="4"/>
  <c r="E11" i="4"/>
  <c r="O10" i="4"/>
  <c r="J10" i="4"/>
  <c r="E10" i="4"/>
  <c r="O9" i="4"/>
  <c r="J9" i="4"/>
  <c r="E9" i="4"/>
  <c r="O8" i="4"/>
  <c r="J8" i="4"/>
  <c r="E8" i="4"/>
  <c r="O7" i="4"/>
  <c r="J7" i="4"/>
  <c r="E7" i="4"/>
  <c r="O6" i="4"/>
  <c r="J6" i="4"/>
  <c r="E6" i="4"/>
  <c r="O5" i="4"/>
  <c r="J5" i="4"/>
  <c r="E5" i="4"/>
  <c r="M59" i="2"/>
  <c r="L59" i="2"/>
  <c r="H59" i="2"/>
  <c r="M58" i="2"/>
  <c r="L58" i="2"/>
  <c r="H58" i="2"/>
  <c r="I58" i="2" s="1"/>
  <c r="M57" i="2"/>
  <c r="L57" i="2"/>
  <c r="H57" i="2"/>
  <c r="I57" i="2" s="1"/>
  <c r="M56" i="2"/>
  <c r="L56" i="2"/>
  <c r="H56" i="2"/>
  <c r="I56" i="2" s="1"/>
  <c r="M49" i="2"/>
  <c r="L49" i="2"/>
  <c r="H49" i="2"/>
  <c r="M48" i="2"/>
  <c r="L48" i="2"/>
  <c r="H48" i="2"/>
  <c r="I48" i="2" s="1"/>
  <c r="M47" i="2"/>
  <c r="L47" i="2"/>
  <c r="H47" i="2"/>
  <c r="I47" i="2" s="1"/>
  <c r="M46" i="2"/>
  <c r="L46" i="2"/>
  <c r="H46" i="2"/>
  <c r="I46" i="2" s="1"/>
  <c r="M35" i="2"/>
  <c r="L35" i="2"/>
  <c r="H35" i="2"/>
  <c r="M34" i="2"/>
  <c r="L34" i="2"/>
  <c r="H34" i="2"/>
  <c r="I34" i="2" s="1"/>
  <c r="M33" i="2"/>
  <c r="L33" i="2"/>
  <c r="H33" i="2"/>
  <c r="I33" i="2" s="1"/>
  <c r="M32" i="2"/>
  <c r="L32" i="2"/>
  <c r="H32" i="2"/>
  <c r="I32" i="2" s="1"/>
  <c r="E25" i="2"/>
  <c r="M20" i="2"/>
  <c r="L20" i="2"/>
  <c r="H20" i="2"/>
  <c r="M18" i="2"/>
  <c r="L18" i="2"/>
  <c r="H18" i="2"/>
  <c r="I18" i="2" s="1"/>
  <c r="E18" i="2"/>
  <c r="D18" i="2"/>
  <c r="H17" i="2"/>
  <c r="E17" i="2"/>
  <c r="D17" i="2"/>
  <c r="M15" i="2"/>
  <c r="L15" i="2"/>
  <c r="H15" i="2"/>
  <c r="I15" i="2" s="1"/>
  <c r="H14" i="2"/>
  <c r="M14" i="2"/>
  <c r="H12" i="2"/>
  <c r="L12" i="2"/>
  <c r="L10" i="2"/>
  <c r="H10" i="2"/>
  <c r="I10" i="2" s="1"/>
  <c r="E10" i="2"/>
  <c r="M10" i="2" s="1"/>
  <c r="D10" i="2"/>
  <c r="L9" i="2"/>
  <c r="H9" i="2"/>
  <c r="I9" i="2" s="1"/>
  <c r="E9" i="2"/>
  <c r="M9" i="2" s="1"/>
  <c r="H8" i="2"/>
  <c r="E8" i="2"/>
  <c r="D8" i="2"/>
  <c r="M25" i="2" l="1"/>
  <c r="I25" i="2"/>
  <c r="I17" i="2"/>
  <c r="M62" i="2"/>
  <c r="M17" i="2"/>
  <c r="L17" i="2"/>
  <c r="L14" i="2"/>
  <c r="I14" i="2"/>
  <c r="M12" i="2"/>
  <c r="I12" i="2"/>
  <c r="I52" i="2"/>
  <c r="I8" i="2"/>
  <c r="I28" i="2" s="1"/>
  <c r="L52" i="2"/>
  <c r="I62" i="2"/>
  <c r="L8" i="2"/>
  <c r="M8" i="2"/>
  <c r="L62" i="2"/>
  <c r="M52" i="2"/>
  <c r="L25" i="2"/>
  <c r="M28" i="2" l="1"/>
  <c r="L28" i="2"/>
  <c r="L66" i="2" s="1"/>
  <c r="M66" i="2"/>
  <c r="C65" i="2"/>
  <c r="J52" i="2"/>
  <c r="J62" i="2"/>
  <c r="J42" i="2"/>
  <c r="C67" i="2" l="1"/>
  <c r="C66" i="2"/>
  <c r="C68" i="2" s="1"/>
  <c r="C71" i="2" s="1"/>
  <c r="J28" i="2"/>
  <c r="E73" i="2"/>
</calcChain>
</file>

<file path=xl/sharedStrings.xml><?xml version="1.0" encoding="utf-8"?>
<sst xmlns="http://schemas.openxmlformats.org/spreadsheetml/2006/main" count="576" uniqueCount="284">
  <si>
    <t>CÁLCULO DE EMISIONES DE CO2</t>
  </si>
  <si>
    <t>Leyenda</t>
  </si>
  <si>
    <t>Vida útil de la nueva instalación en años (máximo 10 años)</t>
  </si>
  <si>
    <t>Escoger del desplegable</t>
  </si>
  <si>
    <t>Teclear valor</t>
  </si>
  <si>
    <t>Combustibles</t>
  </si>
  <si>
    <t>Factor de emisión</t>
  </si>
  <si>
    <t>Situación antes de la inversión</t>
  </si>
  <si>
    <t>Situación después de la inversión</t>
  </si>
  <si>
    <t>Diferencia</t>
  </si>
  <si>
    <t>kg CO2eq/año</t>
  </si>
  <si>
    <t>Escoger</t>
  </si>
  <si>
    <t>Unidad</t>
  </si>
  <si>
    <t xml:space="preserve"> kgCO2eq/unidad</t>
  </si>
  <si>
    <t>CONSUMO ANUAL</t>
  </si>
  <si>
    <t>EMISIONES EVITADAS</t>
  </si>
  <si>
    <t>EMISIONES INICIALES</t>
  </si>
  <si>
    <t>EMISIONES FINALES</t>
  </si>
  <si>
    <t>Gas</t>
  </si>
  <si>
    <t>Biocombustibles leñosos</t>
  </si>
  <si>
    <t>Otros combustibles</t>
  </si>
  <si>
    <t>Hidrógeno</t>
  </si>
  <si>
    <t>Combustibles no incluido en la lista: describa</t>
  </si>
  <si>
    <t>Origen de datos del factor de emisión (texto)</t>
  </si>
  <si>
    <t>Electricidad</t>
  </si>
  <si>
    <t>Mix eléctrico peninsular</t>
  </si>
  <si>
    <t>kWh</t>
  </si>
  <si>
    <t>TOTALES COMBUSTIBLES</t>
  </si>
  <si>
    <t>Total emisiones anuales evitadas kg CO2eq/año</t>
  </si>
  <si>
    <t>Materias Primas</t>
  </si>
  <si>
    <t>Materia prima</t>
  </si>
  <si>
    <t>Materia Prima no incluida en la lista: describa</t>
  </si>
  <si>
    <t>TOTALES MATERIAS PRIMAS</t>
  </si>
  <si>
    <t>Gestión de Residuos</t>
  </si>
  <si>
    <t>CANTIDAD ANUAL</t>
  </si>
  <si>
    <t>Gestión de Residuos no incluida en la lista: describa</t>
  </si>
  <si>
    <t>TOTALES VALORIZACIÓN RESIDUOS</t>
  </si>
  <si>
    <t>Refrigerantes y otros gases fluorados</t>
  </si>
  <si>
    <t>Refrigerantes y otros gases fluorados no incluida en la lista: describa</t>
  </si>
  <si>
    <t>TOTALES REFRIGERANTES</t>
  </si>
  <si>
    <t>Resultado</t>
  </si>
  <si>
    <t>EMISIONES INICIALES kg CO2eq/año</t>
  </si>
  <si>
    <t>EMISIONES FINALES kg CO2eq/año</t>
  </si>
  <si>
    <t>Emisiones evitadas de CO2eq/año</t>
  </si>
  <si>
    <t>t CO2eq/año</t>
  </si>
  <si>
    <t>TOTALES</t>
  </si>
  <si>
    <t>Total emisiones evitadas de CO2eq anuales en %</t>
  </si>
  <si>
    <t xml:space="preserve">% </t>
  </si>
  <si>
    <t>Total emisiones evitadas de CO2eq en la vida útil de la instalación</t>
  </si>
  <si>
    <t>t CO2eq</t>
  </si>
  <si>
    <t>Inversión presentada</t>
  </si>
  <si>
    <t>EUR</t>
  </si>
  <si>
    <t>Eficiencia de costes</t>
  </si>
  <si>
    <t>EUR/tCO2eq</t>
  </si>
  <si>
    <t>Cuanto menor sea la cifra resultante de €/tCO2eq, menos coste tiene la reducción de emisiones y más eficiente es por lo tanto la inversión prevista</t>
  </si>
  <si>
    <t>datos año 2022</t>
  </si>
  <si>
    <t>Factor de emisión kgCO2/unidad</t>
  </si>
  <si>
    <t>Gas natural</t>
  </si>
  <si>
    <t>kWhPCS</t>
  </si>
  <si>
    <t>Factor de emisión del gas natural expresado en kgCO2/kWhPCS (Poder Calorífico Superior). Para el paso de PCS a PCI se utiliza el factor de conversión de 0,901.</t>
  </si>
  <si>
    <t>LPG</t>
  </si>
  <si>
    <t>l</t>
  </si>
  <si>
    <t>Queroseno</t>
  </si>
  <si>
    <t>Gas propano</t>
  </si>
  <si>
    <t>kg</t>
  </si>
  <si>
    <t>Gas butano</t>
  </si>
  <si>
    <t>Gas manufacturado</t>
  </si>
  <si>
    <t>Biogás</t>
  </si>
  <si>
    <t>Gasóleo C</t>
  </si>
  <si>
    <t>Gasóleo B</t>
  </si>
  <si>
    <t>Fuelóleo</t>
  </si>
  <si>
    <t>Coque de petróleo</t>
  </si>
  <si>
    <t>Coque de carbón</t>
  </si>
  <si>
    <t>Hulla y antracita</t>
  </si>
  <si>
    <t>Hullas subituminosas</t>
  </si>
  <si>
    <t xml:space="preserve">La utilización de la biomasa (madera, pellets o biogás) como combustible se considera neutra en emisiones de CO2 al ser de origen biogénico pero sí producirá emisiones de CH4 y N2O. </t>
  </si>
  <si>
    <t>Biomasa madera</t>
  </si>
  <si>
    <t xml:space="preserve">Los factores de emisión de CO2 con independencia de su origen biogénico serían: para el biogás 1,369 kgCO2/kg, madera 1,617 kgCO2/kg, pellets 1,474 kgCO2/kg, astillas 1,680 kgCO2/kg, serrines 2,123 kgCO2/kg, cáscara de frutos secos 2,022 kgCO2/kg, hueso de aceituna 2,022 kgCO2/kg y carbón vegetal 3,0516 kgCO2/kg. </t>
  </si>
  <si>
    <t>Biomasa pellets</t>
  </si>
  <si>
    <t>Biomasa astillas</t>
  </si>
  <si>
    <t>Biomasa serrines virutas</t>
  </si>
  <si>
    <t>https://www.miteco.gob.es/content/dam/miteco/es/cambio-climatico/temas/mitigacion-politicas-y-medidas/factoresemision_tcm30-479095.pdf</t>
  </si>
  <si>
    <t>Biomasa cáscara frutos secos</t>
  </si>
  <si>
    <t>Biomasa hueso aceituna</t>
  </si>
  <si>
    <t>Carbón vegetal</t>
  </si>
  <si>
    <t>Hidrógeno gris</t>
  </si>
  <si>
    <t>COMMISSION DECISION of 27 April 2011 determining transitional Union-wide rules for harmonised free allocation of emission allowances pursuant to Article 10a of Directive 2003/87/EC of the European Parliament and of the Council</t>
  </si>
  <si>
    <t>Hidrógeno verde</t>
  </si>
  <si>
    <t>Electricidad mix peninsular</t>
  </si>
  <si>
    <t>https://www.ree.es/es/datos/generacion/no-renovables-detalle-emisiones-CO2</t>
  </si>
  <si>
    <t>MATERIAS PRIMAS</t>
  </si>
  <si>
    <t>GESTIÓN DE RESIDUOS</t>
  </si>
  <si>
    <t>Factor de emisión kgCO2e/unidad</t>
  </si>
  <si>
    <t>Factor de emisión tonCO2e/unidad</t>
  </si>
  <si>
    <t>Factor de emisión tonCO2/unidad</t>
  </si>
  <si>
    <t>Factor de emisión kgCO2/kg</t>
  </si>
  <si>
    <t>Mortero de cemento</t>
  </si>
  <si>
    <t xml:space="preserve">Reciclaje de dispositivo electrónico </t>
  </si>
  <si>
    <t>HFC-125</t>
  </si>
  <si>
    <t>gr</t>
  </si>
  <si>
    <t>Cemento</t>
  </si>
  <si>
    <t xml:space="preserve">Reciclaje de vidrio </t>
  </si>
  <si>
    <t>HFC-134</t>
  </si>
  <si>
    <t>Hormigón</t>
  </si>
  <si>
    <t>m3</t>
  </si>
  <si>
    <t xml:space="preserve">Reciclaje de papel </t>
  </si>
  <si>
    <t>HFC-134a</t>
  </si>
  <si>
    <t>Vidrio con capa de recubrimiento</t>
  </si>
  <si>
    <t>Reciclaje de cartón</t>
  </si>
  <si>
    <t>HFC-143</t>
  </si>
  <si>
    <t>Vidrio</t>
  </si>
  <si>
    <t xml:space="preserve">Reciclaje de residuo de plástico </t>
  </si>
  <si>
    <t>HFC-143a</t>
  </si>
  <si>
    <t>Aislamiento de lana de vidrio</t>
  </si>
  <si>
    <t xml:space="preserve">Reciclaje de madera </t>
  </si>
  <si>
    <t>HFC-152</t>
  </si>
  <si>
    <t>Grava</t>
  </si>
  <si>
    <t xml:space="preserve">Reciclaje de residuos inertes </t>
  </si>
  <si>
    <t>HFC-152a</t>
  </si>
  <si>
    <t>Panel de cartón yeso</t>
  </si>
  <si>
    <t xml:space="preserve">Reciclaje de metal </t>
  </si>
  <si>
    <t>HFC-161</t>
  </si>
  <si>
    <t>Caliza</t>
  </si>
  <si>
    <t>Tratamiento de bioresiduos</t>
  </si>
  <si>
    <t>HFC-227ea</t>
  </si>
  <si>
    <t>Acero de armadura</t>
  </si>
  <si>
    <t>Incineración de residuo peligroso</t>
  </si>
  <si>
    <t>HFC-23</t>
  </si>
  <si>
    <t>Teja</t>
  </si>
  <si>
    <t>Depósito de residuo peligroso</t>
  </si>
  <si>
    <t>HFC-236cb</t>
  </si>
  <si>
    <t>Arena</t>
  </si>
  <si>
    <t>Residuo inerte a vertedero</t>
  </si>
  <si>
    <t>HFC-236ea</t>
  </si>
  <si>
    <t>Cerámica</t>
  </si>
  <si>
    <t>Tratamiento de residuo sólido municipal</t>
  </si>
  <si>
    <t>HFC-236fa</t>
  </si>
  <si>
    <t>Lana de roca</t>
  </si>
  <si>
    <t xml:space="preserve">Dispositivo electrónico a vertedero o incineración </t>
  </si>
  <si>
    <t>HFC-245ca</t>
  </si>
  <si>
    <t>Batería de Litio</t>
  </si>
  <si>
    <t>Residuo de vidrio a vertedero</t>
  </si>
  <si>
    <t>HFC-32</t>
  </si>
  <si>
    <t>Batería de Cloruro de Sodio</t>
  </si>
  <si>
    <t xml:space="preserve">Residuo de papel a vertedero o incineración </t>
  </si>
  <si>
    <t>HFC-41</t>
  </si>
  <si>
    <t>Batería de níquel-metal hidruro</t>
  </si>
  <si>
    <t xml:space="preserve">Residuo de cartón a vertedero o incineración </t>
  </si>
  <si>
    <t>HFC-43-10mee</t>
  </si>
  <si>
    <t>Cable</t>
  </si>
  <si>
    <t>m</t>
  </si>
  <si>
    <t xml:space="preserve">Residuo de plástico a vertedero o incineración </t>
  </si>
  <si>
    <t>PFC-218</t>
  </si>
  <si>
    <t>Componente electrónico activo</t>
  </si>
  <si>
    <t xml:space="preserve">Residuo de madera a vertedero o incineración </t>
  </si>
  <si>
    <t>R-600</t>
  </si>
  <si>
    <t>Componente electrónico pasivo</t>
  </si>
  <si>
    <t>Tratamiento de aguas residuales</t>
  </si>
  <si>
    <t>R-600a</t>
  </si>
  <si>
    <t>Placa de circuito impreso</t>
  </si>
  <si>
    <t>Chatarra de aluminio a vertedero</t>
  </si>
  <si>
    <t>R-601</t>
  </si>
  <si>
    <t>Cartón</t>
  </si>
  <si>
    <t>Chatarra de cobre a vertedero</t>
  </si>
  <si>
    <t>R-601a</t>
  </si>
  <si>
    <t>Pallet</t>
  </si>
  <si>
    <t>unit</t>
  </si>
  <si>
    <t>Chatarra de acero a vertedero</t>
  </si>
  <si>
    <t>R-290</t>
  </si>
  <si>
    <t>Papel reciclado</t>
  </si>
  <si>
    <t>HFO-1234yf</t>
  </si>
  <si>
    <t>Vidrio de embalaje</t>
  </si>
  <si>
    <t>Fuente: Ihobe, Sociedad Pública de Gestión Ambiental de Gobierno Vasco, 2018. Factores de caracterización basados en Ecoinvent 3.3, modificado para las condiciones particulares de Euskadi.</t>
  </si>
  <si>
    <t>Metano</t>
  </si>
  <si>
    <t>Papel</t>
  </si>
  <si>
    <t>Óxido nitroso  </t>
  </si>
  <si>
    <t>Tablero de fibra de densidad media (tablero MDF)</t>
  </si>
  <si>
    <t>SF6</t>
  </si>
  <si>
    <t>Tablero virutas orientadas (tablero OSB)</t>
  </si>
  <si>
    <t>R-407A</t>
  </si>
  <si>
    <t>Tablero de partículas</t>
  </si>
  <si>
    <t>R-407B</t>
  </si>
  <si>
    <t>Contrachapado</t>
  </si>
  <si>
    <t>R-407C</t>
  </si>
  <si>
    <t>Madera de frondosa</t>
  </si>
  <si>
    <t>R-407F</t>
  </si>
  <si>
    <t>Madera de conífera</t>
  </si>
  <si>
    <t>R-410A</t>
  </si>
  <si>
    <t>Tablero laminado de madera</t>
  </si>
  <si>
    <t>R-410B</t>
  </si>
  <si>
    <t>Aluminio aleado</t>
  </si>
  <si>
    <t>R-413A</t>
  </si>
  <si>
    <t>Chatarra de aluminio</t>
  </si>
  <si>
    <t>R-417A</t>
  </si>
  <si>
    <t>Chatarra de aluminio (postconsumo)</t>
  </si>
  <si>
    <t>R-417B</t>
  </si>
  <si>
    <t>Aleación fundida de Aluminio</t>
  </si>
  <si>
    <t>R-422A</t>
  </si>
  <si>
    <t>Aluminio</t>
  </si>
  <si>
    <t>R-422D</t>
  </si>
  <si>
    <t>Latón</t>
  </si>
  <si>
    <t>R-424A</t>
  </si>
  <si>
    <t>Bronce</t>
  </si>
  <si>
    <t>R-426A</t>
  </si>
  <si>
    <t>Hierro colado</t>
  </si>
  <si>
    <t>R-427A</t>
  </si>
  <si>
    <t>Cobre</t>
  </si>
  <si>
    <t>R-428A</t>
  </si>
  <si>
    <t>Chatarra de cobre</t>
  </si>
  <si>
    <t>R-434A</t>
  </si>
  <si>
    <t>Oro</t>
  </si>
  <si>
    <t>R-437A</t>
  </si>
  <si>
    <t>Plomo</t>
  </si>
  <si>
    <t>R-438A</t>
  </si>
  <si>
    <t>Chatarra de plomo</t>
  </si>
  <si>
    <t>R-442A</t>
  </si>
  <si>
    <t>Níquel</t>
  </si>
  <si>
    <t>R-449A</t>
  </si>
  <si>
    <t>Arrabio</t>
  </si>
  <si>
    <t>R-452A</t>
  </si>
  <si>
    <t>Plata</t>
  </si>
  <si>
    <t>R-453A</t>
  </si>
  <si>
    <t>Acero inoxidable mix</t>
  </si>
  <si>
    <t>R-507A</t>
  </si>
  <si>
    <t>Acero inoxidable virgen</t>
  </si>
  <si>
    <t>Acero inoxidable reciclado</t>
  </si>
  <si>
    <t>https://www.ipcc.ch/site/assets/uploads/2018/02/WG1AR5_Chapter08_FINAL.pdf</t>
  </si>
  <si>
    <t>Acero mix</t>
  </si>
  <si>
    <t>Acero Virgen</t>
  </si>
  <si>
    <t>Acero reciclado</t>
  </si>
  <si>
    <t>Estaño</t>
  </si>
  <si>
    <t>Titanio</t>
  </si>
  <si>
    <t>Cinc</t>
  </si>
  <si>
    <t>Acrilonitrilo butadieno estireno (ABS)</t>
  </si>
  <si>
    <t>Fibra de vidrio/inyectado</t>
  </si>
  <si>
    <t>Fibra de vidrio/moldeo manual</t>
  </si>
  <si>
    <t>Fibra de vidrio</t>
  </si>
  <si>
    <t>Nylon 6</t>
  </si>
  <si>
    <t>Nylon 6-6</t>
  </si>
  <si>
    <t>Polibutadieno</t>
  </si>
  <si>
    <t>Policarbonato</t>
  </si>
  <si>
    <t>Resina de poliéster</t>
  </si>
  <si>
    <t>Poliéster</t>
  </si>
  <si>
    <t>Tereftalato de polietileno (PET)</t>
  </si>
  <si>
    <t>Polietileno de alta densidad (HDPE)</t>
  </si>
  <si>
    <t>Polietileno de baja densidad (LDPE)</t>
  </si>
  <si>
    <t>Espuma de polímero</t>
  </si>
  <si>
    <t>Polipropileno</t>
  </si>
  <si>
    <t>Poliestireno</t>
  </si>
  <si>
    <t>Espuma de poliuretano</t>
  </si>
  <si>
    <t>Policloruro de vinilo (PVC)</t>
  </si>
  <si>
    <t>Estireno acrilonitrilo (SAN)</t>
  </si>
  <si>
    <t>Acetileno</t>
  </si>
  <si>
    <t>Pegamento acrílico</t>
  </si>
  <si>
    <t>Barniz</t>
  </si>
  <si>
    <t>Adhesivo industrial</t>
  </si>
  <si>
    <t>Pintura</t>
  </si>
  <si>
    <t>Pintura en base agua</t>
  </si>
  <si>
    <t>Amoniaco</t>
  </si>
  <si>
    <t>Argón</t>
  </si>
  <si>
    <t>Cadmio</t>
  </si>
  <si>
    <t>Químico inorgánico</t>
  </si>
  <si>
    <t>Químico orgánico</t>
  </si>
  <si>
    <t>Resina epoxi</t>
  </si>
  <si>
    <t>Etilen glicol</t>
  </si>
  <si>
    <t>Etilvinilacetato (goma EVA)</t>
  </si>
  <si>
    <t>Grafito</t>
  </si>
  <si>
    <t>Aceite lubricante</t>
  </si>
  <si>
    <t>Resina de melamina formaldehído</t>
  </si>
  <si>
    <t>Oxigeno</t>
  </si>
  <si>
    <t>Resina fenólica</t>
  </si>
  <si>
    <t>Caucho natural</t>
  </si>
  <si>
    <t>Disolvente orgánico</t>
  </si>
  <si>
    <t>Hexafluoruro de azufre (SF6)</t>
  </si>
  <si>
    <t>Azufre</t>
  </si>
  <si>
    <t>Ácido sulfúrico</t>
  </si>
  <si>
    <t>Caucho sintético</t>
  </si>
  <si>
    <t>Agua corriente</t>
  </si>
  <si>
    <t>Resina de urea-formaldehído</t>
  </si>
  <si>
    <t>Algodón</t>
  </si>
  <si>
    <t>Tejido de algodón</t>
  </si>
  <si>
    <t>Viscosa</t>
  </si>
  <si>
    <t>Electricidad Renovable Baja Tensión 2022</t>
  </si>
  <si>
    <t>Gasolina (E5)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</si>
</sst>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0.000"/>
    <numFmt numFmtId="165" formatCode="0.000000"/>
    <numFmt numFmtId="166" formatCode="0.0000"/>
    <numFmt numFmtId="167" formatCode="0.0000000"/>
    <numFmt numFmtId="168" formatCode="0.00_ ;[Red]\-0.00\ "/>
    <numFmt numFmtId="169" formatCode="0.000_ ;[Red]\-0.000\ "/>
    <numFmt numFmtId="170" formatCode="#,##0.00_ ;[Red]\-#,##0.00\ "/>
    <numFmt numFmtId="171" formatCode="#,##0.000"/>
    <numFmt numFmtId="172" formatCode="#,##0.000_ ;[Red]\-#,##0.000\ "/>
    <numFmt numFmtId="173" formatCode="0.000E+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u/>
      <sz val="11"/>
      <name val="Calibri"/>
      <family val="2"/>
      <scheme val="minor"/>
    </font>
    <font>
      <b/>
      <sz val="12"/>
      <color theme="1"/>
      <name val="Calibri"/>
      <family val="2"/>
      <scheme val="minor"/>
    </font>
    <font>
      <b/>
      <sz val="11"/>
      <color rgb="FFFF0000"/>
      <name val="Calibri"/>
      <family val="2"/>
      <scheme val="minor"/>
    </font>
    <font>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s>
  <cellStyleXfs count="4">
    <xf numFmtId="0" fontId="0" fillId="0" borderId="0"/>
    <xf numFmtId="44" fontId="1" fillId="0" borderId="0"/>
    <xf numFmtId="0" fontId="6" fillId="0" borderId="0"/>
    <xf numFmtId="9" fontId="1" fillId="0" borderId="0"/>
  </cellStyleXfs>
  <cellXfs count="165">
    <xf numFmtId="0" fontId="0" fillId="0" borderId="0" xfId="0"/>
    <xf numFmtId="4" fontId="0" fillId="3" borderId="5" xfId="0" applyNumberFormat="1" applyFill="1" applyBorder="1" applyProtection="1">
      <protection locked="0"/>
    </xf>
    <xf numFmtId="0" fontId="0" fillId="2" borderId="5" xfId="0" applyFill="1" applyBorder="1" applyProtection="1">
      <protection locked="0"/>
    </xf>
    <xf numFmtId="0" fontId="0" fillId="2" borderId="7" xfId="0" applyFill="1" applyBorder="1" applyProtection="1">
      <protection locked="0"/>
    </xf>
    <xf numFmtId="4" fontId="0" fillId="3" borderId="7" xfId="0" applyNumberFormat="1" applyFill="1" applyBorder="1" applyProtection="1">
      <protection locked="0"/>
    </xf>
    <xf numFmtId="0" fontId="0" fillId="2" borderId="12" xfId="0" applyFill="1" applyBorder="1" applyProtection="1">
      <protection locked="0"/>
    </xf>
    <xf numFmtId="4" fontId="0" fillId="3" borderId="12" xfId="0" applyNumberFormat="1" applyFill="1" applyBorder="1" applyProtection="1">
      <protection locked="0"/>
    </xf>
    <xf numFmtId="0" fontId="0" fillId="2" borderId="14" xfId="0" applyFill="1" applyBorder="1" applyProtection="1">
      <protection locked="0"/>
    </xf>
    <xf numFmtId="4" fontId="0" fillId="3" borderId="14" xfId="0" applyNumberFormat="1" applyFill="1" applyBorder="1" applyProtection="1">
      <protection locked="0"/>
    </xf>
    <xf numFmtId="0" fontId="0" fillId="3" borderId="7" xfId="0" applyFill="1" applyBorder="1" applyProtection="1">
      <protection locked="0"/>
    </xf>
    <xf numFmtId="0" fontId="0" fillId="3" borderId="7" xfId="0" applyFill="1" applyBorder="1" applyAlignment="1" applyProtection="1">
      <alignment horizontal="left"/>
      <protection locked="0"/>
    </xf>
    <xf numFmtId="164" fontId="0" fillId="3" borderId="7" xfId="0" applyNumberFormat="1" applyFill="1" applyBorder="1" applyAlignment="1" applyProtection="1">
      <alignment horizontal="center"/>
      <protection locked="0"/>
    </xf>
    <xf numFmtId="0" fontId="0" fillId="3" borderId="12" xfId="0" applyFill="1" applyBorder="1" applyProtection="1">
      <protection locked="0"/>
    </xf>
    <xf numFmtId="0" fontId="0" fillId="2" borderId="22" xfId="0" applyFill="1" applyBorder="1" applyProtection="1">
      <protection locked="0"/>
    </xf>
    <xf numFmtId="4" fontId="0" fillId="3" borderId="22" xfId="0" applyNumberFormat="1" applyFill="1" applyBorder="1" applyProtection="1">
      <protection locked="0"/>
    </xf>
    <xf numFmtId="0" fontId="0" fillId="2" borderId="7"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4" fontId="0" fillId="3" borderId="28" xfId="0" applyNumberFormat="1" applyFill="1" applyBorder="1" applyProtection="1">
      <protection locked="0"/>
    </xf>
    <xf numFmtId="0" fontId="0" fillId="3" borderId="20" xfId="0" applyFill="1" applyBorder="1" applyProtection="1">
      <protection locked="0"/>
    </xf>
    <xf numFmtId="0" fontId="0" fillId="3" borderId="19" xfId="0" applyFill="1" applyBorder="1" applyProtection="1">
      <protection locked="0"/>
    </xf>
    <xf numFmtId="0" fontId="9" fillId="0" borderId="0" xfId="0" applyFont="1"/>
    <xf numFmtId="0" fontId="10" fillId="3" borderId="0" xfId="0" applyFont="1" applyFill="1" applyAlignment="1">
      <alignment horizontal="center" vertical="center" wrapText="1"/>
    </xf>
    <xf numFmtId="0" fontId="9" fillId="0" borderId="0" xfId="0" applyFont="1" applyAlignment="1">
      <alignment horizontal="center" vertical="center" wrapText="1"/>
    </xf>
    <xf numFmtId="0" fontId="9" fillId="0" borderId="5" xfId="0" applyFont="1" applyBorder="1"/>
    <xf numFmtId="164" fontId="0" fillId="0" borderId="5" xfId="0" applyNumberFormat="1" applyBorder="1" applyAlignment="1">
      <alignment horizontal="center" vertical="center" wrapText="1"/>
    </xf>
    <xf numFmtId="0" fontId="6" fillId="0" borderId="0" xfId="2"/>
    <xf numFmtId="0" fontId="0" fillId="0" borderId="5" xfId="0" applyBorder="1" applyAlignment="1">
      <alignment horizontal="center" vertical="center" wrapText="1"/>
    </xf>
    <xf numFmtId="0" fontId="9" fillId="0" borderId="5" xfId="0" applyFont="1" applyBorder="1" applyAlignment="1">
      <alignment horizontal="center" vertical="center" wrapText="1"/>
    </xf>
    <xf numFmtId="0" fontId="11" fillId="0" borderId="0" xfId="2" applyFont="1"/>
    <xf numFmtId="0" fontId="2" fillId="0" borderId="0" xfId="0" applyFont="1"/>
    <xf numFmtId="0" fontId="0" fillId="0" borderId="0" xfId="0" applyAlignment="1">
      <alignment horizontal="center" vertical="center" wrapText="1"/>
    </xf>
    <xf numFmtId="0" fontId="9" fillId="0" borderId="5" xfId="0" applyFont="1" applyBorder="1" applyAlignment="1">
      <alignment horizontal="center"/>
    </xf>
    <xf numFmtId="165" fontId="0" fillId="0" borderId="5" xfId="0" applyNumberFormat="1" applyBorder="1" applyAlignment="1">
      <alignment horizontal="center" vertical="center" wrapText="1"/>
    </xf>
    <xf numFmtId="2" fontId="0" fillId="0" borderId="5" xfId="0" applyNumberFormat="1" applyBorder="1" applyAlignment="1">
      <alignment horizontal="center" vertical="center" wrapText="1"/>
    </xf>
    <xf numFmtId="164" fontId="9" fillId="0" borderId="5" xfId="0" applyNumberFormat="1" applyFont="1" applyBorder="1" applyAlignment="1">
      <alignment horizontal="center" vertical="center" wrapText="1"/>
    </xf>
    <xf numFmtId="2" fontId="9" fillId="0" borderId="5" xfId="0" applyNumberFormat="1" applyFont="1" applyBorder="1" applyAlignment="1">
      <alignment horizontal="center" vertical="center" wrapText="1"/>
    </xf>
    <xf numFmtId="166" fontId="0" fillId="0" borderId="5" xfId="0" applyNumberFormat="1" applyBorder="1" applyAlignment="1">
      <alignment horizontal="center" vertical="center" wrapText="1"/>
    </xf>
    <xf numFmtId="167" fontId="0" fillId="0" borderId="5" xfId="0" applyNumberFormat="1" applyBorder="1" applyAlignment="1">
      <alignment horizontal="center" vertical="center" wrapText="1"/>
    </xf>
    <xf numFmtId="0" fontId="2" fillId="0" borderId="0" xfId="0" applyFont="1" applyAlignment="1">
      <alignment horizontal="center" vertical="center" wrapText="1"/>
    </xf>
    <xf numFmtId="0" fontId="8" fillId="3" borderId="1" xfId="0" applyFont="1" applyFill="1" applyBorder="1" applyAlignment="1" applyProtection="1">
      <alignment horizontal="center" vertical="center" wrapText="1"/>
      <protection locked="0"/>
    </xf>
    <xf numFmtId="0" fontId="0" fillId="4" borderId="0" xfId="0" applyFill="1"/>
    <xf numFmtId="0" fontId="3" fillId="0" borderId="0" xfId="0" applyFont="1"/>
    <xf numFmtId="0" fontId="5" fillId="0" borderId="1" xfId="0" applyFont="1" applyBorder="1" applyAlignment="1">
      <alignment horizontal="center" vertical="center" wrapText="1"/>
    </xf>
    <xf numFmtId="0" fontId="0" fillId="0" borderId="3" xfId="0" applyBorder="1"/>
    <xf numFmtId="0" fontId="4" fillId="2"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xf numFmtId="0" fontId="0" fillId="0" borderId="7" xfId="0" applyBorder="1" applyAlignment="1">
      <alignment horizontal="left"/>
    </xf>
    <xf numFmtId="0" fontId="0" fillId="0" borderId="7" xfId="0" applyBorder="1" applyAlignment="1">
      <alignment horizontal="center"/>
    </xf>
    <xf numFmtId="168" fontId="2" fillId="0" borderId="0" xfId="0" applyNumberFormat="1"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xf numFmtId="0" fontId="0" fillId="0" borderId="5" xfId="0" applyBorder="1" applyAlignment="1">
      <alignment horizontal="left"/>
    </xf>
    <xf numFmtId="0" fontId="0" fillId="0" borderId="5" xfId="0" applyBorder="1" applyAlignment="1">
      <alignment horizontal="center"/>
    </xf>
    <xf numFmtId="168" fontId="0" fillId="0" borderId="0" xfId="0" applyNumberFormat="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xf numFmtId="0" fontId="0" fillId="0" borderId="12" xfId="0" applyBorder="1" applyAlignment="1">
      <alignment horizontal="left"/>
    </xf>
    <xf numFmtId="0" fontId="0" fillId="0" borderId="12" xfId="0" applyBorder="1" applyAlignment="1">
      <alignment horizontal="center"/>
    </xf>
    <xf numFmtId="0" fontId="0" fillId="0" borderId="0" xfId="0" applyAlignment="1">
      <alignment horizontal="left"/>
    </xf>
    <xf numFmtId="4" fontId="0" fillId="0" borderId="0" xfId="0" applyNumberFormat="1"/>
    <xf numFmtId="170" fontId="0" fillId="0" borderId="0" xfId="0" applyNumberFormat="1"/>
    <xf numFmtId="0" fontId="3" fillId="0" borderId="3" xfId="0" applyFont="1" applyBorder="1" applyAlignment="1">
      <alignment horizontal="center" vertical="center" wrapText="1"/>
    </xf>
    <xf numFmtId="0" fontId="3" fillId="0" borderId="14" xfId="0" applyFont="1" applyBorder="1"/>
    <xf numFmtId="0" fontId="0" fillId="0" borderId="14" xfId="0" applyBorder="1" applyAlignment="1">
      <alignment horizontal="left"/>
    </xf>
    <xf numFmtId="0" fontId="0" fillId="0" borderId="14" xfId="0" applyBorder="1" applyAlignment="1">
      <alignment horizont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2" xfId="0" applyFont="1" applyBorder="1"/>
    <xf numFmtId="0" fontId="0" fillId="0" borderId="22" xfId="0" applyBorder="1" applyAlignment="1">
      <alignment horizontal="left"/>
    </xf>
    <xf numFmtId="0" fontId="0" fillId="0" borderId="22" xfId="0" applyBorder="1" applyAlignment="1">
      <alignment horizontal="center"/>
    </xf>
    <xf numFmtId="0" fontId="0" fillId="0" borderId="16" xfId="0" applyBorder="1" applyAlignment="1">
      <alignment horizontal="left"/>
    </xf>
    <xf numFmtId="0" fontId="0" fillId="0" borderId="16" xfId="0" applyBorder="1"/>
    <xf numFmtId="4" fontId="0" fillId="0" borderId="16" xfId="0" applyNumberFormat="1" applyBorder="1"/>
    <xf numFmtId="0" fontId="0" fillId="4" borderId="14" xfId="0" applyFill="1" applyBorder="1"/>
    <xf numFmtId="164" fontId="0" fillId="0" borderId="14" xfId="0" applyNumberFormat="1" applyBorder="1" applyAlignment="1">
      <alignment horizontal="center"/>
    </xf>
    <xf numFmtId="169" fontId="0" fillId="0" borderId="0" xfId="0" applyNumberFormat="1"/>
    <xf numFmtId="0" fontId="7" fillId="0" borderId="3" xfId="0" applyFont="1" applyBorder="1"/>
    <xf numFmtId="0" fontId="7" fillId="0" borderId="18" xfId="0" applyFont="1" applyBorder="1"/>
    <xf numFmtId="0" fontId="8" fillId="0" borderId="18" xfId="0" applyFont="1" applyBorder="1" applyAlignment="1">
      <alignment horizontal="right"/>
    </xf>
    <xf numFmtId="169" fontId="8" fillId="4" borderId="15" xfId="0" applyNumberFormat="1" applyFont="1" applyFill="1" applyBorder="1"/>
    <xf numFmtId="0" fontId="7" fillId="0" borderId="0" xfId="0" applyFont="1"/>
    <xf numFmtId="169" fontId="0" fillId="0" borderId="0" xfId="0" applyNumberFormat="1" applyAlignment="1">
      <alignment horizontal="center" wrapText="1"/>
    </xf>
    <xf numFmtId="0" fontId="0" fillId="0" borderId="0" xfId="0" applyAlignment="1">
      <alignment horizontal="center" wrapText="1"/>
    </xf>
    <xf numFmtId="0" fontId="0" fillId="0" borderId="7" xfId="0" applyBorder="1" applyAlignment="1">
      <alignment horizontal="center" vertical="center" wrapText="1"/>
    </xf>
    <xf numFmtId="169" fontId="0" fillId="4" borderId="20" xfId="0" applyNumberFormat="1" applyFill="1" applyBorder="1" applyAlignment="1">
      <alignment horizontal="center" vertical="center" wrapText="1"/>
    </xf>
    <xf numFmtId="169" fontId="0" fillId="4" borderId="8" xfId="0" applyNumberFormat="1" applyFill="1" applyBorder="1" applyAlignment="1">
      <alignment horizontal="center" vertical="center" wrapText="1"/>
    </xf>
    <xf numFmtId="169" fontId="0" fillId="4" borderId="27" xfId="0" applyNumberFormat="1" applyFill="1" applyBorder="1" applyAlignment="1">
      <alignment horizontal="center" vertical="center" wrapText="1"/>
    </xf>
    <xf numFmtId="169" fontId="0" fillId="4" borderId="10" xfId="0" applyNumberFormat="1" applyFill="1" applyBorder="1" applyAlignment="1">
      <alignment horizontal="center" vertical="center" wrapText="1"/>
    </xf>
    <xf numFmtId="169" fontId="0" fillId="4" borderId="21" xfId="0" applyNumberFormat="1" applyFill="1" applyBorder="1" applyAlignment="1">
      <alignment horizontal="center" vertical="center" wrapText="1"/>
    </xf>
    <xf numFmtId="169" fontId="0" fillId="4" borderId="15" xfId="0" applyNumberFormat="1" applyFill="1" applyBorder="1" applyAlignment="1">
      <alignment horizontal="center" vertical="center" wrapText="1"/>
    </xf>
    <xf numFmtId="0" fontId="0" fillId="0" borderId="12" xfId="0" applyBorder="1"/>
    <xf numFmtId="4" fontId="0" fillId="0" borderId="12" xfId="0" applyNumberFormat="1" applyBorder="1"/>
    <xf numFmtId="170" fontId="0" fillId="0" borderId="12" xfId="0" applyNumberFormat="1" applyBorder="1"/>
    <xf numFmtId="169" fontId="0" fillId="0" borderId="13" xfId="0" applyNumberFormat="1" applyBorder="1"/>
    <xf numFmtId="169" fontId="3" fillId="0" borderId="1" xfId="0" applyNumberFormat="1" applyFont="1" applyBorder="1" applyAlignment="1">
      <alignment horizontal="center" vertical="center" wrapText="1"/>
    </xf>
    <xf numFmtId="0" fontId="13" fillId="0" borderId="0" xfId="0" applyFont="1"/>
    <xf numFmtId="0" fontId="10" fillId="0" borderId="0" xfId="0" applyFont="1" applyAlignment="1">
      <alignment horizontal="center"/>
    </xf>
    <xf numFmtId="0" fontId="3" fillId="0" borderId="26" xfId="0" applyFont="1" applyBorder="1"/>
    <xf numFmtId="0" fontId="2" fillId="0" borderId="0" xfId="0" applyFont="1" applyAlignment="1">
      <alignment horizontal="left"/>
    </xf>
    <xf numFmtId="0" fontId="10" fillId="0" borderId="1" xfId="0" applyFont="1" applyBorder="1" applyAlignment="1">
      <alignment horizontal="center" vertical="center"/>
    </xf>
    <xf numFmtId="0" fontId="10" fillId="0" borderId="30" xfId="0" applyFont="1" applyBorder="1"/>
    <xf numFmtId="0" fontId="3" fillId="0" borderId="31" xfId="0" applyFont="1" applyBorder="1"/>
    <xf numFmtId="0" fontId="8" fillId="0" borderId="0" xfId="0" applyFont="1" applyAlignment="1">
      <alignment horizontal="right"/>
    </xf>
    <xf numFmtId="0" fontId="12" fillId="0" borderId="20" xfId="0" applyFont="1" applyBorder="1" applyAlignment="1">
      <alignment horizontal="center" vertical="center" wrapText="1"/>
    </xf>
    <xf numFmtId="169" fontId="12" fillId="4" borderId="7"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0" fontId="12" fillId="0" borderId="19" xfId="0" applyFont="1" applyBorder="1" applyAlignment="1">
      <alignment horizontal="center" vertical="center" wrapText="1"/>
    </xf>
    <xf numFmtId="169" fontId="12" fillId="4" borderId="12" xfId="0" applyNumberFormat="1" applyFont="1" applyFill="1" applyBorder="1" applyAlignment="1">
      <alignment horizontal="center" vertical="center" wrapText="1"/>
    </xf>
    <xf numFmtId="0" fontId="14" fillId="0" borderId="13" xfId="0" applyFont="1" applyBorder="1" applyAlignment="1">
      <alignment horizontal="center" vertical="center" wrapText="1"/>
    </xf>
    <xf numFmtId="0" fontId="0" fillId="0" borderId="1" xfId="0" applyBorder="1" applyAlignment="1">
      <alignment horizontal="center" vertical="center" wrapText="1"/>
    </xf>
    <xf numFmtId="169" fontId="0" fillId="0" borderId="1" xfId="0" applyNumberFormat="1" applyBorder="1" applyAlignment="1">
      <alignment horizontal="center" wrapText="1"/>
    </xf>
    <xf numFmtId="0" fontId="12" fillId="0" borderId="21" xfId="0" applyFont="1" applyBorder="1" applyAlignment="1">
      <alignment horizontal="center" vertical="center" wrapText="1"/>
    </xf>
    <xf numFmtId="9" fontId="12" fillId="5" borderId="14" xfId="3" applyFont="1" applyFill="1" applyBorder="1" applyAlignment="1">
      <alignment horizontal="center" vertical="center" wrapText="1"/>
    </xf>
    <xf numFmtId="0" fontId="12" fillId="0" borderId="15" xfId="0" applyFont="1" applyBorder="1" applyAlignment="1">
      <alignment horizontal="center" vertical="center" wrapText="1"/>
    </xf>
    <xf numFmtId="171" fontId="12" fillId="5" borderId="14" xfId="0" applyNumberFormat="1" applyFont="1" applyFill="1" applyBorder="1" applyAlignment="1">
      <alignment horizontal="center" vertical="center" wrapText="1"/>
    </xf>
    <xf numFmtId="0" fontId="12" fillId="0" borderId="0" xfId="0" applyFont="1" applyAlignment="1">
      <alignment horizontal="center" vertical="center" wrapText="1"/>
    </xf>
    <xf numFmtId="4" fontId="14" fillId="0" borderId="0" xfId="0" applyNumberFormat="1" applyFont="1" applyAlignment="1">
      <alignment horizontal="center" vertical="center" wrapText="1"/>
    </xf>
    <xf numFmtId="0" fontId="14" fillId="0" borderId="0" xfId="0" applyFont="1" applyAlignment="1">
      <alignment horizontal="center" vertical="center" wrapText="1"/>
    </xf>
    <xf numFmtId="4" fontId="12" fillId="5" borderId="12" xfId="0" applyNumberFormat="1" applyFont="1" applyFill="1" applyBorder="1" applyAlignment="1">
      <alignment horizontal="center" vertical="center" wrapText="1"/>
    </xf>
    <xf numFmtId="172" fontId="0" fillId="4" borderId="7" xfId="0" applyNumberFormat="1" applyFill="1" applyBorder="1"/>
    <xf numFmtId="172" fontId="0" fillId="4" borderId="8" xfId="0" applyNumberFormat="1" applyFill="1" applyBorder="1" applyAlignment="1">
      <alignment horizontal="center" vertical="center" wrapText="1"/>
    </xf>
    <xf numFmtId="172" fontId="0" fillId="4" borderId="5" xfId="0" applyNumberFormat="1" applyFill="1" applyBorder="1"/>
    <xf numFmtId="172" fontId="0" fillId="4" borderId="10" xfId="0" applyNumberFormat="1" applyFill="1" applyBorder="1" applyAlignment="1">
      <alignment horizontal="center" vertical="center" wrapText="1"/>
    </xf>
    <xf numFmtId="172" fontId="0" fillId="4" borderId="12" xfId="0" applyNumberFormat="1" applyFill="1" applyBorder="1"/>
    <xf numFmtId="172" fontId="0" fillId="4" borderId="13" xfId="0" applyNumberFormat="1" applyFill="1" applyBorder="1" applyAlignment="1">
      <alignment horizontal="center" vertical="center" wrapText="1"/>
    </xf>
    <xf numFmtId="172" fontId="0" fillId="0" borderId="0" xfId="0" applyNumberFormat="1"/>
    <xf numFmtId="172" fontId="0" fillId="0" borderId="0" xfId="0" applyNumberFormat="1" applyAlignment="1">
      <alignment horizontal="center" vertical="center" wrapText="1"/>
    </xf>
    <xf numFmtId="172" fontId="0" fillId="4" borderId="14" xfId="0" applyNumberFormat="1" applyFill="1" applyBorder="1"/>
    <xf numFmtId="172" fontId="0" fillId="4" borderId="15" xfId="0" applyNumberFormat="1" applyFill="1" applyBorder="1" applyAlignment="1">
      <alignment horizontal="center" vertical="center" wrapText="1"/>
    </xf>
    <xf numFmtId="172" fontId="0" fillId="4" borderId="22" xfId="0" applyNumberFormat="1" applyFill="1" applyBorder="1"/>
    <xf numFmtId="172" fontId="0" fillId="4" borderId="23" xfId="0" applyNumberFormat="1" applyFill="1" applyBorder="1" applyAlignment="1">
      <alignment horizontal="center" vertical="center" wrapText="1"/>
    </xf>
    <xf numFmtId="172" fontId="0" fillId="0" borderId="16" xfId="0" applyNumberFormat="1" applyBorder="1"/>
    <xf numFmtId="172" fontId="0" fillId="0" borderId="17" xfId="0" applyNumberFormat="1" applyBorder="1" applyAlignment="1">
      <alignment horizontal="center" vertical="center" wrapText="1"/>
    </xf>
    <xf numFmtId="169" fontId="0" fillId="4" borderId="19" xfId="0" applyNumberFormat="1" applyFill="1" applyBorder="1" applyAlignment="1">
      <alignment horizontal="center" vertical="center" wrapText="1"/>
    </xf>
    <xf numFmtId="169" fontId="0" fillId="4" borderId="13" xfId="0" applyNumberFormat="1" applyFill="1" applyBorder="1" applyAlignment="1">
      <alignment horizontal="center" vertical="center" wrapText="1"/>
    </xf>
    <xf numFmtId="169" fontId="0" fillId="0" borderId="0" xfId="0" applyNumberFormat="1" applyAlignment="1">
      <alignment horizontal="center" vertical="center" wrapText="1"/>
    </xf>
    <xf numFmtId="172" fontId="0" fillId="4" borderId="8" xfId="0" applyNumberFormat="1" applyFill="1" applyBorder="1" applyAlignment="1">
      <alignment horizontal="center"/>
    </xf>
    <xf numFmtId="172" fontId="0" fillId="4" borderId="10" xfId="0" applyNumberFormat="1" applyFill="1" applyBorder="1" applyAlignment="1">
      <alignment horizontal="center"/>
    </xf>
    <xf numFmtId="172" fontId="0" fillId="0" borderId="12" xfId="0" applyNumberFormat="1" applyBorder="1"/>
    <xf numFmtId="172" fontId="0" fillId="0" borderId="13" xfId="0" applyNumberFormat="1" applyBorder="1"/>
    <xf numFmtId="172" fontId="0" fillId="4" borderId="28" xfId="0" applyNumberFormat="1" applyFill="1" applyBorder="1"/>
    <xf numFmtId="172" fontId="0" fillId="4" borderId="29" xfId="0" applyNumberFormat="1" applyFill="1" applyBorder="1" applyAlignment="1">
      <alignment horizontal="center"/>
    </xf>
    <xf numFmtId="4" fontId="12" fillId="3" borderId="7" xfId="1" applyNumberFormat="1" applyFont="1" applyFill="1" applyBorder="1" applyAlignment="1" applyProtection="1">
      <alignment horizontal="center" vertical="center" wrapText="1"/>
      <protection locked="0"/>
    </xf>
    <xf numFmtId="173" fontId="0" fillId="0" borderId="14" xfId="0" applyNumberFormat="1" applyBorder="1" applyAlignment="1">
      <alignment horizontal="center"/>
    </xf>
    <xf numFmtId="172" fontId="0" fillId="4" borderId="32" xfId="0" applyNumberFormat="1" applyFill="1" applyBorder="1"/>
    <xf numFmtId="172" fontId="0" fillId="4" borderId="32" xfId="0" applyNumberFormat="1" applyFill="1" applyBorder="1" applyAlignment="1">
      <alignment horizontal="center" vertical="center" wrapText="1"/>
    </xf>
    <xf numFmtId="169" fontId="3" fillId="0" borderId="1" xfId="0" applyNumberFormat="1" applyFont="1" applyBorder="1" applyAlignment="1">
      <alignment horizontal="center" vertical="center" wrapText="1"/>
    </xf>
    <xf numFmtId="0" fontId="0" fillId="0" borderId="4" xfId="0" applyBorder="1"/>
    <xf numFmtId="0" fontId="12" fillId="0" borderId="1" xfId="0" applyFont="1" applyBorder="1" applyAlignment="1">
      <alignment horizontal="center" vertical="center" wrapText="1"/>
    </xf>
    <xf numFmtId="0" fontId="0" fillId="0" borderId="18" xfId="0" applyBorder="1"/>
    <xf numFmtId="0" fontId="3" fillId="0" borderId="1" xfId="0" applyFont="1" applyBorder="1" applyAlignment="1">
      <alignment horizontal="center" vertical="center" wrapText="1"/>
    </xf>
    <xf numFmtId="0" fontId="0" fillId="0" borderId="2" xfId="0" applyBorder="1"/>
    <xf numFmtId="168" fontId="3" fillId="0" borderId="1" xfId="0" applyNumberFormat="1" applyFont="1" applyBorder="1" applyAlignment="1">
      <alignment horizontal="center" vertical="center" wrapText="1"/>
    </xf>
    <xf numFmtId="0" fontId="0" fillId="0" borderId="0" xfId="0" applyAlignment="1">
      <alignment horizontal="left" vertical="center" wrapText="1"/>
    </xf>
    <xf numFmtId="0" fontId="3" fillId="6" borderId="1" xfId="0" applyFont="1" applyFill="1" applyBorder="1" applyAlignment="1">
      <alignment horizontal="center" vertical="center" wrapText="1"/>
    </xf>
    <xf numFmtId="0" fontId="9" fillId="0" borderId="0" xfId="0" applyFont="1" applyAlignment="1">
      <alignment horizontal="center" vertical="center" wrapText="1"/>
    </xf>
    <xf numFmtId="0" fontId="0" fillId="0" borderId="0" xfId="0"/>
  </cellXfs>
  <cellStyles count="4">
    <cellStyle name="Currency" xfId="1" builtinId="4"/>
    <cellStyle name="Hyperlink" xfId="2" builtinId="8"/>
    <cellStyle name="Normal" xfId="0" builtinId="0"/>
    <cellStyle name="Percent" xfId="3" builtinId="5"/>
  </cellStyles>
  <dxfs count="47">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b/>
        <color rgb="FFFF0000"/>
      </font>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color rgb="FFFF0000"/>
      </font>
      <fill>
        <patternFill>
          <bgColor rgb="FFFFC000"/>
        </patternFill>
      </fill>
    </dxf>
    <dxf>
      <font>
        <b/>
        <color rgb="FFFF000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76201</xdr:colOff>
      <xdr:row>0</xdr:row>
      <xdr:rowOff>133350</xdr:rowOff>
    </xdr:from>
    <xdr:to>
      <xdr:col>5</xdr:col>
      <xdr:colOff>187735</xdr:colOff>
      <xdr:row>59</xdr:row>
      <xdr:rowOff>50775</xdr:rowOff>
    </xdr:to>
    <xdr:grpSp>
      <xdr:nvGrpSpPr>
        <xdr:cNvPr id="9" name="Grupo 8">
          <a:extLst>
            <a:ext uri="{FF2B5EF4-FFF2-40B4-BE49-F238E27FC236}">
              <a16:creationId xmlns:a16="http://schemas.microsoft.com/office/drawing/2014/main" id="{E94B3E3A-1090-2123-C06F-24501D164344}"/>
            </a:ext>
          </a:extLst>
        </xdr:cNvPr>
        <xdr:cNvGrpSpPr/>
      </xdr:nvGrpSpPr>
      <xdr:grpSpPr>
        <a:xfrm>
          <a:off x="76201" y="133350"/>
          <a:ext cx="3742940" cy="11156925"/>
          <a:chOff x="133351" y="57150"/>
          <a:chExt cx="3731034" cy="11156925"/>
        </a:xfrm>
      </xdr:grpSpPr>
      <xdr:sp macro="" textlink="">
        <xdr:nvSpPr>
          <xdr:cNvPr id="4" name="CuadroTexto 12">
            <a:extLst>
              <a:ext uri="{FF2B5EF4-FFF2-40B4-BE49-F238E27FC236}">
                <a16:creationId xmlns:a16="http://schemas.microsoft.com/office/drawing/2014/main" id="{756756F5-DFEE-BD16-F0AC-65937C74ABA0}"/>
              </a:ext>
            </a:extLst>
          </xdr:cNvPr>
          <xdr:cNvSpPr txBox="1"/>
        </xdr:nvSpPr>
        <xdr:spPr>
          <a:xfrm>
            <a:off x="142877" y="57150"/>
            <a:ext cx="3625035" cy="1219565"/>
          </a:xfrm>
          <a:prstGeom prst="rect">
            <a:avLst/>
          </a:prstGeom>
          <a:noFill/>
        </xdr:spPr>
        <xdr:txBody>
          <a:bodyPr wrap="square" rtlCol="0">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INSTRUCCIONES:</a:t>
            </a:r>
          </a:p>
          <a:p>
            <a:r>
              <a:rPr lang="es-ES" sz="1200"/>
              <a:t>Esta hoja de cálculo sirve para comparar  las emisiones de CO2eq después de la inversión para la que se solicita la subvención con las emisiones de CO2eq en la situación antes de la inversión,</a:t>
            </a:r>
            <a:r>
              <a:rPr lang="es-ES" sz="1200" baseline="0"/>
              <a:t> y para calcular el valor de eficiencia de costes EUR/tCO2eq evitada</a:t>
            </a:r>
            <a:endParaRPr lang="es-ES" sz="1200"/>
          </a:p>
        </xdr:txBody>
      </xdr:sp>
      <xdr:grpSp>
        <xdr:nvGrpSpPr>
          <xdr:cNvPr id="5" name="Grupo 4">
            <a:extLst>
              <a:ext uri="{FF2B5EF4-FFF2-40B4-BE49-F238E27FC236}">
                <a16:creationId xmlns:a16="http://schemas.microsoft.com/office/drawing/2014/main" id="{499A0EE1-02A7-5FE7-DA1B-32339E81DE16}"/>
              </a:ext>
            </a:extLst>
          </xdr:cNvPr>
          <xdr:cNvGrpSpPr/>
        </xdr:nvGrpSpPr>
        <xdr:grpSpPr>
          <a:xfrm>
            <a:off x="133351" y="1422677"/>
            <a:ext cx="3731034" cy="9791398"/>
            <a:chOff x="161470" y="2252301"/>
            <a:chExt cx="3921403" cy="9791398"/>
          </a:xfrm>
        </xdr:grpSpPr>
        <xdr:sp macro="" textlink="">
          <xdr:nvSpPr>
            <xdr:cNvPr id="6" name="CuadroTexto 11">
              <a:extLst>
                <a:ext uri="{FF2B5EF4-FFF2-40B4-BE49-F238E27FC236}">
                  <a16:creationId xmlns:a16="http://schemas.microsoft.com/office/drawing/2014/main" id="{2A1C7576-F941-A9EB-4442-110D5137619B}"/>
                </a:ext>
              </a:extLst>
            </xdr:cNvPr>
            <xdr:cNvSpPr txBox="1"/>
          </xdr:nvSpPr>
          <xdr:spPr>
            <a:xfrm>
              <a:off x="161470" y="2252301"/>
              <a:ext cx="3921403" cy="979139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1200" b="1"/>
                <a:t>Rellene</a:t>
              </a:r>
              <a:r>
                <a:rPr lang="es-ES" sz="1200" b="1" baseline="0"/>
                <a:t> la hoja "Datos Proyecto"; </a:t>
              </a:r>
              <a:r>
                <a:rPr lang="es-ES" sz="1200" b="1"/>
                <a:t>Sólo puede introducir datos en las celdas de fondo amarillo o azul</a:t>
              </a:r>
              <a:r>
                <a:rPr lang="es-ES" sz="1200"/>
                <a:t>. </a:t>
              </a:r>
            </a:p>
            <a:p>
              <a:r>
                <a:rPr lang="es-ES" sz="1200" b="1">
                  <a:solidFill>
                    <a:srgbClr val="FF0000"/>
                  </a:solidFill>
                </a:rPr>
                <a:t>Todas las demás celdas están protegidas contra escritura.</a:t>
              </a:r>
            </a:p>
            <a:p>
              <a:endParaRPr lang="es-ES" sz="1200"/>
            </a:p>
            <a:p>
              <a:r>
                <a:rPr lang="es-ES" sz="1200"/>
                <a:t>Debe introducir datos:</a:t>
              </a:r>
            </a:p>
            <a:p>
              <a:pPr marL="285750" indent="-285750">
                <a:buFont typeface="Arial" panose="020B0604020202020204" pitchFamily="34" charset="0"/>
                <a:buChar char="•"/>
              </a:pPr>
              <a:r>
                <a:rPr lang="es-ES" sz="1200"/>
                <a:t>A</a:t>
              </a:r>
            </a:p>
            <a:p>
              <a:r>
                <a:rPr lang="es-ES" sz="1200" b="1"/>
                <a:t>Celdas con fondo azul (columna “escoger”)</a:t>
              </a:r>
              <a:r>
                <a:rPr lang="es-ES" sz="1200"/>
                <a:t>: </a:t>
              </a:r>
              <a:r>
                <a:rPr lang="es-ES" sz="1200" u="sng"/>
                <a:t>en primer lugar</a:t>
              </a:r>
              <a:r>
                <a:rPr lang="es-ES" sz="1200"/>
                <a:t>, debe escoger el combustible utilizado o a utilizar, escogiendo un valor del desplegable. Al hacerlo, se rellenarán automáticamente, las celdas correspondientes a las columnas “unidad” y “factor de emisión”.</a:t>
              </a:r>
            </a:p>
            <a:p>
              <a:endParaRPr lang="es-ES" sz="1200"/>
            </a:p>
            <a:p>
              <a:pPr lvl="1"/>
              <a:r>
                <a:rPr lang="es-ES" sz="1050"/>
                <a:t>(*) Sólo si el combustible no estuviera listado, podrá introducir manualmente la información en la zona “5 Combustible no incluido en la lista”.</a:t>
              </a:r>
            </a:p>
            <a:p>
              <a:pPr marL="285750" indent="-285750">
                <a:buFont typeface="Arial" panose="020B0604020202020204" pitchFamily="34" charset="0"/>
                <a:buChar char="•"/>
              </a:pPr>
              <a:endParaRPr lang="es-ES" sz="1200"/>
            </a:p>
            <a:p>
              <a:pPr marL="285750" indent="-285750">
                <a:buFont typeface="Arial" panose="020B0604020202020204" pitchFamily="34" charset="0"/>
                <a:buChar char="•"/>
              </a:pPr>
              <a:r>
                <a:rPr lang="es-ES" sz="1200"/>
                <a:t>a</a:t>
              </a:r>
            </a:p>
            <a:p>
              <a:r>
                <a:rPr lang="es-ES" sz="1200" b="1"/>
                <a:t>Celdas con fondo amarillo</a:t>
              </a:r>
              <a:r>
                <a:rPr lang="es-ES" sz="1200"/>
                <a:t>: debe introducir el valor de su proceso:</a:t>
              </a:r>
            </a:p>
            <a:p>
              <a:pPr marL="285750" indent="-285750">
                <a:buFont typeface="Arial" panose="020B0604020202020204" pitchFamily="34" charset="0"/>
                <a:buChar char="•"/>
              </a:pPr>
              <a:r>
                <a:rPr lang="es-ES" sz="1200"/>
                <a:t>Celda </a:t>
              </a:r>
              <a:r>
                <a:rPr lang="es-ES" sz="1200" b="1"/>
                <a:t>“vida útil de la nueva instalación (años)”</a:t>
              </a:r>
              <a:r>
                <a:rPr lang="es-ES" sz="1200"/>
                <a:t>: si la vida útil es inferior a 10 años, deberá introducir la vida útil. En caso de que la vida útil sea igual o superior a 10 años, deberá introducir el valor de 10 años.</a:t>
              </a:r>
            </a:p>
            <a:p>
              <a:pPr marL="285750" indent="-285750">
                <a:buFont typeface="Arial" panose="020B0604020202020204" pitchFamily="34" charset="0"/>
                <a:buChar char="•"/>
              </a:pPr>
              <a:r>
                <a:rPr lang="es-ES" sz="1200"/>
                <a:t>Columna </a:t>
              </a:r>
              <a:r>
                <a:rPr lang="es-ES" sz="1200" b="1"/>
                <a:t>“antes de la inversión”</a:t>
              </a:r>
              <a:r>
                <a:rPr lang="es-ES" sz="1200"/>
                <a:t>: utilizando la unidad de medida de la columna </a:t>
              </a:r>
              <a:r>
                <a:rPr lang="es-ES" sz="1200" b="1"/>
                <a:t>“unidad”</a:t>
              </a:r>
              <a:r>
                <a:rPr lang="es-ES" sz="1200"/>
                <a:t>, debe indicar el </a:t>
              </a:r>
              <a:r>
                <a:rPr lang="es-ES" sz="1200" b="1"/>
                <a:t>consumo anual </a:t>
              </a:r>
              <a:r>
                <a:rPr lang="es-ES" sz="1200"/>
                <a:t>del combustible en el proceso antes de realizar la inversión.</a:t>
              </a:r>
            </a:p>
            <a:p>
              <a:pPr marL="285750" indent="-285750">
                <a:buFont typeface="Arial" panose="020B0604020202020204" pitchFamily="34" charset="0"/>
                <a:buChar char="•"/>
              </a:pPr>
              <a:r>
                <a:rPr lang="es-ES" sz="1200"/>
                <a:t>Columna </a:t>
              </a:r>
              <a:r>
                <a:rPr lang="es-ES" sz="1200" b="1"/>
                <a:t>“después de la inversión”</a:t>
              </a:r>
              <a:r>
                <a:rPr lang="es-ES" sz="1200"/>
                <a:t>: utilizando la unidad de medida de la columna </a:t>
              </a:r>
              <a:r>
                <a:rPr lang="es-ES" sz="1200" b="1"/>
                <a:t>“unidad”</a:t>
              </a:r>
              <a:r>
                <a:rPr lang="es-ES" sz="1200"/>
                <a:t>, debe indicar el </a:t>
              </a:r>
              <a:r>
                <a:rPr lang="es-ES" sz="1200" b="1"/>
                <a:t>consumo anual</a:t>
              </a:r>
              <a:r>
                <a:rPr lang="es-ES" sz="1200"/>
                <a:t> que se espera para el proceso después de la inversión.</a:t>
              </a:r>
            </a:p>
            <a:p>
              <a:pPr marL="742950" lvl="1" indent="-285750">
                <a:buFont typeface="Arial" panose="020B0604020202020204" pitchFamily="34" charset="0"/>
                <a:buChar char="•"/>
              </a:pPr>
              <a:r>
                <a:rPr lang="es-ES" sz="1050"/>
                <a:t>(*) en el caso citado anteriormente, de combustible no incluido en las listas desplegables, podrá introducir el combustible de su caso (columna “escoger”), y deberá indicar la unidad en la columna “unidad”, el factor de emisión en kgCO2eq/unidad en la columna “factor de emisión” y la referencia a la fuente normativa o bibliográfica donde se indique dicho valor.</a:t>
              </a:r>
            </a:p>
            <a:p>
              <a:pPr marL="285750" lvl="1" indent="-285750">
                <a:buFont typeface="Arial" panose="020B0604020202020204" pitchFamily="34" charset="0"/>
                <a:buChar char="•"/>
              </a:pPr>
              <a:r>
                <a:rPr lang="es-ES" sz="1200"/>
                <a:t>Celda </a:t>
              </a:r>
              <a:r>
                <a:rPr lang="es-ES" sz="1200" b="1"/>
                <a:t>“Inversión elegible”</a:t>
              </a:r>
              <a:r>
                <a:rPr lang="es-ES" sz="1200"/>
                <a:t>: debe indicar el valor de la inversión elegible para la que se solicita la subvención.</a:t>
              </a:r>
            </a:p>
            <a:p>
              <a:pPr marL="285750" lvl="1" indent="-285750">
                <a:buFont typeface="Arial" panose="020B0604020202020204" pitchFamily="34" charset="0"/>
                <a:buChar char="•"/>
              </a:pPr>
              <a:endParaRPr lang="es-ES" sz="1200"/>
            </a:p>
            <a:p>
              <a:pPr marL="285750" lvl="1" indent="-285750">
                <a:buFont typeface="Arial" panose="020B0604020202020204" pitchFamily="34" charset="0"/>
                <a:buChar char="•"/>
              </a:pPr>
              <a:endParaRPr lang="es-ES" sz="1200"/>
            </a:p>
            <a:p>
              <a:pPr marL="0" lvl="1"/>
              <a:r>
                <a:rPr lang="es-ES" sz="1200" b="1"/>
                <a:t>CON LOS VALORES INTRODUCIDOS, LA HOJA DE CÁLCULO CALCULA EL VALOR DE EMISIONES EVITADAS Y EL DE EFICIENCIA DE COSTES</a:t>
              </a:r>
            </a:p>
            <a:p>
              <a:pPr marL="0" lvl="1"/>
              <a:endParaRPr lang="es-ES" sz="1200" b="1"/>
            </a:p>
            <a:p>
              <a:pPr marL="0" lvl="1"/>
              <a:r>
                <a:rPr lang="es-ES" sz="1200" b="1"/>
                <a:t>Cuanto menor sea la cifra resultante de €/tCO2eq, menos coste tiene la reducción de emisiones y más eficiente es por lo tanto la inversión prevista </a:t>
              </a:r>
            </a:p>
          </xdr:txBody>
        </xdr:sp>
        <xdr:pic>
          <xdr:nvPicPr>
            <xdr:cNvPr id="7" name="Imagen 6">
              <a:extLst>
                <a:ext uri="{FF2B5EF4-FFF2-40B4-BE49-F238E27FC236}">
                  <a16:creationId xmlns:a16="http://schemas.microsoft.com/office/drawing/2014/main" id="{91196DA1-110D-96BD-84DF-DB86BECCDA27}"/>
                </a:ext>
              </a:extLst>
            </xdr:cNvPr>
            <xdr:cNvPicPr>
              <a:picLocks noChangeAspect="1"/>
            </xdr:cNvPicPr>
          </xdr:nvPicPr>
          <xdr:blipFill>
            <a:blip xmlns:r="http://schemas.openxmlformats.org/officeDocument/2006/relationships" r:embed="rId1"/>
            <a:stretch>
              <a:fillRect/>
            </a:stretch>
          </xdr:blipFill>
          <xdr:spPr>
            <a:xfrm>
              <a:off x="427878" y="3398738"/>
              <a:ext cx="1152525" cy="209550"/>
            </a:xfrm>
            <a:prstGeom prst="rect">
              <a:avLst/>
            </a:prstGeom>
          </xdr:spPr>
        </xdr:pic>
        <xdr:pic>
          <xdr:nvPicPr>
            <xdr:cNvPr id="8" name="Imagen 7">
              <a:extLst>
                <a:ext uri="{FF2B5EF4-FFF2-40B4-BE49-F238E27FC236}">
                  <a16:creationId xmlns:a16="http://schemas.microsoft.com/office/drawing/2014/main" id="{D8732067-7626-A5AB-C0B1-ED747B9B2D95}"/>
                </a:ext>
              </a:extLst>
            </xdr:cNvPr>
            <xdr:cNvPicPr>
              <a:picLocks noChangeAspect="1"/>
            </xdr:cNvPicPr>
          </xdr:nvPicPr>
          <xdr:blipFill>
            <a:blip xmlns:r="http://schemas.openxmlformats.org/officeDocument/2006/relationships" r:embed="rId2"/>
            <a:stretch>
              <a:fillRect/>
            </a:stretch>
          </xdr:blipFill>
          <xdr:spPr>
            <a:xfrm>
              <a:off x="431766" y="5365917"/>
              <a:ext cx="1200150" cy="219075"/>
            </a:xfrm>
            <a:prstGeom prst="rect">
              <a:avLst/>
            </a:prstGeom>
          </xdr:spPr>
        </xdr:pic>
      </xdr:grpSp>
    </xdr:grpSp>
    <xdr:clientData/>
  </xdr:twoCellAnchor>
  <xdr:twoCellAnchor editAs="oneCell">
    <xdr:from>
      <xdr:col>6</xdr:col>
      <xdr:colOff>114303</xdr:colOff>
      <xdr:row>0</xdr:row>
      <xdr:rowOff>171450</xdr:rowOff>
    </xdr:from>
    <xdr:to>
      <xdr:col>23</xdr:col>
      <xdr:colOff>486731</xdr:colOff>
      <xdr:row>34</xdr:row>
      <xdr:rowOff>106680</xdr:rowOff>
    </xdr:to>
    <xdr:pic>
      <xdr:nvPicPr>
        <xdr:cNvPr id="2" name="Picture 1">
          <a:extLst>
            <a:ext uri="{FF2B5EF4-FFF2-40B4-BE49-F238E27FC236}">
              <a16:creationId xmlns:a16="http://schemas.microsoft.com/office/drawing/2014/main" id="{8BE30609-E926-1B22-C7AF-AEE3F30BD4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57703" y="171450"/>
          <a:ext cx="12678728" cy="6412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114300</xdr:colOff>
      <xdr:row>34</xdr:row>
      <xdr:rowOff>104775</xdr:rowOff>
    </xdr:from>
    <xdr:to>
      <xdr:col>23</xdr:col>
      <xdr:colOff>486728</xdr:colOff>
      <xdr:row>63</xdr:row>
      <xdr:rowOff>37148</xdr:rowOff>
    </xdr:to>
    <xdr:pic>
      <xdr:nvPicPr>
        <xdr:cNvPr id="10" name="Picture 9">
          <a:extLst>
            <a:ext uri="{FF2B5EF4-FFF2-40B4-BE49-F238E27FC236}">
              <a16:creationId xmlns:a16="http://schemas.microsoft.com/office/drawing/2014/main" id="{69CEF027-8790-3156-7460-41C6D6061D2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57700" y="6581775"/>
          <a:ext cx="12678728" cy="545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xdr:colOff>
      <xdr:row>3</xdr:row>
      <xdr:rowOff>171451</xdr:rowOff>
    </xdr:from>
    <xdr:to>
      <xdr:col>15</xdr:col>
      <xdr:colOff>123825</xdr:colOff>
      <xdr:row>24</xdr:row>
      <xdr:rowOff>21083</xdr:rowOff>
    </xdr:to>
    <xdr:pic>
      <xdr:nvPicPr>
        <xdr:cNvPr id="5" name="Picture 4">
          <a:extLst>
            <a:ext uri="{FF2B5EF4-FFF2-40B4-BE49-F238E27FC236}">
              <a16:creationId xmlns:a16="http://schemas.microsoft.com/office/drawing/2014/main" id="{451A5138-2B68-3FC6-DE90-A565F708C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86450" y="933451"/>
          <a:ext cx="7715250" cy="4231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rupospri-my.sharepoint.com/personal/jvallejo_spri_eus/Documents/Desktop/excel%20descarb/MODELO_CALCULO_EMISIONES_CO2_2024%20-%20vPRUEBA.xlsx" TargetMode="External"/><Relationship Id="rId1" Type="http://schemas.openxmlformats.org/officeDocument/2006/relationships/externalLinkPath" Target="/personal/jvallejo_spri_eus/Documents/Desktop/excel%20descarb/MODELO_CALCULO_EMISIONES_CO2_2024%20-%20vPRUEB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izaguirre\Downloads\calculadora_hc_tcm30-485617.xlsx" TargetMode="External"/><Relationship Id="rId1" Type="http://schemas.openxmlformats.org/officeDocument/2006/relationships/externalLinkPath" Target="file:///C:\Users\lizaguirre\Downloads\calculadora_hc_tcm30-485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atos Proyecto"/>
      <sheetName val="Factores de emisión"/>
      <sheetName val="Factores de emisión 2"/>
    </sheetNames>
    <sheetDataSet>
      <sheetData sheetId="0"/>
      <sheetData sheetId="1">
        <row r="3">
          <cell r="C3">
            <v>10</v>
          </cell>
        </row>
        <row r="61">
          <cell r="C61">
            <v>0</v>
          </cell>
        </row>
        <row r="63">
          <cell r="C63">
            <v>100</v>
          </cell>
        </row>
      </sheetData>
      <sheetData sheetId="2">
        <row r="35">
          <cell r="D35">
            <v>0.11899999999999999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IDO"/>
      <sheetName val="1.Datos generales organización "/>
      <sheetName val="2. Hoja de trabajo. Consumos"/>
      <sheetName val="3. Instalaciones fijas"/>
      <sheetName val="4. Vehículos y maquinaria"/>
      <sheetName val="5. Emisiones Fugitivas"/>
      <sheetName val="6. Emisiones de proceso"/>
      <sheetName val="7. Información adicional"/>
      <sheetName val="8.Electricidad y otras energías"/>
      <sheetName val="9. Informe final. Resultados"/>
      <sheetName val="10. Factores de emisión"/>
      <sheetName val="11. Revisiones calculadora"/>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miteco.gob.es/content/dam/miteco/es/cambio-climatico/temas/mitigacion-politicas-y-medidas/factoresemision_tcm30-479095.pdf" TargetMode="External"/><Relationship Id="rId1" Type="http://schemas.openxmlformats.org/officeDocument/2006/relationships/hyperlink" Target="https://www.ree.es/es/datos/generacion/no-renovables-detalle-emisiones-CO2"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miteco.gob.es/content/dam/miteco/es/cambio-climatico/temas/mitigacion-politicas-y-medidas/factoresemision_tcm30-479095.pdf" TargetMode="External"/><Relationship Id="rId1" Type="http://schemas.openxmlformats.org/officeDocument/2006/relationships/hyperlink" Target="https://www.ipcc.ch/site/assets/uploads/2018/02/WG1AR5_Chapter08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001F-0D46-4B87-87FF-39B96CD8124C}">
  <sheetPr>
    <pageSetUpPr fitToPage="1"/>
  </sheetPr>
  <dimension ref="A1:AI66"/>
  <sheetViews>
    <sheetView zoomScale="80" zoomScaleNormal="80" workbookViewId="0">
      <selection activeCell="F5" sqref="F5"/>
    </sheetView>
  </sheetViews>
  <sheetFormatPr defaultColWidth="10.85546875" defaultRowHeight="15" x14ac:dyDescent="0.25"/>
  <sheetData>
    <row r="1" spans="1:35"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row>
    <row r="3" spans="1:35"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row>
    <row r="4" spans="1:35" x14ac:dyDescent="0.2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5" x14ac:dyDescent="0.25">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row>
    <row r="6" spans="1:35" x14ac:dyDescent="0.2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x14ac:dyDescent="0.2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row>
    <row r="8" spans="1:35" x14ac:dyDescent="0.2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row>
    <row r="9" spans="1:35" x14ac:dyDescent="0.2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row>
    <row r="10" spans="1:35" x14ac:dyDescent="0.2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row>
    <row r="11" spans="1:35" x14ac:dyDescent="0.2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row>
    <row r="12" spans="1:35"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row>
    <row r="13" spans="1:35"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row>
    <row r="14" spans="1:35" x14ac:dyDescent="0.2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row>
    <row r="15" spans="1:35"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35"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row>
    <row r="17" spans="1:35"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row>
    <row r="18" spans="1:35"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row>
    <row r="19" spans="1:35"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row>
    <row r="20" spans="1:35"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row>
    <row r="21" spans="1:35"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row>
    <row r="22" spans="1:35"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row>
    <row r="23" spans="1:35"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row>
    <row r="24" spans="1:35"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row>
    <row r="25" spans="1:35"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row>
    <row r="26" spans="1:35"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row>
    <row r="27" spans="1:35"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row>
    <row r="28" spans="1:35"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row>
    <row r="29" spans="1:35"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row>
    <row r="30" spans="1:35"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row>
    <row r="31" spans="1:35"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1:35"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row>
    <row r="33" spans="1:35"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row>
    <row r="34" spans="1:35"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row>
    <row r="35" spans="1:35"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row>
    <row r="36" spans="1:35"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row>
    <row r="37" spans="1:35"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1:35"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1:35"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row>
    <row r="40" spans="1:35"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row>
    <row r="41" spans="1:35"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row>
    <row r="42" spans="1:35"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row>
    <row r="43" spans="1:35"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row>
    <row r="44" spans="1:35"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row>
    <row r="45" spans="1:35"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row>
    <row r="46" spans="1:35"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row>
    <row r="47" spans="1:35"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row>
    <row r="48" spans="1:35"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row>
    <row r="49" spans="1:35"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row>
    <row r="50" spans="1:35"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row>
    <row r="51" spans="1:35"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row>
    <row r="52" spans="1:35"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row>
    <row r="53" spans="1:35"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row>
    <row r="54" spans="1:35"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row>
    <row r="55" spans="1:35"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row>
    <row r="56" spans="1:35"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1:35"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row>
    <row r="58" spans="1:3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row>
    <row r="59" spans="1:35"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row>
    <row r="60" spans="1:3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row>
    <row r="61" spans="1:35"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row>
    <row r="62" spans="1:35"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row>
    <row r="63" spans="1:35"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row>
    <row r="64" spans="1:35"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row>
    <row r="65" spans="1:3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row>
    <row r="66" spans="1:35"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row>
  </sheetData>
  <sheetProtection algorithmName="SHA-512" hashValue="PBXId+t1hn3pPYMZKz4zsrsuG2FFSywiMSt0cUsL4rQfr1bjdXcklv4OEFGpnYX+feXJxImNRsWKgtcUMh8ViA==" saltValue="I7Hh4lFYEOluzwYGWPCwrQ==" spinCount="100000" sheet="1" objects="1" scenarios="1"/>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3"/>
  <sheetViews>
    <sheetView tabSelected="1" zoomScale="80" zoomScaleNormal="80" workbookViewId="0">
      <selection activeCell="H2" sqref="H2"/>
    </sheetView>
  </sheetViews>
  <sheetFormatPr defaultColWidth="11.42578125" defaultRowHeight="15" x14ac:dyDescent="0.25"/>
  <cols>
    <col min="1" max="1" width="4.28515625" style="31" customWidth="1"/>
    <col min="2" max="2" width="66.42578125" bestFit="1" customWidth="1"/>
    <col min="3" max="3" width="42.85546875" bestFit="1" customWidth="1"/>
    <col min="4" max="4" width="15" bestFit="1" customWidth="1"/>
    <col min="5" max="5" width="16.5703125" customWidth="1"/>
    <col min="6" max="8" width="20.140625" customWidth="1"/>
    <col min="9" max="9" width="35" customWidth="1"/>
    <col min="10" max="10" width="0" hidden="1"/>
    <col min="11" max="11" width="10.85546875" customWidth="1"/>
    <col min="12" max="12" width="32.5703125" bestFit="1" customWidth="1"/>
    <col min="13" max="13" width="36" customWidth="1"/>
    <col min="14" max="14" width="10.85546875" customWidth="1"/>
    <col min="15" max="15" width="15.7109375" bestFit="1" customWidth="1"/>
    <col min="16" max="16" width="11.42578125" customWidth="1"/>
  </cols>
  <sheetData>
    <row r="1" spans="1:15" ht="15.75" customHeight="1" thickBot="1" x14ac:dyDescent="0.3"/>
    <row r="2" spans="1:15" ht="15.75" customHeight="1" thickBot="1" x14ac:dyDescent="0.3">
      <c r="B2" s="42" t="s">
        <v>0</v>
      </c>
      <c r="F2" s="43" t="s">
        <v>1</v>
      </c>
    </row>
    <row r="3" spans="1:15" ht="18" customHeight="1" thickBot="1" x14ac:dyDescent="0.3">
      <c r="B3" s="44" t="s">
        <v>2</v>
      </c>
      <c r="C3" s="40">
        <v>10</v>
      </c>
      <c r="F3" s="45" t="s">
        <v>3</v>
      </c>
    </row>
    <row r="4" spans="1:15" ht="18" customHeight="1" thickBot="1" x14ac:dyDescent="0.3">
      <c r="C4" s="30"/>
      <c r="F4" s="46" t="s">
        <v>4</v>
      </c>
    </row>
    <row r="5" spans="1:15" ht="15.75" customHeight="1" thickBot="1" x14ac:dyDescent="0.3"/>
    <row r="6" spans="1:15" ht="30.75" customHeight="1" thickBot="1" x14ac:dyDescent="0.3">
      <c r="B6" s="47" t="s">
        <v>5</v>
      </c>
      <c r="E6" s="48" t="s">
        <v>6</v>
      </c>
      <c r="F6" s="49" t="s">
        <v>7</v>
      </c>
      <c r="G6" s="49" t="s">
        <v>8</v>
      </c>
      <c r="H6" s="48" t="s">
        <v>9</v>
      </c>
      <c r="I6" s="48" t="s">
        <v>10</v>
      </c>
      <c r="L6" s="48" t="s">
        <v>10</v>
      </c>
      <c r="M6" s="48" t="s">
        <v>10</v>
      </c>
    </row>
    <row r="7" spans="1:15" ht="15.75" customHeight="1" thickBot="1" x14ac:dyDescent="0.3">
      <c r="C7" s="48" t="s">
        <v>11</v>
      </c>
      <c r="D7" s="48" t="s">
        <v>12</v>
      </c>
      <c r="E7" s="50" t="s">
        <v>13</v>
      </c>
      <c r="F7" s="50" t="s">
        <v>14</v>
      </c>
      <c r="G7" s="50" t="s">
        <v>14</v>
      </c>
      <c r="H7" s="50" t="s">
        <v>14</v>
      </c>
      <c r="I7" s="50" t="s">
        <v>15</v>
      </c>
      <c r="L7" s="51" t="s">
        <v>16</v>
      </c>
      <c r="M7" s="51" t="s">
        <v>17</v>
      </c>
    </row>
    <row r="8" spans="1:15" x14ac:dyDescent="0.25">
      <c r="A8" s="52">
        <v>1</v>
      </c>
      <c r="B8" s="53" t="s">
        <v>18</v>
      </c>
      <c r="C8" s="3"/>
      <c r="D8" s="54" t="str">
        <f>IF(C8="","-",VLOOKUP(C8,'Factores de emisión'!$B$3:$D$9,2,FALSE))</f>
        <v>-</v>
      </c>
      <c r="E8" s="55" t="str">
        <f>IF(C8="","-",VLOOKUP(C8,'Factores de emisión'!$B$3:$D$9,3,FALSE))</f>
        <v>-</v>
      </c>
      <c r="F8" s="4"/>
      <c r="G8" s="4"/>
      <c r="H8" s="127">
        <f>F8-G8</f>
        <v>0</v>
      </c>
      <c r="I8" s="128">
        <f>IF((H8&lt;&gt;0)*(C8=""),"escoja un combustible",IF(C8=0,0,H8*E8))</f>
        <v>0</v>
      </c>
      <c r="J8" s="56"/>
      <c r="K8" s="56"/>
      <c r="L8" s="92">
        <f>IF((F8&lt;&gt;0)*(C8=""),"escoja un combustible",IF(C8=0,0,E8*F8))</f>
        <v>0</v>
      </c>
      <c r="M8" s="93">
        <f>IF((G8&lt;&gt;0)*(C8=""),"escoja un combustible",IF(C8=0,0,G8*E8))</f>
        <v>0</v>
      </c>
    </row>
    <row r="9" spans="1:15" x14ac:dyDescent="0.25">
      <c r="A9" s="57"/>
      <c r="B9" s="58" t="s">
        <v>18</v>
      </c>
      <c r="C9" s="2"/>
      <c r="D9" s="59" t="str">
        <f>IF(C9="","-",VLOOKUP(C9,'Factores de emisión'!$B$3:$D$9,2,FALSE))</f>
        <v>-</v>
      </c>
      <c r="E9" s="60" t="str">
        <f>IF(C9="","-",VLOOKUP(C9,'Factores de emisión'!$B$3:$D$9,3,FALSE))</f>
        <v>-</v>
      </c>
      <c r="F9" s="1"/>
      <c r="G9" s="1"/>
      <c r="H9" s="129">
        <f>F9-G9</f>
        <v>0</v>
      </c>
      <c r="I9" s="130">
        <f>IF((H9&lt;&gt;0)*(C9=""),"escoja un combustible",IF(C9=0,0,H9*E9))</f>
        <v>0</v>
      </c>
      <c r="J9" s="61"/>
      <c r="K9" s="61"/>
      <c r="L9" s="94">
        <f>IF((F9&lt;&gt;0)*(C9=""),"escoja un combustible",IF(C9=0,0,E9*F9))</f>
        <v>0</v>
      </c>
      <c r="M9" s="95">
        <f>IF((G9&lt;&gt;0)*(C9=""),"escoja un combustible",IF(C9=0,0,G9*E9))</f>
        <v>0</v>
      </c>
      <c r="N9" s="30"/>
      <c r="O9" s="30"/>
    </row>
    <row r="10" spans="1:15" ht="15.75" customHeight="1" thickBot="1" x14ac:dyDescent="0.3">
      <c r="A10" s="62"/>
      <c r="B10" s="63" t="s">
        <v>18</v>
      </c>
      <c r="C10" s="5"/>
      <c r="D10" s="64" t="str">
        <f>IF(C10="","-",VLOOKUP(C10,'Factores de emisión'!$B$3:$D$9,2,FALSE))</f>
        <v>-</v>
      </c>
      <c r="E10" s="65" t="str">
        <f>IF(C10="","-",VLOOKUP(C10,'Factores de emisión'!$B$3:$D$9,3,FALSE))</f>
        <v>-</v>
      </c>
      <c r="F10" s="6"/>
      <c r="G10" s="6"/>
      <c r="H10" s="131">
        <f>F10-G10</f>
        <v>0</v>
      </c>
      <c r="I10" s="132">
        <f>IF((H10&lt;&gt;0)*(C10=""),"escoja un combustible",IF(C10=0,0,H10*E10))</f>
        <v>0</v>
      </c>
      <c r="J10" s="61"/>
      <c r="K10" s="61"/>
      <c r="L10" s="141">
        <f>IF((F10&lt;&gt;0)*(C10=""),"escoja un combustible",IF(C10=0,0,E10*F10))</f>
        <v>0</v>
      </c>
      <c r="M10" s="142">
        <f>IF((G10&lt;&gt;0)*(C10=""),"escoja un combustible",IF(C10=0,0,G10*E10))</f>
        <v>0</v>
      </c>
      <c r="N10" s="30"/>
      <c r="O10" s="30"/>
    </row>
    <row r="11" spans="1:15" ht="15.75" customHeight="1" thickBot="1" x14ac:dyDescent="0.3">
      <c r="A11" s="48"/>
      <c r="B11" s="42"/>
      <c r="D11" s="66"/>
      <c r="F11" s="67"/>
      <c r="G11" s="67"/>
      <c r="H11" s="133"/>
      <c r="I11" s="134"/>
      <c r="J11" s="61"/>
      <c r="K11" s="61"/>
      <c r="L11" s="143"/>
      <c r="M11" s="143"/>
    </row>
    <row r="12" spans="1:15" ht="15.75" customHeight="1" thickBot="1" x14ac:dyDescent="0.3">
      <c r="A12" s="69">
        <v>2</v>
      </c>
      <c r="B12" s="70" t="s">
        <v>19</v>
      </c>
      <c r="C12" s="7"/>
      <c r="D12" s="71" t="str">
        <f>IF(C12="","-",VLOOKUP(C12,'Factores de emisión'!$B$21:$D$27,2,FALSE))</f>
        <v>-</v>
      </c>
      <c r="E12" s="72" t="str">
        <f>IF(C12="","-",VLOOKUP(C12,'Factores de emisión'!$B$21:$D$27,3,FALSE))</f>
        <v>-</v>
      </c>
      <c r="F12" s="8"/>
      <c r="G12" s="8"/>
      <c r="H12" s="135">
        <f>F12-G12</f>
        <v>0</v>
      </c>
      <c r="I12" s="136">
        <f>IF((H12&lt;&gt;0)*(C12=""),"escoja un combustible",IF(C12=0,0,H12*E12))</f>
        <v>0</v>
      </c>
      <c r="J12" s="61"/>
      <c r="K12" s="61"/>
      <c r="L12" s="96">
        <f>IF((F12&lt;&gt;0)*(C12=""),"escoja un combustible",IF(C12=0,0,E12*F12))</f>
        <v>0</v>
      </c>
      <c r="M12" s="97">
        <f>IF((G12&lt;&gt;0)*(C12=""),"escoja un combustible",IF(C12=0,0,G12*E12))</f>
        <v>0</v>
      </c>
    </row>
    <row r="13" spans="1:15" ht="15.75" customHeight="1" thickBot="1" x14ac:dyDescent="0.3">
      <c r="A13" s="48"/>
      <c r="B13" s="42"/>
      <c r="D13" s="66"/>
      <c r="F13" s="67"/>
      <c r="G13" s="67"/>
      <c r="H13" s="133"/>
      <c r="I13" s="134"/>
      <c r="J13" s="61"/>
      <c r="K13" s="61"/>
      <c r="L13" s="143"/>
      <c r="M13" s="143"/>
    </row>
    <row r="14" spans="1:15" x14ac:dyDescent="0.25">
      <c r="A14" s="73">
        <v>3</v>
      </c>
      <c r="B14" s="53" t="s">
        <v>20</v>
      </c>
      <c r="C14" s="3"/>
      <c r="D14" s="54" t="str">
        <f>IF(C14="","-",VLOOKUP(C14,'Factores de emisión'!$B$12:$D$19,2,FALSE))</f>
        <v>-</v>
      </c>
      <c r="E14" s="55" t="str">
        <f>IF(C14="","-",VLOOKUP(C14,'Factores de emisión'!$B$12:$D$19,3,FALSE))</f>
        <v>-</v>
      </c>
      <c r="F14" s="4"/>
      <c r="G14" s="4"/>
      <c r="H14" s="127">
        <f>F14-G14</f>
        <v>0</v>
      </c>
      <c r="I14" s="128">
        <f>IF((H14&lt;&gt;0)*(C14=""),"escoja un combustible",IF(C14=0,0,H14*E14))</f>
        <v>0</v>
      </c>
      <c r="J14" s="61"/>
      <c r="K14" s="61"/>
      <c r="L14" s="92">
        <f>IF((F14&lt;&gt;0)*(C14=""),"escoja un combustible",IF(C14=0,0,E14*F14))</f>
        <v>0</v>
      </c>
      <c r="M14" s="93">
        <f>IF((G14&lt;&gt;0)*(C14=""),"escoja un combustible",IF(C14=0,0,G14*E14))</f>
        <v>0</v>
      </c>
    </row>
    <row r="15" spans="1:15" ht="15.75" customHeight="1" thickBot="1" x14ac:dyDescent="0.3">
      <c r="A15" s="74"/>
      <c r="B15" s="75" t="s">
        <v>20</v>
      </c>
      <c r="C15" s="13"/>
      <c r="D15" s="76" t="str">
        <f>IF(C15="","-",VLOOKUP(C15,'Factores de emisión'!$B$12:$D$19,2,FALSE))</f>
        <v>-</v>
      </c>
      <c r="E15" s="77" t="str">
        <f>IF(C15="","-",VLOOKUP(C15,'Factores de emisión'!$B$12:$D$19,3,FALSE))</f>
        <v>-</v>
      </c>
      <c r="F15" s="14"/>
      <c r="G15" s="14"/>
      <c r="H15" s="137">
        <f>F15-G15</f>
        <v>0</v>
      </c>
      <c r="I15" s="138">
        <f>IF((H15&lt;&gt;0)*(C15=""),"escoja un combustible",IF(C15=0,0,H15*E15))</f>
        <v>0</v>
      </c>
      <c r="J15" s="61"/>
      <c r="K15" s="61"/>
      <c r="L15" s="141">
        <f>IF((F15&lt;&gt;0)*(C15=""),"escoja un combustible",IF(C15=0,0,E15*F15))</f>
        <v>0</v>
      </c>
      <c r="M15" s="142">
        <f>IF((G15&lt;&gt;0)*(C15=""),"escoja un combustible",IF(C15=0,0,G15*E15))</f>
        <v>0</v>
      </c>
    </row>
    <row r="16" spans="1:15" ht="15.75" customHeight="1" thickBot="1" x14ac:dyDescent="0.3">
      <c r="A16" s="48"/>
      <c r="B16" s="42"/>
      <c r="D16" s="66"/>
      <c r="F16" s="67"/>
      <c r="G16" s="67"/>
      <c r="H16" s="133"/>
      <c r="I16" s="134"/>
      <c r="J16" s="61"/>
      <c r="K16" s="61"/>
      <c r="L16" s="143"/>
      <c r="M16" s="143"/>
    </row>
    <row r="17" spans="1:14" x14ac:dyDescent="0.25">
      <c r="A17" s="73">
        <v>4</v>
      </c>
      <c r="B17" s="53" t="s">
        <v>21</v>
      </c>
      <c r="C17" s="3"/>
      <c r="D17" s="54" t="str">
        <f>IF(C17="","-",VLOOKUP(C17,'Factores de emisión'!$B$30:$D$31,2,FALSE))</f>
        <v>-</v>
      </c>
      <c r="E17" s="55" t="str">
        <f>IF(C17="","-",VLOOKUP(C17,'Factores de emisión'!$B$30:$D$31,3,FALSE))</f>
        <v>-</v>
      </c>
      <c r="F17" s="4"/>
      <c r="G17" s="4"/>
      <c r="H17" s="127">
        <f>F17-G17</f>
        <v>0</v>
      </c>
      <c r="I17" s="128">
        <f>IF((H17&lt;&gt;0)*(C17=""),"escoja un combustible",IF(C17=0,0,H17*E17))</f>
        <v>0</v>
      </c>
      <c r="J17" s="61"/>
      <c r="K17" s="61"/>
      <c r="L17" s="92">
        <f>IF((F17&lt;&gt;0)*(C17=""),"escoja un combustible",IF(C17=0,0,E17*F17))</f>
        <v>0</v>
      </c>
      <c r="M17" s="93">
        <f>IF((G17&lt;&gt;0)*(C17=""),"escoja un combustible",IF(C17=0,0,G17*E17))</f>
        <v>0</v>
      </c>
    </row>
    <row r="18" spans="1:14" ht="15.75" customHeight="1" thickBot="1" x14ac:dyDescent="0.3">
      <c r="A18" s="74"/>
      <c r="B18" s="75"/>
      <c r="C18" s="13"/>
      <c r="D18" s="76" t="str">
        <f>IF(C18="","-",VLOOKUP(C18,'Factores de emisión'!$B$30:$D$31,2,FALSE))</f>
        <v>-</v>
      </c>
      <c r="E18" s="77" t="str">
        <f>IF(C18="","-",VLOOKUP(C18,'Factores de emisión'!$B$30:$D$31,3,FALSE))</f>
        <v>-</v>
      </c>
      <c r="F18" s="14"/>
      <c r="G18" s="14"/>
      <c r="H18" s="137">
        <f>F18-G18</f>
        <v>0</v>
      </c>
      <c r="I18" s="138">
        <f>IF((H18&lt;&gt;0)*(C18=""),"escoja un combustible",IF(C18=0,0,H18*E18))</f>
        <v>0</v>
      </c>
      <c r="J18" s="61"/>
      <c r="K18" s="61"/>
      <c r="L18" s="141">
        <f>IF((F18&lt;&gt;0)*(C18=""),"escoja un combustible",IF(C18=0,0,E18*F18))</f>
        <v>0</v>
      </c>
      <c r="M18" s="142">
        <f>IF((G18&lt;&gt;0)*(C18=""),"escoja un combustible",IF(C18=0,0,G18*E18))</f>
        <v>0</v>
      </c>
    </row>
    <row r="19" spans="1:14" ht="15.75" customHeight="1" thickBot="1" x14ac:dyDescent="0.3">
      <c r="A19" s="48"/>
      <c r="B19" s="42"/>
      <c r="D19" s="66"/>
      <c r="F19" s="67"/>
      <c r="G19" s="67"/>
      <c r="H19" s="133"/>
      <c r="I19" s="134"/>
      <c r="J19" s="61"/>
      <c r="K19" s="61"/>
      <c r="L19" s="143"/>
      <c r="M19" s="143"/>
    </row>
    <row r="20" spans="1:14" ht="15.75" customHeight="1" thickBot="1" x14ac:dyDescent="0.3">
      <c r="A20" s="52">
        <v>5</v>
      </c>
      <c r="B20" s="53" t="s">
        <v>22</v>
      </c>
      <c r="C20" s="9"/>
      <c r="D20" s="10"/>
      <c r="E20" s="11"/>
      <c r="F20" s="4"/>
      <c r="G20" s="4"/>
      <c r="H20" s="127">
        <f>F20-G20</f>
        <v>0</v>
      </c>
      <c r="I20" s="128">
        <f>IF(AND(C20="",D20="",E20="",F20="",G20=""),0,IF(AND(C20&lt;&gt;"",D20&lt;&gt;"",E20&lt;&gt;"",F20&lt;&gt;"",G20&lt;&gt;""),E20*H20,"faltan valores, revise columnas C a G"))</f>
        <v>0</v>
      </c>
      <c r="J20" s="56"/>
      <c r="K20" s="56"/>
      <c r="L20" s="96">
        <f>IF((F20&lt;&gt;0)*(C20=""),"escoja un combustible",IF(C20=0,0,E20*F20))</f>
        <v>0</v>
      </c>
      <c r="M20" s="97">
        <f>IF((G20&lt;&gt;0)*(C20=""),"escoja un combustible",IF(C20=0,0,G20*E20))</f>
        <v>0</v>
      </c>
      <c r="N20" s="30"/>
    </row>
    <row r="21" spans="1:14" ht="15.75" customHeight="1" thickBot="1" x14ac:dyDescent="0.3">
      <c r="A21" s="62"/>
      <c r="B21" s="63" t="s">
        <v>23</v>
      </c>
      <c r="C21" s="12"/>
      <c r="D21" s="78"/>
      <c r="E21" s="79"/>
      <c r="F21" s="80"/>
      <c r="G21" s="80"/>
      <c r="H21" s="139"/>
      <c r="I21" s="140"/>
      <c r="J21" s="61"/>
      <c r="K21" s="61"/>
      <c r="L21" s="61"/>
      <c r="M21" s="61"/>
      <c r="N21" s="30"/>
    </row>
    <row r="22" spans="1:14" ht="15.75" customHeight="1" thickBot="1" x14ac:dyDescent="0.3">
      <c r="A22" s="52">
        <v>6</v>
      </c>
      <c r="B22" s="53" t="s">
        <v>22</v>
      </c>
      <c r="C22" s="9"/>
      <c r="D22" s="10"/>
      <c r="E22" s="11"/>
      <c r="F22" s="4"/>
      <c r="G22" s="4"/>
      <c r="H22" s="127">
        <f>F22-G22</f>
        <v>0</v>
      </c>
      <c r="I22" s="128">
        <f>IF(AND(C22="",D22="",E22="",F22="",G22=""),0,IF(AND(C22&lt;&gt;"",D22&lt;&gt;"",E22&lt;&gt;"",F22&lt;&gt;"",G22&lt;&gt;""),E22*H22,"faltan valores, revise columnas C a G"))</f>
        <v>0</v>
      </c>
      <c r="J22" s="56"/>
      <c r="K22" s="56"/>
      <c r="L22" s="96">
        <f>IF((F22&lt;&gt;0)*(C22=""),"escoja un combustible",IF(C22=0,0,E22*F22))</f>
        <v>0</v>
      </c>
      <c r="M22" s="97">
        <f>IF((G22&lt;&gt;0)*(C22=""),"escoja un combustible",IF(C22=0,0,G22*E22))</f>
        <v>0</v>
      </c>
      <c r="N22" s="30"/>
    </row>
    <row r="23" spans="1:14" ht="15.75" customHeight="1" thickBot="1" x14ac:dyDescent="0.3">
      <c r="A23" s="62"/>
      <c r="B23" s="63" t="s">
        <v>23</v>
      </c>
      <c r="C23" s="12"/>
      <c r="D23" s="78"/>
      <c r="E23" s="79"/>
      <c r="F23" s="80"/>
      <c r="G23" s="80"/>
      <c r="H23" s="139"/>
      <c r="I23" s="140"/>
      <c r="J23" s="61"/>
      <c r="K23" s="61"/>
      <c r="L23" s="61"/>
      <c r="M23" s="61"/>
      <c r="N23" s="30"/>
    </row>
    <row r="24" spans="1:14" ht="15.75" customHeight="1" thickBot="1" x14ac:dyDescent="0.3">
      <c r="A24" s="48"/>
      <c r="B24" s="42"/>
      <c r="D24" s="66"/>
      <c r="F24" s="67"/>
      <c r="G24" s="67"/>
      <c r="H24" s="133"/>
      <c r="I24" s="134"/>
      <c r="J24" s="61"/>
      <c r="K24" s="61"/>
      <c r="L24" s="61"/>
      <c r="M24" s="61"/>
      <c r="N24" s="30"/>
    </row>
    <row r="25" spans="1:14" ht="15.75" customHeight="1" thickBot="1" x14ac:dyDescent="0.3">
      <c r="A25" s="69">
        <v>7</v>
      </c>
      <c r="B25" s="70" t="s">
        <v>24</v>
      </c>
      <c r="C25" s="81" t="s">
        <v>25</v>
      </c>
      <c r="D25" s="71" t="s">
        <v>26</v>
      </c>
      <c r="E25" s="82">
        <f>FactorEmisMixElecPeninsula</f>
        <v>0.11899999999999999</v>
      </c>
      <c r="F25" s="8"/>
      <c r="G25" s="8"/>
      <c r="H25" s="135">
        <f>((F25+F26)-(G25+G26))</f>
        <v>0</v>
      </c>
      <c r="I25" s="136">
        <f>+((F25-G25)*E25)+((F26-G26)*E26)</f>
        <v>0</v>
      </c>
      <c r="J25" s="61"/>
      <c r="K25" s="61"/>
      <c r="L25" s="96">
        <f>IF((F25&lt;&gt;0)*(C25=""),"escoja un combustible",IF(C25=0,0,E25*F25))</f>
        <v>0</v>
      </c>
      <c r="M25" s="97">
        <f>IF((G25&lt;&gt;0)*(C25=""),"escoja un combustible",IF(C25=0,0,G25*E25))</f>
        <v>0</v>
      </c>
      <c r="N25" s="30"/>
    </row>
    <row r="26" spans="1:14" ht="15.75" customHeight="1" thickBot="1" x14ac:dyDescent="0.3">
      <c r="A26" s="48"/>
      <c r="B26" s="42"/>
      <c r="C26" s="81" t="s">
        <v>282</v>
      </c>
      <c r="D26" s="71" t="s">
        <v>26</v>
      </c>
      <c r="E26" s="151">
        <v>1.4129560999999999E-5</v>
      </c>
      <c r="F26" s="8"/>
      <c r="G26" s="8"/>
      <c r="H26" s="152"/>
      <c r="I26" s="153"/>
      <c r="L26" s="96">
        <f>IF((F26&lt;&gt;0)*(C26=""),"escoja un combustible",IF(C26=0,0,E26*F26))</f>
        <v>0</v>
      </c>
      <c r="M26" s="97">
        <f>IF((G26&lt;&gt;0)*(C26=""),"escoja un combustible",IF(C26=0,0,G26*E26))</f>
        <v>0</v>
      </c>
    </row>
    <row r="27" spans="1:14" ht="15.75" customHeight="1" thickBot="1" x14ac:dyDescent="0.3">
      <c r="A27" s="48"/>
      <c r="B27" s="42"/>
      <c r="I27" s="83"/>
      <c r="L27" s="160" t="s">
        <v>27</v>
      </c>
      <c r="M27" s="155"/>
    </row>
    <row r="28" spans="1:14" ht="19.5" customHeight="1" thickBot="1" x14ac:dyDescent="0.35">
      <c r="A28" s="48"/>
      <c r="B28" s="42"/>
      <c r="F28" s="84"/>
      <c r="G28" s="85"/>
      <c r="H28" s="86" t="s">
        <v>28</v>
      </c>
      <c r="I28" s="87">
        <f>IF((COUNTIF(I8:I25,"escoja un combustible"))&gt;0,"revise datos introducidos",SUM(I8,I9,I10,I12,I14,I15,I17,I18,I20,I22,I25))</f>
        <v>0</v>
      </c>
      <c r="J28" s="31" t="str">
        <f>IF(I28=(L28-M28),"OK","ERROR")</f>
        <v>OK</v>
      </c>
      <c r="K28" s="31"/>
      <c r="L28" s="102">
        <f>SUM(L8:L26)</f>
        <v>0</v>
      </c>
      <c r="M28" s="102">
        <f>SUM(M8:M26)</f>
        <v>0</v>
      </c>
    </row>
    <row r="29" spans="1:14" ht="19.5" customHeight="1" thickBot="1" x14ac:dyDescent="0.35">
      <c r="A29" s="48"/>
      <c r="B29" s="42"/>
      <c r="F29" s="88"/>
      <c r="G29" s="88"/>
      <c r="L29" s="89"/>
      <c r="M29" s="90"/>
    </row>
    <row r="30" spans="1:14" ht="30.75" customHeight="1" thickBot="1" x14ac:dyDescent="0.3">
      <c r="B30" s="47" t="s">
        <v>29</v>
      </c>
      <c r="E30" s="48" t="s">
        <v>6</v>
      </c>
      <c r="F30" s="48" t="s">
        <v>7</v>
      </c>
      <c r="G30" s="48" t="s">
        <v>8</v>
      </c>
      <c r="H30" s="48" t="s">
        <v>9</v>
      </c>
      <c r="I30" s="48" t="s">
        <v>10</v>
      </c>
      <c r="L30" s="48" t="s">
        <v>10</v>
      </c>
      <c r="M30" s="48" t="s">
        <v>10</v>
      </c>
    </row>
    <row r="31" spans="1:14" ht="15.75" customHeight="1" thickBot="1" x14ac:dyDescent="0.3">
      <c r="C31" s="48" t="s">
        <v>11</v>
      </c>
      <c r="D31" s="48" t="s">
        <v>12</v>
      </c>
      <c r="E31" s="50" t="s">
        <v>13</v>
      </c>
      <c r="F31" s="50" t="s">
        <v>14</v>
      </c>
      <c r="G31" s="50" t="s">
        <v>14</v>
      </c>
      <c r="H31" s="50" t="s">
        <v>14</v>
      </c>
      <c r="I31" s="50" t="s">
        <v>15</v>
      </c>
      <c r="L31" s="48" t="s">
        <v>16</v>
      </c>
      <c r="M31" s="48" t="s">
        <v>17</v>
      </c>
    </row>
    <row r="32" spans="1:14" x14ac:dyDescent="0.25">
      <c r="A32" s="52">
        <v>1</v>
      </c>
      <c r="B32" s="53" t="s">
        <v>30</v>
      </c>
      <c r="C32" s="15"/>
      <c r="D32" s="91" t="str">
        <f>IF(C32="","-",VLOOKUP(C32,'Factores de emisión 2'!$C$5:$E$111,2,FALSE))</f>
        <v>-</v>
      </c>
      <c r="E32" s="91" t="str">
        <f>IF(C32="","-",VLOOKUP(C32,'Factores de emisión 2'!$C$5:$E$111,3,FALSE))</f>
        <v>-</v>
      </c>
      <c r="F32" s="4"/>
      <c r="G32" s="4"/>
      <c r="H32" s="127">
        <f>F32-G32</f>
        <v>0</v>
      </c>
      <c r="I32" s="144">
        <f>IF((H32&lt;&gt;0)*(C32=""),"escoja un combustible",IF(C32=0,0,H32*E32))</f>
        <v>0</v>
      </c>
      <c r="L32" s="92">
        <f>IF((F32&lt;&gt;0)*(C32=""),"escoja un combustible",IF(C32=0,0,E32*F32))</f>
        <v>0</v>
      </c>
      <c r="M32" s="93">
        <f>IF((G32&lt;&gt;0)*(C32=""),"escoja un combustible",IF(C32=0,0,G32*E32))</f>
        <v>0</v>
      </c>
    </row>
    <row r="33" spans="1:14" x14ac:dyDescent="0.25">
      <c r="A33" s="57">
        <v>2</v>
      </c>
      <c r="B33" s="58" t="s">
        <v>30</v>
      </c>
      <c r="C33" s="16"/>
      <c r="D33" s="27" t="str">
        <f>IF(C33="","-",VLOOKUP(C33,'Factores de emisión 2'!$C$5:$E$111,2,FALSE))</f>
        <v>-</v>
      </c>
      <c r="E33" s="27" t="str">
        <f>IF(C33="","-",VLOOKUP(C33,'Factores de emisión 2'!$C$5:$E$111,3,FALSE))</f>
        <v>-</v>
      </c>
      <c r="F33" s="1"/>
      <c r="G33" s="1"/>
      <c r="H33" s="129">
        <f>F33-G33</f>
        <v>0</v>
      </c>
      <c r="I33" s="145">
        <f>IF((H33&lt;&gt;0)*(C33=""),"escoja un combustible",IF(C33=0,0,H33*E33))</f>
        <v>0</v>
      </c>
      <c r="L33" s="94">
        <f>IF((F33&lt;&gt;0)*(C33=""),"escoja un combustible",IF(C33=0,0,E33*F33))</f>
        <v>0</v>
      </c>
      <c r="M33" s="95">
        <f>IF((G33&lt;&gt;0)*(C33=""),"escoja un combustible",IF(C33=0,0,G33*E33))</f>
        <v>0</v>
      </c>
    </row>
    <row r="34" spans="1:14" ht="15.75" customHeight="1" thickBot="1" x14ac:dyDescent="0.3">
      <c r="A34" s="57">
        <v>3</v>
      </c>
      <c r="B34" s="58" t="s">
        <v>30</v>
      </c>
      <c r="C34" s="16"/>
      <c r="D34" s="27" t="str">
        <f>IF(C34="","-",VLOOKUP(C34,'Factores de emisión 2'!$C$5:$E$111,2,FALSE))</f>
        <v>-</v>
      </c>
      <c r="E34" s="27" t="str">
        <f>IF(C34="","-",VLOOKUP(C34,'Factores de emisión 2'!$C$5:$E$111,3,FALSE))</f>
        <v>-</v>
      </c>
      <c r="F34" s="1"/>
      <c r="G34" s="1"/>
      <c r="H34" s="129">
        <f>F34-G34</f>
        <v>0</v>
      </c>
      <c r="I34" s="145">
        <f>IF((H34&lt;&gt;0)*(C34=""),"escoja un combustible",IF(C34=0,0,H34*E34))</f>
        <v>0</v>
      </c>
      <c r="L34" s="94">
        <f>IF((F34&lt;&gt;0)*(C34=""),"escoja un combustible",IF(C34=0,0,E34*F34))</f>
        <v>0</v>
      </c>
      <c r="M34" s="95">
        <f>IF((G34&lt;&gt;0)*(C34=""),"escoja un combustible",IF(C34=0,0,G34*E34))</f>
        <v>0</v>
      </c>
    </row>
    <row r="35" spans="1:14" ht="15.75" customHeight="1" thickBot="1" x14ac:dyDescent="0.3">
      <c r="A35" s="52">
        <v>4</v>
      </c>
      <c r="B35" s="53" t="s">
        <v>31</v>
      </c>
      <c r="C35" s="19"/>
      <c r="D35" s="10"/>
      <c r="E35" s="11"/>
      <c r="F35" s="4"/>
      <c r="G35" s="4"/>
      <c r="H35" s="127">
        <f>F35-G35</f>
        <v>0</v>
      </c>
      <c r="I35" s="128">
        <f>IF(AND(C35="",D35="",E35="",F35="",G35=""),0,IF(AND(C35&lt;&gt;"",D35&lt;&gt;"",E35&lt;&gt;"",F35&lt;&gt;"",G35&lt;&gt;""),E35*H35,"faltan valores, revise columnas C a G"))</f>
        <v>0</v>
      </c>
      <c r="L35" s="96">
        <f>IF((F35&lt;&gt;0)*(C35=""),"escoja un combustible",IF(C35=0,0,E35*F35))</f>
        <v>0</v>
      </c>
      <c r="M35" s="97">
        <f>IF((G35&lt;&gt;0)*(C35=""),"escoja un combustible",IF(C35=0,0,G35*E35))</f>
        <v>0</v>
      </c>
      <c r="N35" s="30"/>
    </row>
    <row r="36" spans="1:14" ht="15.75" customHeight="1" thickBot="1" x14ac:dyDescent="0.3">
      <c r="A36" s="62"/>
      <c r="B36" s="63" t="s">
        <v>23</v>
      </c>
      <c r="C36" s="20"/>
      <c r="D36" s="64"/>
      <c r="E36" s="98"/>
      <c r="F36" s="99"/>
      <c r="G36" s="99"/>
      <c r="H36" s="100"/>
      <c r="I36" s="101"/>
      <c r="L36" s="61"/>
      <c r="M36" s="61"/>
      <c r="N36" s="30"/>
    </row>
    <row r="37" spans="1:14" ht="15.75" customHeight="1" thickBot="1" x14ac:dyDescent="0.3">
      <c r="A37" s="52">
        <v>5</v>
      </c>
      <c r="B37" s="53" t="s">
        <v>31</v>
      </c>
      <c r="C37" s="19"/>
      <c r="D37" s="10"/>
      <c r="E37" s="11"/>
      <c r="F37" s="4"/>
      <c r="G37" s="4"/>
      <c r="H37" s="127">
        <f>F37-G37</f>
        <v>0</v>
      </c>
      <c r="I37" s="128">
        <f>IF(AND(C37="",D37="",E37="",F37="",G37=""),0,IF(AND(C37&lt;&gt;"",D37&lt;&gt;"",E37&lt;&gt;"",F37&lt;&gt;"",G37&lt;&gt;""),E37*H37,"faltan valores, revise columnas C a G"))</f>
        <v>0</v>
      </c>
      <c r="L37" s="96">
        <f>IF((F37&lt;&gt;0)*(C37=""),"escoja un combustible",IF(C37=0,0,E37*F37))</f>
        <v>0</v>
      </c>
      <c r="M37" s="97">
        <f>IF((G37&lt;&gt;0)*(C37=""),"escoja un combustible",IF(C37=0,0,G37*E37))</f>
        <v>0</v>
      </c>
      <c r="N37" s="30"/>
    </row>
    <row r="38" spans="1:14" ht="15.75" customHeight="1" thickBot="1" x14ac:dyDescent="0.3">
      <c r="A38" s="62"/>
      <c r="B38" s="63" t="s">
        <v>23</v>
      </c>
      <c r="C38" s="20"/>
      <c r="D38" s="64"/>
      <c r="E38" s="98"/>
      <c r="F38" s="99"/>
      <c r="G38" s="99"/>
      <c r="H38" s="100"/>
      <c r="I38" s="101"/>
      <c r="L38" s="61"/>
      <c r="M38" s="61"/>
      <c r="N38" s="30"/>
    </row>
    <row r="39" spans="1:14" ht="15.75" customHeight="1" thickBot="1" x14ac:dyDescent="0.3">
      <c r="A39" s="52">
        <v>6</v>
      </c>
      <c r="B39" s="53" t="s">
        <v>31</v>
      </c>
      <c r="C39" s="19"/>
      <c r="D39" s="10"/>
      <c r="E39" s="11"/>
      <c r="F39" s="4"/>
      <c r="G39" s="4"/>
      <c r="H39" s="127">
        <f>F39-G39</f>
        <v>0</v>
      </c>
      <c r="I39" s="128">
        <f>IF(AND(C39="",D39="",E39="",F39="",G39=""),0,IF(AND(C39&lt;&gt;"",D39&lt;&gt;"",E39&lt;&gt;"",F39&lt;&gt;"",G39&lt;&gt;""),E39*H39,"faltan valores, revise columnas C a G"))</f>
        <v>0</v>
      </c>
      <c r="L39" s="96">
        <f>IF((F39&lt;&gt;0)*(C39=""),"escoja un combustible",IF(C39=0,0,E39*F39))</f>
        <v>0</v>
      </c>
      <c r="M39" s="97">
        <f>IF((G39&lt;&gt;0)*(C39=""),"escoja un combustible",IF(C39=0,0,G39*E39))</f>
        <v>0</v>
      </c>
      <c r="N39" s="30"/>
    </row>
    <row r="40" spans="1:14" ht="15.75" customHeight="1" thickBot="1" x14ac:dyDescent="0.3">
      <c r="A40" s="62"/>
      <c r="B40" s="63" t="s">
        <v>23</v>
      </c>
      <c r="C40" s="20"/>
      <c r="D40" s="64"/>
      <c r="E40" s="98"/>
      <c r="F40" s="99"/>
      <c r="G40" s="99"/>
      <c r="H40" s="100"/>
      <c r="I40" s="101"/>
      <c r="L40" s="61"/>
      <c r="M40" s="61"/>
      <c r="N40" s="30"/>
    </row>
    <row r="41" spans="1:14" ht="15.75" customHeight="1" thickBot="1" x14ac:dyDescent="0.3">
      <c r="A41" s="48"/>
      <c r="B41" s="42"/>
      <c r="D41" s="66"/>
      <c r="F41" s="67"/>
      <c r="G41" s="67"/>
      <c r="H41" s="68"/>
      <c r="I41" s="83"/>
      <c r="L41" s="154" t="s">
        <v>32</v>
      </c>
      <c r="M41" s="155"/>
    </row>
    <row r="42" spans="1:14" ht="19.5" customHeight="1" thickBot="1" x14ac:dyDescent="0.35">
      <c r="A42" s="48"/>
      <c r="B42" s="42"/>
      <c r="F42" s="84"/>
      <c r="G42" s="85"/>
      <c r="H42" s="86" t="s">
        <v>28</v>
      </c>
      <c r="I42" s="87">
        <f>IF((COUNTIF(I32:I39,"escoja un combustible"))&gt;0,"revise datos introducidos",SUM(I32:I39))</f>
        <v>0</v>
      </c>
      <c r="J42" s="31" t="str">
        <f>IF(I42=(L42-M42),"OK","ERROR")</f>
        <v>OK</v>
      </c>
      <c r="K42" s="31"/>
      <c r="L42" s="102">
        <f>SUM(L32:L39)</f>
        <v>0</v>
      </c>
      <c r="M42" s="102">
        <f>SUM(M32:M39)</f>
        <v>0</v>
      </c>
    </row>
    <row r="43" spans="1:14" ht="19.5" customHeight="1" thickBot="1" x14ac:dyDescent="0.35">
      <c r="A43" s="48"/>
      <c r="B43" s="103"/>
      <c r="F43" s="88"/>
      <c r="G43" s="88"/>
      <c r="L43" s="31"/>
      <c r="M43" s="31"/>
    </row>
    <row r="44" spans="1:14" ht="30.75" customHeight="1" thickBot="1" x14ac:dyDescent="0.3">
      <c r="B44" s="47" t="s">
        <v>33</v>
      </c>
      <c r="E44" s="48" t="s">
        <v>6</v>
      </c>
      <c r="F44" s="48" t="s">
        <v>7</v>
      </c>
      <c r="G44" s="48" t="s">
        <v>8</v>
      </c>
      <c r="H44" s="48" t="s">
        <v>9</v>
      </c>
      <c r="I44" s="48" t="s">
        <v>10</v>
      </c>
      <c r="L44" s="48" t="s">
        <v>10</v>
      </c>
      <c r="M44" s="48" t="s">
        <v>10</v>
      </c>
    </row>
    <row r="45" spans="1:14" ht="15.75" customHeight="1" thickBot="1" x14ac:dyDescent="0.3">
      <c r="C45" s="48" t="s">
        <v>11</v>
      </c>
      <c r="D45" s="48" t="s">
        <v>12</v>
      </c>
      <c r="E45" s="50" t="s">
        <v>13</v>
      </c>
      <c r="F45" s="104" t="s">
        <v>34</v>
      </c>
      <c r="G45" s="104" t="s">
        <v>34</v>
      </c>
      <c r="H45" s="104" t="s">
        <v>34</v>
      </c>
      <c r="I45" s="50" t="s">
        <v>15</v>
      </c>
      <c r="L45" s="48" t="s">
        <v>16</v>
      </c>
      <c r="M45" s="48" t="s">
        <v>17</v>
      </c>
    </row>
    <row r="46" spans="1:14" x14ac:dyDescent="0.25">
      <c r="A46" s="52">
        <v>1</v>
      </c>
      <c r="B46" s="53" t="s">
        <v>33</v>
      </c>
      <c r="C46" s="15"/>
      <c r="D46" s="91" t="str">
        <f>IF(C46="","-",VLOOKUP(C46,'Factores de emisión 2'!$H$5:$J$27,2,FALSE))</f>
        <v>-</v>
      </c>
      <c r="E46" s="91" t="str">
        <f>IF(C46="","-",VLOOKUP(C46,'Factores de emisión 2'!$H$5:$J$27,3,FALSE))</f>
        <v>-</v>
      </c>
      <c r="F46" s="4"/>
      <c r="G46" s="4"/>
      <c r="H46" s="127">
        <f>F46-G46</f>
        <v>0</v>
      </c>
      <c r="I46" s="144">
        <f>IF((H46&lt;&gt;0)*(C46=""),"escoja un combustible",IF(C46=0,0,H46*E46))</f>
        <v>0</v>
      </c>
      <c r="L46" s="92">
        <f>IF((F46&lt;&gt;0)*(C46=""),"escoja un combustible",IF(C46=0,0,E46*F46))</f>
        <v>0</v>
      </c>
      <c r="M46" s="93">
        <f>IF((G46&lt;&gt;0)*(C46=""),"escoja un combustible",IF(C46=0,0,G46*E46))</f>
        <v>0</v>
      </c>
    </row>
    <row r="47" spans="1:14" x14ac:dyDescent="0.25">
      <c r="A47" s="57">
        <v>2</v>
      </c>
      <c r="B47" s="105" t="s">
        <v>33</v>
      </c>
      <c r="C47" s="16"/>
      <c r="D47" s="27" t="str">
        <f>IF(C47="","-",VLOOKUP(C47,'Factores de emisión 2'!$H$5:$J$27,2,FALSE))</f>
        <v>-</v>
      </c>
      <c r="E47" s="27" t="str">
        <f>IF(C47="","-",VLOOKUP(C47,'Factores de emisión 2'!$H$5:$J$27,3,FALSE))</f>
        <v>-</v>
      </c>
      <c r="F47" s="1"/>
      <c r="G47" s="1"/>
      <c r="H47" s="129">
        <f>F47-G47</f>
        <v>0</v>
      </c>
      <c r="I47" s="145">
        <f>IF((H47&lt;&gt;0)*(C47=""),"escoja un combustible",IF(C47=0,0,H47*E47))</f>
        <v>0</v>
      </c>
      <c r="L47" s="94">
        <f>IF((F47&lt;&gt;0)*(C47=""),"escoja un combustible",IF(C47=0,0,E47*F47))</f>
        <v>0</v>
      </c>
      <c r="M47" s="95">
        <f>IF((G47&lt;&gt;0)*(C47=""),"escoja un combustible",IF(C47=0,0,G47*E47))</f>
        <v>0</v>
      </c>
    </row>
    <row r="48" spans="1:14" ht="15.75" customHeight="1" thickBot="1" x14ac:dyDescent="0.3">
      <c r="A48" s="57">
        <v>3</v>
      </c>
      <c r="B48" s="58" t="s">
        <v>33</v>
      </c>
      <c r="C48" s="16"/>
      <c r="D48" s="27" t="str">
        <f>IF(C48="","-",VLOOKUP(C48,'Factores de emisión 2'!$H$5:$J$27,2,FALSE))</f>
        <v>-</v>
      </c>
      <c r="E48" s="27" t="str">
        <f>IF(C48="","-",VLOOKUP(C48,'Factores de emisión 2'!$H$5:$J$27,3,FALSE))</f>
        <v>-</v>
      </c>
      <c r="F48" s="1"/>
      <c r="G48" s="1"/>
      <c r="H48" s="129">
        <f>F48-G48</f>
        <v>0</v>
      </c>
      <c r="I48" s="145">
        <f>IF((H48&lt;&gt;0)*(C48=""),"escoja un combustible",IF(C48=0,0,H48*E48))</f>
        <v>0</v>
      </c>
      <c r="L48" s="94">
        <f>IF((F48&lt;&gt;0)*(C48=""),"escoja un combustible",IF(C48=0,0,E48*F48))</f>
        <v>0</v>
      </c>
      <c r="M48" s="95">
        <f>IF((G48&lt;&gt;0)*(C48=""),"escoja un combustible",IF(C48=0,0,G48*E48))</f>
        <v>0</v>
      </c>
    </row>
    <row r="49" spans="1:15" ht="15.75" customHeight="1" thickBot="1" x14ac:dyDescent="0.3">
      <c r="A49" s="52">
        <v>4</v>
      </c>
      <c r="B49" s="53" t="s">
        <v>35</v>
      </c>
      <c r="C49" s="19"/>
      <c r="D49" s="10"/>
      <c r="E49" s="11"/>
      <c r="F49" s="4"/>
      <c r="G49" s="4"/>
      <c r="H49" s="127">
        <f>F49-G49</f>
        <v>0</v>
      </c>
      <c r="I49" s="128">
        <f>IF(AND(C49="",D49="",E49="",F49="",G49=""),0,IF(AND(C49&lt;&gt;"",D49&lt;&gt;"",E49&lt;&gt;"",F49&lt;&gt;"",G49&lt;&gt;""),E49*H49,"faltan valores, revise columnas C a G"))</f>
        <v>0</v>
      </c>
      <c r="J49" s="30"/>
      <c r="K49" s="30"/>
      <c r="L49" s="96">
        <f>IF((F49&lt;&gt;0)*(C49=""),"escoja un combustible",IF(C49=0,0,E49*F49))</f>
        <v>0</v>
      </c>
      <c r="M49" s="97">
        <f>IF((G49&lt;&gt;0)*(C49=""),"escoja un combustible",IF(C49=0,0,G49*E49))</f>
        <v>0</v>
      </c>
      <c r="N49" s="30"/>
    </row>
    <row r="50" spans="1:15" ht="15.75" customHeight="1" thickBot="1" x14ac:dyDescent="0.3">
      <c r="A50" s="62"/>
      <c r="B50" s="63" t="s">
        <v>23</v>
      </c>
      <c r="C50" s="20"/>
      <c r="D50" s="64"/>
      <c r="E50" s="98"/>
      <c r="F50" s="99"/>
      <c r="G50" s="99"/>
      <c r="H50" s="146"/>
      <c r="I50" s="147"/>
      <c r="L50" s="61"/>
      <c r="M50" s="61"/>
      <c r="N50" s="30"/>
    </row>
    <row r="51" spans="1:15" ht="15.75" customHeight="1" thickBot="1" x14ac:dyDescent="0.3">
      <c r="A51" s="48"/>
      <c r="B51" s="42"/>
      <c r="C51" s="30"/>
      <c r="D51" s="106"/>
      <c r="E51" s="30"/>
      <c r="F51" s="67"/>
      <c r="G51" s="67"/>
      <c r="H51" s="68"/>
      <c r="I51" s="83"/>
      <c r="L51" s="154" t="s">
        <v>36</v>
      </c>
      <c r="M51" s="155"/>
    </row>
    <row r="52" spans="1:15" ht="19.5" customHeight="1" thickBot="1" x14ac:dyDescent="0.35">
      <c r="A52" s="48"/>
      <c r="B52" s="42"/>
      <c r="C52" s="30"/>
      <c r="D52" s="30"/>
      <c r="E52" s="30"/>
      <c r="F52" s="84"/>
      <c r="G52" s="85"/>
      <c r="H52" s="86" t="s">
        <v>28</v>
      </c>
      <c r="I52" s="87">
        <f>IF((COUNTIF(I46:I49,"escoja un combustible"))&gt;0,"revise datos introducidos",SUM(I46:I49))</f>
        <v>0</v>
      </c>
      <c r="J52" s="31" t="str">
        <f>IF(I52=(L52-M52),"OK","ERROR")</f>
        <v>OK</v>
      </c>
      <c r="K52" s="31"/>
      <c r="L52" s="102">
        <f>SUM(L46:L50)</f>
        <v>0</v>
      </c>
      <c r="M52" s="102">
        <f>SUM(M46:M50)</f>
        <v>0</v>
      </c>
    </row>
    <row r="53" spans="1:15" ht="19.5" customHeight="1" thickBot="1" x14ac:dyDescent="0.35">
      <c r="A53" s="48"/>
      <c r="B53" s="42"/>
      <c r="C53" s="30"/>
      <c r="D53" s="30"/>
      <c r="E53" s="30"/>
      <c r="F53" s="88"/>
      <c r="G53" s="88"/>
      <c r="L53" s="31"/>
      <c r="M53" s="31"/>
    </row>
    <row r="54" spans="1:15" ht="30.75" customHeight="1" thickBot="1" x14ac:dyDescent="0.3">
      <c r="B54" s="107" t="s">
        <v>37</v>
      </c>
      <c r="E54" s="48" t="s">
        <v>6</v>
      </c>
      <c r="F54" s="48" t="s">
        <v>7</v>
      </c>
      <c r="G54" s="48" t="s">
        <v>8</v>
      </c>
      <c r="H54" s="48" t="s">
        <v>9</v>
      </c>
      <c r="I54" s="48" t="s">
        <v>10</v>
      </c>
      <c r="L54" s="48" t="s">
        <v>10</v>
      </c>
      <c r="M54" s="48" t="s">
        <v>10</v>
      </c>
    </row>
    <row r="55" spans="1:15" ht="15.75" customHeight="1" thickBot="1" x14ac:dyDescent="0.3">
      <c r="C55" s="48" t="s">
        <v>11</v>
      </c>
      <c r="D55" s="48" t="s">
        <v>12</v>
      </c>
      <c r="E55" s="50" t="s">
        <v>13</v>
      </c>
      <c r="F55" s="50" t="s">
        <v>14</v>
      </c>
      <c r="G55" s="50" t="s">
        <v>14</v>
      </c>
      <c r="H55" s="50" t="s">
        <v>14</v>
      </c>
      <c r="I55" s="50" t="s">
        <v>15</v>
      </c>
      <c r="L55" s="48" t="s">
        <v>16</v>
      </c>
      <c r="M55" s="48" t="s">
        <v>17</v>
      </c>
    </row>
    <row r="56" spans="1:15" x14ac:dyDescent="0.25">
      <c r="A56" s="52">
        <v>1</v>
      </c>
      <c r="B56" s="53" t="s">
        <v>37</v>
      </c>
      <c r="C56" s="15"/>
      <c r="D56" s="91" t="str">
        <f>IF(C56="","-",VLOOKUP(C56,'Factores de emisión 2'!$M$5:$O$54,2,FALSE))</f>
        <v>-</v>
      </c>
      <c r="E56" s="91" t="str">
        <f>IF(C56="","-",VLOOKUP(C56,'Factores de emisión 2'!$M$5:$O$54,3,FALSE))</f>
        <v>-</v>
      </c>
      <c r="F56" s="4"/>
      <c r="G56" s="4"/>
      <c r="H56" s="127">
        <f>F56-G56</f>
        <v>0</v>
      </c>
      <c r="I56" s="144">
        <f>IF((H56&lt;&gt;0)*(C56=""),"escoja un combustible",IF(C56=0,0,H56*E56))</f>
        <v>0</v>
      </c>
      <c r="L56" s="92">
        <f>IF((F56&lt;&gt;0)*(C56=""),"escoja un combustible",IF(C56=0,0,E56*F56))</f>
        <v>0</v>
      </c>
      <c r="M56" s="93">
        <f>IF((G56&lt;&gt;0)*(C56=""),"escoja un combustible",IF(C56=0,0,G56*E56))</f>
        <v>0</v>
      </c>
    </row>
    <row r="57" spans="1:15" x14ac:dyDescent="0.25">
      <c r="A57" s="57">
        <v>2</v>
      </c>
      <c r="B57" s="105" t="s">
        <v>37</v>
      </c>
      <c r="C57" s="16"/>
      <c r="D57" s="27" t="str">
        <f>IF(C57="","-",VLOOKUP(C57,'Factores de emisión 2'!$M$5:$O$54,2,FALSE))</f>
        <v>-</v>
      </c>
      <c r="E57" s="27" t="str">
        <f>IF(C57="","-",VLOOKUP(C57,'Factores de emisión 2'!$M$5:$O$54,3,FALSE))</f>
        <v>-</v>
      </c>
      <c r="F57" s="1"/>
      <c r="G57" s="1"/>
      <c r="H57" s="129">
        <f>F57-G57</f>
        <v>0</v>
      </c>
      <c r="I57" s="145">
        <f>IF((H57&lt;&gt;0)*(C57=""),"escoja un combustible",IF(C57=0,0,H57*E57))</f>
        <v>0</v>
      </c>
      <c r="L57" s="94">
        <f>IF((F57&lt;&gt;0)*(C57=""),"escoja un combustible",IF(C57=0,0,E57*F57))</f>
        <v>0</v>
      </c>
      <c r="M57" s="95">
        <f>IF((G57&lt;&gt;0)*(C57=""),"escoja un combustible",IF(C57=0,0,G57*E57))</f>
        <v>0</v>
      </c>
      <c r="O57" s="83"/>
    </row>
    <row r="58" spans="1:15" ht="15.75" customHeight="1" thickBot="1" x14ac:dyDescent="0.3">
      <c r="A58" s="57">
        <v>3</v>
      </c>
      <c r="B58" s="58" t="s">
        <v>37</v>
      </c>
      <c r="C58" s="17"/>
      <c r="D58" s="27" t="str">
        <f>IF(C58="","-",VLOOKUP(C58,'Factores de emisión 2'!$M$5:$O$54,2,FALSE))</f>
        <v>-</v>
      </c>
      <c r="E58" s="27" t="str">
        <f>IF(C58="","-",VLOOKUP(C58,'Factores de emisión 2'!$M$5:$O$54,3,FALSE))</f>
        <v>-</v>
      </c>
      <c r="F58" s="18"/>
      <c r="G58" s="18"/>
      <c r="H58" s="148">
        <f>F58-G58</f>
        <v>0</v>
      </c>
      <c r="I58" s="149">
        <f>IF((H58&lt;&gt;0)*(C58=""),"escoja un combustible",IF(C58=0,0,H58*E58))</f>
        <v>0</v>
      </c>
      <c r="L58" s="94">
        <f>IF((F58&lt;&gt;0)*(C58=""),"escoja un combustible",IF(C58=0,0,E58*F58))</f>
        <v>0</v>
      </c>
      <c r="M58" s="95">
        <f>IF((G58&lt;&gt;0)*(C58=""),"escoja un combustible",IF(C58=0,0,G58*E58))</f>
        <v>0</v>
      </c>
    </row>
    <row r="59" spans="1:15" ht="15.75" customHeight="1" thickBot="1" x14ac:dyDescent="0.3">
      <c r="A59" s="52">
        <v>4</v>
      </c>
      <c r="B59" s="108" t="s">
        <v>38</v>
      </c>
      <c r="C59" s="19"/>
      <c r="D59" s="10"/>
      <c r="E59" s="11"/>
      <c r="F59" s="4"/>
      <c r="G59" s="4"/>
      <c r="H59" s="127">
        <f>F59-G59</f>
        <v>0</v>
      </c>
      <c r="I59" s="128">
        <f>IF(AND(C59="",D59="",E59="",F59="",G59=""),0,IF(AND(C59&lt;&gt;"",D59&lt;&gt;"",E59&lt;&gt;"",F59&lt;&gt;"",G59&lt;&gt;""),E59*H59,"faltan valores, revise columnas C a G"))</f>
        <v>0</v>
      </c>
      <c r="J59" s="30"/>
      <c r="K59" s="30"/>
      <c r="L59" s="96">
        <f>IF((F59&lt;&gt;0)*(C59=""),"escoja un combustible",IF(C59=0,0,E59*F59))</f>
        <v>0</v>
      </c>
      <c r="M59" s="97">
        <f>IF((G59&lt;&gt;0)*(C59=""),"escoja un combustible",IF(C59=0,0,G59*E59))</f>
        <v>0</v>
      </c>
      <c r="N59" s="30"/>
    </row>
    <row r="60" spans="1:15" ht="15.75" customHeight="1" thickBot="1" x14ac:dyDescent="0.3">
      <c r="A60" s="62"/>
      <c r="B60" s="109" t="s">
        <v>23</v>
      </c>
      <c r="C60" s="20"/>
      <c r="D60" s="64"/>
      <c r="E60" s="98"/>
      <c r="F60" s="99"/>
      <c r="G60" s="99"/>
      <c r="H60" s="146"/>
      <c r="I60" s="147"/>
      <c r="L60" s="61"/>
      <c r="M60" s="61"/>
      <c r="N60" s="30"/>
    </row>
    <row r="61" spans="1:15" ht="15.75" customHeight="1" thickBot="1" x14ac:dyDescent="0.3">
      <c r="A61" s="48"/>
      <c r="B61" s="42"/>
      <c r="C61" s="30"/>
      <c r="D61" s="106"/>
      <c r="E61" s="30"/>
      <c r="F61" s="67"/>
      <c r="G61" s="67"/>
      <c r="H61" s="68"/>
      <c r="I61" s="83"/>
      <c r="L61" s="154" t="s">
        <v>39</v>
      </c>
      <c r="M61" s="155"/>
    </row>
    <row r="62" spans="1:15" ht="19.5" customHeight="1" thickBot="1" x14ac:dyDescent="0.35">
      <c r="A62" s="48"/>
      <c r="B62" s="42"/>
      <c r="C62" s="30"/>
      <c r="D62" s="30"/>
      <c r="E62" s="30"/>
      <c r="F62" s="84"/>
      <c r="G62" s="85"/>
      <c r="H62" s="86" t="s">
        <v>28</v>
      </c>
      <c r="I62" s="87">
        <f>IF((COUNTIF(I56:I59,"escoja un combustible"))&gt;0,"revise datos introducidos",SUM(I56:I59))</f>
        <v>0</v>
      </c>
      <c r="J62" s="31" t="str">
        <f>IF(I62=(L62-M62),"OK","ERROR")</f>
        <v>OK</v>
      </c>
      <c r="K62" s="31"/>
      <c r="L62" s="102">
        <f>SUM(L56:L60)</f>
        <v>0</v>
      </c>
      <c r="M62" s="102">
        <f>SUM(M56:M60)</f>
        <v>0</v>
      </c>
    </row>
    <row r="63" spans="1:15" ht="19.5" customHeight="1" thickBot="1" x14ac:dyDescent="0.35">
      <c r="A63" s="48"/>
      <c r="B63" s="42"/>
      <c r="F63" s="88"/>
      <c r="G63" s="88"/>
      <c r="H63" s="110"/>
      <c r="L63" s="90"/>
      <c r="M63" s="90"/>
    </row>
    <row r="64" spans="1:15" ht="16.5" customHeight="1" thickBot="1" x14ac:dyDescent="0.3">
      <c r="A64" s="48"/>
      <c r="B64" s="156" t="s">
        <v>40</v>
      </c>
      <c r="C64" s="157"/>
      <c r="D64" s="155"/>
      <c r="L64" s="158" t="s">
        <v>41</v>
      </c>
      <c r="M64" s="158" t="s">
        <v>42</v>
      </c>
    </row>
    <row r="65" spans="1:13" ht="16.5" customHeight="1" thickBot="1" x14ac:dyDescent="0.3">
      <c r="A65" s="48"/>
      <c r="B65" s="111" t="s">
        <v>43</v>
      </c>
      <c r="C65" s="112">
        <f>I28+I42+I52+I62</f>
        <v>0</v>
      </c>
      <c r="D65" s="113" t="s">
        <v>10</v>
      </c>
      <c r="L65" s="159"/>
      <c r="M65" s="159"/>
    </row>
    <row r="66" spans="1:13" ht="16.5" customHeight="1" thickBot="1" x14ac:dyDescent="0.3">
      <c r="A66" s="48"/>
      <c r="B66" s="114"/>
      <c r="C66" s="115">
        <f>IF(C65="revise datos introducidos","revise datos introducidos",C65/1000)</f>
        <v>0</v>
      </c>
      <c r="D66" s="116" t="s">
        <v>44</v>
      </c>
      <c r="J66" s="117" t="s">
        <v>45</v>
      </c>
      <c r="K66" s="117" t="s">
        <v>45</v>
      </c>
      <c r="L66" s="118">
        <f>L28+L42+L52+L62</f>
        <v>0</v>
      </c>
      <c r="M66" s="118">
        <f>M28+M42+M52+M62</f>
        <v>0</v>
      </c>
    </row>
    <row r="67" spans="1:13" ht="16.5" customHeight="1" thickBot="1" x14ac:dyDescent="0.3">
      <c r="A67" s="48"/>
      <c r="B67" s="119" t="s">
        <v>46</v>
      </c>
      <c r="C67" s="120">
        <f>IFERROR((L66-M66)/L66,0)</f>
        <v>0</v>
      </c>
      <c r="D67" s="121" t="s">
        <v>47</v>
      </c>
    </row>
    <row r="68" spans="1:13" ht="32.25" customHeight="1" thickBot="1" x14ac:dyDescent="0.3">
      <c r="A68" s="48"/>
      <c r="B68" s="119" t="s">
        <v>48</v>
      </c>
      <c r="C68" s="122">
        <f>IF(C65="revise datos introducidos","revise datos introducidos",Vida_util*C66)</f>
        <v>0</v>
      </c>
      <c r="D68" s="121" t="s">
        <v>49</v>
      </c>
      <c r="L68" s="83"/>
    </row>
    <row r="69" spans="1:13" ht="16.5" customHeight="1" thickBot="1" x14ac:dyDescent="0.3">
      <c r="A69" s="48"/>
      <c r="B69" s="123"/>
      <c r="C69" s="124"/>
      <c r="D69" s="125"/>
    </row>
    <row r="70" spans="1:13" ht="15.75" customHeight="1" x14ac:dyDescent="0.25">
      <c r="A70" s="48"/>
      <c r="B70" s="111" t="s">
        <v>50</v>
      </c>
      <c r="C70" s="150"/>
      <c r="D70" s="113" t="s">
        <v>51</v>
      </c>
    </row>
    <row r="71" spans="1:13" ht="16.5" customHeight="1" thickBot="1" x14ac:dyDescent="0.3">
      <c r="A71" s="48"/>
      <c r="B71" s="114" t="s">
        <v>52</v>
      </c>
      <c r="C71" s="126">
        <f>IFERROR(IF(C65="revise datos introducidos","revise datos introducidos",Subvención_solicitada/Emisiones_evitadas_vidautil),0)</f>
        <v>0</v>
      </c>
      <c r="D71" s="116" t="s">
        <v>53</v>
      </c>
      <c r="E71" s="42" t="s">
        <v>54</v>
      </c>
    </row>
    <row r="72" spans="1:13" x14ac:dyDescent="0.25">
      <c r="C72" s="30"/>
    </row>
    <row r="73" spans="1:13" hidden="1" x14ac:dyDescent="0.25">
      <c r="E73" s="31" t="str">
        <f>IF(C65=(L66-M66),"OK","ERROR")</f>
        <v>OK</v>
      </c>
    </row>
  </sheetData>
  <sheetProtection algorithmName="SHA-512" hashValue="hYYqskG22PISh6LIv6nLrv/htR65LHHdnBuiX+05yihptzi6sbN8bYgNkIpKYqIDuBZPrGR2QSXI1SY/fX88bw==" saltValue="7MsgC9FQNkUhmdPfPkh0lA==" spinCount="100000" sheet="1" objects="1" scenarios="1"/>
  <mergeCells count="7">
    <mergeCell ref="L41:M41"/>
    <mergeCell ref="B64:D64"/>
    <mergeCell ref="M64:M65"/>
    <mergeCell ref="L27:M27"/>
    <mergeCell ref="L61:M61"/>
    <mergeCell ref="L51:M51"/>
    <mergeCell ref="L64:L65"/>
  </mergeCells>
  <conditionalFormatting sqref="C65:C68">
    <cfRule type="cellIs" dxfId="46" priority="22" operator="equal">
      <formula>"revise datos introducidos"</formula>
    </cfRule>
  </conditionalFormatting>
  <conditionalFormatting sqref="C71">
    <cfRule type="cellIs" dxfId="45" priority="98" operator="equal">
      <formula>"revise datos introducidos"</formula>
    </cfRule>
  </conditionalFormatting>
  <conditionalFormatting sqref="E73">
    <cfRule type="containsText" dxfId="44" priority="33" operator="containsText" text="ERROR">
      <formula>NOT(ISERROR(SEARCH("ERROR",E73)))</formula>
    </cfRule>
    <cfRule type="containsText" dxfId="43" priority="34" operator="containsText" text="OK">
      <formula>NOT(ISERROR(SEARCH("OK",E73)))</formula>
    </cfRule>
    <cfRule type="cellIs" dxfId="42" priority="35" operator="equal">
      <formula>"""ERROR"""</formula>
    </cfRule>
  </conditionalFormatting>
  <conditionalFormatting sqref="I8:I10">
    <cfRule type="cellIs" dxfId="41" priority="109" operator="equal">
      <formula>"escoja un combustible"</formula>
    </cfRule>
  </conditionalFormatting>
  <conditionalFormatting sqref="I12">
    <cfRule type="cellIs" dxfId="40" priority="101" operator="equal">
      <formula>"escoja un combustible"</formula>
    </cfRule>
  </conditionalFormatting>
  <conditionalFormatting sqref="I14:I15">
    <cfRule type="cellIs" dxfId="39" priority="99" operator="equal">
      <formula>"escoja un combustible"</formula>
    </cfRule>
  </conditionalFormatting>
  <conditionalFormatting sqref="I17:I18">
    <cfRule type="cellIs" dxfId="38" priority="94" operator="equal">
      <formula>"escoja un combustible"</formula>
    </cfRule>
  </conditionalFormatting>
  <conditionalFormatting sqref="I20">
    <cfRule type="cellIs" dxfId="37" priority="97" operator="equal">
      <formula>"escoja un combustible"</formula>
    </cfRule>
    <cfRule type="cellIs" dxfId="36" priority="105" operator="equal">
      <formula>"introduzca consumos"</formula>
    </cfRule>
  </conditionalFormatting>
  <conditionalFormatting sqref="I22">
    <cfRule type="cellIs" dxfId="35" priority="8" operator="equal">
      <formula>"escoja un combustible"</formula>
    </cfRule>
    <cfRule type="cellIs" dxfId="34" priority="9" operator="equal">
      <formula>"introduzca consumos"</formula>
    </cfRule>
  </conditionalFormatting>
  <conditionalFormatting sqref="I28 I42 I52 I62">
    <cfRule type="cellIs" dxfId="33" priority="104" operator="equal">
      <formula>"revise datos introducidos"</formula>
    </cfRule>
  </conditionalFormatting>
  <conditionalFormatting sqref="I32:I35">
    <cfRule type="cellIs" dxfId="32" priority="14" operator="equal">
      <formula>"escoja un combustible"</formula>
    </cfRule>
  </conditionalFormatting>
  <conditionalFormatting sqref="I35">
    <cfRule type="cellIs" dxfId="31" priority="15" operator="equal">
      <formula>"introduzca consumos"</formula>
    </cfRule>
  </conditionalFormatting>
  <conditionalFormatting sqref="I37">
    <cfRule type="cellIs" dxfId="30" priority="4" operator="equal">
      <formula>"escoja un combustible"</formula>
    </cfRule>
    <cfRule type="cellIs" dxfId="29" priority="5" operator="equal">
      <formula>"introduzca consumos"</formula>
    </cfRule>
  </conditionalFormatting>
  <conditionalFormatting sqref="I39">
    <cfRule type="cellIs" dxfId="28" priority="1" operator="equal">
      <formula>"escoja un combustible"</formula>
    </cfRule>
    <cfRule type="cellIs" dxfId="27" priority="2" operator="equal">
      <formula>"introduzca consumos"</formula>
    </cfRule>
  </conditionalFormatting>
  <conditionalFormatting sqref="I46:I49">
    <cfRule type="cellIs" dxfId="26" priority="12" operator="equal">
      <formula>"escoja un combustible"</formula>
    </cfRule>
  </conditionalFormatting>
  <conditionalFormatting sqref="I49">
    <cfRule type="cellIs" dxfId="25" priority="13" operator="equal">
      <formula>"introduzca consumos"</formula>
    </cfRule>
  </conditionalFormatting>
  <conditionalFormatting sqref="I56:I59">
    <cfRule type="cellIs" dxfId="24" priority="10" operator="equal">
      <formula>"escoja un combustible"</formula>
    </cfRule>
  </conditionalFormatting>
  <conditionalFormatting sqref="I59">
    <cfRule type="cellIs" dxfId="23" priority="11" operator="equal">
      <formula>"introduzca consumos"</formula>
    </cfRule>
  </conditionalFormatting>
  <conditionalFormatting sqref="J28:K28">
    <cfRule type="containsText" dxfId="22" priority="26" operator="containsText" text="ERROR">
      <formula>NOT(ISERROR(SEARCH("ERROR",J28)))</formula>
    </cfRule>
    <cfRule type="containsText" dxfId="21" priority="27" operator="containsText" text="OK">
      <formula>NOT(ISERROR(SEARCH("OK",J28)))</formula>
    </cfRule>
    <cfRule type="cellIs" dxfId="20" priority="28" operator="equal">
      <formula>"""ERROR"""</formula>
    </cfRule>
  </conditionalFormatting>
  <conditionalFormatting sqref="J42:K42">
    <cfRule type="containsText" dxfId="19" priority="65" operator="containsText" text="ERROR">
      <formula>NOT(ISERROR(SEARCH("ERROR",J42)))</formula>
    </cfRule>
    <cfRule type="containsText" dxfId="18" priority="66" operator="containsText" text="OK">
      <formula>NOT(ISERROR(SEARCH("OK",J42)))</formula>
    </cfRule>
    <cfRule type="cellIs" dxfId="17" priority="67" operator="equal">
      <formula>"""ERROR"""</formula>
    </cfRule>
  </conditionalFormatting>
  <conditionalFormatting sqref="J52:K52">
    <cfRule type="containsText" dxfId="16" priority="62" operator="containsText" text="ERROR">
      <formula>NOT(ISERROR(SEARCH("ERROR",J52)))</formula>
    </cfRule>
    <cfRule type="containsText" dxfId="15" priority="63" operator="containsText" text="OK">
      <formula>NOT(ISERROR(SEARCH("OK",J52)))</formula>
    </cfRule>
    <cfRule type="cellIs" dxfId="14" priority="64" operator="equal">
      <formula>"""ERROR"""</formula>
    </cfRule>
  </conditionalFormatting>
  <conditionalFormatting sqref="J62:K62">
    <cfRule type="containsText" dxfId="13" priority="59" operator="containsText" text="ERROR">
      <formula>NOT(ISERROR(SEARCH("ERROR",J62)))</formula>
    </cfRule>
    <cfRule type="containsText" dxfId="12" priority="60" operator="containsText" text="OK">
      <formula>NOT(ISERROR(SEARCH("OK",J62)))</formula>
    </cfRule>
    <cfRule type="cellIs" dxfId="11" priority="61" operator="equal">
      <formula>"""ERROR"""</formula>
    </cfRule>
  </conditionalFormatting>
  <conditionalFormatting sqref="L12 L25:L26">
    <cfRule type="cellIs" dxfId="10" priority="81" operator="equal">
      <formula>"escoja un combustible"</formula>
    </cfRule>
  </conditionalFormatting>
  <conditionalFormatting sqref="L8:M10">
    <cfRule type="cellIs" dxfId="9" priority="80" operator="equal">
      <formula>"escoja un combustible"</formula>
    </cfRule>
  </conditionalFormatting>
  <conditionalFormatting sqref="L14:M15">
    <cfRule type="cellIs" dxfId="8" priority="76" operator="equal">
      <formula>"escoja un combustible"</formula>
    </cfRule>
  </conditionalFormatting>
  <conditionalFormatting sqref="L17:M18">
    <cfRule type="cellIs" dxfId="7" priority="50" operator="equal">
      <formula>"escoja un combustible"</formula>
    </cfRule>
  </conditionalFormatting>
  <conditionalFormatting sqref="L20:M20">
    <cfRule type="cellIs" dxfId="6" priority="49" operator="equal">
      <formula>"escoja un combustible"</formula>
    </cfRule>
  </conditionalFormatting>
  <conditionalFormatting sqref="L22:M22">
    <cfRule type="cellIs" dxfId="5" priority="7" operator="equal">
      <formula>"escoja un combustible"</formula>
    </cfRule>
  </conditionalFormatting>
  <conditionalFormatting sqref="L32:M35">
    <cfRule type="cellIs" dxfId="4" priority="25" operator="equal">
      <formula>"escoja un combustible"</formula>
    </cfRule>
  </conditionalFormatting>
  <conditionalFormatting sqref="L37:M37">
    <cfRule type="cellIs" dxfId="3" priority="6" operator="equal">
      <formula>"escoja un combustible"</formula>
    </cfRule>
  </conditionalFormatting>
  <conditionalFormatting sqref="L39:M39">
    <cfRule type="cellIs" dxfId="2" priority="3" operator="equal">
      <formula>"escoja un combustible"</formula>
    </cfRule>
  </conditionalFormatting>
  <conditionalFormatting sqref="L46:M49">
    <cfRule type="cellIs" dxfId="1" priority="24" operator="equal">
      <formula>"escoja un combustible"</formula>
    </cfRule>
  </conditionalFormatting>
  <conditionalFormatting sqref="L56:M59">
    <cfRule type="cellIs" dxfId="0" priority="23" operator="equal">
      <formula>"escoja un combustible"</formula>
    </cfRule>
  </conditionalFormatting>
  <dataValidations count="9">
    <dataValidation type="list" allowBlank="1" showInputMessage="1" showErrorMessage="1" sqref="C8:C10" xr:uid="{B52706F4-4001-4DE9-8347-1A43D6BF281B}">
      <formula1>gases</formula1>
    </dataValidation>
    <dataValidation type="list" allowBlank="1" showInputMessage="1" showErrorMessage="1" sqref="C12" xr:uid="{0382772C-A458-4576-BD6A-D82389F51F3A}">
      <formula1>bio_lenosos</formula1>
    </dataValidation>
    <dataValidation type="list" allowBlank="1" showInputMessage="1" showErrorMessage="1" sqref="C14:C15" xr:uid="{9AEDE21E-5244-430A-8195-6B149D54810F}">
      <formula1>otros_combustibles</formula1>
    </dataValidation>
    <dataValidation type="list" allowBlank="1" showInputMessage="1" showErrorMessage="1" sqref="C17:C18" xr:uid="{C1902304-255C-496C-ADE6-A44C8E7D185A}">
      <formula1>hidrogenos</formula1>
    </dataValidation>
    <dataValidation type="list" allowBlank="1" showInputMessage="1" showErrorMessage="1" sqref="C32:C34" xr:uid="{84C96E92-72BD-446D-9628-E34B3974D904}">
      <formula1>materias_primas</formula1>
    </dataValidation>
    <dataValidation type="list" allowBlank="1" showInputMessage="1" showErrorMessage="1" sqref="C46:C48" xr:uid="{6FCB5304-1401-49FD-BB76-EF6FD8E3E07A}">
      <formula1>gestion_residuos</formula1>
    </dataValidation>
    <dataValidation type="list" allowBlank="1" showInputMessage="1" showErrorMessage="1" sqref="C56:C58" xr:uid="{7C015E41-E308-4058-8846-F1D105AAC2D6}">
      <formula1>refrigerantes_y_otros</formula1>
    </dataValidation>
    <dataValidation type="decimal" operator="greaterThanOrEqual" allowBlank="1" showInputMessage="1" showErrorMessage="1" errorTitle="Error" error="El valor debe ser numerico y mayor o igual que cero." sqref="E20:G20 E35:G35 E49:G49 E59:G59 E22:G22 E37:G37 E39:G39" xr:uid="{3C5E4C3B-031C-4078-B50A-E7F2E26DCF7E}">
      <formula1>0</formula1>
    </dataValidation>
    <dataValidation type="decimal" operator="greaterThanOrEqual" allowBlank="1" showInputMessage="1" showErrorMessage="1" errorTitle="Error" error="El valor debe ser numérico y mayor o igual que cero." sqref="F8:G10 F12:G12 F14:G15 F17:G18 F25:G26 F32:G34 F46:G48 F56:G58" xr:uid="{496C2C05-6074-450B-9CDD-35382B34F8D6}">
      <formula1>0</formula1>
    </dataValidation>
  </dataValidations>
  <pageMargins left="0" right="0" top="0" bottom="0" header="0" footer="0"/>
  <pageSetup paperSize="9" scale="5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S41"/>
  <sheetViews>
    <sheetView workbookViewId="0">
      <selection activeCell="D17" sqref="D17"/>
    </sheetView>
  </sheetViews>
  <sheetFormatPr defaultColWidth="11.42578125" defaultRowHeight="15" x14ac:dyDescent="0.25"/>
  <cols>
    <col min="1" max="1" width="11.42578125" style="21" customWidth="1"/>
    <col min="2" max="2" width="24.42578125" style="21" customWidth="1"/>
    <col min="3" max="3" width="20.28515625" style="21" customWidth="1"/>
    <col min="4" max="4" width="20.28515625" style="23" customWidth="1"/>
    <col min="5" max="5" width="11.42578125" style="21" customWidth="1"/>
    <col min="6" max="16384" width="11.42578125" style="21"/>
  </cols>
  <sheetData>
    <row r="1" spans="2:5" x14ac:dyDescent="0.25">
      <c r="D1" s="22" t="s">
        <v>55</v>
      </c>
    </row>
    <row r="2" spans="2:5" ht="30" customHeight="1" x14ac:dyDescent="0.25">
      <c r="C2" s="21" t="s">
        <v>12</v>
      </c>
      <c r="D2" s="23" t="s">
        <v>56</v>
      </c>
    </row>
    <row r="3" spans="2:5" x14ac:dyDescent="0.25">
      <c r="B3" s="24" t="s">
        <v>57</v>
      </c>
      <c r="C3" s="24" t="s">
        <v>58</v>
      </c>
      <c r="D3" s="25">
        <v>0.182</v>
      </c>
      <c r="E3" s="21" t="s">
        <v>59</v>
      </c>
    </row>
    <row r="4" spans="2:5" x14ac:dyDescent="0.25">
      <c r="B4" s="24" t="s">
        <v>60</v>
      </c>
      <c r="C4" s="24" t="s">
        <v>61</v>
      </c>
      <c r="D4" s="25">
        <v>1.5449999999999999</v>
      </c>
    </row>
    <row r="5" spans="2:5" x14ac:dyDescent="0.25">
      <c r="B5" s="24" t="s">
        <v>62</v>
      </c>
      <c r="C5" s="24" t="s">
        <v>61</v>
      </c>
      <c r="D5" s="25">
        <v>2.5</v>
      </c>
    </row>
    <row r="6" spans="2:5" x14ac:dyDescent="0.25">
      <c r="B6" s="24" t="s">
        <v>63</v>
      </c>
      <c r="C6" s="24" t="s">
        <v>64</v>
      </c>
      <c r="D6" s="25">
        <v>2.9660000000000002</v>
      </c>
    </row>
    <row r="7" spans="2:5" x14ac:dyDescent="0.25">
      <c r="B7" s="24" t="s">
        <v>65</v>
      </c>
      <c r="C7" s="24" t="s">
        <v>64</v>
      </c>
      <c r="D7" s="25">
        <v>2.996</v>
      </c>
    </row>
    <row r="8" spans="2:5" x14ac:dyDescent="0.25">
      <c r="B8" s="24" t="s">
        <v>66</v>
      </c>
      <c r="C8" s="24" t="s">
        <v>64</v>
      </c>
      <c r="D8" s="25">
        <v>0.88100000000000001</v>
      </c>
    </row>
    <row r="9" spans="2:5" x14ac:dyDescent="0.25">
      <c r="B9" s="24" t="s">
        <v>67</v>
      </c>
      <c r="C9" s="24" t="s">
        <v>64</v>
      </c>
      <c r="D9" s="25">
        <v>1E-3</v>
      </c>
    </row>
    <row r="11" spans="2:5" ht="30" x14ac:dyDescent="0.25">
      <c r="C11" s="21" t="s">
        <v>12</v>
      </c>
      <c r="D11" s="23" t="s">
        <v>56</v>
      </c>
    </row>
    <row r="12" spans="2:5" x14ac:dyDescent="0.25">
      <c r="B12" s="24" t="s">
        <v>68</v>
      </c>
      <c r="C12" s="24" t="s">
        <v>61</v>
      </c>
      <c r="D12" s="25">
        <v>2.7210000000000001</v>
      </c>
    </row>
    <row r="13" spans="2:5" x14ac:dyDescent="0.25">
      <c r="B13" s="24" t="s">
        <v>69</v>
      </c>
      <c r="C13" s="24" t="s">
        <v>61</v>
      </c>
      <c r="D13" s="25">
        <v>2.7210000000000001</v>
      </c>
    </row>
    <row r="14" spans="2:5" x14ac:dyDescent="0.25">
      <c r="B14" s="24" t="s">
        <v>70</v>
      </c>
      <c r="C14" s="24" t="s">
        <v>61</v>
      </c>
      <c r="D14" s="25">
        <v>3.1240000000000001</v>
      </c>
    </row>
    <row r="15" spans="2:5" x14ac:dyDescent="0.25">
      <c r="B15" s="24" t="s">
        <v>71</v>
      </c>
      <c r="C15" s="24" t="s">
        <v>64</v>
      </c>
      <c r="D15" s="25">
        <v>3.1829999999999998</v>
      </c>
    </row>
    <row r="16" spans="2:5" x14ac:dyDescent="0.25">
      <c r="B16" s="24" t="s">
        <v>72</v>
      </c>
      <c r="C16" s="24" t="s">
        <v>64</v>
      </c>
      <c r="D16" s="25">
        <v>3.036</v>
      </c>
    </row>
    <row r="17" spans="2:19" x14ac:dyDescent="0.25">
      <c r="B17" s="24" t="s">
        <v>73</v>
      </c>
      <c r="C17" s="24" t="s">
        <v>64</v>
      </c>
      <c r="D17" s="25">
        <v>3.1379999999999999</v>
      </c>
    </row>
    <row r="18" spans="2:19" x14ac:dyDescent="0.25">
      <c r="B18" s="24" t="s">
        <v>74</v>
      </c>
      <c r="C18" s="24" t="s">
        <v>64</v>
      </c>
      <c r="D18" s="25">
        <v>1.34</v>
      </c>
    </row>
    <row r="19" spans="2:19" x14ac:dyDescent="0.25">
      <c r="B19" s="24" t="s">
        <v>283</v>
      </c>
      <c r="C19" s="24" t="s">
        <v>61</v>
      </c>
      <c r="D19" s="25">
        <v>2.0790000000000002</v>
      </c>
    </row>
    <row r="20" spans="2:19" ht="30" x14ac:dyDescent="0.25">
      <c r="C20" s="21" t="s">
        <v>12</v>
      </c>
      <c r="D20" s="23" t="s">
        <v>56</v>
      </c>
    </row>
    <row r="21" spans="2:19" x14ac:dyDescent="0.25">
      <c r="B21" s="24" t="s">
        <v>76</v>
      </c>
      <c r="C21" s="24" t="s">
        <v>64</v>
      </c>
      <c r="D21" s="25">
        <v>0.13700000000000001</v>
      </c>
    </row>
    <row r="22" spans="2:19" x14ac:dyDescent="0.25">
      <c r="B22" s="24" t="s">
        <v>78</v>
      </c>
      <c r="C22" s="24" t="s">
        <v>64</v>
      </c>
      <c r="D22" s="25">
        <v>0.17100000000000001</v>
      </c>
    </row>
    <row r="23" spans="2:19" x14ac:dyDescent="0.25">
      <c r="B23" s="24" t="s">
        <v>79</v>
      </c>
      <c r="C23" s="24" t="s">
        <v>64</v>
      </c>
      <c r="D23" s="25">
        <v>0.14299999999999999</v>
      </c>
    </row>
    <row r="24" spans="2:19" x14ac:dyDescent="0.25">
      <c r="B24" s="24" t="s">
        <v>80</v>
      </c>
      <c r="C24" s="24" t="s">
        <v>64</v>
      </c>
      <c r="D24" s="25">
        <v>0.15</v>
      </c>
    </row>
    <row r="25" spans="2:19" x14ac:dyDescent="0.25">
      <c r="B25" s="24" t="s">
        <v>82</v>
      </c>
      <c r="C25" s="24" t="s">
        <v>64</v>
      </c>
      <c r="D25" s="25">
        <v>0.14699999999999999</v>
      </c>
      <c r="F25" t="s">
        <v>75</v>
      </c>
    </row>
    <row r="26" spans="2:19" x14ac:dyDescent="0.25">
      <c r="B26" s="24" t="s">
        <v>83</v>
      </c>
      <c r="C26" s="24" t="s">
        <v>64</v>
      </c>
      <c r="D26" s="25">
        <v>0.153</v>
      </c>
      <c r="F26" s="161" t="s">
        <v>77</v>
      </c>
      <c r="G26" s="161"/>
      <c r="H26" s="161"/>
      <c r="I26" s="161"/>
      <c r="J26" s="161"/>
      <c r="K26" s="161"/>
      <c r="L26" s="161"/>
      <c r="M26" s="161"/>
      <c r="N26" s="161"/>
      <c r="O26" s="161"/>
      <c r="P26" s="161"/>
      <c r="Q26" s="161"/>
      <c r="R26" s="161"/>
      <c r="S26" s="161"/>
    </row>
    <row r="27" spans="2:19" x14ac:dyDescent="0.25">
      <c r="B27" s="24" t="s">
        <v>84</v>
      </c>
      <c r="C27" s="24" t="s">
        <v>64</v>
      </c>
      <c r="D27" s="25">
        <v>0.184</v>
      </c>
      <c r="F27" s="161"/>
      <c r="G27" s="161"/>
      <c r="H27" s="161"/>
      <c r="I27" s="161"/>
      <c r="J27" s="161"/>
      <c r="K27" s="161"/>
      <c r="L27" s="161"/>
      <c r="M27" s="161"/>
      <c r="N27" s="161"/>
      <c r="O27" s="161"/>
      <c r="P27" s="161"/>
      <c r="Q27" s="161"/>
      <c r="R27" s="161"/>
      <c r="S27" s="161"/>
    </row>
    <row r="29" spans="2:19" ht="30" x14ac:dyDescent="0.25">
      <c r="C29" s="21" t="s">
        <v>12</v>
      </c>
      <c r="D29" s="23" t="s">
        <v>56</v>
      </c>
      <c r="F29" s="26" t="s">
        <v>81</v>
      </c>
    </row>
    <row r="30" spans="2:19" x14ac:dyDescent="0.25">
      <c r="B30" s="24" t="s">
        <v>85</v>
      </c>
      <c r="C30" s="24" t="s">
        <v>64</v>
      </c>
      <c r="D30" s="27">
        <v>8.85</v>
      </c>
      <c r="E30" s="21" t="s">
        <v>86</v>
      </c>
    </row>
    <row r="31" spans="2:19" x14ac:dyDescent="0.25">
      <c r="B31" s="24" t="s">
        <v>87</v>
      </c>
      <c r="C31" s="24" t="s">
        <v>64</v>
      </c>
      <c r="D31" s="27">
        <v>0</v>
      </c>
    </row>
    <row r="33" spans="2:4" x14ac:dyDescent="0.25">
      <c r="D33" s="22" t="s">
        <v>55</v>
      </c>
    </row>
    <row r="34" spans="2:4" ht="30" x14ac:dyDescent="0.25">
      <c r="C34" s="21" t="s">
        <v>12</v>
      </c>
      <c r="D34" s="23" t="s">
        <v>56</v>
      </c>
    </row>
    <row r="35" spans="2:4" x14ac:dyDescent="0.25">
      <c r="B35" s="24" t="s">
        <v>88</v>
      </c>
      <c r="C35" s="24" t="s">
        <v>26</v>
      </c>
      <c r="D35" s="28">
        <v>0.11899999999999999</v>
      </c>
    </row>
    <row r="36" spans="2:4" x14ac:dyDescent="0.25">
      <c r="B36" s="29" t="s">
        <v>89</v>
      </c>
      <c r="C36" s="30"/>
    </row>
    <row r="39" spans="2:4" x14ac:dyDescent="0.25">
      <c r="D39" s="21"/>
    </row>
    <row r="40" spans="2:4" x14ac:dyDescent="0.25">
      <c r="D40" s="21"/>
    </row>
    <row r="41" spans="2:4" x14ac:dyDescent="0.25">
      <c r="D41" s="21"/>
    </row>
  </sheetData>
  <sheetProtection algorithmName="SHA-512" hashValue="pbxZnpffNh89tt1igvPDNt1xK/yemC57fjCZJMj8yDZzDV4HnBhh2oZuTMCWnWU/uJjjONuvoqje8pTzqrzjvg==" saltValue="pVTSgfmNycBismQFy5hylg==" spinCount="100000" sheet="1" objects="1" scenarios="1"/>
  <mergeCells count="1">
    <mergeCell ref="F26:S27"/>
  </mergeCells>
  <hyperlinks>
    <hyperlink ref="B36" r:id="rId1" xr:uid="{00000000-0004-0000-0200-000001000000}"/>
    <hyperlink ref="F29" r:id="rId2" xr:uid="{00000000-0004-0000-0200-000000000000}"/>
  </hyperlinks>
  <pageMargins left="0" right="0" top="0" bottom="0" header="0" footer="0"/>
  <pageSetup paperSize="9" scale="95" fitToWidth="0" orientation="landscape"/>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P111"/>
  <sheetViews>
    <sheetView zoomScaleNormal="100" workbookViewId="0">
      <selection activeCell="P4" sqref="P4"/>
    </sheetView>
  </sheetViews>
  <sheetFormatPr defaultColWidth="10.85546875" defaultRowHeight="15" x14ac:dyDescent="0.25"/>
  <cols>
    <col min="1" max="1" width="7.42578125" customWidth="1"/>
    <col min="2" max="2" width="6.5703125" customWidth="1"/>
    <col min="3" max="3" width="45.85546875" bestFit="1" customWidth="1"/>
    <col min="4" max="4" width="7.28515625" style="31" bestFit="1" customWidth="1"/>
    <col min="5" max="6" width="16.85546875" style="31" bestFit="1" customWidth="1"/>
    <col min="7" max="7" width="7.42578125" style="31" customWidth="1"/>
    <col min="8" max="8" width="45.140625" customWidth="1"/>
    <col min="9" max="9" width="7.28515625" bestFit="1" customWidth="1"/>
    <col min="10" max="11" width="16.85546875" bestFit="1" customWidth="1"/>
    <col min="13" max="13" width="14.140625" customWidth="1"/>
    <col min="14" max="14" width="7.28515625" bestFit="1" customWidth="1"/>
    <col min="15" max="16" width="16.85546875" bestFit="1" customWidth="1"/>
  </cols>
  <sheetData>
    <row r="1" spans="3:16" ht="15.75" customHeight="1" thickBot="1" x14ac:dyDescent="0.3"/>
    <row r="2" spans="3:16" ht="15.75" customHeight="1" thickBot="1" x14ac:dyDescent="0.3">
      <c r="C2" s="162" t="s">
        <v>90</v>
      </c>
      <c r="D2" s="157"/>
      <c r="E2" s="157"/>
      <c r="F2" s="155"/>
      <c r="H2" s="162" t="s">
        <v>91</v>
      </c>
      <c r="I2" s="157"/>
      <c r="J2" s="157"/>
      <c r="K2" s="155"/>
      <c r="M2" s="162" t="s">
        <v>37</v>
      </c>
      <c r="N2" s="157"/>
      <c r="O2" s="157"/>
      <c r="P2" s="155"/>
    </row>
    <row r="4" spans="3:16" ht="30" customHeight="1" x14ac:dyDescent="0.25">
      <c r="D4" s="23" t="s">
        <v>12</v>
      </c>
      <c r="E4" s="31" t="s">
        <v>92</v>
      </c>
      <c r="F4" s="31" t="s">
        <v>93</v>
      </c>
      <c r="H4" s="30"/>
      <c r="I4" s="23" t="s">
        <v>12</v>
      </c>
      <c r="J4" s="31" t="s">
        <v>56</v>
      </c>
      <c r="K4" s="31" t="s">
        <v>94</v>
      </c>
      <c r="N4" s="23" t="s">
        <v>12</v>
      </c>
      <c r="O4" s="23" t="s">
        <v>56</v>
      </c>
      <c r="P4" s="23" t="s">
        <v>95</v>
      </c>
    </row>
    <row r="5" spans="3:16" x14ac:dyDescent="0.25">
      <c r="C5" s="24" t="s">
        <v>96</v>
      </c>
      <c r="D5" s="32" t="s">
        <v>64</v>
      </c>
      <c r="E5" s="25">
        <f t="shared" ref="E5:E36" si="0">F5*1000</f>
        <v>0.20929863589940401</v>
      </c>
      <c r="F5" s="33">
        <v>2.09298635899404E-4</v>
      </c>
      <c r="H5" s="24" t="s">
        <v>97</v>
      </c>
      <c r="I5" s="32" t="s">
        <v>64</v>
      </c>
      <c r="J5" s="34">
        <f t="shared" ref="J5:J27" si="1">K5*1000</f>
        <v>0</v>
      </c>
      <c r="K5" s="34">
        <v>0</v>
      </c>
      <c r="M5" s="24" t="s">
        <v>98</v>
      </c>
      <c r="N5" s="32" t="s">
        <v>99</v>
      </c>
      <c r="O5" s="35">
        <f t="shared" ref="O5:O36" si="2">P5/1000</f>
        <v>3.17</v>
      </c>
      <c r="P5" s="36">
        <v>3170</v>
      </c>
    </row>
    <row r="6" spans="3:16" x14ac:dyDescent="0.25">
      <c r="C6" s="24" t="s">
        <v>100</v>
      </c>
      <c r="D6" s="32" t="s">
        <v>64</v>
      </c>
      <c r="E6" s="25">
        <f t="shared" si="0"/>
        <v>0.86018875331444999</v>
      </c>
      <c r="F6" s="33">
        <v>8.6018875331445E-4</v>
      </c>
      <c r="H6" s="24" t="s">
        <v>101</v>
      </c>
      <c r="I6" s="32" t="s">
        <v>64</v>
      </c>
      <c r="J6" s="34">
        <f t="shared" si="1"/>
        <v>0</v>
      </c>
      <c r="K6" s="34">
        <v>0</v>
      </c>
      <c r="M6" s="24" t="s">
        <v>102</v>
      </c>
      <c r="N6" s="32" t="s">
        <v>99</v>
      </c>
      <c r="O6" s="35">
        <f t="shared" si="2"/>
        <v>1.2</v>
      </c>
      <c r="P6" s="36">
        <v>1200</v>
      </c>
    </row>
    <row r="7" spans="3:16" ht="17.25" customHeight="1" x14ac:dyDescent="0.25">
      <c r="C7" s="24" t="s">
        <v>103</v>
      </c>
      <c r="D7" s="32" t="s">
        <v>104</v>
      </c>
      <c r="E7" s="25">
        <f t="shared" si="0"/>
        <v>158.56440666213101</v>
      </c>
      <c r="F7" s="33">
        <v>0.15856440666213101</v>
      </c>
      <c r="H7" s="24" t="s">
        <v>105</v>
      </c>
      <c r="I7" s="32" t="s">
        <v>64</v>
      </c>
      <c r="J7" s="34">
        <f t="shared" si="1"/>
        <v>0</v>
      </c>
      <c r="K7" s="34">
        <v>0</v>
      </c>
      <c r="M7" s="24" t="s">
        <v>106</v>
      </c>
      <c r="N7" s="32" t="s">
        <v>99</v>
      </c>
      <c r="O7" s="35">
        <f t="shared" si="2"/>
        <v>1.3</v>
      </c>
      <c r="P7" s="36">
        <v>1300</v>
      </c>
    </row>
    <row r="8" spans="3:16" x14ac:dyDescent="0.25">
      <c r="C8" s="24" t="s">
        <v>107</v>
      </c>
      <c r="D8" s="32" t="s">
        <v>64</v>
      </c>
      <c r="E8" s="25">
        <f t="shared" si="0"/>
        <v>1.0618669695126399</v>
      </c>
      <c r="F8" s="33">
        <v>1.0618669695126399E-3</v>
      </c>
      <c r="H8" s="24" t="s">
        <v>108</v>
      </c>
      <c r="I8" s="32" t="s">
        <v>64</v>
      </c>
      <c r="J8" s="34">
        <f t="shared" si="1"/>
        <v>0</v>
      </c>
      <c r="K8" s="34">
        <v>0</v>
      </c>
      <c r="M8" s="24" t="s">
        <v>109</v>
      </c>
      <c r="N8" s="32" t="s">
        <v>99</v>
      </c>
      <c r="O8" s="35">
        <f t="shared" si="2"/>
        <v>0.32800000000000001</v>
      </c>
      <c r="P8" s="36">
        <v>328</v>
      </c>
    </row>
    <row r="9" spans="3:16" x14ac:dyDescent="0.25">
      <c r="C9" s="24" t="s">
        <v>110</v>
      </c>
      <c r="D9" s="32" t="s">
        <v>64</v>
      </c>
      <c r="E9" s="25">
        <f t="shared" si="0"/>
        <v>0.99599665652025904</v>
      </c>
      <c r="F9" s="33">
        <v>9.9599665652025902E-4</v>
      </c>
      <c r="H9" s="24" t="s">
        <v>111</v>
      </c>
      <c r="I9" s="32" t="s">
        <v>64</v>
      </c>
      <c r="J9" s="34">
        <f t="shared" si="1"/>
        <v>0</v>
      </c>
      <c r="K9" s="34">
        <v>0</v>
      </c>
      <c r="M9" s="24" t="s">
        <v>112</v>
      </c>
      <c r="N9" s="32" t="s">
        <v>99</v>
      </c>
      <c r="O9" s="35">
        <f t="shared" si="2"/>
        <v>4.8</v>
      </c>
      <c r="P9" s="36">
        <v>4800</v>
      </c>
    </row>
    <row r="10" spans="3:16" x14ac:dyDescent="0.25">
      <c r="C10" s="24" t="s">
        <v>113</v>
      </c>
      <c r="D10" s="32" t="s">
        <v>64</v>
      </c>
      <c r="E10" s="25">
        <f t="shared" si="0"/>
        <v>1.8812442061578201</v>
      </c>
      <c r="F10" s="33">
        <v>1.88124420615782E-3</v>
      </c>
      <c r="H10" s="24" t="s">
        <v>114</v>
      </c>
      <c r="I10" s="32" t="s">
        <v>64</v>
      </c>
      <c r="J10" s="34">
        <f t="shared" si="1"/>
        <v>0</v>
      </c>
      <c r="K10" s="34">
        <v>0</v>
      </c>
      <c r="M10" s="24" t="s">
        <v>115</v>
      </c>
      <c r="N10" s="32" t="s">
        <v>99</v>
      </c>
      <c r="O10" s="35">
        <f t="shared" si="2"/>
        <v>1.6E-2</v>
      </c>
      <c r="P10" s="36">
        <v>16</v>
      </c>
    </row>
    <row r="11" spans="3:16" x14ac:dyDescent="0.25">
      <c r="C11" s="24" t="s">
        <v>116</v>
      </c>
      <c r="D11" s="32" t="s">
        <v>64</v>
      </c>
      <c r="E11" s="25">
        <f t="shared" si="0"/>
        <v>4.9899807655372497E-3</v>
      </c>
      <c r="F11" s="33">
        <v>4.9899807655372494E-6</v>
      </c>
      <c r="H11" s="24" t="s">
        <v>117</v>
      </c>
      <c r="I11" s="32" t="s">
        <v>64</v>
      </c>
      <c r="J11" s="34">
        <f t="shared" si="1"/>
        <v>0</v>
      </c>
      <c r="K11" s="34">
        <v>0</v>
      </c>
      <c r="M11" s="24" t="s">
        <v>118</v>
      </c>
      <c r="N11" s="32" t="s">
        <v>99</v>
      </c>
      <c r="O11" s="35">
        <f t="shared" si="2"/>
        <v>0.13800000000000001</v>
      </c>
      <c r="P11" s="36">
        <v>138</v>
      </c>
    </row>
    <row r="12" spans="3:16" x14ac:dyDescent="0.25">
      <c r="C12" s="24" t="s">
        <v>119</v>
      </c>
      <c r="D12" s="32" t="s">
        <v>64</v>
      </c>
      <c r="E12" s="25">
        <f t="shared" si="0"/>
        <v>0.26970458000944797</v>
      </c>
      <c r="F12" s="33">
        <v>2.6970458000944797E-4</v>
      </c>
      <c r="H12" s="24" t="s">
        <v>120</v>
      </c>
      <c r="I12" s="32" t="s">
        <v>64</v>
      </c>
      <c r="J12" s="37">
        <f t="shared" si="1"/>
        <v>5.11090757436603E-3</v>
      </c>
      <c r="K12" s="38">
        <v>5.1109075743660303E-6</v>
      </c>
      <c r="M12" s="24" t="s">
        <v>121</v>
      </c>
      <c r="N12" s="32" t="s">
        <v>99</v>
      </c>
      <c r="O12" s="35">
        <f t="shared" si="2"/>
        <v>4.0000000000000001E-3</v>
      </c>
      <c r="P12" s="36">
        <v>4</v>
      </c>
    </row>
    <row r="13" spans="3:16" x14ac:dyDescent="0.25">
      <c r="C13" s="24" t="s">
        <v>122</v>
      </c>
      <c r="D13" s="32" t="s">
        <v>64</v>
      </c>
      <c r="E13" s="25">
        <f t="shared" si="0"/>
        <v>2.3526174899944699E-3</v>
      </c>
      <c r="F13" s="33">
        <v>2.35261748999447E-6</v>
      </c>
      <c r="H13" s="24" t="s">
        <v>123</v>
      </c>
      <c r="I13" s="32" t="s">
        <v>64</v>
      </c>
      <c r="J13" s="37">
        <f t="shared" si="1"/>
        <v>0.20350687512132001</v>
      </c>
      <c r="K13" s="38">
        <v>2.0350687512132E-4</v>
      </c>
      <c r="M13" s="24" t="s">
        <v>124</v>
      </c>
      <c r="N13" s="32" t="s">
        <v>99</v>
      </c>
      <c r="O13" s="35">
        <f t="shared" si="2"/>
        <v>3.35</v>
      </c>
      <c r="P13" s="36">
        <v>3350</v>
      </c>
    </row>
    <row r="14" spans="3:16" x14ac:dyDescent="0.25">
      <c r="C14" s="24" t="s">
        <v>125</v>
      </c>
      <c r="D14" s="32" t="s">
        <v>64</v>
      </c>
      <c r="E14" s="25">
        <f t="shared" si="0"/>
        <v>1.9619103147325299</v>
      </c>
      <c r="F14" s="33">
        <v>1.9619103147325298E-3</v>
      </c>
      <c r="H14" s="24" t="s">
        <v>126</v>
      </c>
      <c r="I14" s="32" t="s">
        <v>64</v>
      </c>
      <c r="J14" s="37">
        <f t="shared" si="1"/>
        <v>2.4103974062351901</v>
      </c>
      <c r="K14" s="38">
        <v>2.4103974062351899E-3</v>
      </c>
      <c r="M14" s="24" t="s">
        <v>127</v>
      </c>
      <c r="N14" s="32" t="s">
        <v>99</v>
      </c>
      <c r="O14" s="35">
        <f t="shared" si="2"/>
        <v>12.4</v>
      </c>
      <c r="P14" s="36">
        <v>12400</v>
      </c>
    </row>
    <row r="15" spans="3:16" x14ac:dyDescent="0.25">
      <c r="C15" s="24" t="s">
        <v>128</v>
      </c>
      <c r="D15" s="32" t="s">
        <v>64</v>
      </c>
      <c r="E15" s="25">
        <f t="shared" si="0"/>
        <v>0.35885271024348003</v>
      </c>
      <c r="F15" s="33">
        <v>3.5885271024348002E-4</v>
      </c>
      <c r="H15" s="24" t="s">
        <v>129</v>
      </c>
      <c r="I15" s="32" t="s">
        <v>64</v>
      </c>
      <c r="J15" s="37">
        <f t="shared" si="1"/>
        <v>0.207905488069695</v>
      </c>
      <c r="K15" s="38">
        <v>2.0790548806969499E-4</v>
      </c>
      <c r="M15" s="24" t="s">
        <v>130</v>
      </c>
      <c r="N15" s="32" t="s">
        <v>99</v>
      </c>
      <c r="O15" s="35">
        <f t="shared" si="2"/>
        <v>1.21</v>
      </c>
      <c r="P15" s="36">
        <v>1210</v>
      </c>
    </row>
    <row r="16" spans="3:16" x14ac:dyDescent="0.25">
      <c r="C16" s="24" t="s">
        <v>131</v>
      </c>
      <c r="D16" s="32" t="s">
        <v>64</v>
      </c>
      <c r="E16" s="25">
        <f t="shared" si="0"/>
        <v>3.1927806442362699E-3</v>
      </c>
      <c r="F16" s="33">
        <v>3.1927806442362699E-6</v>
      </c>
      <c r="H16" s="24" t="s">
        <v>132</v>
      </c>
      <c r="I16" s="32" t="s">
        <v>64</v>
      </c>
      <c r="J16" s="37">
        <f t="shared" si="1"/>
        <v>4.3564567142638398E-3</v>
      </c>
      <c r="K16" s="38">
        <v>4.3564567142638398E-6</v>
      </c>
      <c r="M16" s="24" t="s">
        <v>133</v>
      </c>
      <c r="N16" s="32" t="s">
        <v>99</v>
      </c>
      <c r="O16" s="35">
        <f t="shared" si="2"/>
        <v>1.33</v>
      </c>
      <c r="P16" s="36">
        <v>1330</v>
      </c>
    </row>
    <row r="17" spans="3:16" x14ac:dyDescent="0.25">
      <c r="C17" s="24" t="s">
        <v>134</v>
      </c>
      <c r="D17" s="32" t="s">
        <v>64</v>
      </c>
      <c r="E17" s="25">
        <f t="shared" si="0"/>
        <v>1.26995289110669</v>
      </c>
      <c r="F17" s="33">
        <v>1.2699528911066899E-3</v>
      </c>
      <c r="H17" s="24" t="s">
        <v>135</v>
      </c>
      <c r="I17" s="32" t="s">
        <v>64</v>
      </c>
      <c r="J17" s="37">
        <f t="shared" si="1"/>
        <v>0.51449415543644605</v>
      </c>
      <c r="K17" s="38">
        <v>5.1449415543644605E-4</v>
      </c>
      <c r="M17" s="24" t="s">
        <v>136</v>
      </c>
      <c r="N17" s="32" t="s">
        <v>99</v>
      </c>
      <c r="O17" s="35">
        <f t="shared" si="2"/>
        <v>8.06</v>
      </c>
      <c r="P17" s="36">
        <v>8060</v>
      </c>
    </row>
    <row r="18" spans="3:16" x14ac:dyDescent="0.25">
      <c r="C18" s="24" t="s">
        <v>137</v>
      </c>
      <c r="D18" s="32" t="s">
        <v>64</v>
      </c>
      <c r="E18" s="25">
        <f t="shared" si="0"/>
        <v>1.1943161551487</v>
      </c>
      <c r="F18" s="33">
        <v>1.1943161551487E-3</v>
      </c>
      <c r="G18" s="39"/>
      <c r="H18" s="24" t="s">
        <v>138</v>
      </c>
      <c r="I18" s="32" t="s">
        <v>64</v>
      </c>
      <c r="J18" s="37">
        <f t="shared" si="1"/>
        <v>0.29722056332809699</v>
      </c>
      <c r="K18" s="38">
        <v>2.9722056332809701E-4</v>
      </c>
      <c r="M18" s="24" t="s">
        <v>139</v>
      </c>
      <c r="N18" s="32" t="s">
        <v>99</v>
      </c>
      <c r="O18" s="35">
        <f t="shared" si="2"/>
        <v>0.71599999999999997</v>
      </c>
      <c r="P18" s="36">
        <v>716</v>
      </c>
    </row>
    <row r="19" spans="3:16" x14ac:dyDescent="0.25">
      <c r="C19" s="24" t="s">
        <v>140</v>
      </c>
      <c r="D19" s="32" t="s">
        <v>64</v>
      </c>
      <c r="E19" s="25">
        <f t="shared" si="0"/>
        <v>5.9299951381335401</v>
      </c>
      <c r="F19" s="33">
        <v>5.9299951381335397E-3</v>
      </c>
      <c r="G19" s="39"/>
      <c r="H19" s="24" t="s">
        <v>141</v>
      </c>
      <c r="I19" s="32" t="s">
        <v>64</v>
      </c>
      <c r="J19" s="37">
        <f t="shared" si="1"/>
        <v>1.6003324491383499E-2</v>
      </c>
      <c r="K19" s="38">
        <v>1.60033244913835E-5</v>
      </c>
      <c r="M19" s="24" t="s">
        <v>142</v>
      </c>
      <c r="N19" s="32" t="s">
        <v>99</v>
      </c>
      <c r="O19" s="35">
        <f t="shared" si="2"/>
        <v>0.67700000000000005</v>
      </c>
      <c r="P19" s="36">
        <v>677</v>
      </c>
    </row>
    <row r="20" spans="3:16" x14ac:dyDescent="0.25">
      <c r="C20" s="24" t="s">
        <v>143</v>
      </c>
      <c r="D20" s="32" t="s">
        <v>64</v>
      </c>
      <c r="E20" s="25">
        <f t="shared" si="0"/>
        <v>5.7123356085478196</v>
      </c>
      <c r="F20" s="33">
        <v>5.7123356085478196E-3</v>
      </c>
      <c r="G20" s="39"/>
      <c r="H20" s="24" t="s">
        <v>144</v>
      </c>
      <c r="I20" s="32" t="s">
        <v>64</v>
      </c>
      <c r="J20" s="37">
        <f t="shared" si="1"/>
        <v>0.74228799178823002</v>
      </c>
      <c r="K20" s="38">
        <v>7.4228799178823E-4</v>
      </c>
      <c r="M20" s="24" t="s">
        <v>145</v>
      </c>
      <c r="N20" s="32" t="s">
        <v>99</v>
      </c>
      <c r="O20" s="35">
        <f t="shared" si="2"/>
        <v>0.11600000000000001</v>
      </c>
      <c r="P20" s="36">
        <v>116</v>
      </c>
    </row>
    <row r="21" spans="3:16" x14ac:dyDescent="0.25">
      <c r="C21" s="24" t="s">
        <v>146</v>
      </c>
      <c r="D21" s="32" t="s">
        <v>64</v>
      </c>
      <c r="E21" s="25">
        <f t="shared" si="0"/>
        <v>16.6028908165387</v>
      </c>
      <c r="F21" s="33">
        <v>1.66028908165387E-2</v>
      </c>
      <c r="G21" s="39"/>
      <c r="H21" s="24" t="s">
        <v>147</v>
      </c>
      <c r="I21" s="32" t="s">
        <v>64</v>
      </c>
      <c r="J21" s="37">
        <f t="shared" si="1"/>
        <v>2.0247094770704001E-2</v>
      </c>
      <c r="K21" s="38">
        <v>2.0247094770704001E-5</v>
      </c>
      <c r="M21" s="24" t="s">
        <v>148</v>
      </c>
      <c r="N21" s="32" t="s">
        <v>99</v>
      </c>
      <c r="O21" s="35">
        <f t="shared" si="2"/>
        <v>1.65</v>
      </c>
      <c r="P21" s="36">
        <v>1650</v>
      </c>
    </row>
    <row r="22" spans="3:16" x14ac:dyDescent="0.25">
      <c r="C22" s="24" t="s">
        <v>149</v>
      </c>
      <c r="D22" s="32" t="s">
        <v>150</v>
      </c>
      <c r="E22" s="25">
        <f t="shared" si="0"/>
        <v>3.0656583230630798</v>
      </c>
      <c r="F22" s="33">
        <v>3.0656583230630799E-3</v>
      </c>
      <c r="G22" s="39"/>
      <c r="H22" s="24" t="s">
        <v>151</v>
      </c>
      <c r="I22" s="32" t="s">
        <v>64</v>
      </c>
      <c r="J22" s="37">
        <f t="shared" si="1"/>
        <v>0.69499418569482196</v>
      </c>
      <c r="K22" s="38">
        <v>6.9499418569482193E-4</v>
      </c>
      <c r="M22" s="24" t="s">
        <v>152</v>
      </c>
      <c r="N22" s="32" t="s">
        <v>99</v>
      </c>
      <c r="O22" s="35">
        <f t="shared" si="2"/>
        <v>8.9</v>
      </c>
      <c r="P22" s="36">
        <v>8900</v>
      </c>
    </row>
    <row r="23" spans="3:16" x14ac:dyDescent="0.25">
      <c r="C23" s="24" t="s">
        <v>153</v>
      </c>
      <c r="D23" s="32" t="s">
        <v>64</v>
      </c>
      <c r="E23" s="25">
        <f t="shared" si="0"/>
        <v>415.90250975214701</v>
      </c>
      <c r="F23" s="33">
        <v>0.41590250975214699</v>
      </c>
      <c r="G23" s="39"/>
      <c r="H23" s="24" t="s">
        <v>154</v>
      </c>
      <c r="I23" s="32" t="s">
        <v>64</v>
      </c>
      <c r="J23" s="37">
        <f t="shared" si="1"/>
        <v>9.1929628246961905E-3</v>
      </c>
      <c r="K23" s="38">
        <v>9.1929628246961914E-6</v>
      </c>
      <c r="M23" s="24" t="s">
        <v>155</v>
      </c>
      <c r="N23" s="32" t="s">
        <v>99</v>
      </c>
      <c r="O23" s="35">
        <f t="shared" si="2"/>
        <v>4.0000000000000001E-3</v>
      </c>
      <c r="P23" s="36">
        <v>4</v>
      </c>
    </row>
    <row r="24" spans="3:16" x14ac:dyDescent="0.25">
      <c r="C24" s="24" t="s">
        <v>156</v>
      </c>
      <c r="D24" s="32" t="s">
        <v>64</v>
      </c>
      <c r="E24" s="25">
        <f t="shared" si="0"/>
        <v>43.287153923863897</v>
      </c>
      <c r="F24" s="33">
        <v>4.3287153923863897E-2</v>
      </c>
      <c r="G24" s="39"/>
      <c r="H24" s="24" t="s">
        <v>157</v>
      </c>
      <c r="I24" s="32" t="s">
        <v>104</v>
      </c>
      <c r="J24" s="37">
        <f t="shared" si="1"/>
        <v>0.45329354449805298</v>
      </c>
      <c r="K24" s="38">
        <v>4.5329354449805299E-4</v>
      </c>
      <c r="M24" s="24" t="s">
        <v>158</v>
      </c>
      <c r="N24" s="32" t="s">
        <v>99</v>
      </c>
      <c r="O24" s="35">
        <f t="shared" si="2"/>
        <v>3.0000000000000001E-3</v>
      </c>
      <c r="P24" s="36">
        <v>3</v>
      </c>
    </row>
    <row r="25" spans="3:16" x14ac:dyDescent="0.25">
      <c r="C25" s="24" t="s">
        <v>159</v>
      </c>
      <c r="D25" s="32" t="s">
        <v>64</v>
      </c>
      <c r="E25" s="25">
        <f t="shared" si="0"/>
        <v>163.69455040025599</v>
      </c>
      <c r="F25" s="33">
        <v>0.16369455040025599</v>
      </c>
      <c r="G25" s="39"/>
      <c r="H25" s="24" t="s">
        <v>160</v>
      </c>
      <c r="I25" s="32" t="s">
        <v>64</v>
      </c>
      <c r="J25" s="37">
        <f t="shared" si="1"/>
        <v>1.34321349941872E-2</v>
      </c>
      <c r="K25" s="38">
        <v>1.34321349941872E-5</v>
      </c>
      <c r="M25" s="24" t="s">
        <v>161</v>
      </c>
      <c r="N25" s="32" t="s">
        <v>99</v>
      </c>
      <c r="O25" s="35">
        <f t="shared" si="2"/>
        <v>5.0000000000000001E-3</v>
      </c>
      <c r="P25" s="36">
        <v>5</v>
      </c>
    </row>
    <row r="26" spans="3:16" x14ac:dyDescent="0.25">
      <c r="C26" s="24" t="s">
        <v>162</v>
      </c>
      <c r="D26" s="32" t="s">
        <v>64</v>
      </c>
      <c r="E26" s="25">
        <f t="shared" si="0"/>
        <v>0.90776414630965996</v>
      </c>
      <c r="F26" s="33">
        <v>9.0776414630965995E-4</v>
      </c>
      <c r="G26" s="39"/>
      <c r="H26" s="24" t="s">
        <v>163</v>
      </c>
      <c r="I26" s="32" t="s">
        <v>64</v>
      </c>
      <c r="J26" s="37">
        <f t="shared" si="1"/>
        <v>1.33755552355332E-2</v>
      </c>
      <c r="K26" s="38">
        <v>1.3375555235533199E-5</v>
      </c>
      <c r="M26" s="24" t="s">
        <v>164</v>
      </c>
      <c r="N26" s="32" t="s">
        <v>99</v>
      </c>
      <c r="O26" s="35">
        <f t="shared" si="2"/>
        <v>5.0000000000000001E-3</v>
      </c>
      <c r="P26" s="36">
        <v>5</v>
      </c>
    </row>
    <row r="27" spans="3:16" x14ac:dyDescent="0.25">
      <c r="C27" s="24" t="s">
        <v>165</v>
      </c>
      <c r="D27" s="32" t="s">
        <v>166</v>
      </c>
      <c r="E27" s="25">
        <f t="shared" si="0"/>
        <v>7.1200632417860801</v>
      </c>
      <c r="F27" s="33">
        <v>7.1200632417860801E-3</v>
      </c>
      <c r="H27" s="24" t="s">
        <v>167</v>
      </c>
      <c r="I27" s="32" t="s">
        <v>64</v>
      </c>
      <c r="J27" s="37">
        <f t="shared" si="1"/>
        <v>5.11090757436603E-3</v>
      </c>
      <c r="K27" s="38">
        <v>5.1109075743660303E-6</v>
      </c>
      <c r="M27" s="24" t="s">
        <v>168</v>
      </c>
      <c r="N27" s="32" t="s">
        <v>99</v>
      </c>
      <c r="O27" s="35">
        <f t="shared" si="2"/>
        <v>3.0000000000000001E-3</v>
      </c>
      <c r="P27" s="36">
        <v>3</v>
      </c>
    </row>
    <row r="28" spans="3:16" x14ac:dyDescent="0.25">
      <c r="C28" s="24" t="s">
        <v>169</v>
      </c>
      <c r="D28" s="32" t="s">
        <v>64</v>
      </c>
      <c r="E28" s="25">
        <f t="shared" si="0"/>
        <v>0.73886676606317903</v>
      </c>
      <c r="F28" s="33">
        <v>7.3886676606317906E-4</v>
      </c>
      <c r="M28" s="24" t="s">
        <v>170</v>
      </c>
      <c r="N28" s="32" t="s">
        <v>99</v>
      </c>
      <c r="O28" s="35">
        <f t="shared" si="2"/>
        <v>4.0000000000000001E-3</v>
      </c>
      <c r="P28" s="36">
        <v>4</v>
      </c>
    </row>
    <row r="29" spans="3:16" ht="15" customHeight="1" x14ac:dyDescent="0.25">
      <c r="C29" s="24" t="s">
        <v>171</v>
      </c>
      <c r="D29" s="32" t="s">
        <v>64</v>
      </c>
      <c r="E29" s="25">
        <f t="shared" si="0"/>
        <v>0.93372923398847096</v>
      </c>
      <c r="F29" s="33">
        <v>9.3372923398847096E-4</v>
      </c>
      <c r="H29" s="163" t="s">
        <v>172</v>
      </c>
      <c r="I29" s="164"/>
      <c r="J29" s="164"/>
      <c r="K29" s="164"/>
      <c r="M29" s="24" t="s">
        <v>173</v>
      </c>
      <c r="N29" s="32" t="s">
        <v>99</v>
      </c>
      <c r="O29" s="35">
        <f t="shared" si="2"/>
        <v>2.8000000000000001E-2</v>
      </c>
      <c r="P29" s="36">
        <v>28</v>
      </c>
    </row>
    <row r="30" spans="3:16" x14ac:dyDescent="0.25">
      <c r="C30" s="24" t="s">
        <v>174</v>
      </c>
      <c r="D30" s="32" t="s">
        <v>64</v>
      </c>
      <c r="E30" s="25">
        <f t="shared" si="0"/>
        <v>0.93681353150253099</v>
      </c>
      <c r="F30" s="33">
        <v>9.36813531502531E-4</v>
      </c>
      <c r="H30" s="164"/>
      <c r="I30" s="164"/>
      <c r="J30" s="164"/>
      <c r="K30" s="164"/>
      <c r="M30" s="24" t="s">
        <v>175</v>
      </c>
      <c r="N30" s="32" t="s">
        <v>99</v>
      </c>
      <c r="O30" s="35">
        <f t="shared" si="2"/>
        <v>0.26500000000000001</v>
      </c>
      <c r="P30" s="36">
        <v>265</v>
      </c>
    </row>
    <row r="31" spans="3:16" ht="17.25" customHeight="1" x14ac:dyDescent="0.25">
      <c r="C31" s="24" t="s">
        <v>176</v>
      </c>
      <c r="D31" s="32" t="s">
        <v>104</v>
      </c>
      <c r="E31" s="25">
        <f t="shared" si="0"/>
        <v>571.23486086580294</v>
      </c>
      <c r="F31" s="33">
        <v>0.571234860865803</v>
      </c>
      <c r="H31" s="164"/>
      <c r="I31" s="164"/>
      <c r="J31" s="164"/>
      <c r="K31" s="164"/>
      <c r="M31" s="24" t="s">
        <v>177</v>
      </c>
      <c r="N31" s="32" t="s">
        <v>99</v>
      </c>
      <c r="O31" s="35">
        <f t="shared" si="2"/>
        <v>23.5</v>
      </c>
      <c r="P31" s="36">
        <v>23500</v>
      </c>
    </row>
    <row r="32" spans="3:16" ht="17.25" customHeight="1" x14ac:dyDescent="0.25">
      <c r="C32" s="24" t="s">
        <v>178</v>
      </c>
      <c r="D32" s="32" t="s">
        <v>104</v>
      </c>
      <c r="E32" s="25">
        <f t="shared" si="0"/>
        <v>240.22978094267299</v>
      </c>
      <c r="F32" s="33">
        <v>0.240229780942673</v>
      </c>
      <c r="M32" s="24" t="s">
        <v>179</v>
      </c>
      <c r="N32" s="32" t="s">
        <v>99</v>
      </c>
      <c r="O32" s="35">
        <f t="shared" si="2"/>
        <v>1.9234</v>
      </c>
      <c r="P32" s="36">
        <f>P19*20%+P5*40%+P7*40%</f>
        <v>1923.4</v>
      </c>
    </row>
    <row r="33" spans="3:16" ht="17.25" customHeight="1" x14ac:dyDescent="0.25">
      <c r="C33" s="24" t="s">
        <v>180</v>
      </c>
      <c r="D33" s="32" t="s">
        <v>104</v>
      </c>
      <c r="E33" s="25">
        <f t="shared" si="0"/>
        <v>251.79664328980201</v>
      </c>
      <c r="F33" s="33">
        <v>0.251796643289802</v>
      </c>
      <c r="M33" s="24" t="s">
        <v>181</v>
      </c>
      <c r="N33" s="32" t="s">
        <v>99</v>
      </c>
      <c r="O33" s="35">
        <f t="shared" si="2"/>
        <v>2.5467</v>
      </c>
      <c r="P33" s="36">
        <f>P19*10%+P5*70%+P7*20%</f>
        <v>2546.6999999999998</v>
      </c>
    </row>
    <row r="34" spans="3:16" ht="17.25" customHeight="1" x14ac:dyDescent="0.25">
      <c r="C34" s="24" t="s">
        <v>182</v>
      </c>
      <c r="D34" s="32" t="s">
        <v>104</v>
      </c>
      <c r="E34" s="25">
        <f t="shared" si="0"/>
        <v>358.62608150078302</v>
      </c>
      <c r="F34" s="33">
        <v>0.35862608150078301</v>
      </c>
      <c r="M34" s="24" t="s">
        <v>183</v>
      </c>
      <c r="N34" s="32" t="s">
        <v>99</v>
      </c>
      <c r="O34" s="35">
        <f t="shared" si="2"/>
        <v>1.6242099999999999</v>
      </c>
      <c r="P34" s="36">
        <f>P19*23%+P5*25%+P7*52%</f>
        <v>1624.21</v>
      </c>
    </row>
    <row r="35" spans="3:16" ht="17.25" customHeight="1" x14ac:dyDescent="0.25">
      <c r="C35" s="24" t="s">
        <v>184</v>
      </c>
      <c r="D35" s="32" t="s">
        <v>104</v>
      </c>
      <c r="E35" s="25">
        <f t="shared" si="0"/>
        <v>116.08512568590599</v>
      </c>
      <c r="F35" s="33">
        <v>0.116085125685906</v>
      </c>
      <c r="M35" s="24" t="s">
        <v>185</v>
      </c>
      <c r="N35" s="32" t="s">
        <v>99</v>
      </c>
      <c r="O35" s="35">
        <f t="shared" si="2"/>
        <v>1.6740999999999999</v>
      </c>
      <c r="P35" s="36">
        <f>P19*30%+P5*30%+P7*40%</f>
        <v>1674.1</v>
      </c>
    </row>
    <row r="36" spans="3:16" ht="17.25" customHeight="1" x14ac:dyDescent="0.25">
      <c r="C36" s="24" t="s">
        <v>186</v>
      </c>
      <c r="D36" s="32" t="s">
        <v>104</v>
      </c>
      <c r="E36" s="25">
        <f t="shared" si="0"/>
        <v>94.015951764628497</v>
      </c>
      <c r="F36" s="33">
        <v>9.40159517646285E-2</v>
      </c>
      <c r="M36" s="24" t="s">
        <v>187</v>
      </c>
      <c r="N36" s="32" t="s">
        <v>99</v>
      </c>
      <c r="O36" s="35">
        <f t="shared" si="2"/>
        <v>1.9235</v>
      </c>
      <c r="P36" s="36">
        <f>P19*50%+P5*50%</f>
        <v>1923.5</v>
      </c>
    </row>
    <row r="37" spans="3:16" ht="17.25" customHeight="1" x14ac:dyDescent="0.25">
      <c r="C37" s="24" t="s">
        <v>188</v>
      </c>
      <c r="D37" s="32" t="s">
        <v>104</v>
      </c>
      <c r="E37" s="25">
        <f t="shared" ref="E37:E68" si="3">F37*1000</f>
        <v>260.20947313428701</v>
      </c>
      <c r="F37" s="33">
        <v>0.26020947313428699</v>
      </c>
      <c r="M37" s="24" t="s">
        <v>189</v>
      </c>
      <c r="N37" s="32" t="s">
        <v>99</v>
      </c>
      <c r="O37" s="35">
        <f t="shared" ref="O37:O54" si="4">P37/1000</f>
        <v>2.0481500000000001</v>
      </c>
      <c r="P37" s="36">
        <f>P19*45%+P5*55%</f>
        <v>2048.15</v>
      </c>
    </row>
    <row r="38" spans="3:16" x14ac:dyDescent="0.25">
      <c r="C38" s="24" t="s">
        <v>190</v>
      </c>
      <c r="D38" s="32" t="s">
        <v>64</v>
      </c>
      <c r="E38" s="25">
        <f t="shared" si="3"/>
        <v>3.9905488073976096</v>
      </c>
      <c r="F38" s="33">
        <v>3.9905488073976097E-3</v>
      </c>
      <c r="M38" s="24" t="s">
        <v>191</v>
      </c>
      <c r="N38" s="32" t="s">
        <v>99</v>
      </c>
      <c r="O38" s="35">
        <f t="shared" si="4"/>
        <v>1.94509</v>
      </c>
      <c r="P38" s="36">
        <f>P22*9%+P7*88%+P24*3%</f>
        <v>1945.09</v>
      </c>
    </row>
    <row r="39" spans="3:16" x14ac:dyDescent="0.25">
      <c r="C39" s="24" t="s">
        <v>192</v>
      </c>
      <c r="D39" s="32" t="s">
        <v>64</v>
      </c>
      <c r="E39" s="25">
        <f t="shared" si="3"/>
        <v>3.0711204779429995E-2</v>
      </c>
      <c r="F39" s="33">
        <v>3.0711204779429997E-5</v>
      </c>
      <c r="M39" s="24" t="s">
        <v>193</v>
      </c>
      <c r="N39" s="32" t="s">
        <v>99</v>
      </c>
      <c r="O39" s="35">
        <f t="shared" si="4"/>
        <v>2.1273560000000002</v>
      </c>
      <c r="P39" s="36">
        <f>P5*46.6%+P7*50%+P23*3.4%</f>
        <v>2127.3560000000002</v>
      </c>
    </row>
    <row r="40" spans="3:16" x14ac:dyDescent="0.25">
      <c r="C40" s="24" t="s">
        <v>194</v>
      </c>
      <c r="D40" s="32" t="s">
        <v>64</v>
      </c>
      <c r="E40" s="25">
        <f t="shared" si="3"/>
        <v>0.279584291884583</v>
      </c>
      <c r="F40" s="33">
        <v>2.79584291884583E-4</v>
      </c>
      <c r="M40" s="24" t="s">
        <v>195</v>
      </c>
      <c r="N40" s="32" t="s">
        <v>99</v>
      </c>
      <c r="O40" s="35">
        <f t="shared" si="4"/>
        <v>2.7416600000000004</v>
      </c>
      <c r="P40" s="36">
        <f>P5*79%+P7*18.25%+P23*2.75%</f>
        <v>2741.6600000000003</v>
      </c>
    </row>
    <row r="41" spans="3:16" x14ac:dyDescent="0.25">
      <c r="C41" s="24" t="s">
        <v>196</v>
      </c>
      <c r="D41" s="32" t="s">
        <v>64</v>
      </c>
      <c r="E41" s="25">
        <f t="shared" si="3"/>
        <v>2.8645635859400302</v>
      </c>
      <c r="F41" s="33">
        <v>2.8645635859400301E-3</v>
      </c>
      <c r="M41" s="24" t="s">
        <v>197</v>
      </c>
      <c r="N41" s="32" t="s">
        <v>99</v>
      </c>
      <c r="O41" s="35">
        <f t="shared" si="4"/>
        <v>2.8472719999999998</v>
      </c>
      <c r="P41" s="36">
        <f>P5*85.1%+P7*11.5%+P24*3.4%</f>
        <v>2847.2719999999999</v>
      </c>
    </row>
    <row r="42" spans="3:16" x14ac:dyDescent="0.25">
      <c r="C42" s="24" t="s">
        <v>198</v>
      </c>
      <c r="D42" s="32" t="s">
        <v>64</v>
      </c>
      <c r="E42" s="25">
        <f t="shared" si="3"/>
        <v>11.3538497758717</v>
      </c>
      <c r="F42" s="33">
        <v>1.1353849775871699E-2</v>
      </c>
      <c r="M42" s="24" t="s">
        <v>199</v>
      </c>
      <c r="N42" s="32" t="s">
        <v>99</v>
      </c>
      <c r="O42" s="35">
        <f t="shared" si="4"/>
        <v>2.4732719999999997</v>
      </c>
      <c r="P42" s="36">
        <f>P5*65.1%+P7*31.5%+P24*3.4%</f>
        <v>2473.2719999999995</v>
      </c>
    </row>
    <row r="43" spans="3:16" x14ac:dyDescent="0.25">
      <c r="C43" s="24" t="s">
        <v>200</v>
      </c>
      <c r="D43" s="32" t="s">
        <v>64</v>
      </c>
      <c r="E43" s="25">
        <f t="shared" si="3"/>
        <v>3.21752647885882</v>
      </c>
      <c r="F43" s="33">
        <v>3.2175264788588199E-3</v>
      </c>
      <c r="M43" s="24" t="s">
        <v>201</v>
      </c>
      <c r="N43" s="32" t="s">
        <v>99</v>
      </c>
      <c r="O43" s="35">
        <f t="shared" si="4"/>
        <v>2.2119170000000001</v>
      </c>
      <c r="P43" s="36">
        <f>P5*50.5%+P7*47%+P24*0.9%+P23*1%+P26*0%</f>
        <v>2211.9169999999999</v>
      </c>
    </row>
    <row r="44" spans="3:16" x14ac:dyDescent="0.25">
      <c r="C44" s="24" t="s">
        <v>202</v>
      </c>
      <c r="D44" s="32" t="s">
        <v>64</v>
      </c>
      <c r="E44" s="25">
        <f t="shared" si="3"/>
        <v>3.7759258057800702</v>
      </c>
      <c r="F44" s="33">
        <v>3.7759258057800701E-3</v>
      </c>
      <c r="M44" s="24" t="s">
        <v>203</v>
      </c>
      <c r="N44" s="32" t="s">
        <v>99</v>
      </c>
      <c r="O44" s="35">
        <f t="shared" si="4"/>
        <v>1.370752</v>
      </c>
      <c r="P44" s="36">
        <f>P7*93%+P5*5.1%+P23*1.3%+P26*0.6%</f>
        <v>1370.752</v>
      </c>
    </row>
    <row r="45" spans="3:16" x14ac:dyDescent="0.25">
      <c r="C45" s="24" t="s">
        <v>204</v>
      </c>
      <c r="D45" s="32" t="s">
        <v>64</v>
      </c>
      <c r="E45" s="25">
        <f t="shared" si="3"/>
        <v>1.6086272885432999</v>
      </c>
      <c r="F45" s="33">
        <v>1.6086272885433E-3</v>
      </c>
      <c r="M45" s="24" t="s">
        <v>205</v>
      </c>
      <c r="N45" s="32" t="s">
        <v>99</v>
      </c>
      <c r="O45" s="35">
        <f t="shared" si="4"/>
        <v>2.0240499999999999</v>
      </c>
      <c r="P45" s="36">
        <f>P19*15%+P5*25%+P9*10%+P7*50%</f>
        <v>2024.05</v>
      </c>
    </row>
    <row r="46" spans="3:16" x14ac:dyDescent="0.25">
      <c r="C46" s="24" t="s">
        <v>206</v>
      </c>
      <c r="D46" s="32" t="s">
        <v>64</v>
      </c>
      <c r="E46" s="25">
        <f t="shared" si="3"/>
        <v>3.0940630859762197</v>
      </c>
      <c r="F46" s="33">
        <v>3.0940630859762198E-3</v>
      </c>
      <c r="M46" s="24" t="s">
        <v>207</v>
      </c>
      <c r="N46" s="32" t="s">
        <v>99</v>
      </c>
      <c r="O46" s="35">
        <f t="shared" si="4"/>
        <v>3.4168249999999998</v>
      </c>
      <c r="P46" s="36">
        <f>P5*77.5%+P9*20%+P24*1.9%+P27*0.6%</f>
        <v>3416.8249999999998</v>
      </c>
    </row>
    <row r="47" spans="3:16" x14ac:dyDescent="0.25">
      <c r="C47" s="24" t="s">
        <v>208</v>
      </c>
      <c r="D47" s="32" t="s">
        <v>64</v>
      </c>
      <c r="E47" s="25">
        <f t="shared" si="3"/>
        <v>1.3874788977747199</v>
      </c>
      <c r="F47" s="33">
        <v>1.3874788977747199E-3</v>
      </c>
      <c r="M47" s="24" t="s">
        <v>209</v>
      </c>
      <c r="N47" s="32" t="s">
        <v>99</v>
      </c>
      <c r="O47" s="35">
        <f t="shared" si="4"/>
        <v>3.0755239999999997</v>
      </c>
      <c r="P47" s="36">
        <f>P5*63.2%+P9*18%+P7*16%+P24*2.8%</f>
        <v>3075.5239999999999</v>
      </c>
    </row>
    <row r="48" spans="3:16" x14ac:dyDescent="0.25">
      <c r="C48" s="24" t="s">
        <v>210</v>
      </c>
      <c r="D48" s="32" t="s">
        <v>64</v>
      </c>
      <c r="E48" s="25">
        <f t="shared" si="3"/>
        <v>12330.72105229</v>
      </c>
      <c r="F48" s="33">
        <v>12.33072105229</v>
      </c>
      <c r="M48" s="24" t="s">
        <v>211</v>
      </c>
      <c r="N48" s="32" t="s">
        <v>99</v>
      </c>
      <c r="O48" s="35">
        <f t="shared" si="4"/>
        <v>1.6387360000000002</v>
      </c>
      <c r="P48" s="36">
        <f>P5*19.5%+P7*78.5%+P23*1.4%+P25*0.6%</f>
        <v>1638.7360000000001</v>
      </c>
    </row>
    <row r="49" spans="3:16" x14ac:dyDescent="0.25">
      <c r="C49" s="24" t="s">
        <v>212</v>
      </c>
      <c r="D49" s="32" t="s">
        <v>64</v>
      </c>
      <c r="E49" s="25">
        <f t="shared" si="3"/>
        <v>1.92217918883329</v>
      </c>
      <c r="F49" s="33">
        <v>1.9221791888332899E-3</v>
      </c>
      <c r="M49" s="24" t="s">
        <v>213</v>
      </c>
      <c r="N49" s="32" t="s">
        <v>99</v>
      </c>
      <c r="O49" s="35">
        <f t="shared" si="4"/>
        <v>2.0587430000000002</v>
      </c>
      <c r="P49" s="36">
        <f>P19*8.5%+P5*45%+P7*44.2%+P23*1.7%+P26*0.6%</f>
        <v>2058.7430000000004</v>
      </c>
    </row>
    <row r="50" spans="3:16" x14ac:dyDescent="0.25">
      <c r="C50" s="24" t="s">
        <v>214</v>
      </c>
      <c r="D50" s="32" t="s">
        <v>64</v>
      </c>
      <c r="E50" s="25">
        <f t="shared" si="3"/>
        <v>0.34876665297355897</v>
      </c>
      <c r="F50" s="33">
        <v>3.4876665297355899E-4</v>
      </c>
      <c r="M50" s="24" t="s">
        <v>215</v>
      </c>
      <c r="N50" s="32" t="s">
        <v>99</v>
      </c>
      <c r="O50" s="35">
        <f t="shared" si="4"/>
        <v>1.7542100000000003</v>
      </c>
      <c r="P50" s="36">
        <f>P19*31%+P5*31%+P7*30%+P11*3%+P13*5%</f>
        <v>1754.2100000000003</v>
      </c>
    </row>
    <row r="51" spans="3:16" x14ac:dyDescent="0.25">
      <c r="C51" s="24" t="s">
        <v>216</v>
      </c>
      <c r="D51" s="32" t="s">
        <v>64</v>
      </c>
      <c r="E51" s="25">
        <f t="shared" si="3"/>
        <v>8.9144874696252199</v>
      </c>
      <c r="F51" s="33">
        <v>8.9144874696252194E-3</v>
      </c>
      <c r="M51" s="24" t="s">
        <v>217</v>
      </c>
      <c r="N51" s="32" t="s">
        <v>99</v>
      </c>
      <c r="O51" s="35">
        <f t="shared" si="4"/>
        <v>1.2826129999999998</v>
      </c>
      <c r="P51" s="36">
        <f>P19*24.3%+P5*24.7%+P28*25.3%+P7*25.7%</f>
        <v>1282.6129999999998</v>
      </c>
    </row>
    <row r="52" spans="3:16" x14ac:dyDescent="0.25">
      <c r="C52" s="24" t="s">
        <v>218</v>
      </c>
      <c r="D52" s="32" t="s">
        <v>64</v>
      </c>
      <c r="E52" s="25">
        <f t="shared" si="3"/>
        <v>1.7118543898430401</v>
      </c>
      <c r="F52" s="33">
        <v>1.7118543898430401E-3</v>
      </c>
      <c r="M52" s="24" t="s">
        <v>219</v>
      </c>
      <c r="N52" s="32" t="s">
        <v>99</v>
      </c>
      <c r="O52" s="35">
        <f t="shared" si="4"/>
        <v>1.94597</v>
      </c>
      <c r="P52" s="36">
        <f>P5*59%+P19*11%+P28*30%</f>
        <v>1945.97</v>
      </c>
    </row>
    <row r="53" spans="3:16" x14ac:dyDescent="0.25">
      <c r="C53" s="24" t="s">
        <v>220</v>
      </c>
      <c r="D53" s="32" t="s">
        <v>64</v>
      </c>
      <c r="E53" s="25">
        <f t="shared" si="3"/>
        <v>241.771117104844</v>
      </c>
      <c r="F53" s="33">
        <v>0.241771117104844</v>
      </c>
      <c r="M53" s="24" t="s">
        <v>221</v>
      </c>
      <c r="N53" s="32" t="s">
        <v>99</v>
      </c>
      <c r="O53" s="35">
        <f t="shared" si="4"/>
        <v>1.6363539999999999</v>
      </c>
      <c r="P53" s="36">
        <f>P7*53.8%+P5*20%+P19*20%+P13*5%+P23*0.6%+P26*0.6%</f>
        <v>1636.3539999999998</v>
      </c>
    </row>
    <row r="54" spans="3:16" x14ac:dyDescent="0.25">
      <c r="C54" s="24" t="s">
        <v>222</v>
      </c>
      <c r="D54" s="32" t="s">
        <v>64</v>
      </c>
      <c r="E54" s="25">
        <f t="shared" si="3"/>
        <v>3.9472679883326598</v>
      </c>
      <c r="F54" s="33">
        <v>3.9472679883326596E-3</v>
      </c>
      <c r="M54" s="24" t="s">
        <v>223</v>
      </c>
      <c r="N54" s="32" t="s">
        <v>99</v>
      </c>
      <c r="O54" s="35">
        <f t="shared" si="4"/>
        <v>3.9849999999999999</v>
      </c>
      <c r="P54" s="36">
        <f>P5*50%+P9*50%</f>
        <v>3985</v>
      </c>
    </row>
    <row r="55" spans="3:16" x14ac:dyDescent="0.25">
      <c r="C55" s="24" t="s">
        <v>224</v>
      </c>
      <c r="D55" s="32" t="s">
        <v>64</v>
      </c>
      <c r="E55" s="25">
        <f t="shared" si="3"/>
        <v>4.0937415174968912</v>
      </c>
      <c r="F55" s="33">
        <v>4.0937415174968914E-3</v>
      </c>
    </row>
    <row r="56" spans="3:16" x14ac:dyDescent="0.25">
      <c r="C56" s="24" t="s">
        <v>225</v>
      </c>
      <c r="D56" s="32" t="s">
        <v>64</v>
      </c>
      <c r="E56" s="25">
        <f t="shared" si="3"/>
        <v>3.3327575088850798</v>
      </c>
      <c r="F56" s="33">
        <v>3.3327575088850799E-3</v>
      </c>
      <c r="M56" s="26" t="s">
        <v>226</v>
      </c>
    </row>
    <row r="57" spans="3:16" x14ac:dyDescent="0.25">
      <c r="C57" s="24" t="s">
        <v>227</v>
      </c>
      <c r="D57" s="32" t="s">
        <v>64</v>
      </c>
      <c r="E57" s="25">
        <f t="shared" si="3"/>
        <v>1.51413887000334</v>
      </c>
      <c r="F57" s="33">
        <v>1.5141388700033399E-3</v>
      </c>
      <c r="M57" s="26" t="s">
        <v>81</v>
      </c>
    </row>
    <row r="58" spans="3:16" x14ac:dyDescent="0.25">
      <c r="C58" s="24" t="s">
        <v>228</v>
      </c>
      <c r="D58" s="32" t="s">
        <v>64</v>
      </c>
      <c r="E58" s="25">
        <f t="shared" si="3"/>
        <v>2.2212624025524201</v>
      </c>
      <c r="F58" s="33">
        <v>2.2212624025524201E-3</v>
      </c>
    </row>
    <row r="59" spans="3:16" x14ac:dyDescent="0.25">
      <c r="C59" s="24" t="s">
        <v>229</v>
      </c>
      <c r="D59" s="32" t="s">
        <v>64</v>
      </c>
      <c r="E59" s="25">
        <f t="shared" si="3"/>
        <v>0.390913394895053</v>
      </c>
      <c r="F59" s="33">
        <v>3.9091339489505302E-4</v>
      </c>
    </row>
    <row r="60" spans="3:16" x14ac:dyDescent="0.25">
      <c r="C60" s="24" t="s">
        <v>230</v>
      </c>
      <c r="D60" s="32" t="s">
        <v>64</v>
      </c>
      <c r="E60" s="25">
        <f t="shared" si="3"/>
        <v>15.205642515685499</v>
      </c>
      <c r="F60" s="33">
        <v>1.52056425156855E-2</v>
      </c>
    </row>
    <row r="61" spans="3:16" x14ac:dyDescent="0.25">
      <c r="C61" s="24" t="s">
        <v>231</v>
      </c>
      <c r="D61" s="32" t="s">
        <v>64</v>
      </c>
      <c r="E61" s="25">
        <f t="shared" si="3"/>
        <v>19.918983624062001</v>
      </c>
      <c r="F61" s="33">
        <v>1.9918983624062001E-2</v>
      </c>
    </row>
    <row r="62" spans="3:16" x14ac:dyDescent="0.25">
      <c r="C62" s="24" t="s">
        <v>232</v>
      </c>
      <c r="D62" s="32" t="s">
        <v>64</v>
      </c>
      <c r="E62" s="25">
        <f t="shared" si="3"/>
        <v>3.3210997358051402</v>
      </c>
      <c r="F62" s="33">
        <v>3.32109973580514E-3</v>
      </c>
    </row>
    <row r="63" spans="3:16" x14ac:dyDescent="0.25">
      <c r="C63" s="24" t="s">
        <v>233</v>
      </c>
      <c r="D63" s="32" t="s">
        <v>64</v>
      </c>
      <c r="E63" s="25">
        <f t="shared" si="3"/>
        <v>4.5462093995392596</v>
      </c>
      <c r="F63" s="33">
        <v>4.54620939953926E-3</v>
      </c>
    </row>
    <row r="64" spans="3:16" x14ac:dyDescent="0.25">
      <c r="C64" s="24" t="s">
        <v>234</v>
      </c>
      <c r="D64" s="32" t="s">
        <v>64</v>
      </c>
      <c r="E64" s="25">
        <f t="shared" si="3"/>
        <v>8.6010609036909393</v>
      </c>
      <c r="F64" s="33">
        <v>8.6010609036909387E-3</v>
      </c>
    </row>
    <row r="65" spans="3:6" x14ac:dyDescent="0.25">
      <c r="C65" s="24" t="s">
        <v>235</v>
      </c>
      <c r="D65" s="32" t="s">
        <v>64</v>
      </c>
      <c r="E65" s="25">
        <f t="shared" si="3"/>
        <v>3.6979387728042301</v>
      </c>
      <c r="F65" s="33">
        <v>3.6979387728042299E-3</v>
      </c>
    </row>
    <row r="66" spans="3:6" x14ac:dyDescent="0.25">
      <c r="C66" s="24" t="s">
        <v>236</v>
      </c>
      <c r="D66" s="32" t="s">
        <v>64</v>
      </c>
      <c r="E66" s="25">
        <f t="shared" si="3"/>
        <v>1.83346584016907</v>
      </c>
      <c r="F66" s="33">
        <v>1.83346584016907E-3</v>
      </c>
    </row>
    <row r="67" spans="3:6" x14ac:dyDescent="0.25">
      <c r="C67" s="24" t="s">
        <v>237</v>
      </c>
      <c r="D67" s="32" t="s">
        <v>64</v>
      </c>
      <c r="E67" s="25">
        <f t="shared" si="3"/>
        <v>9.2440607371229699</v>
      </c>
      <c r="F67" s="33">
        <v>9.2440607371229704E-3</v>
      </c>
    </row>
    <row r="68" spans="3:6" x14ac:dyDescent="0.25">
      <c r="C68" s="24" t="s">
        <v>238</v>
      </c>
      <c r="D68" s="32" t="s">
        <v>64</v>
      </c>
      <c r="E68" s="25">
        <f t="shared" si="3"/>
        <v>8.2546692228963003</v>
      </c>
      <c r="F68" s="33">
        <v>8.2546692228962996E-3</v>
      </c>
    </row>
    <row r="69" spans="3:6" x14ac:dyDescent="0.25">
      <c r="C69" s="24" t="s">
        <v>239</v>
      </c>
      <c r="D69" s="32" t="s">
        <v>64</v>
      </c>
      <c r="E69" s="25">
        <f t="shared" ref="E69:E100" si="5">F69*1000</f>
        <v>3.9997655840480797</v>
      </c>
      <c r="F69" s="33">
        <v>3.9997655840480796E-3</v>
      </c>
    </row>
    <row r="70" spans="3:6" x14ac:dyDescent="0.25">
      <c r="C70" s="24" t="s">
        <v>240</v>
      </c>
      <c r="D70" s="32" t="s">
        <v>64</v>
      </c>
      <c r="E70" s="25">
        <f t="shared" si="5"/>
        <v>8.1525745727126999</v>
      </c>
      <c r="F70" s="33">
        <v>8.1525745727126994E-3</v>
      </c>
    </row>
    <row r="71" spans="3:6" x14ac:dyDescent="0.25">
      <c r="C71" s="24" t="s">
        <v>241</v>
      </c>
      <c r="D71" s="32" t="s">
        <v>64</v>
      </c>
      <c r="E71" s="25">
        <f t="shared" si="5"/>
        <v>6.5620622812963996</v>
      </c>
      <c r="F71" s="33">
        <v>6.5620622812963998E-3</v>
      </c>
    </row>
    <row r="72" spans="3:6" x14ac:dyDescent="0.25">
      <c r="C72" s="24" t="s">
        <v>242</v>
      </c>
      <c r="D72" s="32" t="s">
        <v>64</v>
      </c>
      <c r="E72" s="25">
        <f t="shared" si="5"/>
        <v>1.45120907001578</v>
      </c>
      <c r="F72" s="33">
        <v>1.45120907001578E-3</v>
      </c>
    </row>
    <row r="73" spans="3:6" x14ac:dyDescent="0.25">
      <c r="C73" s="24" t="s">
        <v>243</v>
      </c>
      <c r="D73" s="32" t="s">
        <v>64</v>
      </c>
      <c r="E73" s="25">
        <f t="shared" si="5"/>
        <v>2.4832887154876198</v>
      </c>
      <c r="F73" s="33">
        <v>2.4832887154876198E-3</v>
      </c>
    </row>
    <row r="74" spans="3:6" x14ac:dyDescent="0.25">
      <c r="C74" s="24" t="s">
        <v>244</v>
      </c>
      <c r="D74" s="32" t="s">
        <v>64</v>
      </c>
      <c r="E74" s="25">
        <f t="shared" si="5"/>
        <v>2.0063308529928099</v>
      </c>
      <c r="F74" s="33">
        <v>2.0063308529928098E-3</v>
      </c>
    </row>
    <row r="75" spans="3:6" x14ac:dyDescent="0.25">
      <c r="C75" s="24" t="s">
        <v>245</v>
      </c>
      <c r="D75" s="32" t="s">
        <v>64</v>
      </c>
      <c r="E75" s="25">
        <f t="shared" si="5"/>
        <v>2.1875485083683901</v>
      </c>
      <c r="F75" s="33">
        <v>2.18754850836839E-3</v>
      </c>
    </row>
    <row r="76" spans="3:6" x14ac:dyDescent="0.25">
      <c r="C76" s="24" t="s">
        <v>246</v>
      </c>
      <c r="D76" s="32" t="s">
        <v>64</v>
      </c>
      <c r="E76" s="25">
        <f t="shared" si="5"/>
        <v>0.52874216541844099</v>
      </c>
      <c r="F76" s="33">
        <v>5.28742165418441E-4</v>
      </c>
    </row>
    <row r="77" spans="3:6" x14ac:dyDescent="0.25">
      <c r="C77" s="24" t="s">
        <v>247</v>
      </c>
      <c r="D77" s="32" t="s">
        <v>64</v>
      </c>
      <c r="E77" s="25">
        <f t="shared" si="5"/>
        <v>2.0376715234141098</v>
      </c>
      <c r="F77" s="33">
        <v>2.0376715234141098E-3</v>
      </c>
    </row>
    <row r="78" spans="3:6" x14ac:dyDescent="0.25">
      <c r="C78" s="24" t="s">
        <v>248</v>
      </c>
      <c r="D78" s="32" t="s">
        <v>64</v>
      </c>
      <c r="E78" s="25">
        <f t="shared" si="5"/>
        <v>3.67303640412175</v>
      </c>
      <c r="F78" s="33">
        <v>3.6730364041217501E-3</v>
      </c>
    </row>
    <row r="79" spans="3:6" x14ac:dyDescent="0.25">
      <c r="C79" s="24" t="s">
        <v>249</v>
      </c>
      <c r="D79" s="32" t="s">
        <v>64</v>
      </c>
      <c r="E79" s="25">
        <f t="shared" si="5"/>
        <v>4.9705793674208296</v>
      </c>
      <c r="F79" s="33">
        <v>4.97057936742083E-3</v>
      </c>
    </row>
    <row r="80" spans="3:6" x14ac:dyDescent="0.25">
      <c r="C80" s="24" t="s">
        <v>250</v>
      </c>
      <c r="D80" s="32" t="s">
        <v>64</v>
      </c>
      <c r="E80" s="25">
        <f t="shared" si="5"/>
        <v>2.0759680308707602</v>
      </c>
      <c r="F80" s="33">
        <v>2.07596803087076E-3</v>
      </c>
    </row>
    <row r="81" spans="3:6" x14ac:dyDescent="0.25">
      <c r="C81" s="24" t="s">
        <v>251</v>
      </c>
      <c r="D81" s="32" t="s">
        <v>64</v>
      </c>
      <c r="E81" s="25">
        <f t="shared" si="5"/>
        <v>4.2267263512111199</v>
      </c>
      <c r="F81" s="33">
        <v>4.2267263512111202E-3</v>
      </c>
    </row>
    <row r="82" spans="3:6" x14ac:dyDescent="0.25">
      <c r="C82" s="24" t="s">
        <v>252</v>
      </c>
      <c r="D82" s="32" t="s">
        <v>64</v>
      </c>
      <c r="E82" s="25">
        <f t="shared" si="5"/>
        <v>3.3942567083827799</v>
      </c>
      <c r="F82" s="33">
        <v>3.39425670838278E-3</v>
      </c>
    </row>
    <row r="83" spans="3:6" x14ac:dyDescent="0.25">
      <c r="C83" s="24" t="s">
        <v>253</v>
      </c>
      <c r="D83" s="32" t="s">
        <v>64</v>
      </c>
      <c r="E83" s="25">
        <f t="shared" si="5"/>
        <v>1.3162070126612799</v>
      </c>
      <c r="F83" s="33">
        <v>1.31620701266128E-3</v>
      </c>
    </row>
    <row r="84" spans="3:6" x14ac:dyDescent="0.25">
      <c r="C84" s="24" t="s">
        <v>254</v>
      </c>
      <c r="D84" s="32" t="s">
        <v>64</v>
      </c>
      <c r="E84" s="25">
        <f t="shared" si="5"/>
        <v>1.93597390200353</v>
      </c>
      <c r="F84" s="33">
        <v>1.9359739020035299E-3</v>
      </c>
    </row>
    <row r="85" spans="3:6" x14ac:dyDescent="0.25">
      <c r="C85" s="24" t="s">
        <v>255</v>
      </c>
      <c r="D85" s="32" t="s">
        <v>64</v>
      </c>
      <c r="E85" s="25">
        <f t="shared" si="5"/>
        <v>4.6757029506548289</v>
      </c>
      <c r="F85" s="33">
        <v>4.6757029506548286E-3</v>
      </c>
    </row>
    <row r="86" spans="3:6" x14ac:dyDescent="0.25">
      <c r="C86" s="24" t="s">
        <v>256</v>
      </c>
      <c r="D86" s="32" t="s">
        <v>64</v>
      </c>
      <c r="E86" s="25">
        <f t="shared" si="5"/>
        <v>5.2307807307612197</v>
      </c>
      <c r="F86" s="33">
        <v>5.2307807307612197E-3</v>
      </c>
    </row>
    <row r="87" spans="3:6" x14ac:dyDescent="0.25">
      <c r="C87" s="24" t="s">
        <v>257</v>
      </c>
      <c r="D87" s="32" t="s">
        <v>64</v>
      </c>
      <c r="E87" s="25">
        <f t="shared" si="5"/>
        <v>5.0361370751886989</v>
      </c>
      <c r="F87" s="33">
        <v>5.0361370751886986E-3</v>
      </c>
    </row>
    <row r="88" spans="3:6" x14ac:dyDescent="0.25">
      <c r="C88" s="24" t="s">
        <v>258</v>
      </c>
      <c r="D88" s="32" t="s">
        <v>64</v>
      </c>
      <c r="E88" s="25">
        <f t="shared" si="5"/>
        <v>2.0656342396909899</v>
      </c>
      <c r="F88" s="33">
        <v>2.0656342396909899E-3</v>
      </c>
    </row>
    <row r="89" spans="3:6" x14ac:dyDescent="0.25">
      <c r="C89" s="24" t="s">
        <v>259</v>
      </c>
      <c r="D89" s="32" t="s">
        <v>64</v>
      </c>
      <c r="E89" s="25">
        <f t="shared" si="5"/>
        <v>1.5687257787225599</v>
      </c>
      <c r="F89" s="33">
        <v>1.5687257787225599E-3</v>
      </c>
    </row>
    <row r="90" spans="3:6" x14ac:dyDescent="0.25">
      <c r="C90" s="24" t="s">
        <v>260</v>
      </c>
      <c r="D90" s="32" t="s">
        <v>64</v>
      </c>
      <c r="E90" s="25">
        <f t="shared" si="5"/>
        <v>0.65195730411465003</v>
      </c>
      <c r="F90" s="33">
        <v>6.5195730411465001E-4</v>
      </c>
    </row>
    <row r="91" spans="3:6" x14ac:dyDescent="0.25">
      <c r="C91" s="24" t="s">
        <v>261</v>
      </c>
      <c r="D91" s="32" t="s">
        <v>64</v>
      </c>
      <c r="E91" s="25">
        <f t="shared" si="5"/>
        <v>1.7583676456714001</v>
      </c>
      <c r="F91" s="33">
        <v>1.7583676456714001E-3</v>
      </c>
    </row>
    <row r="92" spans="3:6" x14ac:dyDescent="0.25">
      <c r="C92" s="24" t="s">
        <v>262</v>
      </c>
      <c r="D92" s="32" t="s">
        <v>64</v>
      </c>
      <c r="E92" s="25">
        <f t="shared" si="5"/>
        <v>1.9047489285169299</v>
      </c>
      <c r="F92" s="33">
        <v>1.90474892851693E-3</v>
      </c>
    </row>
    <row r="93" spans="3:6" x14ac:dyDescent="0.25">
      <c r="C93" s="24" t="s">
        <v>263</v>
      </c>
      <c r="D93" s="32" t="s">
        <v>64</v>
      </c>
      <c r="E93" s="25">
        <f t="shared" si="5"/>
        <v>6.8990306034709103</v>
      </c>
      <c r="F93" s="33">
        <v>6.89903060347091E-3</v>
      </c>
    </row>
    <row r="94" spans="3:6" x14ac:dyDescent="0.25">
      <c r="C94" s="24" t="s">
        <v>264</v>
      </c>
      <c r="D94" s="32" t="s">
        <v>64</v>
      </c>
      <c r="E94" s="25">
        <f t="shared" si="5"/>
        <v>1.60147539351956</v>
      </c>
      <c r="F94" s="33">
        <v>1.60147539351956E-3</v>
      </c>
    </row>
    <row r="95" spans="3:6" x14ac:dyDescent="0.25">
      <c r="C95" s="24" t="s">
        <v>265</v>
      </c>
      <c r="D95" s="32" t="s">
        <v>64</v>
      </c>
      <c r="E95" s="25">
        <f t="shared" si="5"/>
        <v>1.9560040140514401</v>
      </c>
      <c r="F95" s="33">
        <v>1.95600401405144E-3</v>
      </c>
    </row>
    <row r="96" spans="3:6" x14ac:dyDescent="0.25">
      <c r="C96" s="24" t="s">
        <v>266</v>
      </c>
      <c r="D96" s="32" t="s">
        <v>64</v>
      </c>
      <c r="E96" s="25">
        <f t="shared" si="5"/>
        <v>2.3002460451538202E-2</v>
      </c>
      <c r="F96" s="33">
        <v>2.30024604515382E-5</v>
      </c>
    </row>
    <row r="97" spans="3:6" x14ac:dyDescent="0.25">
      <c r="C97" s="24" t="s">
        <v>267</v>
      </c>
      <c r="D97" s="32" t="s">
        <v>64</v>
      </c>
      <c r="E97" s="25">
        <f t="shared" si="5"/>
        <v>0.96065454594784006</v>
      </c>
      <c r="F97" s="33">
        <v>9.6065454594784002E-4</v>
      </c>
    </row>
    <row r="98" spans="3:6" x14ac:dyDescent="0.25">
      <c r="C98" s="24" t="s">
        <v>268</v>
      </c>
      <c r="D98" s="32" t="s">
        <v>64</v>
      </c>
      <c r="E98" s="25">
        <f t="shared" si="5"/>
        <v>3.9780192848168099</v>
      </c>
      <c r="F98" s="33">
        <v>3.9780192848168101E-3</v>
      </c>
    </row>
    <row r="99" spans="3:6" x14ac:dyDescent="0.25">
      <c r="C99" s="24" t="s">
        <v>269</v>
      </c>
      <c r="D99" s="32" t="s">
        <v>64</v>
      </c>
      <c r="E99" s="25">
        <f t="shared" si="5"/>
        <v>0.630399547348377</v>
      </c>
      <c r="F99" s="33">
        <v>6.3039954734837704E-4</v>
      </c>
    </row>
    <row r="100" spans="3:6" x14ac:dyDescent="0.25">
      <c r="C100" s="24" t="s">
        <v>270</v>
      </c>
      <c r="D100" s="32" t="s">
        <v>64</v>
      </c>
      <c r="E100" s="25">
        <f t="shared" si="5"/>
        <v>4.1625587484967213</v>
      </c>
      <c r="F100" s="33">
        <v>4.1625587484967214E-3</v>
      </c>
    </row>
    <row r="101" spans="3:6" x14ac:dyDescent="0.25">
      <c r="C101" s="24" t="s">
        <v>271</v>
      </c>
      <c r="D101" s="32" t="s">
        <v>64</v>
      </c>
      <c r="E101" s="25">
        <f t="shared" ref="E101:E111" si="6">F101*1000</f>
        <v>1.8954045815357001</v>
      </c>
      <c r="F101" s="33">
        <v>1.8954045815357001E-3</v>
      </c>
    </row>
    <row r="102" spans="3:6" x14ac:dyDescent="0.25">
      <c r="C102" s="24" t="s">
        <v>272</v>
      </c>
      <c r="D102" s="32" t="s">
        <v>64</v>
      </c>
      <c r="E102" s="25">
        <f t="shared" si="6"/>
        <v>2.4853570757432397</v>
      </c>
      <c r="F102" s="33">
        <v>2.4853570757432399E-3</v>
      </c>
    </row>
    <row r="103" spans="3:6" x14ac:dyDescent="0.25">
      <c r="C103" s="24" t="s">
        <v>273</v>
      </c>
      <c r="D103" s="32" t="s">
        <v>64</v>
      </c>
      <c r="E103" s="25">
        <f t="shared" si="6"/>
        <v>125.06541062993001</v>
      </c>
      <c r="F103" s="33">
        <v>0.12506541062993001</v>
      </c>
    </row>
    <row r="104" spans="3:6" x14ac:dyDescent="0.25">
      <c r="C104" s="24" t="s">
        <v>274</v>
      </c>
      <c r="D104" s="32" t="s">
        <v>64</v>
      </c>
      <c r="E104" s="25">
        <f t="shared" si="6"/>
        <v>0.24288148921328898</v>
      </c>
      <c r="F104" s="33">
        <v>2.4288148921328899E-4</v>
      </c>
    </row>
    <row r="105" spans="3:6" x14ac:dyDescent="0.25">
      <c r="C105" s="24" t="s">
        <v>275</v>
      </c>
      <c r="D105" s="32" t="s">
        <v>64</v>
      </c>
      <c r="E105" s="25">
        <f t="shared" si="6"/>
        <v>8.9856760528340393E-2</v>
      </c>
      <c r="F105" s="33">
        <v>8.9856760528340393E-5</v>
      </c>
    </row>
    <row r="106" spans="3:6" x14ac:dyDescent="0.25">
      <c r="C106" s="24" t="s">
        <v>276</v>
      </c>
      <c r="D106" s="32" t="s">
        <v>64</v>
      </c>
      <c r="E106" s="25">
        <f t="shared" si="6"/>
        <v>2.5664248436558896</v>
      </c>
      <c r="F106" s="33">
        <v>2.5664248436558898E-3</v>
      </c>
    </row>
    <row r="107" spans="3:6" x14ac:dyDescent="0.25">
      <c r="C107" s="24" t="s">
        <v>277</v>
      </c>
      <c r="D107" s="32" t="s">
        <v>64</v>
      </c>
      <c r="E107" s="25">
        <f t="shared" si="6"/>
        <v>2.6765401382678497E-4</v>
      </c>
      <c r="F107" s="33">
        <v>2.6765401382678499E-7</v>
      </c>
    </row>
    <row r="108" spans="3:6" x14ac:dyDescent="0.25">
      <c r="C108" s="24" t="s">
        <v>278</v>
      </c>
      <c r="D108" s="32" t="s">
        <v>64</v>
      </c>
      <c r="E108" s="25">
        <f t="shared" si="6"/>
        <v>2.4069176377466199</v>
      </c>
      <c r="F108" s="33">
        <v>2.40691763774662E-3</v>
      </c>
    </row>
    <row r="109" spans="3:6" x14ac:dyDescent="0.25">
      <c r="C109" s="24" t="s">
        <v>279</v>
      </c>
      <c r="D109" s="32" t="s">
        <v>64</v>
      </c>
      <c r="E109" s="25">
        <f t="shared" si="6"/>
        <v>2.4981752405915603</v>
      </c>
      <c r="F109" s="33">
        <v>2.4981752405915602E-3</v>
      </c>
    </row>
    <row r="110" spans="3:6" x14ac:dyDescent="0.25">
      <c r="C110" s="24" t="s">
        <v>280</v>
      </c>
      <c r="D110" s="32" t="s">
        <v>64</v>
      </c>
      <c r="E110" s="25">
        <f t="shared" si="6"/>
        <v>16.8976838158673</v>
      </c>
      <c r="F110" s="33">
        <v>1.6897683815867301E-2</v>
      </c>
    </row>
    <row r="111" spans="3:6" x14ac:dyDescent="0.25">
      <c r="C111" s="24" t="s">
        <v>281</v>
      </c>
      <c r="D111" s="32" t="s">
        <v>64</v>
      </c>
      <c r="E111" s="25">
        <f t="shared" si="6"/>
        <v>2.8032620725446598</v>
      </c>
      <c r="F111" s="33">
        <v>2.8032620725446599E-3</v>
      </c>
    </row>
  </sheetData>
  <sheetProtection algorithmName="SHA-512" hashValue="CcdI3xurhf4T8ZtSy1973Ad2TH2tmxpERLDMyBn5fPXj1amn2vwcUDh5YEl58ZIsrWHdBXfpwnujiMBN5sYVzw==" saltValue="t+iKGg37OEsSvdsBhzWVkw==" spinCount="100000" sheet="1" objects="1" scenarios="1"/>
  <mergeCells count="4">
    <mergeCell ref="H2:K2"/>
    <mergeCell ref="C2:F2"/>
    <mergeCell ref="H29:K31"/>
    <mergeCell ref="M2:P2"/>
  </mergeCells>
  <hyperlinks>
    <hyperlink ref="M56" r:id="rId1" xr:uid="{00000000-0004-0000-0300-000000000000}"/>
    <hyperlink ref="M57" r:id="rId2" xr:uid="{00000000-0004-0000-03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5e846a-6024-466d-8e4c-ac677fcc6d3c">
      <Terms xmlns="http://schemas.microsoft.com/office/infopath/2007/PartnerControls"/>
    </lcf76f155ced4ddcb4097134ff3c332f>
    <TaxCatchAll xmlns="2e6e64c5-f484-49fa-aa41-0b9b279d16a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AED89EAF6958C45B3D7861D93C5B7AA" ma:contentTypeVersion="17" ma:contentTypeDescription="Crear nuevo documento." ma:contentTypeScope="" ma:versionID="a9231cbd81b7523a75f85b68cf0829e7">
  <xsd:schema xmlns:xsd="http://www.w3.org/2001/XMLSchema" xmlns:xs="http://www.w3.org/2001/XMLSchema" xmlns:p="http://schemas.microsoft.com/office/2006/metadata/properties" xmlns:ns2="b55e846a-6024-466d-8e4c-ac677fcc6d3c" xmlns:ns3="2e6e64c5-f484-49fa-aa41-0b9b279d16ad" targetNamespace="http://schemas.microsoft.com/office/2006/metadata/properties" ma:root="true" ma:fieldsID="5028b455b95fa1a0d569e66b348e6c8f" ns2:_="" ns3:_="">
    <xsd:import namespace="b55e846a-6024-466d-8e4c-ac677fcc6d3c"/>
    <xsd:import namespace="2e6e64c5-f484-49fa-aa41-0b9b279d16a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e846a-6024-466d-8e4c-ac677fcc6d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a93b6070-29c1-4a34-962b-5b08846badd1"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6e64c5-f484-49fa-aa41-0b9b279d16ad"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fcb98bb-dd49-4c39-8e79-b5d63715b5fa}" ma:internalName="TaxCatchAll" ma:showField="CatchAllData" ma:web="2e6e64c5-f484-49fa-aa41-0b9b279d1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4954A-9907-4D35-B8BA-FE901EB8E156}">
  <ds:schemaRefs>
    <ds:schemaRef ds:uri="http://schemas.microsoft.com/office/2006/metadata/properties"/>
    <ds:schemaRef ds:uri="http://schemas.microsoft.com/office/infopath/2007/PartnerControls"/>
    <ds:schemaRef ds:uri="b55e846a-6024-466d-8e4c-ac677fcc6d3c"/>
    <ds:schemaRef ds:uri="2e6e64c5-f484-49fa-aa41-0b9b279d16ad"/>
  </ds:schemaRefs>
</ds:datastoreItem>
</file>

<file path=customXml/itemProps2.xml><?xml version="1.0" encoding="utf-8"?>
<ds:datastoreItem xmlns:ds="http://schemas.openxmlformats.org/officeDocument/2006/customXml" ds:itemID="{FAA31CAE-54AB-4CB3-9F16-E4DC238E069C}">
  <ds:schemaRefs>
    <ds:schemaRef ds:uri="http://schemas.microsoft.com/sharepoint/v3/contenttype/forms"/>
  </ds:schemaRefs>
</ds:datastoreItem>
</file>

<file path=customXml/itemProps3.xml><?xml version="1.0" encoding="utf-8"?>
<ds:datastoreItem xmlns:ds="http://schemas.openxmlformats.org/officeDocument/2006/customXml" ds:itemID="{52666762-A945-44E7-99D4-C58225895C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Instrucciones</vt:lpstr>
      <vt:lpstr>Datos Proyecto</vt:lpstr>
      <vt:lpstr>Factores de emisión</vt:lpstr>
      <vt:lpstr>Factores de emisión 2</vt:lpstr>
      <vt:lpstr>bio_lenosos</vt:lpstr>
      <vt:lpstr>Emisiones_evitadas_vidautil</vt:lpstr>
      <vt:lpstr>FactorEmisMixElecPeninsula</vt:lpstr>
      <vt:lpstr>gases</vt:lpstr>
      <vt:lpstr>gestion_residuos</vt:lpstr>
      <vt:lpstr>hidrogenos</vt:lpstr>
      <vt:lpstr>materias_primas</vt:lpstr>
      <vt:lpstr>otros_combustibles</vt:lpstr>
      <vt:lpstr>Instrucciones!Print_Area</vt:lpstr>
      <vt:lpstr>refrigerantes_y_otros</vt:lpstr>
      <vt:lpstr>Subvención_solicitada</vt:lpstr>
      <vt:lpstr>Vida_util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Cristobal Garcia</dc:creator>
  <cp:lastModifiedBy>Izaguirre, Laura</cp:lastModifiedBy>
  <cp:lastPrinted>2023-07-04T07:20:43Z</cp:lastPrinted>
  <dcterms:created xsi:type="dcterms:W3CDTF">2023-05-09T06:23:26Z</dcterms:created>
  <dcterms:modified xsi:type="dcterms:W3CDTF">2024-05-20T15:12:52Z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0x010100AAED89EAF6958C45B3D7861D93C5B7AA</vt:lpwstr>
  </property>
  <property fmtid="{D5CDD505-2E9C-101B-9397-08002B2CF9AE}" pid="3" name="MediaServiceImageTags">
    <vt:lpwstr/>
  </property>
</Properties>
</file>