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S:\2025 PROIEKTUAK\EMISIOAK\COV\A25013 EDERFIL BECKER\Alegia\Datuak\"/>
    </mc:Choice>
  </mc:AlternateContent>
  <xr:revisionPtr revIDLastSave="0" documentId="13_ncr:1_{2362CD9A-C0C4-4195-BCA8-D37B7CDC0CD2}" xr6:coauthVersionLast="45" xr6:coauthVersionMax="47" xr10:uidLastSave="{00000000-0000-0000-0000-000000000000}"/>
  <bookViews>
    <workbookView xWindow="28680" yWindow="-120" windowWidth="29040" windowHeight="15840" firstSheet="1" activeTab="1" xr2:uid="{00000000-000D-0000-FFFF-FFFF00000000}"/>
  </bookViews>
  <sheets>
    <sheet name="EJEMPLOS" sheetId="5" r:id="rId1"/>
    <sheet name="TODOS LOS FOCOS" sheetId="3" r:id="rId2"/>
    <sheet name="Hoja1" sheetId="7" r:id="rId3"/>
  </sheets>
  <externalReferences>
    <externalReference r:id="rId4"/>
  </externalReferences>
  <definedNames>
    <definedName name="_xlnm._FilterDatabase" localSheetId="2" hidden="1">Hoja1!$A$1:$A$1</definedName>
    <definedName name="_xlnm._FilterDatabase" localSheetId="1" hidden="1">'TODOS LOS FOCOS'!$A$9:$R$314</definedName>
    <definedName name="Activitats">[1]desplegabless!$A$1:$A$21</definedName>
    <definedName name="_xlnm.Print_Area" localSheetId="1">'TODOS LOS FOCOS'!$A$1:$O$318</definedName>
    <definedName name="Opcions_compliment">[1]desplegabless!$B$1:$B$6</definedName>
    <definedName name="Unitats_producció">[1]desplegabless!$F$1:$F$13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0" i="3" l="1"/>
  <c r="P10" i="3"/>
  <c r="I282" i="3"/>
  <c r="K281" i="3"/>
  <c r="L282" i="3"/>
  <c r="L281" i="3"/>
  <c r="L14" i="3"/>
  <c r="L12" i="3"/>
  <c r="L11" i="3"/>
  <c r="N10" i="3"/>
  <c r="L304" i="3"/>
  <c r="K310" i="3"/>
  <c r="L310" i="3" s="1"/>
  <c r="K304" i="3"/>
  <c r="K303" i="3"/>
  <c r="L303" i="3" s="1"/>
  <c r="K294" i="3"/>
  <c r="L294" i="3" s="1"/>
  <c r="I294" i="3"/>
  <c r="I310" i="3"/>
  <c r="I309" i="3"/>
  <c r="K309" i="3" s="1"/>
  <c r="L309" i="3" s="1"/>
  <c r="I304" i="3"/>
  <c r="I303" i="3"/>
  <c r="I300" i="3"/>
  <c r="K300" i="3" s="1"/>
  <c r="L300" i="3" s="1"/>
  <c r="I298" i="3"/>
  <c r="K298" i="3" s="1"/>
  <c r="L298" i="3" s="1"/>
  <c r="I297" i="3"/>
  <c r="K297" i="3" s="1"/>
  <c r="L297" i="3" s="1"/>
  <c r="I296" i="3"/>
  <c r="I295" i="3"/>
  <c r="K295" i="3" s="1"/>
  <c r="L295" i="3" s="1"/>
  <c r="E314" i="3"/>
  <c r="E313" i="3"/>
  <c r="E312" i="3"/>
  <c r="E310" i="3"/>
  <c r="E309" i="3"/>
  <c r="E308" i="3"/>
  <c r="E307" i="3"/>
  <c r="F306" i="3"/>
  <c r="F302" i="3"/>
  <c r="E305" i="3"/>
  <c r="E304" i="3"/>
  <c r="E303" i="3"/>
  <c r="F299" i="3"/>
  <c r="E301" i="3"/>
  <c r="E300" i="3"/>
  <c r="E294" i="3"/>
  <c r="F293" i="3"/>
  <c r="E298" i="3"/>
  <c r="E297" i="3"/>
  <c r="E296" i="3"/>
  <c r="E295" i="3"/>
  <c r="O10" i="3" l="1"/>
  <c r="F307" i="3"/>
  <c r="F308" i="3"/>
  <c r="F310" i="3"/>
  <c r="F300" i="3"/>
  <c r="F294" i="3"/>
  <c r="F309" i="3"/>
  <c r="F305" i="3"/>
  <c r="F303" i="3"/>
  <c r="F301" i="3"/>
  <c r="F295" i="3"/>
  <c r="F296" i="3"/>
  <c r="F297" i="3"/>
  <c r="F304" i="3"/>
  <c r="F298" i="3"/>
  <c r="F284" i="3"/>
  <c r="I292" i="3"/>
  <c r="K292" i="3" s="1"/>
  <c r="L292" i="3" s="1"/>
  <c r="E292" i="3"/>
  <c r="I291" i="3"/>
  <c r="K291" i="3" s="1"/>
  <c r="L291" i="3" s="1"/>
  <c r="E291" i="3"/>
  <c r="I290" i="3"/>
  <c r="K290" i="3" s="1"/>
  <c r="E290" i="3"/>
  <c r="E289" i="3"/>
  <c r="I288" i="3"/>
  <c r="K288" i="3" s="1"/>
  <c r="L288" i="3" s="1"/>
  <c r="E288" i="3"/>
  <c r="I287" i="3"/>
  <c r="K287" i="3" s="1"/>
  <c r="E287" i="3"/>
  <c r="I286" i="3"/>
  <c r="K286" i="3" s="1"/>
  <c r="E286" i="3"/>
  <c r="I285" i="3"/>
  <c r="K285" i="3" s="1"/>
  <c r="L285" i="3" s="1"/>
  <c r="E285" i="3"/>
  <c r="L286" i="3" l="1"/>
  <c r="L290" i="3"/>
  <c r="L287" i="3"/>
  <c r="F285" i="3"/>
  <c r="F290" i="3"/>
  <c r="F289" i="3"/>
  <c r="F291" i="3"/>
  <c r="F288" i="3"/>
  <c r="F292" i="3"/>
  <c r="F286" i="3"/>
  <c r="F287" i="3"/>
  <c r="F268" i="3" l="1"/>
  <c r="I312" i="3" l="1"/>
  <c r="K312" i="3" s="1"/>
  <c r="L312" i="3" s="1"/>
  <c r="I314" i="3"/>
  <c r="K314" i="3" s="1"/>
  <c r="L314" i="3" s="1"/>
  <c r="F311" i="3"/>
  <c r="F312" i="3" s="1"/>
  <c r="F277" i="3"/>
  <c r="F314" i="3" l="1"/>
  <c r="F313" i="3"/>
  <c r="C41" i="3"/>
  <c r="M88" i="7"/>
  <c r="H88" i="7"/>
  <c r="M87" i="7"/>
  <c r="H87" i="7"/>
  <c r="M86" i="7"/>
  <c r="H85" i="7"/>
  <c r="M85" i="7" s="1"/>
  <c r="M84" i="7"/>
  <c r="H84" i="7"/>
  <c r="H83" i="7"/>
  <c r="M83" i="7" s="1"/>
  <c r="H82" i="7"/>
  <c r="M82" i="7" s="1"/>
  <c r="H81" i="7"/>
  <c r="M81" i="7" s="1"/>
  <c r="M80" i="7"/>
  <c r="H80" i="7"/>
  <c r="M79" i="7"/>
  <c r="H79" i="7"/>
  <c r="M78" i="7"/>
  <c r="H78" i="7"/>
  <c r="H77" i="7"/>
  <c r="M77" i="7" s="1"/>
  <c r="M76" i="7"/>
  <c r="H76" i="7"/>
  <c r="M75" i="7"/>
  <c r="H75" i="7"/>
  <c r="M74" i="7"/>
  <c r="H74" i="7"/>
  <c r="H73" i="7"/>
  <c r="M73" i="7" s="1"/>
  <c r="M72" i="7"/>
  <c r="H72" i="7"/>
  <c r="M71" i="7"/>
  <c r="H71" i="7"/>
  <c r="M70" i="7"/>
  <c r="H70" i="7"/>
  <c r="H69" i="7"/>
  <c r="M69" i="7" s="1"/>
  <c r="M68" i="7"/>
  <c r="H68" i="7"/>
  <c r="M67" i="7"/>
  <c r="H67" i="7"/>
  <c r="M66" i="7"/>
  <c r="H66" i="7"/>
  <c r="H65" i="7"/>
  <c r="M65" i="7" s="1"/>
  <c r="M64" i="7"/>
  <c r="H64" i="7"/>
  <c r="M63" i="7"/>
  <c r="H63" i="7"/>
  <c r="M62" i="7"/>
  <c r="H62" i="7"/>
  <c r="H61" i="7"/>
  <c r="M61" i="7" s="1"/>
  <c r="M60" i="7"/>
  <c r="H60" i="7"/>
  <c r="M59" i="7"/>
  <c r="H59" i="7"/>
  <c r="M58" i="7"/>
  <c r="H57" i="7"/>
  <c r="M57" i="7" s="1"/>
  <c r="H56" i="7"/>
  <c r="M56" i="7" s="1"/>
  <c r="H55" i="7"/>
  <c r="M55" i="7" s="1"/>
  <c r="H54" i="7"/>
  <c r="M54" i="7" s="1"/>
  <c r="H53" i="7"/>
  <c r="M53" i="7" s="1"/>
  <c r="H52" i="7"/>
  <c r="M52" i="7" s="1"/>
  <c r="M51" i="7"/>
  <c r="H51" i="7"/>
  <c r="H50" i="7"/>
  <c r="M50" i="7" s="1"/>
  <c r="H49" i="7"/>
  <c r="M49" i="7" s="1"/>
  <c r="H48" i="7"/>
  <c r="M48" i="7" s="1"/>
  <c r="M47" i="7"/>
  <c r="I47" i="7"/>
  <c r="H47" i="7"/>
  <c r="I46" i="7"/>
  <c r="H46" i="7"/>
  <c r="M46" i="7" s="1"/>
  <c r="I45" i="7"/>
  <c r="M45" i="7" s="1"/>
  <c r="H45" i="7"/>
  <c r="I44" i="7"/>
  <c r="H44" i="7"/>
  <c r="M44" i="7" s="1"/>
  <c r="I43" i="7"/>
  <c r="M43" i="7" s="1"/>
  <c r="H43" i="7"/>
  <c r="M42" i="7"/>
  <c r="I42" i="7"/>
  <c r="H42" i="7"/>
  <c r="I41" i="7"/>
  <c r="M41" i="7" s="1"/>
  <c r="H41" i="7"/>
  <c r="I40" i="7"/>
  <c r="M40" i="7" s="1"/>
  <c r="H40" i="7"/>
  <c r="M39" i="7"/>
  <c r="I39" i="7"/>
  <c r="H39" i="7"/>
  <c r="I38" i="7"/>
  <c r="H38" i="7"/>
  <c r="M38" i="7" s="1"/>
  <c r="I37" i="7"/>
  <c r="M37" i="7" s="1"/>
  <c r="H37" i="7"/>
  <c r="I36" i="7"/>
  <c r="M36" i="7" s="1"/>
  <c r="H36" i="7"/>
  <c r="I35" i="7"/>
  <c r="M35" i="7" s="1"/>
  <c r="H35" i="7"/>
  <c r="M34" i="7"/>
  <c r="I34" i="7"/>
  <c r="H34" i="7"/>
  <c r="I33" i="7"/>
  <c r="M33" i="7" s="1"/>
  <c r="H33" i="7"/>
  <c r="I32" i="7"/>
  <c r="M32" i="7" s="1"/>
  <c r="H32" i="7"/>
  <c r="M31" i="7"/>
  <c r="I31" i="7"/>
  <c r="H31" i="7"/>
  <c r="I30" i="7"/>
  <c r="H30" i="7"/>
  <c r="M30" i="7" s="1"/>
  <c r="I29" i="7"/>
  <c r="M29" i="7" s="1"/>
  <c r="H29" i="7"/>
  <c r="I28" i="7"/>
  <c r="M28" i="7" s="1"/>
  <c r="H28" i="7"/>
  <c r="I27" i="7"/>
  <c r="M27" i="7" s="1"/>
  <c r="H27" i="7"/>
  <c r="M26" i="7"/>
  <c r="I26" i="7"/>
  <c r="H26" i="7"/>
  <c r="I25" i="7"/>
  <c r="M25" i="7" s="1"/>
  <c r="H25" i="7"/>
  <c r="I24" i="7"/>
  <c r="M24" i="7" s="1"/>
  <c r="H24" i="7"/>
  <c r="M23" i="7"/>
  <c r="I23" i="7"/>
  <c r="H23" i="7"/>
  <c r="I22" i="7"/>
  <c r="D22" i="7"/>
  <c r="H22" i="7" s="1"/>
  <c r="M22" i="7" s="1"/>
  <c r="M21" i="7"/>
  <c r="I21" i="7"/>
  <c r="H21" i="7"/>
  <c r="I20" i="7"/>
  <c r="M20" i="7" s="1"/>
  <c r="H20" i="7"/>
  <c r="I19" i="7"/>
  <c r="M19" i="7" s="1"/>
  <c r="H19" i="7"/>
  <c r="M18" i="7"/>
  <c r="I18" i="7"/>
  <c r="H18" i="7"/>
  <c r="I17" i="7"/>
  <c r="H17" i="7"/>
  <c r="M17" i="7" s="1"/>
  <c r="I16" i="7"/>
  <c r="M16" i="7" s="1"/>
  <c r="H16" i="7"/>
  <c r="I15" i="7"/>
  <c r="M15" i="7" s="1"/>
  <c r="H15" i="7"/>
  <c r="I14" i="7"/>
  <c r="M14" i="7" s="1"/>
  <c r="H14" i="7"/>
  <c r="M13" i="7"/>
  <c r="I13" i="7"/>
  <c r="H13" i="7"/>
  <c r="I12" i="7"/>
  <c r="M12" i="7" s="1"/>
  <c r="H12" i="7"/>
  <c r="I11" i="7"/>
  <c r="M11" i="7" s="1"/>
  <c r="H11" i="7"/>
  <c r="M10" i="7"/>
  <c r="I10" i="7"/>
  <c r="H10" i="7"/>
  <c r="I9" i="7"/>
  <c r="H9" i="7"/>
  <c r="M9" i="7" s="1"/>
  <c r="I8" i="7"/>
  <c r="M8" i="7" s="1"/>
  <c r="H8" i="7"/>
  <c r="I7" i="7"/>
  <c r="M7" i="7" s="1"/>
  <c r="H7" i="7"/>
  <c r="I6" i="7"/>
  <c r="M6" i="7" s="1"/>
  <c r="H6" i="7"/>
  <c r="M5" i="7"/>
  <c r="I5" i="7"/>
  <c r="H5" i="7"/>
  <c r="I4" i="7"/>
  <c r="M4" i="7" s="1"/>
  <c r="H4" i="7"/>
  <c r="I3" i="7"/>
  <c r="M3" i="7" s="1"/>
  <c r="H3" i="7"/>
  <c r="E282" i="3" l="1"/>
  <c r="F282" i="3" s="1"/>
  <c r="E281" i="3"/>
  <c r="E280" i="3"/>
  <c r="E279" i="3"/>
  <c r="E278" i="3"/>
  <c r="F278" i="3" s="1"/>
  <c r="E273" i="3"/>
  <c r="I281" i="3"/>
  <c r="I279" i="3"/>
  <c r="K279" i="3" s="1"/>
  <c r="I278" i="3"/>
  <c r="K278" i="3" s="1"/>
  <c r="I276" i="3"/>
  <c r="K276" i="3" s="1"/>
  <c r="L276" i="3" s="1"/>
  <c r="I272" i="3"/>
  <c r="K272" i="3" s="1"/>
  <c r="I271" i="3"/>
  <c r="K271" i="3" s="1"/>
  <c r="I270" i="3"/>
  <c r="K270" i="3" s="1"/>
  <c r="I274" i="3"/>
  <c r="K274" i="3" s="1"/>
  <c r="I273" i="3"/>
  <c r="K273" i="3" s="1"/>
  <c r="I269" i="3"/>
  <c r="K269" i="3" s="1"/>
  <c r="E274" i="3"/>
  <c r="E272" i="3"/>
  <c r="E271" i="3"/>
  <c r="E270" i="3"/>
  <c r="E269" i="3"/>
  <c r="F269" i="3" s="1"/>
  <c r="I266" i="3"/>
  <c r="K266" i="3" s="1"/>
  <c r="I265" i="3"/>
  <c r="K265" i="3" s="1"/>
  <c r="E267" i="3"/>
  <c r="E266" i="3"/>
  <c r="E265" i="3"/>
  <c r="I263" i="3"/>
  <c r="K263" i="3" s="1"/>
  <c r="E263" i="3"/>
  <c r="E262" i="3"/>
  <c r="I260" i="3"/>
  <c r="K260" i="3" s="1"/>
  <c r="I258" i="3"/>
  <c r="K258" i="3" s="1"/>
  <c r="I257" i="3"/>
  <c r="K257" i="3" s="1"/>
  <c r="I255" i="3"/>
  <c r="K255" i="3" s="1"/>
  <c r="I253" i="3"/>
  <c r="K253" i="3" s="1"/>
  <c r="I256" i="3"/>
  <c r="K256" i="3" s="1"/>
  <c r="I252" i="3"/>
  <c r="K252" i="3" s="1"/>
  <c r="I254" i="3"/>
  <c r="K254" i="3" s="1"/>
  <c r="I251" i="3"/>
  <c r="K251" i="3" s="1"/>
  <c r="I250" i="3"/>
  <c r="K250" i="3" s="1"/>
  <c r="E260" i="3"/>
  <c r="E259" i="3"/>
  <c r="E258" i="3"/>
  <c r="E257" i="3"/>
  <c r="E256" i="3"/>
  <c r="E255" i="3"/>
  <c r="E254" i="3"/>
  <c r="E253" i="3"/>
  <c r="E252" i="3"/>
  <c r="E251" i="3"/>
  <c r="E250" i="3"/>
  <c r="E248" i="3"/>
  <c r="E247" i="3"/>
  <c r="E246" i="3"/>
  <c r="E245" i="3"/>
  <c r="E244" i="3"/>
  <c r="E243" i="3"/>
  <c r="E242" i="3"/>
  <c r="E241" i="3"/>
  <c r="E240" i="3"/>
  <c r="E239" i="3"/>
  <c r="E238" i="3"/>
  <c r="E237" i="3"/>
  <c r="I247" i="3"/>
  <c r="K247" i="3" s="1"/>
  <c r="I246" i="3"/>
  <c r="K246" i="3" s="1"/>
  <c r="I245" i="3"/>
  <c r="K245" i="3" s="1"/>
  <c r="I244" i="3"/>
  <c r="K244" i="3" s="1"/>
  <c r="I242" i="3"/>
  <c r="K242" i="3" s="1"/>
  <c r="I241" i="3"/>
  <c r="K241" i="3" s="1"/>
  <c r="I238" i="3"/>
  <c r="K238" i="3" s="1"/>
  <c r="I237" i="3"/>
  <c r="K237" i="3" s="1"/>
  <c r="I243" i="3"/>
  <c r="K243" i="3" s="1"/>
  <c r="I248" i="3"/>
  <c r="K248" i="3" s="1"/>
  <c r="I259" i="3"/>
  <c r="K259" i="3" s="1"/>
  <c r="L259" i="3" s="1"/>
  <c r="K282" i="3"/>
  <c r="I235" i="3"/>
  <c r="K235" i="3" s="1"/>
  <c r="I234" i="3"/>
  <c r="K234" i="3" s="1"/>
  <c r="E235" i="3"/>
  <c r="E234" i="3"/>
  <c r="E233" i="3"/>
  <c r="E232" i="3"/>
  <c r="I230" i="3"/>
  <c r="K230" i="3" s="1"/>
  <c r="I229" i="3"/>
  <c r="K229" i="3" s="1"/>
  <c r="I228" i="3"/>
  <c r="K228" i="3" s="1"/>
  <c r="I227" i="3"/>
  <c r="K227" i="3" s="1"/>
  <c r="I226" i="3"/>
  <c r="K226" i="3" s="1"/>
  <c r="I225" i="3"/>
  <c r="K225" i="3" s="1"/>
  <c r="E230" i="3"/>
  <c r="E229" i="3"/>
  <c r="E228" i="3"/>
  <c r="E227" i="3"/>
  <c r="E226" i="3"/>
  <c r="E225" i="3"/>
  <c r="I223" i="3"/>
  <c r="K223" i="3" s="1"/>
  <c r="I222" i="3"/>
  <c r="K222" i="3" s="1"/>
  <c r="I221" i="3"/>
  <c r="K221" i="3" s="1"/>
  <c r="E223" i="3"/>
  <c r="E222" i="3"/>
  <c r="E221" i="3"/>
  <c r="E215" i="3"/>
  <c r="E205" i="3"/>
  <c r="I232" i="3"/>
  <c r="K232" i="3" s="1"/>
  <c r="I239" i="3"/>
  <c r="K239" i="3" s="1"/>
  <c r="I240" i="3"/>
  <c r="K240" i="3" s="1"/>
  <c r="E219" i="3"/>
  <c r="E218" i="3"/>
  <c r="E217" i="3"/>
  <c r="E216" i="3"/>
  <c r="E214" i="3"/>
  <c r="E213" i="3"/>
  <c r="E212" i="3"/>
  <c r="E211" i="3"/>
  <c r="E210" i="3"/>
  <c r="E209" i="3"/>
  <c r="E208" i="3"/>
  <c r="E207" i="3"/>
  <c r="E206" i="3"/>
  <c r="I219" i="3"/>
  <c r="K219" i="3" s="1"/>
  <c r="I215" i="3"/>
  <c r="K215" i="3" s="1"/>
  <c r="I211" i="3"/>
  <c r="K211" i="3" s="1"/>
  <c r="L211" i="3" s="1"/>
  <c r="I210" i="3"/>
  <c r="K210" i="3" s="1"/>
  <c r="L210" i="3" s="1"/>
  <c r="I209" i="3"/>
  <c r="K209" i="3" s="1"/>
  <c r="I208" i="3"/>
  <c r="K208" i="3" s="1"/>
  <c r="I217" i="3"/>
  <c r="K217" i="3" s="1"/>
  <c r="I207" i="3"/>
  <c r="K207" i="3" s="1"/>
  <c r="I206" i="3"/>
  <c r="K206" i="3" s="1"/>
  <c r="I205" i="3"/>
  <c r="K205" i="3" s="1"/>
  <c r="I218" i="3"/>
  <c r="K218" i="3" s="1"/>
  <c r="I216" i="3"/>
  <c r="K216" i="3" s="1"/>
  <c r="I213" i="3"/>
  <c r="K213" i="3" s="1"/>
  <c r="I212" i="3"/>
  <c r="K212" i="3" s="1"/>
  <c r="I203" i="3"/>
  <c r="K203" i="3" s="1"/>
  <c r="I202" i="3"/>
  <c r="K202" i="3" s="1"/>
  <c r="E203" i="3"/>
  <c r="E202" i="3"/>
  <c r="I200" i="3"/>
  <c r="K200" i="3" s="1"/>
  <c r="E200" i="3"/>
  <c r="E199" i="3"/>
  <c r="I197" i="3"/>
  <c r="K197" i="3" s="1"/>
  <c r="E197" i="3"/>
  <c r="E196" i="3"/>
  <c r="I191" i="3"/>
  <c r="K191" i="3" s="1"/>
  <c r="I192" i="3"/>
  <c r="K192" i="3" s="1"/>
  <c r="I193" i="3"/>
  <c r="K193" i="3" s="1"/>
  <c r="I194" i="3"/>
  <c r="K194" i="3" s="1"/>
  <c r="I190" i="3"/>
  <c r="K190" i="3" s="1"/>
  <c r="I189" i="3"/>
  <c r="K189" i="3" s="1"/>
  <c r="E194" i="3"/>
  <c r="E193" i="3"/>
  <c r="E192" i="3"/>
  <c r="E191" i="3"/>
  <c r="E190" i="3"/>
  <c r="E189" i="3"/>
  <c r="F183" i="3"/>
  <c r="F188" i="3"/>
  <c r="I187" i="3"/>
  <c r="K187" i="3" s="1"/>
  <c r="I185" i="3"/>
  <c r="K185" i="3" s="1"/>
  <c r="I184" i="3"/>
  <c r="K184" i="3" s="1"/>
  <c r="E187" i="3"/>
  <c r="E186" i="3"/>
  <c r="E185" i="3"/>
  <c r="E184" i="3"/>
  <c r="E182" i="3"/>
  <c r="E181" i="3"/>
  <c r="E180" i="3"/>
  <c r="E179" i="3"/>
  <c r="E178" i="3"/>
  <c r="E177" i="3"/>
  <c r="E176" i="3"/>
  <c r="E175" i="3"/>
  <c r="E174" i="3"/>
  <c r="E173" i="3"/>
  <c r="E172" i="3"/>
  <c r="I181" i="3"/>
  <c r="K181" i="3" s="1"/>
  <c r="I180" i="3"/>
  <c r="K180" i="3" s="1"/>
  <c r="I182" i="3"/>
  <c r="K182" i="3" s="1"/>
  <c r="I179" i="3"/>
  <c r="K179" i="3" s="1"/>
  <c r="I174" i="3"/>
  <c r="K174" i="3" s="1"/>
  <c r="I175" i="3"/>
  <c r="K175" i="3" s="1"/>
  <c r="I178" i="3"/>
  <c r="K178" i="3" s="1"/>
  <c r="I176" i="3"/>
  <c r="K176" i="3" s="1"/>
  <c r="I173" i="3"/>
  <c r="K173" i="3" s="1"/>
  <c r="I172" i="3"/>
  <c r="K172" i="3" s="1"/>
  <c r="F195" i="3"/>
  <c r="F198" i="3"/>
  <c r="F201" i="3"/>
  <c r="F204" i="3"/>
  <c r="F220" i="3"/>
  <c r="F224" i="3"/>
  <c r="F231" i="3"/>
  <c r="F236" i="3"/>
  <c r="F249" i="3"/>
  <c r="F261" i="3"/>
  <c r="E170" i="3"/>
  <c r="E169" i="3"/>
  <c r="E168" i="3"/>
  <c r="E167" i="3"/>
  <c r="E166" i="3"/>
  <c r="E165" i="3"/>
  <c r="E164" i="3"/>
  <c r="E163" i="3"/>
  <c r="E162" i="3"/>
  <c r="I162" i="3"/>
  <c r="K162" i="3" s="1"/>
  <c r="I165" i="3"/>
  <c r="K165" i="3" s="1"/>
  <c r="I164" i="3"/>
  <c r="K164" i="3" s="1"/>
  <c r="I167" i="3"/>
  <c r="K167" i="3" s="1"/>
  <c r="I168" i="3"/>
  <c r="K168" i="3" s="1"/>
  <c r="I163" i="3"/>
  <c r="K163" i="3" s="1"/>
  <c r="I166" i="3"/>
  <c r="K166" i="3" s="1"/>
  <c r="I160" i="3"/>
  <c r="K160" i="3" s="1"/>
  <c r="I157" i="3"/>
  <c r="K157" i="3" s="1"/>
  <c r="I156" i="3"/>
  <c r="K156" i="3" s="1"/>
  <c r="I154" i="3"/>
  <c r="K154" i="3" s="1"/>
  <c r="I153" i="3"/>
  <c r="K153" i="3" s="1"/>
  <c r="I152" i="3"/>
  <c r="K152" i="3" s="1"/>
  <c r="I151" i="3"/>
  <c r="K151" i="3" s="1"/>
  <c r="I150" i="3"/>
  <c r="K150" i="3" s="1"/>
  <c r="E160" i="3"/>
  <c r="E159" i="3"/>
  <c r="E158" i="3"/>
  <c r="E157" i="3"/>
  <c r="E156" i="3"/>
  <c r="E155" i="3"/>
  <c r="E154" i="3"/>
  <c r="E153" i="3"/>
  <c r="E152" i="3"/>
  <c r="E151" i="3"/>
  <c r="E150" i="3"/>
  <c r="I148" i="3"/>
  <c r="K148" i="3" s="1"/>
  <c r="I146" i="3"/>
  <c r="K146" i="3" s="1"/>
  <c r="I143" i="3"/>
  <c r="K143" i="3" s="1"/>
  <c r="I145" i="3"/>
  <c r="K145" i="3" s="1"/>
  <c r="I144" i="3"/>
  <c r="K144" i="3" s="1"/>
  <c r="I142" i="3"/>
  <c r="K142" i="3" s="1"/>
  <c r="I141" i="3"/>
  <c r="K141" i="3" s="1"/>
  <c r="I140" i="3"/>
  <c r="K140" i="3" s="1"/>
  <c r="I139" i="3"/>
  <c r="K139" i="3" s="1"/>
  <c r="I138" i="3"/>
  <c r="K138" i="3" s="1"/>
  <c r="I147" i="3"/>
  <c r="K147" i="3" s="1"/>
  <c r="E148" i="3"/>
  <c r="E147" i="3"/>
  <c r="E146" i="3"/>
  <c r="E145" i="3"/>
  <c r="E144" i="3"/>
  <c r="E143" i="3"/>
  <c r="E142" i="3"/>
  <c r="E141" i="3"/>
  <c r="E140" i="3"/>
  <c r="E139" i="3"/>
  <c r="E138" i="3"/>
  <c r="I136" i="3"/>
  <c r="K136" i="3" s="1"/>
  <c r="I135" i="3"/>
  <c r="K135" i="3" s="1"/>
  <c r="I134" i="3"/>
  <c r="K134" i="3" s="1"/>
  <c r="I133" i="3"/>
  <c r="K133" i="3" s="1"/>
  <c r="I132" i="3"/>
  <c r="K132" i="3" s="1"/>
  <c r="I130" i="3"/>
  <c r="K130" i="3" s="1"/>
  <c r="I129" i="3"/>
  <c r="K129" i="3" s="1"/>
  <c r="I126" i="3"/>
  <c r="E136" i="3"/>
  <c r="E135" i="3"/>
  <c r="E134" i="3"/>
  <c r="E133" i="3"/>
  <c r="E132" i="3"/>
  <c r="E131" i="3"/>
  <c r="E130" i="3"/>
  <c r="E129" i="3"/>
  <c r="E128" i="3"/>
  <c r="E127" i="3"/>
  <c r="E126" i="3"/>
  <c r="E124" i="3"/>
  <c r="E123" i="3"/>
  <c r="E122" i="3"/>
  <c r="E121" i="3"/>
  <c r="E120" i="3"/>
  <c r="E119" i="3"/>
  <c r="I123" i="3"/>
  <c r="K123" i="3" s="1"/>
  <c r="I122" i="3"/>
  <c r="K122" i="3" s="1"/>
  <c r="I120" i="3"/>
  <c r="K120" i="3" s="1"/>
  <c r="I124" i="3"/>
  <c r="K124" i="3" s="1"/>
  <c r="I119" i="3"/>
  <c r="K119" i="3" s="1"/>
  <c r="I117" i="3"/>
  <c r="K117" i="3" s="1"/>
  <c r="I115" i="3"/>
  <c r="K115" i="3" s="1"/>
  <c r="I116" i="3"/>
  <c r="K116" i="3" s="1"/>
  <c r="I113" i="3"/>
  <c r="K113" i="3" s="1"/>
  <c r="I111" i="3"/>
  <c r="K111" i="3" s="1"/>
  <c r="I112" i="3"/>
  <c r="K112" i="3" s="1"/>
  <c r="E117" i="3"/>
  <c r="E116" i="3"/>
  <c r="E115" i="3"/>
  <c r="E114" i="3"/>
  <c r="E113" i="3"/>
  <c r="E112" i="3"/>
  <c r="E111" i="3"/>
  <c r="I109" i="3"/>
  <c r="K109" i="3" s="1"/>
  <c r="I108" i="3"/>
  <c r="K108" i="3" s="1"/>
  <c r="I107" i="3"/>
  <c r="K107" i="3" s="1"/>
  <c r="I106" i="3"/>
  <c r="K106" i="3" s="1"/>
  <c r="I105" i="3"/>
  <c r="K105" i="3" s="1"/>
  <c r="E109" i="3"/>
  <c r="E108" i="3"/>
  <c r="E107" i="3"/>
  <c r="E106" i="3"/>
  <c r="E105" i="3"/>
  <c r="E94" i="3"/>
  <c r="I102" i="3"/>
  <c r="I101" i="3"/>
  <c r="I100" i="3"/>
  <c r="I96" i="3"/>
  <c r="K96" i="3" s="1"/>
  <c r="I95" i="3"/>
  <c r="K95" i="3" s="1"/>
  <c r="I97" i="3"/>
  <c r="K97" i="3" s="1"/>
  <c r="I94" i="3"/>
  <c r="K94" i="3" s="1"/>
  <c r="E103" i="3"/>
  <c r="E102" i="3"/>
  <c r="E101" i="3"/>
  <c r="E100" i="3"/>
  <c r="E99" i="3"/>
  <c r="E98" i="3"/>
  <c r="E97" i="3"/>
  <c r="E96" i="3"/>
  <c r="E95" i="3"/>
  <c r="E92" i="3"/>
  <c r="E91" i="3"/>
  <c r="E90" i="3"/>
  <c r="I91" i="3"/>
  <c r="K91" i="3" s="1"/>
  <c r="I90" i="3"/>
  <c r="K90" i="3" s="1"/>
  <c r="I88" i="3"/>
  <c r="K88" i="3" s="1"/>
  <c r="I87" i="3"/>
  <c r="K87" i="3" s="1"/>
  <c r="I86" i="3"/>
  <c r="K86" i="3" s="1"/>
  <c r="I85" i="3"/>
  <c r="K85" i="3" s="1"/>
  <c r="E88" i="3"/>
  <c r="E87" i="3"/>
  <c r="E86" i="3"/>
  <c r="E85" i="3"/>
  <c r="I83" i="3"/>
  <c r="K83" i="3" s="1"/>
  <c r="I82" i="3"/>
  <c r="K82" i="3" s="1"/>
  <c r="I81" i="3"/>
  <c r="K81" i="3" s="1"/>
  <c r="I80" i="3"/>
  <c r="K80" i="3" s="1"/>
  <c r="I79" i="3"/>
  <c r="K79" i="3" s="1"/>
  <c r="I78" i="3"/>
  <c r="K78" i="3" s="1"/>
  <c r="E78" i="3"/>
  <c r="E79" i="3"/>
  <c r="E80" i="3"/>
  <c r="E81" i="3"/>
  <c r="E82" i="3"/>
  <c r="E83" i="3"/>
  <c r="F77" i="3"/>
  <c r="E76" i="3"/>
  <c r="E75" i="3"/>
  <c r="E74" i="3"/>
  <c r="E73" i="3"/>
  <c r="E72" i="3"/>
  <c r="E71" i="3"/>
  <c r="E70" i="3"/>
  <c r="E69" i="3"/>
  <c r="I76" i="3"/>
  <c r="K76" i="3" s="1"/>
  <c r="L76" i="3" s="1"/>
  <c r="I74" i="3"/>
  <c r="I72" i="3"/>
  <c r="K72" i="3" s="1"/>
  <c r="I71" i="3"/>
  <c r="K71" i="3" s="1"/>
  <c r="I69" i="3"/>
  <c r="K69" i="3" s="1"/>
  <c r="I70" i="3"/>
  <c r="K70" i="3" s="1"/>
  <c r="F68" i="3"/>
  <c r="E67" i="3"/>
  <c r="E66" i="3"/>
  <c r="E65" i="3"/>
  <c r="E64" i="3"/>
  <c r="E63" i="3"/>
  <c r="E62" i="3"/>
  <c r="E61" i="3"/>
  <c r="E60" i="3"/>
  <c r="E59" i="3"/>
  <c r="I60" i="3"/>
  <c r="K60" i="3" s="1"/>
  <c r="I59" i="3"/>
  <c r="K59" i="3" s="1"/>
  <c r="I63" i="3"/>
  <c r="K63" i="3" s="1"/>
  <c r="I64" i="3"/>
  <c r="K64" i="3" s="1"/>
  <c r="I65" i="3"/>
  <c r="K65" i="3" s="1"/>
  <c r="I67" i="3"/>
  <c r="K67" i="3" s="1"/>
  <c r="I66" i="3"/>
  <c r="K66" i="3" s="1"/>
  <c r="I61" i="3"/>
  <c r="K61" i="3" s="1"/>
  <c r="I54" i="3"/>
  <c r="K54" i="3" s="1"/>
  <c r="I57" i="3"/>
  <c r="K57" i="3" s="1"/>
  <c r="I55" i="3"/>
  <c r="K55" i="3" s="1"/>
  <c r="E57" i="3"/>
  <c r="E56" i="3"/>
  <c r="E55" i="3"/>
  <c r="E54" i="3"/>
  <c r="I52" i="3"/>
  <c r="K52" i="3" s="1"/>
  <c r="I49" i="3"/>
  <c r="K49" i="3" s="1"/>
  <c r="I46" i="3"/>
  <c r="K46" i="3" s="1"/>
  <c r="I45" i="3"/>
  <c r="K45" i="3" s="1"/>
  <c r="I44" i="3"/>
  <c r="K44" i="3" s="1"/>
  <c r="I43" i="3"/>
  <c r="K43" i="3" s="1"/>
  <c r="I42" i="3"/>
  <c r="K42" i="3" s="1"/>
  <c r="E52" i="3"/>
  <c r="E51" i="3"/>
  <c r="E50" i="3"/>
  <c r="E49" i="3"/>
  <c r="E48" i="3"/>
  <c r="E47" i="3"/>
  <c r="E46" i="3"/>
  <c r="E45" i="3"/>
  <c r="E44" i="3"/>
  <c r="E43" i="3"/>
  <c r="E42" i="3"/>
  <c r="F41" i="3"/>
  <c r="E40" i="3"/>
  <c r="E39" i="3"/>
  <c r="E38" i="3"/>
  <c r="E37" i="3"/>
  <c r="E36" i="3"/>
  <c r="E35" i="3"/>
  <c r="E34" i="3"/>
  <c r="E33" i="3"/>
  <c r="F32" i="3"/>
  <c r="E31" i="3"/>
  <c r="E30" i="3"/>
  <c r="E26" i="3"/>
  <c r="E29" i="3"/>
  <c r="E28" i="3"/>
  <c r="E27" i="3"/>
  <c r="E25" i="3"/>
  <c r="E24" i="3"/>
  <c r="E23" i="3"/>
  <c r="I29" i="3"/>
  <c r="I30" i="3"/>
  <c r="K30" i="3" s="1"/>
  <c r="I31" i="3"/>
  <c r="K31" i="3" s="1"/>
  <c r="I33" i="3"/>
  <c r="K33" i="3" s="1"/>
  <c r="I34" i="3"/>
  <c r="K34" i="3" s="1"/>
  <c r="I35" i="3"/>
  <c r="K35" i="3" s="1"/>
  <c r="I36" i="3"/>
  <c r="K36" i="3" s="1"/>
  <c r="I38" i="3"/>
  <c r="K38" i="3" s="1"/>
  <c r="I39" i="3"/>
  <c r="K39" i="3" s="1"/>
  <c r="I40" i="3"/>
  <c r="K40" i="3" s="1"/>
  <c r="I23" i="3"/>
  <c r="K23" i="3" s="1"/>
  <c r="L278" i="3" l="1"/>
  <c r="L279" i="3"/>
  <c r="L274" i="3"/>
  <c r="L269" i="3"/>
  <c r="L208" i="3"/>
  <c r="L271" i="3"/>
  <c r="L272" i="3"/>
  <c r="L270" i="3"/>
  <c r="L273" i="3"/>
  <c r="F271" i="3"/>
  <c r="L265" i="3"/>
  <c r="L266" i="3"/>
  <c r="F270" i="3"/>
  <c r="F272" i="3"/>
  <c r="F273" i="3"/>
  <c r="F274" i="3"/>
  <c r="L263" i="3"/>
  <c r="F263" i="3"/>
  <c r="L238" i="3"/>
  <c r="L255" i="3"/>
  <c r="L260" i="3"/>
  <c r="L257" i="3"/>
  <c r="L254" i="3"/>
  <c r="L253" i="3"/>
  <c r="L250" i="3"/>
  <c r="L258" i="3"/>
  <c r="L251" i="3"/>
  <c r="L252" i="3"/>
  <c r="L256" i="3"/>
  <c r="F262" i="3"/>
  <c r="L244" i="3"/>
  <c r="L248" i="3"/>
  <c r="L247" i="3"/>
  <c r="F238" i="3"/>
  <c r="F246" i="3"/>
  <c r="F254" i="3"/>
  <c r="F245" i="3"/>
  <c r="F257" i="3"/>
  <c r="F259" i="3"/>
  <c r="F256" i="3"/>
  <c r="F241" i="3"/>
  <c r="F250" i="3"/>
  <c r="F258" i="3"/>
  <c r="L242" i="3"/>
  <c r="L237" i="3"/>
  <c r="F252" i="3"/>
  <c r="F260" i="3"/>
  <c r="F244" i="3"/>
  <c r="F253" i="3"/>
  <c r="F237" i="3"/>
  <c r="F251" i="3"/>
  <c r="F255" i="3"/>
  <c r="F248" i="3"/>
  <c r="F239" i="3"/>
  <c r="L243" i="3"/>
  <c r="F247" i="3"/>
  <c r="L245" i="3"/>
  <c r="L246" i="3"/>
  <c r="F243" i="3"/>
  <c r="L239" i="3"/>
  <c r="F242" i="3"/>
  <c r="L240" i="3"/>
  <c r="L241" i="3"/>
  <c r="F240" i="3"/>
  <c r="L230" i="3"/>
  <c r="F235" i="3"/>
  <c r="L234" i="3"/>
  <c r="L235" i="3"/>
  <c r="L232" i="3"/>
  <c r="L229" i="3"/>
  <c r="L227" i="3"/>
  <c r="L225" i="3"/>
  <c r="L226" i="3"/>
  <c r="L228" i="3"/>
  <c r="F232" i="3"/>
  <c r="F233" i="3"/>
  <c r="L209" i="3"/>
  <c r="F234" i="3"/>
  <c r="F223" i="3"/>
  <c r="F226" i="3"/>
  <c r="L222" i="3"/>
  <c r="L221" i="3"/>
  <c r="F227" i="3"/>
  <c r="F228" i="3"/>
  <c r="F229" i="3"/>
  <c r="L223" i="3"/>
  <c r="F230" i="3"/>
  <c r="F225" i="3"/>
  <c r="L212" i="3"/>
  <c r="L213" i="3"/>
  <c r="L207" i="3"/>
  <c r="L219" i="3"/>
  <c r="L216" i="3"/>
  <c r="F209" i="3"/>
  <c r="F218" i="3"/>
  <c r="L205" i="3"/>
  <c r="L206" i="3"/>
  <c r="F213" i="3"/>
  <c r="F217" i="3"/>
  <c r="L217" i="3"/>
  <c r="F207" i="3"/>
  <c r="F216" i="3"/>
  <c r="F210" i="3"/>
  <c r="F219" i="3"/>
  <c r="F211" i="3"/>
  <c r="F221" i="3"/>
  <c r="F212" i="3"/>
  <c r="F222" i="3"/>
  <c r="F206" i="3"/>
  <c r="F214" i="3"/>
  <c r="L218" i="3"/>
  <c r="F205" i="3"/>
  <c r="F215" i="3"/>
  <c r="F208" i="3"/>
  <c r="L215" i="3"/>
  <c r="L202" i="3"/>
  <c r="L203" i="3"/>
  <c r="F203" i="3"/>
  <c r="F199" i="3"/>
  <c r="L200" i="3"/>
  <c r="F202" i="3"/>
  <c r="F193" i="3"/>
  <c r="F200" i="3"/>
  <c r="L189" i="3"/>
  <c r="L197" i="3"/>
  <c r="L194" i="3"/>
  <c r="L193" i="3"/>
  <c r="L191" i="3"/>
  <c r="L192" i="3"/>
  <c r="F196" i="3"/>
  <c r="F197" i="3"/>
  <c r="L190" i="3"/>
  <c r="L178" i="3"/>
  <c r="L185" i="3"/>
  <c r="F189" i="3"/>
  <c r="F191" i="3"/>
  <c r="F190" i="3"/>
  <c r="L187" i="3"/>
  <c r="F192" i="3"/>
  <c r="L184" i="3"/>
  <c r="F194" i="3"/>
  <c r="L172" i="3"/>
  <c r="L180" i="3"/>
  <c r="L174" i="3"/>
  <c r="L176" i="3"/>
  <c r="F184" i="3"/>
  <c r="F185" i="3"/>
  <c r="F186" i="3"/>
  <c r="F187" i="3"/>
  <c r="L182" i="3"/>
  <c r="L179" i="3"/>
  <c r="L173" i="3"/>
  <c r="L181" i="3"/>
  <c r="L175" i="3"/>
  <c r="L162" i="3"/>
  <c r="L168" i="3"/>
  <c r="L42" i="3"/>
  <c r="L163" i="3"/>
  <c r="L43" i="3"/>
  <c r="L44" i="3"/>
  <c r="F44" i="3"/>
  <c r="L167" i="3"/>
  <c r="L165" i="3"/>
  <c r="L164" i="3"/>
  <c r="L166" i="3"/>
  <c r="L151" i="3"/>
  <c r="L154" i="3"/>
  <c r="L150" i="3"/>
  <c r="L156" i="3"/>
  <c r="L157" i="3"/>
  <c r="L160" i="3"/>
  <c r="L152" i="3"/>
  <c r="L153" i="3"/>
  <c r="L145" i="3"/>
  <c r="L142" i="3"/>
  <c r="L144" i="3"/>
  <c r="L147" i="3"/>
  <c r="L138" i="3"/>
  <c r="L146" i="3"/>
  <c r="L139" i="3"/>
  <c r="L148" i="3"/>
  <c r="L140" i="3"/>
  <c r="L141" i="3"/>
  <c r="L133" i="3"/>
  <c r="L129" i="3"/>
  <c r="L119" i="3"/>
  <c r="L115" i="3"/>
  <c r="L130" i="3"/>
  <c r="L136" i="3"/>
  <c r="L123" i="3"/>
  <c r="L132" i="3"/>
  <c r="L134" i="3"/>
  <c r="L135" i="3"/>
  <c r="L116" i="3"/>
  <c r="L112" i="3"/>
  <c r="L124" i="3"/>
  <c r="L122" i="3"/>
  <c r="L117" i="3"/>
  <c r="L111" i="3"/>
  <c r="L113" i="3"/>
  <c r="L120" i="3"/>
  <c r="L108" i="3"/>
  <c r="L107" i="3"/>
  <c r="L109" i="3"/>
  <c r="L105" i="3"/>
  <c r="L106" i="3"/>
  <c r="L95" i="3"/>
  <c r="L97" i="3"/>
  <c r="L96" i="3"/>
  <c r="L94" i="3"/>
  <c r="L91" i="3"/>
  <c r="L90" i="3"/>
  <c r="L85" i="3"/>
  <c r="L87" i="3"/>
  <c r="L88" i="3"/>
  <c r="L86" i="3"/>
  <c r="L70" i="3"/>
  <c r="L82" i="3"/>
  <c r="L59" i="3"/>
  <c r="L78" i="3"/>
  <c r="F69" i="3"/>
  <c r="L81" i="3"/>
  <c r="L63" i="3"/>
  <c r="L72" i="3"/>
  <c r="L83" i="3"/>
  <c r="L61" i="3"/>
  <c r="L67" i="3"/>
  <c r="F80" i="3"/>
  <c r="F74" i="3"/>
  <c r="F79" i="3"/>
  <c r="L60" i="3"/>
  <c r="F75" i="3"/>
  <c r="F76" i="3"/>
  <c r="L69" i="3"/>
  <c r="F83" i="3"/>
  <c r="L71" i="3"/>
  <c r="L66" i="3"/>
  <c r="F70" i="3"/>
  <c r="L79" i="3"/>
  <c r="L65" i="3"/>
  <c r="F71" i="3"/>
  <c r="L80" i="3"/>
  <c r="F72" i="3"/>
  <c r="F82" i="3"/>
  <c r="L64" i="3"/>
  <c r="F73" i="3"/>
  <c r="F81" i="3"/>
  <c r="F78" i="3"/>
  <c r="L57" i="3"/>
  <c r="L36" i="3"/>
  <c r="L55" i="3"/>
  <c r="L54" i="3"/>
  <c r="L34" i="3"/>
  <c r="L35" i="3"/>
  <c r="L38" i="3"/>
  <c r="L49" i="3"/>
  <c r="L52" i="3"/>
  <c r="L39" i="3"/>
  <c r="L46" i="3"/>
  <c r="L31" i="3"/>
  <c r="L45" i="3"/>
  <c r="L33" i="3"/>
  <c r="L40" i="3"/>
  <c r="F51" i="3"/>
  <c r="F33" i="3"/>
  <c r="L30" i="3"/>
  <c r="F35" i="3"/>
  <c r="F47" i="3"/>
  <c r="L23" i="3"/>
  <c r="F34" i="3"/>
  <c r="F50" i="3"/>
  <c r="F36" i="3"/>
  <c r="F49" i="3"/>
  <c r="F52" i="3"/>
  <c r="F37" i="3"/>
  <c r="F43" i="3"/>
  <c r="F38" i="3"/>
  <c r="F46" i="3"/>
  <c r="F45" i="3"/>
  <c r="F39" i="3"/>
  <c r="F40" i="3"/>
  <c r="F48" i="3"/>
  <c r="F42" i="3"/>
  <c r="I20" i="3"/>
  <c r="K20" i="3" s="1"/>
  <c r="I21" i="3"/>
  <c r="K21" i="3" s="1"/>
  <c r="I24" i="3"/>
  <c r="K24" i="3" s="1"/>
  <c r="L24" i="3" s="1"/>
  <c r="I25" i="3"/>
  <c r="K25" i="3" s="1"/>
  <c r="L25" i="3" s="1"/>
  <c r="I26" i="3"/>
  <c r="K26" i="3" s="1"/>
  <c r="L26" i="3" s="1"/>
  <c r="I27" i="3"/>
  <c r="I28" i="3"/>
  <c r="K28" i="3" s="1"/>
  <c r="L28" i="3" s="1"/>
  <c r="F22" i="3"/>
  <c r="F28" i="3" s="1"/>
  <c r="E21" i="3"/>
  <c r="E20" i="3"/>
  <c r="E19" i="3"/>
  <c r="E18" i="3"/>
  <c r="E17" i="3"/>
  <c r="E16" i="3"/>
  <c r="F30" i="3" l="1"/>
  <c r="F26" i="3"/>
  <c r="F29" i="3"/>
  <c r="L21" i="3"/>
  <c r="L20" i="3"/>
  <c r="F27" i="3"/>
  <c r="F24" i="3"/>
  <c r="F31" i="3"/>
  <c r="F23" i="3"/>
  <c r="F25" i="3"/>
  <c r="E11" i="3"/>
  <c r="I12" i="3"/>
  <c r="K12" i="3" s="1"/>
  <c r="I13" i="3"/>
  <c r="I14" i="3"/>
  <c r="K14" i="3" s="1"/>
  <c r="I16" i="3"/>
  <c r="K16" i="3" s="1"/>
  <c r="L16" i="3" s="1"/>
  <c r="I17" i="3"/>
  <c r="K17" i="3" s="1"/>
  <c r="L17" i="3" s="1"/>
  <c r="I18" i="3"/>
  <c r="I19" i="3"/>
  <c r="K19" i="3" s="1"/>
  <c r="L19" i="3" s="1"/>
  <c r="I48" i="3"/>
  <c r="K48" i="3" s="1"/>
  <c r="L48" i="3" s="1"/>
  <c r="K74" i="3"/>
  <c r="L74" i="3" s="1"/>
  <c r="K100" i="3"/>
  <c r="L100" i="3" s="1"/>
  <c r="K101" i="3"/>
  <c r="L101" i="3" s="1"/>
  <c r="K102" i="3"/>
  <c r="L102" i="3" s="1"/>
  <c r="I103" i="3"/>
  <c r="K103" i="3" s="1"/>
  <c r="L103" i="3" s="1"/>
  <c r="I127" i="3"/>
  <c r="K127" i="3" s="1"/>
  <c r="L127" i="3" s="1"/>
  <c r="I128" i="3"/>
  <c r="K128" i="3" s="1"/>
  <c r="L128" i="3" s="1"/>
  <c r="K126" i="3"/>
  <c r="L126" i="3" s="1"/>
  <c r="I11" i="3"/>
  <c r="K11" i="3" s="1"/>
  <c r="F15" i="3" l="1"/>
  <c r="E12" i="3"/>
  <c r="E14" i="3"/>
  <c r="E13" i="3"/>
  <c r="F17" i="3" l="1"/>
  <c r="F18" i="3"/>
  <c r="F21" i="3"/>
  <c r="F20" i="3"/>
  <c r="F19" i="3"/>
  <c r="F16" i="3"/>
  <c r="F275" i="3"/>
  <c r="F276" i="3" s="1"/>
  <c r="F264" i="3"/>
  <c r="F279" i="3" l="1"/>
  <c r="F280" i="3"/>
  <c r="F281" i="3"/>
  <c r="F265" i="3"/>
  <c r="F266" i="3"/>
  <c r="F267" i="3"/>
  <c r="F10" i="3"/>
  <c r="F53" i="3"/>
  <c r="F58" i="3"/>
  <c r="F66" i="3" s="1"/>
  <c r="F84" i="3"/>
  <c r="F89" i="3"/>
  <c r="F93" i="3"/>
  <c r="F104" i="3"/>
  <c r="F110" i="3"/>
  <c r="F118" i="3"/>
  <c r="F125" i="3"/>
  <c r="F137" i="3"/>
  <c r="F149" i="3"/>
  <c r="F161" i="3"/>
  <c r="F171" i="3"/>
  <c r="F172" i="3" l="1"/>
  <c r="F176" i="3"/>
  <c r="F177" i="3"/>
  <c r="F178" i="3"/>
  <c r="F180" i="3"/>
  <c r="F182" i="3"/>
  <c r="F173" i="3"/>
  <c r="F175" i="3"/>
  <c r="F174" i="3"/>
  <c r="F181" i="3"/>
  <c r="F179" i="3"/>
  <c r="F170" i="3"/>
  <c r="F167" i="3"/>
  <c r="F168" i="3"/>
  <c r="F169" i="3"/>
  <c r="F163" i="3"/>
  <c r="F165" i="3"/>
  <c r="F166" i="3"/>
  <c r="F164" i="3"/>
  <c r="F162" i="3"/>
  <c r="F155" i="3"/>
  <c r="F156" i="3"/>
  <c r="F150" i="3"/>
  <c r="F158" i="3"/>
  <c r="F154" i="3"/>
  <c r="F159" i="3"/>
  <c r="F160" i="3"/>
  <c r="F153" i="3"/>
  <c r="F157" i="3"/>
  <c r="F152" i="3"/>
  <c r="F151" i="3"/>
  <c r="F143" i="3"/>
  <c r="F139" i="3"/>
  <c r="F141" i="3"/>
  <c r="F144" i="3"/>
  <c r="F145" i="3"/>
  <c r="F146" i="3"/>
  <c r="F138" i="3"/>
  <c r="F147" i="3"/>
  <c r="F148" i="3"/>
  <c r="F142" i="3"/>
  <c r="F140" i="3"/>
  <c r="F120" i="3"/>
  <c r="F119" i="3"/>
  <c r="F121" i="3"/>
  <c r="F124" i="3"/>
  <c r="F122" i="3"/>
  <c r="F123" i="3"/>
  <c r="F130" i="3"/>
  <c r="F131" i="3"/>
  <c r="F132" i="3"/>
  <c r="F134" i="3"/>
  <c r="F126" i="3"/>
  <c r="F127" i="3"/>
  <c r="F129" i="3"/>
  <c r="F128" i="3"/>
  <c r="F133" i="3"/>
  <c r="F135" i="3"/>
  <c r="F136" i="3"/>
  <c r="F111" i="3"/>
  <c r="F112" i="3"/>
  <c r="F113" i="3"/>
  <c r="F114" i="3"/>
  <c r="F115" i="3"/>
  <c r="F116" i="3"/>
  <c r="F117" i="3"/>
  <c r="F108" i="3"/>
  <c r="F106" i="3"/>
  <c r="F107" i="3"/>
  <c r="F109" i="3"/>
  <c r="F105" i="3"/>
  <c r="F101" i="3"/>
  <c r="F97" i="3"/>
  <c r="F96" i="3"/>
  <c r="F99" i="3"/>
  <c r="F103" i="3"/>
  <c r="F100" i="3"/>
  <c r="F102" i="3"/>
  <c r="F94" i="3"/>
  <c r="F98" i="3"/>
  <c r="F95" i="3"/>
  <c r="F91" i="3"/>
  <c r="F92" i="3"/>
  <c r="F90" i="3"/>
  <c r="F88" i="3"/>
  <c r="F85" i="3"/>
  <c r="F86" i="3"/>
  <c r="F87" i="3"/>
  <c r="F62" i="3"/>
  <c r="F61" i="3"/>
  <c r="F64" i="3"/>
  <c r="F65" i="3"/>
  <c r="F59" i="3"/>
  <c r="F60" i="3"/>
  <c r="F67" i="3"/>
  <c r="F63" i="3"/>
  <c r="F54" i="3"/>
  <c r="F55" i="3"/>
  <c r="F56" i="3"/>
  <c r="F57" i="3"/>
  <c r="F11" i="3"/>
  <c r="F12" i="3"/>
  <c r="F14" i="3"/>
  <c r="F13" i="3"/>
  <c r="E14" i="5"/>
  <c r="G14" i="5" s="1"/>
  <c r="G6" i="5" s="1"/>
  <c r="H6" i="5" s="1"/>
  <c r="G23" i="5"/>
  <c r="G22" i="5"/>
  <c r="G16" i="5"/>
  <c r="G8" i="5" s="1"/>
  <c r="H8" i="5" s="1"/>
  <c r="E15" i="5"/>
  <c r="G15" i="5" s="1"/>
  <c r="G7" i="5" s="1"/>
  <c r="H7" i="5" s="1"/>
  <c r="E17" i="5"/>
  <c r="G17" i="5" s="1"/>
  <c r="G9" i="5" s="1"/>
  <c r="H9" i="5" s="1"/>
  <c r="F8" i="5"/>
  <c r="F9" i="5"/>
  <c r="F7" i="5"/>
  <c r="F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co01912l</author>
    <author>ICM</author>
  </authors>
  <commentList>
    <comment ref="A1" authorId="0" shapeId="0" xr:uid="{4E8DF4C6-2060-4C59-9E14-BCF9333A2155}">
      <text>
        <r>
          <rPr>
            <b/>
            <sz val="11"/>
            <color indexed="12"/>
            <rFont val="Arial"/>
            <family val="2"/>
          </rPr>
          <t>NOTA 1:</t>
        </r>
        <r>
          <rPr>
            <sz val="11"/>
            <color indexed="81"/>
            <rFont val="Arial"/>
            <family val="2"/>
          </rPr>
          <t xml:space="preserve">
Nombre comercial de la mezcla o sustancia, tal y como aparece en las fichas de seguridad o fichas técnicas aportadas, así como en albaranes o facturas</t>
        </r>
        <r>
          <rPr>
            <sz val="8"/>
            <color indexed="81"/>
            <rFont val="Tahoma"/>
            <family val="2"/>
          </rPr>
          <t xml:space="preserve">
</t>
        </r>
      </text>
    </comment>
    <comment ref="B1" authorId="0" shapeId="0" xr:uid="{52F278C1-6FA1-4358-9AF1-A5B947F4BA1E}">
      <text>
        <r>
          <rPr>
            <b/>
            <sz val="11"/>
            <color indexed="12"/>
            <rFont val="Arial"/>
            <family val="2"/>
          </rPr>
          <t>NOTA 2:</t>
        </r>
        <r>
          <rPr>
            <b/>
            <sz val="11"/>
            <color indexed="81"/>
            <rFont val="Arial"/>
            <family val="2"/>
          </rPr>
          <t xml:space="preserve">
</t>
        </r>
        <r>
          <rPr>
            <sz val="11"/>
            <color indexed="81"/>
            <rFont val="Arial"/>
            <family val="2"/>
          </rPr>
          <t xml:space="preserve">Breve descripción del tipo de mezcla o sustancia y su uso
</t>
        </r>
      </text>
    </comment>
    <comment ref="C1" authorId="1" shapeId="0" xr:uid="{5AD25EF7-EDD9-45DA-8C02-5D65DBBE7E0B}">
      <text>
        <r>
          <rPr>
            <b/>
            <sz val="11"/>
            <color indexed="12"/>
            <rFont val="Arial"/>
            <family val="2"/>
          </rPr>
          <t>NOTA 3</t>
        </r>
        <r>
          <rPr>
            <b/>
            <sz val="11"/>
            <color indexed="81"/>
            <rFont val="Arial"/>
            <family val="2"/>
          </rPr>
          <t xml:space="preserve">
</t>
        </r>
        <r>
          <rPr>
            <sz val="11"/>
            <color indexed="81"/>
            <rFont val="Arial"/>
            <family val="2"/>
          </rPr>
          <t>Cantidad de stock inicial de la mezcla o sustancia al inicio del año para el que se realiza el balance.</t>
        </r>
      </text>
    </comment>
    <comment ref="D1" authorId="1" shapeId="0" xr:uid="{0B3704DC-7DA6-43F4-A55D-60808C26F2A6}">
      <text>
        <r>
          <rPr>
            <b/>
            <sz val="11"/>
            <color indexed="12"/>
            <rFont val="Arial"/>
            <family val="2"/>
          </rPr>
          <t>NOTA 4</t>
        </r>
        <r>
          <rPr>
            <sz val="11"/>
            <color indexed="81"/>
            <rFont val="Arial"/>
            <family val="2"/>
          </rPr>
          <t xml:space="preserve">
Cantidad de la mezcla o sustancia comprada en el año para el que se realiza el balance.</t>
        </r>
      </text>
    </comment>
    <comment ref="E1" authorId="0" shapeId="0" xr:uid="{CE5BFF3F-50EF-4BDB-AF42-1F8727E358B2}">
      <text>
        <r>
          <rPr>
            <b/>
            <sz val="11"/>
            <color indexed="12"/>
            <rFont val="Arial"/>
            <family val="2"/>
          </rPr>
          <t>NOTA 5</t>
        </r>
        <r>
          <rPr>
            <sz val="11"/>
            <color indexed="81"/>
            <rFont val="Arial"/>
            <family val="2"/>
          </rPr>
          <t xml:space="preserve">
Cantidad de la mezcla o sustancia </t>
        </r>
        <r>
          <rPr>
            <b/>
            <u/>
            <sz val="11"/>
            <color indexed="81"/>
            <rFont val="Arial"/>
            <family val="2"/>
          </rPr>
          <t>recuperada</t>
        </r>
        <r>
          <rPr>
            <b/>
            <sz val="11"/>
            <color indexed="81"/>
            <rFont val="Arial"/>
            <family val="2"/>
          </rPr>
          <t xml:space="preserve"> proveniente de otros años y/o actividades</t>
        </r>
        <r>
          <rPr>
            <sz val="11"/>
            <color indexed="81"/>
            <rFont val="Arial"/>
            <family val="2"/>
          </rPr>
          <t xml:space="preserve">, es decir, de la corriente O8 de otro/s PGD/s, en su caso.
</t>
        </r>
      </text>
    </comment>
    <comment ref="F1" authorId="1" shapeId="0" xr:uid="{A2CF2E77-F3E0-481F-8AB4-8CE7F36A91F1}">
      <text>
        <r>
          <rPr>
            <b/>
            <sz val="11"/>
            <color indexed="12"/>
            <rFont val="Arial"/>
            <family val="2"/>
          </rPr>
          <t>NOTA 6</t>
        </r>
        <r>
          <rPr>
            <b/>
            <sz val="11"/>
            <color indexed="81"/>
            <rFont val="Arial"/>
            <family val="2"/>
          </rPr>
          <t xml:space="preserve">
</t>
        </r>
        <r>
          <rPr>
            <sz val="11"/>
            <color indexed="81"/>
            <rFont val="Arial"/>
            <family val="2"/>
          </rPr>
          <t>Cantidad de stock final de la mezcla o sustancia al final del año para el que se realiza el PGD.</t>
        </r>
      </text>
    </comment>
    <comment ref="G1" authorId="1" shapeId="0" xr:uid="{E0359535-DC8A-4F47-B2AE-32E3B0501786}">
      <text>
        <r>
          <rPr>
            <b/>
            <sz val="11"/>
            <color indexed="12"/>
            <rFont val="Arial"/>
            <family val="2"/>
          </rPr>
          <t>NOTA 7</t>
        </r>
        <r>
          <rPr>
            <b/>
            <sz val="11"/>
            <color indexed="81"/>
            <rFont val="Arial"/>
            <family val="2"/>
          </rPr>
          <t xml:space="preserve">
</t>
        </r>
        <r>
          <rPr>
            <sz val="11"/>
            <color indexed="81"/>
            <rFont val="Arial"/>
            <family val="2"/>
          </rPr>
          <t>Marcar con una "X" cuando la cantidad de mezcla o sustancia se encuentre en litros. En el caso de disponer de las cantidades del producto en kilos, no rellenar esta columna.</t>
        </r>
      </text>
    </comment>
    <comment ref="H1" authorId="1" shapeId="0" xr:uid="{D8A4D78E-A3E0-4EA8-8058-F92EAD38997E}">
      <text>
        <r>
          <rPr>
            <b/>
            <sz val="11"/>
            <color indexed="12"/>
            <rFont val="Arial"/>
            <family val="2"/>
          </rPr>
          <t>NOTA 8</t>
        </r>
        <r>
          <rPr>
            <b/>
            <sz val="10"/>
            <color indexed="81"/>
            <rFont val="Arial"/>
            <family val="2"/>
          </rPr>
          <t xml:space="preserve">
</t>
        </r>
        <r>
          <rPr>
            <sz val="11"/>
            <color indexed="81"/>
            <rFont val="Arial"/>
            <family val="2"/>
          </rPr>
          <t>Esta columna no debe rellenarse, el cálculo de la cantidad consumida se realiza de manera automática. Asimismo, se identifica la unidad utilizada en el cálculo (kg ó L).</t>
        </r>
      </text>
    </comment>
    <comment ref="J1" authorId="1" shapeId="0" xr:uid="{55E768C0-41A8-4667-B9DD-7A1D7BE9561C}">
      <text>
        <r>
          <rPr>
            <b/>
            <sz val="11"/>
            <color indexed="12"/>
            <rFont val="Arial"/>
            <family val="2"/>
          </rPr>
          <t xml:space="preserve">NOTA 9
</t>
        </r>
        <r>
          <rPr>
            <sz val="11"/>
            <color indexed="81"/>
            <rFont val="Arial"/>
            <family val="2"/>
          </rPr>
          <t>Dato de densidad de la mezcla o sustancia según la Ficha de Seguridad (FDS) o Ficha Técnica (FT).</t>
        </r>
      </text>
    </comment>
    <comment ref="K1" authorId="0" shapeId="0" xr:uid="{B1BC20E3-762E-420E-8942-6FCEA3DB2931}">
      <text>
        <r>
          <rPr>
            <b/>
            <sz val="11"/>
            <color indexed="12"/>
            <rFont val="Arial"/>
            <family val="2"/>
          </rPr>
          <t>NOTA 10</t>
        </r>
        <r>
          <rPr>
            <sz val="10"/>
            <color indexed="81"/>
            <rFont val="Arial"/>
            <family val="2"/>
          </rPr>
          <t xml:space="preserve">
</t>
        </r>
        <r>
          <rPr>
            <sz val="11"/>
            <color indexed="81"/>
            <rFont val="Arial"/>
            <family val="2"/>
          </rPr>
          <t xml:space="preserve">En este apartado se deberá rellenar </t>
        </r>
        <r>
          <rPr>
            <b/>
            <sz val="11"/>
            <color indexed="81"/>
            <rFont val="Arial"/>
            <family val="2"/>
          </rPr>
          <t>SÓLO uno de los dos campos: o bien (% DISOLVENTE) o bien (g/l COV), dejando vacío el otro.</t>
        </r>
        <r>
          <rPr>
            <sz val="10"/>
            <color indexed="81"/>
            <rFont val="Arial"/>
            <family val="2"/>
          </rPr>
          <t xml:space="preserve">
En caso de rellenar los dos campos, aparecerá en la columna denominada "Kg Disolvente" el texto "REVISAR".
Si se disponen de los dos datos, se utilizará  el dato de g/l . Cuando el dato se presente en forma de horquilla porcentual, se deberá tomar el valor superior de la horquilla de cada compuesto. En el caso de que la suma de porcentajes diera un valor superior al 100%, se utilizará el 100%.</t>
        </r>
        <r>
          <rPr>
            <sz val="8"/>
            <color indexed="81"/>
            <rFont val="Tahoma"/>
            <family val="2"/>
          </rPr>
          <t xml:space="preserve">
</t>
        </r>
      </text>
    </comment>
    <comment ref="M1" authorId="1" shapeId="0" xr:uid="{4848E96C-EF5C-4398-9E6C-A5FB03E3886A}">
      <text>
        <r>
          <rPr>
            <b/>
            <sz val="11"/>
            <color indexed="12"/>
            <rFont val="Arial"/>
            <family val="2"/>
          </rPr>
          <t>NOTA 11</t>
        </r>
        <r>
          <rPr>
            <b/>
            <sz val="11"/>
            <color indexed="81"/>
            <rFont val="Arial"/>
            <family val="2"/>
          </rPr>
          <t xml:space="preserve">
</t>
        </r>
        <r>
          <rPr>
            <sz val="11"/>
            <color indexed="81"/>
            <rFont val="Arial"/>
            <family val="2"/>
          </rPr>
          <t xml:space="preserve">Esta columna no debe rellenarse, el cálculo se realiza de manera automática. La suma final será el valor de la corriente I1.
</t>
        </r>
      </text>
    </comment>
    <comment ref="Q1" authorId="1" shapeId="0" xr:uid="{D07F4D86-71B7-4096-BB66-FF67FECDAF89}">
      <text>
        <r>
          <rPr>
            <b/>
            <sz val="10"/>
            <color indexed="12"/>
            <rFont val="Arial"/>
            <family val="2"/>
          </rPr>
          <t>NOTA 13</t>
        </r>
        <r>
          <rPr>
            <b/>
            <sz val="10"/>
            <color indexed="81"/>
            <rFont val="Arial"/>
            <family val="2"/>
          </rPr>
          <t xml:space="preserve">
</t>
        </r>
        <r>
          <rPr>
            <sz val="11"/>
            <color indexed="81"/>
            <rFont val="Arial"/>
            <family val="2"/>
          </rPr>
          <t>En esta columna se muestran algunas indicaciones para la correcta cumplimentación de la hoja de cálculo.</t>
        </r>
      </text>
    </comment>
    <comment ref="K2" authorId="1" shapeId="0" xr:uid="{FAE964FF-5C03-4FF1-9817-6BD91FBDCE4F}">
      <text>
        <r>
          <rPr>
            <b/>
            <sz val="11"/>
            <color indexed="12"/>
            <rFont val="Arial"/>
            <family val="2"/>
          </rPr>
          <t xml:space="preserve">NOTA 10
</t>
        </r>
        <r>
          <rPr>
            <sz val="11"/>
            <color indexed="81"/>
            <rFont val="Arial"/>
            <family val="2"/>
          </rPr>
          <t xml:space="preserve">En este apartado se deberá rellenar </t>
        </r>
        <r>
          <rPr>
            <b/>
            <sz val="11"/>
            <color indexed="81"/>
            <rFont val="Arial"/>
            <family val="2"/>
          </rPr>
          <t>SÓLO uno de los dos campos: o bien (% DISOLVENTE) o bien (g/l COV), dejando vacío el otro.</t>
        </r>
        <r>
          <rPr>
            <sz val="11"/>
            <color indexed="81"/>
            <rFont val="Arial"/>
            <family val="2"/>
          </rPr>
          <t xml:space="preserve">
</t>
        </r>
        <r>
          <rPr>
            <sz val="10"/>
            <color indexed="81"/>
            <rFont val="Arial"/>
            <family val="2"/>
          </rPr>
          <t>En caso de rellenar los dos campos, aparecerá en la columna denominada "Kg Disolvente" el texto "REVISAR".
Si se disponen de los dos datos, se utilizará  el dato de g/l . Cuando el dato se presente en forma de horquilla porcentual, se deberá tomar el valor superior de la horquilla de cada compuesto. En el caso de que la suma de porcentajes diera un valor superior al 100%, se utilizará el 100%.</t>
        </r>
        <r>
          <rPr>
            <b/>
            <sz val="11"/>
            <color indexed="12"/>
            <rFont val="Arial"/>
            <family val="2"/>
          </rPr>
          <t xml:space="preserve">
</t>
        </r>
      </text>
    </comment>
    <comment ref="L2" authorId="1" shapeId="0" xr:uid="{B6EFEFEE-13A9-4473-A342-00624CBD0052}">
      <text>
        <r>
          <rPr>
            <b/>
            <sz val="11"/>
            <color indexed="12"/>
            <rFont val="Arial"/>
            <family val="2"/>
          </rPr>
          <t>NOTA 10</t>
        </r>
        <r>
          <rPr>
            <sz val="11"/>
            <color indexed="81"/>
            <rFont val="Arial"/>
            <family val="2"/>
          </rPr>
          <t xml:space="preserve">
En este apartado se deberá rellenar </t>
        </r>
        <r>
          <rPr>
            <b/>
            <sz val="11"/>
            <color indexed="81"/>
            <rFont val="Arial"/>
            <family val="2"/>
          </rPr>
          <t>SÓLO uno de los dos campos: o bien (% DISOLVENTE) o bien (g/l COV), dejando vacío el otro.</t>
        </r>
        <r>
          <rPr>
            <sz val="11"/>
            <color indexed="81"/>
            <rFont val="Arial"/>
            <family val="2"/>
          </rPr>
          <t xml:space="preserve">
</t>
        </r>
        <r>
          <rPr>
            <sz val="10"/>
            <color indexed="81"/>
            <rFont val="Arial"/>
            <family val="2"/>
          </rPr>
          <t>En caso de rellenar los dos campos, aparecerá en la columna denominada "Kg Disolvente" el texto "REVISAR".
Si se disponen de los dos datos, se utilizará  el dato de g/l . Cuando el dato se presente en forma de horquilla porcentual, se deberá tomar el valor superior de la horquilla de cada compuesto. En el caso de que la suma de porcentajes diera un valor superior al 100%, se utilizará el 100%.</t>
        </r>
        <r>
          <rPr>
            <sz val="11"/>
            <color indexed="81"/>
            <rFont val="Arial"/>
            <family val="2"/>
          </rPr>
          <t xml:space="preserve">
</t>
        </r>
      </text>
    </comment>
    <comment ref="N2" authorId="0" shapeId="0" xr:uid="{40616485-64AB-4851-BDA5-3E0DFAEA6A5E}">
      <text>
        <r>
          <rPr>
            <b/>
            <sz val="11"/>
            <color indexed="12"/>
            <rFont val="Arial"/>
            <family val="2"/>
          </rPr>
          <t>NOTA 12.1</t>
        </r>
        <r>
          <rPr>
            <sz val="11"/>
            <color indexed="81"/>
            <rFont val="Arial"/>
            <family val="2"/>
          </rPr>
          <t xml:space="preserve">
Elegir del desplegable la opción que corresponda. Es obligatorio adjuntar las fichas de seguridad, fichas técnicas o documentos del proveedor que se hayan utilizado para obtener los datos de contenido de disolventes en las sustancias o mezclas. 
En la guía que acompaña a esta tabla se indica el contenido necesario de las FDS.
En el caso de consulta directa al proveedor se guardará registro de la consulta y se remitirá junto con las fichas de seguridad.</t>
        </r>
        <r>
          <rPr>
            <b/>
            <sz val="8"/>
            <color indexed="81"/>
            <rFont val="Tahoma"/>
            <family val="2"/>
          </rPr>
          <t xml:space="preserve">
</t>
        </r>
        <r>
          <rPr>
            <sz val="8"/>
            <color indexed="81"/>
            <rFont val="Tahoma"/>
            <family val="2"/>
          </rPr>
          <t xml:space="preserve">
</t>
        </r>
      </text>
    </comment>
    <comment ref="O2" authorId="0" shapeId="0" xr:uid="{0FED4F1B-1AFA-40B4-8510-B55E83138E41}">
      <text>
        <r>
          <rPr>
            <b/>
            <sz val="11"/>
            <color indexed="12"/>
            <rFont val="Arial"/>
            <family val="2"/>
          </rPr>
          <t>NOTA 12.2</t>
        </r>
        <r>
          <rPr>
            <sz val="11"/>
            <color indexed="81"/>
            <rFont val="Arial"/>
            <family val="2"/>
          </rPr>
          <t xml:space="preserve">
Indicar si se adjuntan las fichas junto con la tabla de consumo. Si dichas fichas ya se remitieron en años anteriores y no se ha producido ninguna variación en la composición de los productos empleados, no será necesario remitirlas de nuevo. Sólo será necesario remitir la información relativa a nuevos productos o cuando haya habido cambios en los existentes.</t>
        </r>
      </text>
    </comment>
    <comment ref="P2" authorId="0" shapeId="0" xr:uid="{4CE0115C-5DC5-4EB2-AE40-883580D67C6B}">
      <text>
        <r>
          <rPr>
            <b/>
            <sz val="11"/>
            <color indexed="12"/>
            <rFont val="Arial"/>
            <family val="2"/>
          </rPr>
          <t>NOTA 12.3</t>
        </r>
        <r>
          <rPr>
            <sz val="11"/>
            <color indexed="81"/>
            <rFont val="Arial"/>
            <family val="2"/>
          </rPr>
          <t xml:space="preserve">
Se marcará cuándo las sustancias o mezclas utilizadas tengan frases de peligro del artículo 5 del RD 117/2003: R45, R46, R49, R60, R61, H340, H350, H350i, H360D ó H360F o si contienen sustancias halogenadas con frases R40, R68, H341 ó H351.
Este dato aparece en el apartado de composición/identificación de sustancias peligrosas de las fichas de seguridad. En estos casos es necesario considerar únicamente las frases de riesgo asociadas a disolventes orgánicos.</t>
        </r>
        <r>
          <rPr>
            <b/>
            <sz val="8"/>
            <color indexed="81"/>
            <rFont val="Tahoma"/>
            <family val="2"/>
          </rPr>
          <t xml:space="preserve">
</t>
        </r>
        <r>
          <rPr>
            <sz val="8"/>
            <color indexed="81"/>
            <rFont val="Tahoma"/>
            <family val="2"/>
          </rPr>
          <t xml:space="preserve">
</t>
        </r>
      </text>
    </comment>
  </commentList>
</comments>
</file>

<file path=xl/sharedStrings.xml><?xml version="1.0" encoding="utf-8"?>
<sst xmlns="http://schemas.openxmlformats.org/spreadsheetml/2006/main" count="1022" uniqueCount="360">
  <si>
    <t>Concentración (mg/Nm3)</t>
  </si>
  <si>
    <t>Caudal (Nm3/h)</t>
  </si>
  <si>
    <t xml:space="preserve">Horas trabajadas (h) </t>
  </si>
  <si>
    <t>Kg de C</t>
  </si>
  <si>
    <t>Kg/año</t>
  </si>
  <si>
    <t>Nombre del foco</t>
  </si>
  <si>
    <t>Nº foco</t>
  </si>
  <si>
    <t>Compuesto</t>
  </si>
  <si>
    <t>Kg de C/             Kg de disolvente</t>
  </si>
  <si>
    <t>I1 (Kg de disolvente)</t>
  </si>
  <si>
    <t>I1            (Kg de C)</t>
  </si>
  <si>
    <t>Kg de disolvente</t>
  </si>
  <si>
    <t>Tipo de disolvente</t>
  </si>
  <si>
    <t>Las celdas sombreadas en amarillo son calculadas automáticamente a partir de los valores de las otras hojas del presente libro de cálculo</t>
  </si>
  <si>
    <t>acetato de etilo</t>
  </si>
  <si>
    <t>tolueno</t>
  </si>
  <si>
    <t>Disolvente limpieza A</t>
  </si>
  <si>
    <t>Pintura al disolvente</t>
  </si>
  <si>
    <t>% másico disolvente</t>
  </si>
  <si>
    <t>acetato de metilo</t>
  </si>
  <si>
    <t>acetato de metoxi</t>
  </si>
  <si>
    <t>Empresa que utiliza 5000 Kg pintura con un contenido de acetato de etilo del 36% y 2000 Kg de un disolvente de limpieza que contiene un 40% de tolueno</t>
  </si>
  <si>
    <t>Fórmula química</t>
  </si>
  <si>
    <r>
      <t>CH</t>
    </r>
    <r>
      <rPr>
        <vertAlign val="subscript"/>
        <sz val="10"/>
        <rFont val="Arial"/>
        <family val="2"/>
      </rPr>
      <t>3</t>
    </r>
    <r>
      <rPr>
        <sz val="10"/>
        <rFont val="Arial"/>
        <family val="2"/>
      </rPr>
      <t>COOCH2-CH3</t>
    </r>
  </si>
  <si>
    <t>Nº de carbonos</t>
  </si>
  <si>
    <t>Para el cálculo de los Kg de C/Kg de disolvente, actuaremos del siguiente modo. El dato se puede obtener directamente de la ficha de seguridad</t>
  </si>
  <si>
    <r>
      <t>C</t>
    </r>
    <r>
      <rPr>
        <vertAlign val="subscript"/>
        <sz val="10"/>
        <rFont val="Arial"/>
        <family val="2"/>
      </rPr>
      <t>6</t>
    </r>
    <r>
      <rPr>
        <sz val="10"/>
        <rFont val="Arial"/>
        <family val="2"/>
      </rPr>
      <t>H</t>
    </r>
    <r>
      <rPr>
        <vertAlign val="subscript"/>
        <sz val="10"/>
        <rFont val="Arial"/>
        <family val="2"/>
      </rPr>
      <t>5</t>
    </r>
    <r>
      <rPr>
        <sz val="10"/>
        <rFont val="Arial"/>
        <family val="2"/>
      </rPr>
      <t>CH</t>
    </r>
    <r>
      <rPr>
        <vertAlign val="subscript"/>
        <sz val="10"/>
        <rFont val="Arial"/>
        <family val="2"/>
      </rPr>
      <t>3</t>
    </r>
  </si>
  <si>
    <r>
      <t>CH</t>
    </r>
    <r>
      <rPr>
        <vertAlign val="subscript"/>
        <sz val="10"/>
        <rFont val="Arial"/>
        <family val="2"/>
      </rPr>
      <t>3</t>
    </r>
    <r>
      <rPr>
        <sz val="10"/>
        <rFont val="Arial"/>
        <family val="2"/>
      </rPr>
      <t>COO-CH3</t>
    </r>
  </si>
  <si>
    <r>
      <t>C</t>
    </r>
    <r>
      <rPr>
        <vertAlign val="subscript"/>
        <sz val="10"/>
        <rFont val="Arial"/>
        <family val="2"/>
      </rPr>
      <t>5</t>
    </r>
    <r>
      <rPr>
        <sz val="10"/>
        <rFont val="Arial"/>
        <family val="2"/>
      </rPr>
      <t>H</t>
    </r>
    <r>
      <rPr>
        <vertAlign val="subscript"/>
        <sz val="10"/>
        <rFont val="Arial"/>
        <family val="2"/>
      </rPr>
      <t>12</t>
    </r>
    <r>
      <rPr>
        <sz val="10"/>
        <rFont val="Arial"/>
        <family val="2"/>
      </rPr>
      <t>O</t>
    </r>
    <r>
      <rPr>
        <vertAlign val="subscript"/>
        <sz val="10"/>
        <rFont val="Arial"/>
        <family val="2"/>
      </rPr>
      <t>3</t>
    </r>
  </si>
  <si>
    <t>Se introducirán los datos de las mediciones más recientes, de la forma que se indica en el ejemplo</t>
  </si>
  <si>
    <t>Aspiración cabina</t>
  </si>
  <si>
    <t>Limpieza ejes</t>
  </si>
  <si>
    <t>Cálculo I1: cantidad de disolventes orgánicos puros o contenidos en preparados utilizados como materia prima en el proceso en el año</t>
  </si>
  <si>
    <t>Cálculo O1: Emisiones en gases residuales</t>
  </si>
  <si>
    <t>Materia prima</t>
  </si>
  <si>
    <t>Disolvente (1)</t>
  </si>
  <si>
    <t>un 40% de acetato de metoxipropilo y un 20% de acetato de metilo</t>
  </si>
  <si>
    <t>Peso molecular</t>
  </si>
  <si>
    <t>Peso Carbono</t>
  </si>
  <si>
    <t>Empresa:EDERFIL BECKER, KOOP.E.</t>
  </si>
  <si>
    <t>Centro: Alegia</t>
  </si>
  <si>
    <t>Peso molecular medio  disolventes emitidos por foco</t>
  </si>
  <si>
    <t>Número de carbonos meido</t>
  </si>
  <si>
    <r>
      <rPr>
        <vertAlign val="superscript"/>
        <sz val="9"/>
        <rFont val="Museo Sans 300"/>
        <family val="3"/>
      </rPr>
      <t xml:space="preserve">(2) </t>
    </r>
    <r>
      <rPr>
        <sz val="9"/>
        <rFont val="Museo Sans 300"/>
        <family val="3"/>
      </rPr>
      <t>% Másico de disolvente: Contenido de disolvente en la materia prima obtenida de la ficha de seguridad. En caso de que el contenido de disolvente se exprese como un intervalo se tomará como cierto el valor medio de dicho intervalo</t>
    </r>
  </si>
  <si>
    <r>
      <rPr>
        <vertAlign val="superscript"/>
        <sz val="9"/>
        <rFont val="Museo Sans 300"/>
        <family val="3"/>
      </rPr>
      <t xml:space="preserve">(3) </t>
    </r>
    <r>
      <rPr>
        <sz val="9"/>
        <rFont val="Museo Sans 300"/>
        <family val="3"/>
      </rPr>
      <t>Kg C/Kg disolvente: A partir de la fórmula molecular del disolvente y de su peso molecular se obtiene la relación entre peso de carbono y peso de disolvente</t>
    </r>
  </si>
  <si>
    <r>
      <t xml:space="preserve">% másico disolvente </t>
    </r>
    <r>
      <rPr>
        <vertAlign val="superscript"/>
        <sz val="9"/>
        <rFont val="Museo Sans 300"/>
        <family val="3"/>
      </rPr>
      <t>(2)</t>
    </r>
  </si>
  <si>
    <r>
      <t xml:space="preserve">Kg de C/             Kg de disolvente </t>
    </r>
    <r>
      <rPr>
        <vertAlign val="superscript"/>
        <sz val="9"/>
        <rFont val="Museo Sans 300"/>
        <family val="3"/>
      </rPr>
      <t>(3)</t>
    </r>
  </si>
  <si>
    <t>CALCULO DE DISOLVENTES, PM MEDIO Y NÚMERO DE CARBONOS MEDIO POR FOCO</t>
  </si>
  <si>
    <t>SCHENBOND 1540-24</t>
  </si>
  <si>
    <t xml:space="preserve"> ALLOTHERM 602L-40 HCT</t>
  </si>
  <si>
    <t>TEREBEC SL 225-34</t>
  </si>
  <si>
    <t>ALLOTHERM 602L-30 AL</t>
  </si>
  <si>
    <t>WIRE ENAMEL 1380/25</t>
  </si>
  <si>
    <t>ALLOTHERM 602R-27</t>
  </si>
  <si>
    <t>WIRE ENAMEL 1332/30</t>
  </si>
  <si>
    <t xml:space="preserve"> TEREBEC MT 533-41 EF</t>
  </si>
  <si>
    <t>Voltatex 7740</t>
  </si>
  <si>
    <t xml:space="preserve">19672-0027-PRIMER </t>
  </si>
  <si>
    <t xml:space="preserve">SOLVENTE UNIVERSALE </t>
  </si>
  <si>
    <t xml:space="preserve">TEREBEC SL 225-44 </t>
  </si>
  <si>
    <t xml:space="preserve">TEREBEC MT 533-40 ED </t>
  </si>
  <si>
    <t>SIVAMID 595/30 M2</t>
  </si>
  <si>
    <t>SIVAMID 595/25</t>
  </si>
  <si>
    <t>TEREBEC MT 533-34</t>
  </si>
  <si>
    <t xml:space="preserve"> VOLTATEX 6335 GOLD</t>
  </si>
  <si>
    <t>WIRE ENAMEL 1380/25 GREEN</t>
  </si>
  <si>
    <t>SINVAR 308/41</t>
  </si>
  <si>
    <t>19960 MM36 EMANEL</t>
  </si>
  <si>
    <t>ALLOTHERM 602R-30</t>
  </si>
  <si>
    <t>TEREBEC MT 533 FLAT</t>
  </si>
  <si>
    <t>Amidikem® K-73170-S25</t>
  </si>
  <si>
    <t>Imidikem® K-73180-18</t>
  </si>
  <si>
    <t>SCIVOLANTE L 71/12</t>
  </si>
  <si>
    <t>19902 ME33 ENAMEL</t>
  </si>
  <si>
    <t xml:space="preserve"> 19940 0B18 ENAMEL</t>
  </si>
  <si>
    <t>DEATHERM T 808/44 M</t>
  </si>
  <si>
    <t>VOLTATEX 9127</t>
  </si>
  <si>
    <t>VOLTATEX 733 6A</t>
  </si>
  <si>
    <t>VOLTATEX 7342 B</t>
  </si>
  <si>
    <t>POLITERMAKEN K-73165-27HTS</t>
  </si>
  <si>
    <t>SCHENBOND 1540-31</t>
  </si>
  <si>
    <t>SIVASLIP 602/13</t>
  </si>
  <si>
    <t xml:space="preserve"> THINNER NMP</t>
  </si>
  <si>
    <t>ALLOTHERM 602R MATT</t>
  </si>
  <si>
    <t>N-metil-2-pirrolidona</t>
  </si>
  <si>
    <t>Reaction mass of ethyl benzene and xylene</t>
  </si>
  <si>
    <t>N,N-dimetilacetamida</t>
  </si>
  <si>
    <t>Total mezcla</t>
  </si>
  <si>
    <t>C5H9NO</t>
  </si>
  <si>
    <t>PM</t>
  </si>
  <si>
    <t>Número carbomos</t>
  </si>
  <si>
    <t>Peso carbonos</t>
  </si>
  <si>
    <t>C8H10</t>
  </si>
  <si>
    <t>C4H9NO</t>
  </si>
  <si>
    <t>Hidrocarburos aromáticos, C9-12, destilación de benceno; redestila-do de aceite ligero, alto punto de ebullición</t>
  </si>
  <si>
    <t>Hydrocarbons, C9, aromatics</t>
  </si>
  <si>
    <t>Fenol</t>
  </si>
  <si>
    <t>Ácidos de alquitrán, fracción me-tilfenólica; fenoles destilados</t>
  </si>
  <si>
    <t>Reaction mass of 2,4-xylenol and 2,5-xylenol</t>
  </si>
  <si>
    <t>2,4,6-trimetilfenol</t>
  </si>
  <si>
    <t>Reaction mass of 2,3-Xylenol and 3,5-Xylenol and 3-Ethylphenol and 4-Ethylphenol</t>
  </si>
  <si>
    <t>mezcla de cresoles</t>
  </si>
  <si>
    <t>C6H6O</t>
  </si>
  <si>
    <t>C7H8O</t>
  </si>
  <si>
    <t>C12H26N2</t>
  </si>
  <si>
    <t>C7H3BRCLFO2</t>
  </si>
  <si>
    <t>C9H12O</t>
  </si>
  <si>
    <t>Ti(OCH2CH2CH2CH3)4</t>
  </si>
  <si>
    <t>Sin datos</t>
  </si>
  <si>
    <t>Etanodiol</t>
  </si>
  <si>
    <t>C2H6O2</t>
  </si>
  <si>
    <t>C4H10O</t>
  </si>
  <si>
    <t>Iso-butanol (2-Methyl-1-propanol)</t>
  </si>
  <si>
    <t>Xileno, mezcla de isómeros</t>
  </si>
  <si>
    <t>Mezcla de cresoles</t>
  </si>
  <si>
    <t>Ácidos de alquitrán, fracción xile-nólica; fenoles destilados</t>
  </si>
  <si>
    <t>Ácidos de alquitrán, fracción de 3,5-xilenol; fenoles destilados</t>
  </si>
  <si>
    <t>Butanal, productos de reacción con anilina</t>
  </si>
  <si>
    <t>C10H15NO</t>
  </si>
  <si>
    <t>Acetato de 2-metoxi-1-metiletilo</t>
  </si>
  <si>
    <t>C6H12O3</t>
  </si>
  <si>
    <t>2-(2-metoxietoxi)etanol</t>
  </si>
  <si>
    <t>C5H12O3</t>
  </si>
  <si>
    <t>Phenoles, cresols</t>
  </si>
  <si>
    <t>Xilenol</t>
  </si>
  <si>
    <t>Carbonato de propileno</t>
  </si>
  <si>
    <t>C8H10O</t>
  </si>
  <si>
    <t>C4H6O3</t>
  </si>
  <si>
    <t>C6H11NO</t>
  </si>
  <si>
    <t>N-ethylpyrrolidon (1-Ethyl-2-pyrrolidone)</t>
  </si>
  <si>
    <t>Xileno</t>
  </si>
  <si>
    <t>Nafta disolvente (petróleo), fracción aromática ligera</t>
  </si>
  <si>
    <t>C7H3BrClFO2</t>
  </si>
  <si>
    <t>Etilbenceno</t>
  </si>
  <si>
    <t>Tetrabutanolato de titanio</t>
  </si>
  <si>
    <t>Formaldehído</t>
  </si>
  <si>
    <t>CH2O</t>
  </si>
  <si>
    <t>Nafta de bajo punto de evullición, sin especificar</t>
  </si>
  <si>
    <t>Metilfenol</t>
  </si>
  <si>
    <t>Ácidos de alquitrán, fracción de xilenol</t>
  </si>
  <si>
    <t>2-etilfenol</t>
  </si>
  <si>
    <t>Ácido carbólico (fenol)</t>
  </si>
  <si>
    <t>Metilfenol (M-Cresol)</t>
  </si>
  <si>
    <t>Metilfenol (p-Cresol)</t>
  </si>
  <si>
    <t>Metilfenol (o-Cresol)</t>
  </si>
  <si>
    <t>2,4-xilenol (2,4-Dimethylphenol)</t>
  </si>
  <si>
    <t>2,5-xilenol (2,5-Dimethylphenol)</t>
  </si>
  <si>
    <t>1,2,4-trimetilbenceno</t>
  </si>
  <si>
    <t>Nafta disolvente (petroleo), fraccion aromatica ligera (&lt;0,1% benceno)</t>
  </si>
  <si>
    <t>Mesitileno</t>
  </si>
  <si>
    <t>Nafta disolvente (petroleo), fraccion aromatica pesada</t>
  </si>
  <si>
    <t>n-propilbenceno</t>
  </si>
  <si>
    <t>C9H12</t>
  </si>
  <si>
    <t>C9</t>
  </si>
  <si>
    <t>Naftaleno</t>
  </si>
  <si>
    <t>C10H8</t>
  </si>
  <si>
    <t>1-Butanol</t>
  </si>
  <si>
    <t>Ácidos de alquitrán, fracción metilfenólica; fenoles destilados</t>
  </si>
  <si>
    <t>Alcohol bencílico</t>
  </si>
  <si>
    <t>Hidrocarburos aromáticos, C9-12, destilación de benceno; redestilado de aceite ligero, alto punto de ebullición</t>
  </si>
  <si>
    <t>Resina Poliamidaimida propia</t>
  </si>
  <si>
    <t>N-Metil-2-Pirrolidona</t>
  </si>
  <si>
    <t>Nafta (petróleo), fracción ligera tratada con hidrógeno; nafta tra-tada con hidrógeno de bajo punto de ebullición</t>
  </si>
  <si>
    <t>1,2-dicloropropano</t>
  </si>
  <si>
    <t>C6H14</t>
  </si>
  <si>
    <t>C3H6Cl2</t>
  </si>
  <si>
    <t>Cumeno</t>
  </si>
  <si>
    <t>Tolueno</t>
  </si>
  <si>
    <t>O-Xileno</t>
  </si>
  <si>
    <t>C7H8</t>
  </si>
  <si>
    <t>2-Methyl-1-propanol</t>
  </si>
  <si>
    <t>1-metil-2-pirrolidona</t>
  </si>
  <si>
    <t>Hidrocarburos, C9, aromáticos</t>
  </si>
  <si>
    <t>Masa de reacción de etilbenceno y xileno</t>
  </si>
  <si>
    <t>ftalato de dimetilo</t>
  </si>
  <si>
    <t>2-butoxietanol</t>
  </si>
  <si>
    <t>C10H14O</t>
  </si>
  <si>
    <t>Etano-1,2-diol (Ethylene glycol)</t>
  </si>
  <si>
    <t>C6H14O2</t>
  </si>
  <si>
    <t>C10H10O4</t>
  </si>
  <si>
    <t>nafta disolvente (petroleo), fraccion aromatica pesada</t>
  </si>
  <si>
    <t>nafta disolvente (petroleo), fraccion aromatica ligera (&lt;0,1% benceno)</t>
  </si>
  <si>
    <t>4-ter-butilfenol</t>
  </si>
  <si>
    <t>C15H16O2</t>
  </si>
  <si>
    <t>4,4’-isopropilidendifenol (2,2-Bis(4-hidroxifenil)-propano)</t>
  </si>
  <si>
    <t>4-tert-butilfenol</t>
  </si>
  <si>
    <t>Resina Poliesterimida modificada con THEIC propia.</t>
  </si>
  <si>
    <t>Dióxido de silício</t>
  </si>
  <si>
    <t>SiO2</t>
  </si>
  <si>
    <t>Ejercicio: 2024</t>
  </si>
  <si>
    <t xml:space="preserve">NOMBRE COMERCIAL
(1) </t>
  </si>
  <si>
    <t>DESCRIPCIÓN DEL TIPO DE MEZCLA O SUSTANCIA Y USO
(2)</t>
  </si>
  <si>
    <t>STOCK INICIAL
(3)</t>
  </si>
  <si>
    <t xml:space="preserve">COMPRAS
(4)  </t>
  </si>
  <si>
    <t>RECUPERADO PROVENIENTE DE OTROS AÑOS Y/O ACTIVIDADES
(5)</t>
  </si>
  <si>
    <t>STOCK FINAL
(6)</t>
  </si>
  <si>
    <t>UNIDADES: Marcar X en casilla cuando los datos están en litros
(7)</t>
  </si>
  <si>
    <t>CANTIDAD CONSUMIDA
(8)</t>
  </si>
  <si>
    <t>DENSIDAD DE LA MEZCLA O SUSTANCIA 
(kg/l)
(9)</t>
  </si>
  <si>
    <t>CONTENIDO EN DISOLVENTE
(10)</t>
  </si>
  <si>
    <t>Kg DISOLVENTE
(11)</t>
  </si>
  <si>
    <t>DATOS DE LA MEZCLA O SUSTANCIA 
(12)</t>
  </si>
  <si>
    <t>OBSERVACIONES
(13)</t>
  </si>
  <si>
    <t>% 
DISOLVENTE
(10)</t>
  </si>
  <si>
    <t>g/l  COV
(10)</t>
  </si>
  <si>
    <t>ORIGEN 
(12.1)</t>
  </si>
  <si>
    <t>¿ADJUNTA DOCUMENTACIÓN?
(12.2)</t>
  </si>
  <si>
    <t>Marcar X cuando el producto contenga frases de riesgo
(12.3)</t>
  </si>
  <si>
    <t>BMT533ND45</t>
  </si>
  <si>
    <t>Barniz</t>
  </si>
  <si>
    <t>TEREBEC MT 533-45ND</t>
  </si>
  <si>
    <t>X</t>
  </si>
  <si>
    <t>BDEA154024</t>
  </si>
  <si>
    <t>BAL602L40H</t>
  </si>
  <si>
    <t>BSL22534</t>
  </si>
  <si>
    <t>BTE53335N</t>
  </si>
  <si>
    <t>TEREBEC MT 533_35 N</t>
  </si>
  <si>
    <t>BALL602L30</t>
  </si>
  <si>
    <t>BE138025M1</t>
  </si>
  <si>
    <t>BE602R-27</t>
  </si>
  <si>
    <t>BE133230</t>
  </si>
  <si>
    <t>BMT53341EF</t>
  </si>
  <si>
    <t>BSI59519</t>
  </si>
  <si>
    <t>SIVAMID 595_19, V5.0</t>
  </si>
  <si>
    <t>BE661MG25</t>
  </si>
  <si>
    <t>DEATHERM E 661_25 MG</t>
  </si>
  <si>
    <t>BEVOL7740</t>
  </si>
  <si>
    <t>BSIVA60011</t>
  </si>
  <si>
    <t>SIVASLIP 600/11</t>
  </si>
  <si>
    <t>B19902LC30</t>
  </si>
  <si>
    <t>19902-LC30-ENAMEL V8.1</t>
  </si>
  <si>
    <t>B19902LC40</t>
  </si>
  <si>
    <t>19902 LC40 SP V3.1</t>
  </si>
  <si>
    <t>B19960MM45</t>
  </si>
  <si>
    <t>19960 MM45 SP V1.1</t>
  </si>
  <si>
    <t>B196720027</t>
  </si>
  <si>
    <t>BTE53339VE</t>
  </si>
  <si>
    <t>TEREBEC MT 533-39, 15.01.2014</t>
  </si>
  <si>
    <t>D5105KE300</t>
  </si>
  <si>
    <t>suavizante</t>
  </si>
  <si>
    <t>CONCENTROL DES 51-05-KE3</t>
  </si>
  <si>
    <t>DL90-10A01</t>
  </si>
  <si>
    <t>LUBRIFICANTE L 90_10, V1.1 SDB_ES, 28.01.2014</t>
  </si>
  <si>
    <t>D5115KE300</t>
  </si>
  <si>
    <t>DES-51-15 KE-3</t>
  </si>
  <si>
    <t>disolvente</t>
  </si>
  <si>
    <t>DSOLUNIVER</t>
  </si>
  <si>
    <t>D5110KE300</t>
  </si>
  <si>
    <t>DES-51-10 KE-3</t>
  </si>
  <si>
    <t>B19960MM40</t>
  </si>
  <si>
    <t>19960-MM40</t>
  </si>
  <si>
    <t>BSL22544</t>
  </si>
  <si>
    <t>BRC5083</t>
  </si>
  <si>
    <t>RC5083</t>
  </si>
  <si>
    <t>BMT53340ED</t>
  </si>
  <si>
    <t>BMT53345ED</t>
  </si>
  <si>
    <t>TEREBEC MT 533-45 N V4.0</t>
  </si>
  <si>
    <t xml:space="preserve">BDEA154026 </t>
  </si>
  <si>
    <t>SCHENBOND 1540-26</t>
  </si>
  <si>
    <t>B595M230</t>
  </si>
  <si>
    <t>BTE53339RE</t>
  </si>
  <si>
    <t>MT 533-39</t>
  </si>
  <si>
    <t>BE602R-27B</t>
  </si>
  <si>
    <t>ALLOTHERM 602R-27 BLACK V1.0</t>
  </si>
  <si>
    <t>BMT53330</t>
  </si>
  <si>
    <t>TEREBEC MT 533-30</t>
  </si>
  <si>
    <t>BSIV59525</t>
  </si>
  <si>
    <t>SBSI30833</t>
  </si>
  <si>
    <t>SINVAR 308/33</t>
  </si>
  <si>
    <t>BSX7300001</t>
  </si>
  <si>
    <t>SX-73000 ENAMEL</t>
  </si>
  <si>
    <t>BTE53334VE</t>
  </si>
  <si>
    <t>BTE53337MT</t>
  </si>
  <si>
    <t>TEREBEC MT 533-37</t>
  </si>
  <si>
    <t>BV8132</t>
  </si>
  <si>
    <t>8D91-01852 Voltatex R
 8132</t>
  </si>
  <si>
    <t>B19902LC38</t>
  </si>
  <si>
    <t>19902-LC-EMANEL V10-1 ES</t>
  </si>
  <si>
    <t>B19902LN40</t>
  </si>
  <si>
    <t>-</t>
  </si>
  <si>
    <t>B13070SH30</t>
  </si>
  <si>
    <t>BE133230VE</t>
  </si>
  <si>
    <t>BE611035GO</t>
  </si>
  <si>
    <t xml:space="preserve"> </t>
  </si>
  <si>
    <t>kg</t>
  </si>
  <si>
    <t>BE138025VE</t>
  </si>
  <si>
    <t>BSIN308Z41</t>
  </si>
  <si>
    <t>B19902SG30</t>
  </si>
  <si>
    <t>B19960MM36</t>
  </si>
  <si>
    <t>B59534MS</t>
  </si>
  <si>
    <t>B7316238HC</t>
  </si>
  <si>
    <t>B73170AL30</t>
  </si>
  <si>
    <t>BMT53335N</t>
  </si>
  <si>
    <t>BSX73701</t>
  </si>
  <si>
    <t>BE602R-30</t>
  </si>
  <si>
    <t>BMT533FLAT</t>
  </si>
  <si>
    <t>B602CRFLAT</t>
  </si>
  <si>
    <t>x</t>
  </si>
  <si>
    <t>ALLOTHERM 602 CR FLAT</t>
  </si>
  <si>
    <t>B7316238EV</t>
  </si>
  <si>
    <t>Politermakem Nano® K-73162-38EVX16</t>
  </si>
  <si>
    <t>B7316240HC</t>
  </si>
  <si>
    <t>Politermakem® K-73162-40HC</t>
  </si>
  <si>
    <t>B7316242HC</t>
  </si>
  <si>
    <t>Politermakem® K-73162-42 HC</t>
  </si>
  <si>
    <t>B7316540LR</t>
  </si>
  <si>
    <t>Politermaken® K-73165-40LR</t>
  </si>
  <si>
    <t>B73170S25</t>
  </si>
  <si>
    <t>B7317028HT</t>
  </si>
  <si>
    <t>Amidikem® K-73170-28HT</t>
  </si>
  <si>
    <t>B7317030EV</t>
  </si>
  <si>
    <t>Amidikem® K-73170AL-30EVX</t>
  </si>
  <si>
    <t>B7318018</t>
  </si>
  <si>
    <t>DLUBL71-12</t>
  </si>
  <si>
    <t>B7316236HC</t>
  </si>
  <si>
    <t>B736540LR1</t>
  </si>
  <si>
    <t>B7316527FL</t>
  </si>
  <si>
    <t>B19902ME33</t>
  </si>
  <si>
    <t>B199400B18</t>
  </si>
  <si>
    <t>BT808/44M</t>
  </si>
  <si>
    <t>B7316540HP</t>
  </si>
  <si>
    <t xml:space="preserve"> K-73165-40HP H-180</t>
  </si>
  <si>
    <t>B316236HP1</t>
  </si>
  <si>
    <t>ESMALTE PEI K-73162-36HP1</t>
  </si>
  <si>
    <t>BVOLTA8327</t>
  </si>
  <si>
    <t>VOLTATEX 8327</t>
  </si>
  <si>
    <t>BVX8536</t>
  </si>
  <si>
    <t>PEI VOLTATEX 8536</t>
  </si>
  <si>
    <t>BMT533FLAH</t>
  </si>
  <si>
    <t xml:space="preserve">TEREBEC MT 533 FLAT H </t>
  </si>
  <si>
    <t>BVOL9127</t>
  </si>
  <si>
    <t>B602R34HS</t>
  </si>
  <si>
    <t>ALLOTHERM 602R/34 HS</t>
  </si>
  <si>
    <t>BVX7336A</t>
  </si>
  <si>
    <t>BV7342B</t>
  </si>
  <si>
    <t>B316527HTS</t>
  </si>
  <si>
    <t>BSCH154031</t>
  </si>
  <si>
    <t>BSV602/13</t>
  </si>
  <si>
    <t>Disolvente</t>
  </si>
  <si>
    <t>DTHINEDNMP</t>
  </si>
  <si>
    <t>B602RMATT</t>
  </si>
  <si>
    <t>ALLOTHERM 650</t>
  </si>
  <si>
    <t>ALLOTHERM 610/26LV</t>
  </si>
  <si>
    <t>DEATHERM I 720/33 VRI</t>
  </si>
  <si>
    <t>Politermaken® K-73165-40HPO</t>
  </si>
  <si>
    <t xml:space="preserve"> 19965 OC37 ENAMEL</t>
  </si>
  <si>
    <t>FENOL</t>
  </si>
  <si>
    <t>MIX-CRESOL</t>
  </si>
  <si>
    <t>ETANODIOL</t>
  </si>
  <si>
    <t>ETILBENCENO</t>
  </si>
  <si>
    <t>BUTAN-1-OL</t>
  </si>
  <si>
    <t>xileno, mezcla de isómeros</t>
  </si>
  <si>
    <t>Pyrrolidinone, dimethyl-</t>
  </si>
  <si>
    <t>Resina Poliesterimida propia.</t>
  </si>
  <si>
    <t>Resina poliisocianato propia</t>
  </si>
  <si>
    <t>Cresoles (isómeros Orto, Meta y Para)</t>
  </si>
  <si>
    <t>Heptano</t>
  </si>
  <si>
    <t>Hudricarburos desaromatizados</t>
  </si>
  <si>
    <t>Isobutanol</t>
  </si>
  <si>
    <t>C7H16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</si>
</sst>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00"/>
    <numFmt numFmtId="165" formatCode="#,##0.0"/>
    <numFmt numFmtId="166" formatCode="#,##0.0000"/>
    <numFmt numFmtId="167" formatCode="0.0"/>
  </numFmts>
  <fonts count="24" x14ac:knownFonts="1">
    <font>
      <sz val="10"/>
      <name val="Arial"/>
    </font>
    <font>
      <sz val="10"/>
      <name val="Arial"/>
      <family val="2"/>
    </font>
    <font>
      <b/>
      <sz val="10"/>
      <name val="Arial"/>
      <family val="2"/>
    </font>
    <font>
      <sz val="10"/>
      <name val="Arial"/>
      <family val="2"/>
    </font>
    <font>
      <b/>
      <u/>
      <sz val="10"/>
      <color indexed="10"/>
      <name val="Arial"/>
      <family val="2"/>
    </font>
    <font>
      <sz val="8"/>
      <name val="Arial"/>
      <family val="2"/>
    </font>
    <font>
      <vertAlign val="subscript"/>
      <sz val="10"/>
      <name val="Arial"/>
      <family val="2"/>
    </font>
    <font>
      <sz val="9"/>
      <name val="Museo Sans 300"/>
      <family val="3"/>
    </font>
    <font>
      <vertAlign val="superscript"/>
      <sz val="9"/>
      <name val="Museo Sans 300"/>
      <family val="3"/>
    </font>
    <font>
      <b/>
      <sz val="8"/>
      <name val="Arial"/>
      <family val="2"/>
    </font>
    <font>
      <sz val="9"/>
      <color rgb="FFFF0000"/>
      <name val="Arial"/>
      <family val="2"/>
    </font>
    <font>
      <sz val="14"/>
      <color rgb="FFFF0000"/>
      <name val="Arial"/>
      <family val="2"/>
    </font>
    <font>
      <sz val="8"/>
      <color rgb="FFFF0000"/>
      <name val="Arial"/>
      <family val="2"/>
    </font>
    <font>
      <b/>
      <sz val="11"/>
      <color indexed="12"/>
      <name val="Arial"/>
      <family val="2"/>
    </font>
    <font>
      <sz val="11"/>
      <color indexed="81"/>
      <name val="Arial"/>
      <family val="2"/>
    </font>
    <font>
      <sz val="8"/>
      <color indexed="81"/>
      <name val="Tahoma"/>
      <family val="2"/>
    </font>
    <font>
      <b/>
      <sz val="11"/>
      <color indexed="81"/>
      <name val="Arial"/>
      <family val="2"/>
    </font>
    <font>
      <b/>
      <u/>
      <sz val="11"/>
      <color indexed="81"/>
      <name val="Arial"/>
      <family val="2"/>
    </font>
    <font>
      <b/>
      <sz val="10"/>
      <color indexed="81"/>
      <name val="Arial"/>
      <family val="2"/>
    </font>
    <font>
      <sz val="10"/>
      <color indexed="81"/>
      <name val="Arial"/>
      <family val="2"/>
    </font>
    <font>
      <b/>
      <sz val="10"/>
      <color indexed="12"/>
      <name val="Arial"/>
      <family val="2"/>
    </font>
    <font>
      <b/>
      <sz val="8"/>
      <color indexed="81"/>
      <name val="Tahoma"/>
      <family val="2"/>
    </font>
    <font>
      <sz val="9"/>
      <color theme="1"/>
      <name val="Museo Sans 300"/>
      <family val="3"/>
    </font>
    <font>
      <sz val="9"/>
      <color rgb="FFFF0000"/>
      <name val="Museo Sans 300"/>
      <family val="3"/>
    </font>
  </fonts>
  <fills count="10">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EAE8E1"/>
        <bgColor indexed="64"/>
      </patternFill>
    </fill>
    <fill>
      <patternFill patternType="solid">
        <fgColor rgb="FF6E96AD"/>
        <bgColor indexed="64"/>
      </patternFill>
    </fill>
    <fill>
      <patternFill patternType="solid">
        <fgColor rgb="FFFFFF99"/>
        <bgColor indexed="64"/>
      </patternFill>
    </fill>
    <fill>
      <patternFill patternType="solid">
        <fgColor indexed="41"/>
        <bgColor indexed="64"/>
      </patternFill>
    </fill>
    <fill>
      <patternFill patternType="solid">
        <fgColor theme="0"/>
        <bgColor indexed="64"/>
      </patternFill>
    </fill>
    <fill>
      <patternFill patternType="solid">
        <fgColor rgb="FFCC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49">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Border="1" applyAlignment="1">
      <alignment horizontal="center"/>
    </xf>
    <xf numFmtId="0" fontId="3" fillId="0" borderId="0" xfId="0" applyFont="1" applyAlignment="1">
      <alignment horizontal="center"/>
    </xf>
    <xf numFmtId="0" fontId="2" fillId="0" borderId="1" xfId="0" applyFont="1" applyBorder="1" applyAlignment="1">
      <alignment horizontal="center"/>
    </xf>
    <xf numFmtId="2" fontId="3" fillId="0" borderId="0" xfId="0" applyNumberFormat="1" applyFont="1" applyAlignment="1">
      <alignment horizontal="center"/>
    </xf>
    <xf numFmtId="2" fontId="3" fillId="3" borderId="1" xfId="0" applyNumberFormat="1" applyFont="1" applyFill="1" applyBorder="1" applyAlignment="1">
      <alignment horizontal="center"/>
    </xf>
    <xf numFmtId="1" fontId="3" fillId="3" borderId="1" xfId="0" applyNumberFormat="1" applyFont="1" applyFill="1" applyBorder="1"/>
    <xf numFmtId="0" fontId="0" fillId="0" borderId="1" xfId="0" applyBorder="1" applyAlignment="1">
      <alignment horizontal="center"/>
    </xf>
    <xf numFmtId="0" fontId="4" fillId="0" borderId="0" xfId="0" applyFont="1"/>
    <xf numFmtId="0" fontId="2" fillId="0" borderId="0" xfId="0" applyFont="1" applyAlignment="1">
      <alignment horizont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4" fillId="0" borderId="0" xfId="0" applyFont="1" applyAlignment="1">
      <alignment horizontal="left" vertical="center"/>
    </xf>
    <xf numFmtId="0" fontId="3" fillId="0" borderId="0" xfId="0" applyFont="1" applyAlignment="1">
      <alignment horizontal="left" vertical="center"/>
    </xf>
    <xf numFmtId="164" fontId="0" fillId="0" borderId="1" xfId="0" applyNumberFormat="1" applyBorder="1" applyAlignment="1">
      <alignment horizontal="center" vertical="center"/>
    </xf>
    <xf numFmtId="164" fontId="3" fillId="0" borderId="1" xfId="0" applyNumberFormat="1" applyFont="1" applyBorder="1" applyAlignment="1">
      <alignment horizontal="center"/>
    </xf>
    <xf numFmtId="0" fontId="7" fillId="0" borderId="0" xfId="0" applyFont="1"/>
    <xf numFmtId="0" fontId="7" fillId="3" borderId="0" xfId="0" applyFont="1" applyFill="1"/>
    <xf numFmtId="0" fontId="7" fillId="5"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xf>
    <xf numFmtId="0" fontId="7" fillId="0" borderId="0" xfId="0" applyFont="1" applyAlignment="1">
      <alignment vertical="center"/>
    </xf>
    <xf numFmtId="0" fontId="7" fillId="0" borderId="0" xfId="0" applyFont="1" applyAlignment="1">
      <alignment vertical="center" wrapText="1"/>
    </xf>
    <xf numFmtId="0" fontId="7" fillId="0" borderId="7" xfId="0" applyFont="1" applyBorder="1" applyAlignment="1">
      <alignment horizontal="left" vertical="center"/>
    </xf>
    <xf numFmtId="0" fontId="7" fillId="0" borderId="4" xfId="0" applyFont="1" applyBorder="1" applyAlignment="1">
      <alignment horizontal="left" vertical="center"/>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5" borderId="1" xfId="0" applyFont="1" applyFill="1" applyBorder="1"/>
    <xf numFmtId="0" fontId="7" fillId="0" borderId="0" xfId="0" applyFont="1" applyAlignment="1">
      <alignment horizontal="center"/>
    </xf>
    <xf numFmtId="2" fontId="7" fillId="0" borderId="0" xfId="0" applyNumberFormat="1" applyFont="1" applyAlignment="1">
      <alignment horizontal="center"/>
    </xf>
    <xf numFmtId="0" fontId="7" fillId="0" borderId="0" xfId="0" applyFont="1" applyAlignment="1">
      <alignment horizontal="center" vertical="center"/>
    </xf>
    <xf numFmtId="2" fontId="7" fillId="0" borderId="0" xfId="0" applyNumberFormat="1" applyFont="1"/>
    <xf numFmtId="164" fontId="7" fillId="0" borderId="0" xfId="0" applyNumberFormat="1" applyFont="1"/>
    <xf numFmtId="4" fontId="7" fillId="3"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pplyProtection="1">
      <alignment horizontal="center" vertical="center" wrapText="1"/>
      <protection locked="0"/>
    </xf>
    <xf numFmtId="0" fontId="10" fillId="0" borderId="15"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4" fontId="10" fillId="0" borderId="1" xfId="0" applyNumberFormat="1" applyFont="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165" fontId="10" fillId="7" borderId="1" xfId="0" applyNumberFormat="1" applyFont="1" applyFill="1" applyBorder="1" applyAlignment="1">
      <alignment horizontal="center" vertical="center" wrapText="1"/>
    </xf>
    <xf numFmtId="4" fontId="10" fillId="7" borderId="1" xfId="0" applyNumberFormat="1" applyFont="1" applyFill="1" applyBorder="1" applyAlignment="1">
      <alignment horizontal="center" vertical="center" wrapText="1"/>
    </xf>
    <xf numFmtId="166" fontId="10" fillId="0" borderId="1" xfId="0" applyNumberFormat="1" applyFont="1" applyBorder="1" applyAlignment="1" applyProtection="1">
      <alignment horizontal="center" vertical="center" wrapText="1"/>
      <protection locked="0"/>
    </xf>
    <xf numFmtId="167" fontId="10" fillId="0" borderId="1" xfId="0" applyNumberFormat="1"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2" fillId="7" borderId="16" xfId="0" applyFont="1" applyFill="1" applyBorder="1" applyAlignment="1">
      <alignment horizontal="center" vertical="center" wrapText="1"/>
    </xf>
    <xf numFmtId="0" fontId="10" fillId="8" borderId="15" xfId="0" applyFont="1" applyFill="1" applyBorder="1" applyAlignment="1" applyProtection="1">
      <alignment horizontal="center" vertical="center" wrapText="1"/>
      <protection locked="0"/>
    </xf>
    <xf numFmtId="0" fontId="12" fillId="9" borderId="16" xfId="0" applyFont="1" applyFill="1" applyBorder="1" applyAlignment="1">
      <alignment horizontal="center" vertical="center" wrapText="1"/>
    </xf>
    <xf numFmtId="0" fontId="10" fillId="0" borderId="17" xfId="0" applyFont="1" applyBorder="1" applyAlignment="1" applyProtection="1">
      <alignment horizontal="center" vertical="center" wrapText="1"/>
      <protection locked="0"/>
    </xf>
    <xf numFmtId="4" fontId="10" fillId="0" borderId="18" xfId="0" applyNumberFormat="1" applyFont="1" applyBorder="1" applyAlignment="1" applyProtection="1">
      <alignment horizontal="center" vertical="center" wrapText="1"/>
      <protection locked="0"/>
    </xf>
    <xf numFmtId="165" fontId="10" fillId="7" borderId="18" xfId="0" applyNumberFormat="1" applyFont="1" applyFill="1" applyBorder="1" applyAlignment="1">
      <alignment horizontal="center" vertical="center" wrapText="1"/>
    </xf>
    <xf numFmtId="4" fontId="10" fillId="7" borderId="18" xfId="0" applyNumberFormat="1" applyFont="1" applyFill="1" applyBorder="1" applyAlignment="1">
      <alignment horizontal="center" vertical="center" wrapText="1"/>
    </xf>
    <xf numFmtId="0" fontId="11" fillId="0" borderId="18" xfId="0" applyFont="1" applyBorder="1" applyAlignment="1">
      <alignment horizontal="center" vertical="center" wrapText="1"/>
    </xf>
    <xf numFmtId="0" fontId="12" fillId="9" borderId="19" xfId="0" applyFont="1" applyFill="1" applyBorder="1" applyAlignment="1">
      <alignment horizontal="center" vertical="center" wrapText="1"/>
    </xf>
    <xf numFmtId="0" fontId="22" fillId="4" borderId="1" xfId="0" applyFont="1" applyFill="1" applyBorder="1"/>
    <xf numFmtId="2" fontId="22" fillId="3" borderId="1" xfId="0" applyNumberFormat="1" applyFont="1" applyFill="1" applyBorder="1" applyAlignment="1">
      <alignment horizontal="center"/>
    </xf>
    <xf numFmtId="2" fontId="22" fillId="4" borderId="1" xfId="0" applyNumberFormat="1" applyFont="1" applyFill="1" applyBorder="1" applyAlignment="1">
      <alignment horizontal="center"/>
    </xf>
    <xf numFmtId="2" fontId="22" fillId="4" borderId="1" xfId="0" applyNumberFormat="1" applyFont="1" applyFill="1" applyBorder="1"/>
    <xf numFmtId="4" fontId="22" fillId="6" borderId="1" xfId="0" applyNumberFormat="1" applyFont="1" applyFill="1" applyBorder="1" applyAlignment="1">
      <alignment horizontal="center"/>
    </xf>
    <xf numFmtId="4" fontId="22" fillId="4" borderId="1" xfId="0" applyNumberFormat="1" applyFont="1" applyFill="1" applyBorder="1" applyAlignment="1">
      <alignment horizontal="center"/>
    </xf>
    <xf numFmtId="4" fontId="22" fillId="6" borderId="1" xfId="0" applyNumberFormat="1" applyFont="1" applyFill="1" applyBorder="1"/>
    <xf numFmtId="4" fontId="22" fillId="3" borderId="1" xfId="0" applyNumberFormat="1" applyFont="1" applyFill="1" applyBorder="1" applyAlignment="1">
      <alignment horizontal="center"/>
    </xf>
    <xf numFmtId="0" fontId="22" fillId="0" borderId="1" xfId="0" applyFont="1" applyBorder="1"/>
    <xf numFmtId="2" fontId="22" fillId="0" borderId="1" xfId="0" applyNumberFormat="1" applyFont="1" applyBorder="1" applyAlignment="1">
      <alignment horizontal="center"/>
    </xf>
    <xf numFmtId="4" fontId="22" fillId="0" borderId="1" xfId="0" applyNumberFormat="1" applyFont="1" applyBorder="1" applyAlignment="1">
      <alignment horizontal="center"/>
    </xf>
    <xf numFmtId="4" fontId="22" fillId="0" borderId="1" xfId="0" applyNumberFormat="1" applyFont="1" applyBorder="1"/>
    <xf numFmtId="2" fontId="22" fillId="0" borderId="1" xfId="0" applyNumberFormat="1" applyFont="1" applyBorder="1"/>
    <xf numFmtId="0" fontId="22" fillId="4" borderId="0" xfId="0" applyFont="1" applyFill="1"/>
    <xf numFmtId="0" fontId="22" fillId="0" borderId="1" xfId="0" applyFont="1" applyBorder="1" applyAlignment="1">
      <alignment wrapText="1"/>
    </xf>
    <xf numFmtId="2" fontId="22" fillId="4" borderId="3" xfId="0" applyNumberFormat="1" applyFont="1" applyFill="1" applyBorder="1" applyAlignment="1">
      <alignment horizontal="center"/>
    </xf>
    <xf numFmtId="0" fontId="22" fillId="0" borderId="11" xfId="0" applyFont="1" applyBorder="1"/>
    <xf numFmtId="0" fontId="22" fillId="4" borderId="1" xfId="0" applyFont="1" applyFill="1" applyBorder="1" applyAlignment="1">
      <alignment wrapText="1"/>
    </xf>
    <xf numFmtId="4" fontId="23" fillId="3" borderId="1" xfId="0" applyNumberFormat="1" applyFont="1" applyFill="1" applyBorder="1" applyAlignment="1">
      <alignment horizontal="center"/>
    </xf>
    <xf numFmtId="2" fontId="23" fillId="4" borderId="1" xfId="0" applyNumberFormat="1" applyFont="1" applyFill="1" applyBorder="1" applyAlignment="1">
      <alignment horizontal="center"/>
    </xf>
    <xf numFmtId="4" fontId="23" fillId="6" borderId="1" xfId="0" applyNumberFormat="1" applyFont="1" applyFill="1" applyBorder="1" applyAlignment="1">
      <alignment horizontal="center"/>
    </xf>
    <xf numFmtId="4" fontId="23" fillId="4" borderId="1" xfId="0" applyNumberFormat="1" applyFont="1" applyFill="1" applyBorder="1" applyAlignment="1">
      <alignment horizontal="center"/>
    </xf>
    <xf numFmtId="4" fontId="23" fillId="6" borderId="1" xfId="0" applyNumberFormat="1" applyFont="1" applyFill="1" applyBorder="1"/>
    <xf numFmtId="0" fontId="22" fillId="4" borderId="1" xfId="0" applyFont="1" applyFill="1" applyBorder="1" applyAlignment="1">
      <alignment vertical="center"/>
    </xf>
    <xf numFmtId="4" fontId="22" fillId="4" borderId="1" xfId="0" applyNumberFormat="1" applyFont="1" applyFill="1" applyBorder="1" applyAlignment="1">
      <alignment vertical="center"/>
    </xf>
    <xf numFmtId="4" fontId="22" fillId="3" borderId="1" xfId="0" applyNumberFormat="1" applyFont="1" applyFill="1" applyBorder="1" applyAlignment="1">
      <alignment horizontal="center" vertical="center"/>
    </xf>
    <xf numFmtId="4" fontId="22" fillId="6" borderId="1" xfId="0" applyNumberFormat="1" applyFont="1" applyFill="1" applyBorder="1" applyAlignment="1">
      <alignment horizontal="center" vertical="center"/>
    </xf>
    <xf numFmtId="0" fontId="22" fillId="0" borderId="6" xfId="0" applyFont="1" applyFill="1" applyBorder="1"/>
    <xf numFmtId="0" fontId="22" fillId="0" borderId="3" xfId="0" applyFont="1" applyFill="1" applyBorder="1" applyAlignment="1">
      <alignment horizontal="center" vertical="center"/>
    </xf>
    <xf numFmtId="4" fontId="7" fillId="4" borderId="2" xfId="0" applyNumberFormat="1" applyFont="1" applyFill="1" applyBorder="1" applyAlignment="1">
      <alignment horizontal="center" vertical="center"/>
    </xf>
    <xf numFmtId="4" fontId="7" fillId="4" borderId="10" xfId="0" applyNumberFormat="1" applyFont="1" applyFill="1" applyBorder="1" applyAlignment="1">
      <alignment horizontal="center" vertical="center"/>
    </xf>
    <xf numFmtId="4" fontId="7" fillId="4" borderId="3" xfId="0" applyNumberFormat="1" applyFont="1" applyFill="1" applyBorder="1" applyAlignment="1">
      <alignment horizontal="center" vertical="center"/>
    </xf>
    <xf numFmtId="4" fontId="22" fillId="4" borderId="2" xfId="0" applyNumberFormat="1" applyFont="1" applyFill="1" applyBorder="1" applyAlignment="1">
      <alignment horizontal="center" vertical="center"/>
    </xf>
    <xf numFmtId="4" fontId="22" fillId="4" borderId="3" xfId="0" applyNumberFormat="1" applyFont="1" applyFill="1" applyBorder="1" applyAlignment="1">
      <alignment horizontal="center" vertical="center"/>
    </xf>
    <xf numFmtId="0" fontId="22" fillId="4" borderId="2" xfId="0" applyFont="1" applyFill="1" applyBorder="1" applyAlignment="1">
      <alignment horizontal="left" vertical="center"/>
    </xf>
    <xf numFmtId="0" fontId="22" fillId="4" borderId="3" xfId="0" applyFont="1" applyFill="1" applyBorder="1" applyAlignment="1">
      <alignment horizontal="left" vertical="center"/>
    </xf>
    <xf numFmtId="4" fontId="22" fillId="0" borderId="2" xfId="0" applyNumberFormat="1" applyFont="1" applyBorder="1" applyAlignment="1">
      <alignment horizontal="center" vertical="center"/>
    </xf>
    <xf numFmtId="4" fontId="22" fillId="0" borderId="10" xfId="0" applyNumberFormat="1" applyFont="1" applyBorder="1" applyAlignment="1">
      <alignment horizontal="center" vertical="center"/>
    </xf>
    <xf numFmtId="4" fontId="22" fillId="0" borderId="3" xfId="0" applyNumberFormat="1" applyFont="1" applyBorder="1" applyAlignment="1">
      <alignment horizontal="center" vertical="center"/>
    </xf>
    <xf numFmtId="0" fontId="22" fillId="0" borderId="2" xfId="0" applyFont="1" applyBorder="1" applyAlignment="1">
      <alignment horizontal="left" vertical="center"/>
    </xf>
    <xf numFmtId="0" fontId="22" fillId="0" borderId="10" xfId="0" applyFont="1" applyBorder="1" applyAlignment="1">
      <alignment horizontal="left" vertical="center"/>
    </xf>
    <xf numFmtId="0" fontId="22" fillId="0" borderId="3" xfId="0" applyFont="1" applyBorder="1" applyAlignment="1">
      <alignment horizontal="left" vertical="center"/>
    </xf>
    <xf numFmtId="0" fontId="22" fillId="0" borderId="2" xfId="0" applyFont="1" applyFill="1" applyBorder="1" applyAlignment="1">
      <alignment horizontal="left" vertical="center"/>
    </xf>
    <xf numFmtId="0" fontId="22" fillId="0" borderId="10" xfId="0" applyFont="1" applyFill="1" applyBorder="1" applyAlignment="1">
      <alignment horizontal="left" vertical="center"/>
    </xf>
    <xf numFmtId="0" fontId="22" fillId="0" borderId="3" xfId="0" applyFont="1" applyFill="1" applyBorder="1" applyAlignment="1">
      <alignment horizontal="left" vertical="center"/>
    </xf>
    <xf numFmtId="4" fontId="7" fillId="0" borderId="2" xfId="0" applyNumberFormat="1" applyFont="1" applyFill="1" applyBorder="1" applyAlignment="1">
      <alignment horizontal="center" vertical="center"/>
    </xf>
    <xf numFmtId="4" fontId="7" fillId="0" borderId="10" xfId="0" applyNumberFormat="1" applyFont="1" applyFill="1" applyBorder="1" applyAlignment="1">
      <alignment horizontal="center" vertical="center"/>
    </xf>
    <xf numFmtId="4" fontId="7" fillId="0" borderId="3" xfId="0" applyNumberFormat="1" applyFont="1" applyFill="1" applyBorder="1" applyAlignment="1">
      <alignment horizontal="center" vertical="center"/>
    </xf>
    <xf numFmtId="4" fontId="22" fillId="4" borderId="10" xfId="0" applyNumberFormat="1" applyFont="1" applyFill="1" applyBorder="1" applyAlignment="1">
      <alignment horizontal="center" vertical="center"/>
    </xf>
    <xf numFmtId="0" fontId="22" fillId="4" borderId="10" xfId="0" applyFont="1" applyFill="1" applyBorder="1" applyAlignment="1">
      <alignment horizontal="left" vertical="center"/>
    </xf>
    <xf numFmtId="4" fontId="22" fillId="0" borderId="1" xfId="0" applyNumberFormat="1" applyFont="1" applyBorder="1" applyAlignment="1">
      <alignment horizontal="center" vertical="center"/>
    </xf>
    <xf numFmtId="0" fontId="22" fillId="0" borderId="1" xfId="0" applyFont="1" applyBorder="1" applyAlignment="1">
      <alignment horizontal="left" vertical="center"/>
    </xf>
    <xf numFmtId="4" fontId="22" fillId="4" borderId="1" xfId="0" applyNumberFormat="1" applyFont="1" applyFill="1" applyBorder="1" applyAlignment="1">
      <alignment horizontal="center" vertical="center"/>
    </xf>
    <xf numFmtId="0" fontId="22" fillId="4" borderId="1" xfId="0" applyFont="1" applyFill="1" applyBorder="1" applyAlignment="1">
      <alignment horizontal="left" vertical="center"/>
    </xf>
    <xf numFmtId="4" fontId="7" fillId="0" borderId="2" xfId="0" applyNumberFormat="1" applyFont="1" applyBorder="1" applyAlignment="1">
      <alignment horizontal="center" vertical="center"/>
    </xf>
    <xf numFmtId="4" fontId="7" fillId="0" borderId="10" xfId="0" applyNumberFormat="1" applyFont="1" applyBorder="1" applyAlignment="1">
      <alignment horizontal="center" vertical="center"/>
    </xf>
    <xf numFmtId="4" fontId="7" fillId="0" borderId="3" xfId="0" applyNumberFormat="1" applyFont="1" applyBorder="1" applyAlignment="1">
      <alignment horizontal="center" vertical="center"/>
    </xf>
    <xf numFmtId="0" fontId="7" fillId="5" borderId="0" xfId="0" applyFont="1" applyFill="1" applyAlignment="1">
      <alignment horizontal="center" vertical="center"/>
    </xf>
    <xf numFmtId="0" fontId="9" fillId="7" borderId="14"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9" fillId="7" borderId="1" xfId="0" applyFont="1" applyFill="1" applyBorder="1" applyAlignment="1">
      <alignment horizontal="center" vertical="center" wrapText="1"/>
    </xf>
    <xf numFmtId="4" fontId="9" fillId="7" borderId="13" xfId="0" applyNumberFormat="1" applyFont="1" applyFill="1" applyBorder="1" applyAlignment="1">
      <alignment horizontal="center" vertical="center" wrapText="1"/>
    </xf>
    <xf numFmtId="4" fontId="9" fillId="7" borderId="1" xfId="0" applyNumberFormat="1" applyFont="1" applyFill="1" applyBorder="1" applyAlignment="1">
      <alignment horizontal="center" vertical="center" wrapText="1"/>
    </xf>
    <xf numFmtId="0" fontId="9" fillId="2" borderId="13" xfId="0" applyFont="1" applyFill="1" applyBorder="1" applyAlignment="1" applyProtection="1">
      <alignment horizontal="center" vertical="center" wrapText="1"/>
      <protection locked="0"/>
    </xf>
    <xf numFmtId="0" fontId="9" fillId="2" borderId="12" xfId="0" applyFont="1" applyFill="1" applyBorder="1" applyAlignment="1">
      <alignment horizontal="center" vertical="center" wrapText="1"/>
    </xf>
    <xf numFmtId="0" fontId="9" fillId="2" borderId="15" xfId="0" applyFont="1" applyFill="1" applyBorder="1" applyAlignment="1">
      <alignment horizontal="center" vertical="center" wrapText="1"/>
    </xf>
    <xf numFmtId="4" fontId="9" fillId="2" borderId="13"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xf>
    <xf numFmtId="0" fontId="22" fillId="0" borderId="1" xfId="0" applyFont="1" applyFill="1" applyBorder="1" applyAlignment="1">
      <alignment horizontal="left" vertical="center"/>
    </xf>
    <xf numFmtId="4" fontId="22" fillId="0" borderId="2" xfId="0" applyNumberFormat="1" applyFont="1" applyFill="1" applyBorder="1" applyAlignment="1">
      <alignment horizontal="center" vertical="center"/>
    </xf>
    <xf numFmtId="4" fontId="22" fillId="0" borderId="10" xfId="0" applyNumberFormat="1" applyFont="1" applyFill="1" applyBorder="1" applyAlignment="1">
      <alignment horizontal="center" vertical="center"/>
    </xf>
    <xf numFmtId="4" fontId="22" fillId="0" borderId="3" xfId="0" applyNumberFormat="1" applyFont="1" applyFill="1" applyBorder="1" applyAlignment="1">
      <alignment horizontal="center" vertical="center"/>
    </xf>
    <xf numFmtId="0" fontId="7" fillId="4" borderId="1" xfId="0" applyFont="1" applyFill="1" applyBorder="1" applyAlignment="1">
      <alignment horizontal="left" vertical="center"/>
    </xf>
    <xf numFmtId="4" fontId="7" fillId="4" borderId="1" xfId="0" applyNumberFormat="1" applyFont="1" applyFill="1" applyBorder="1" applyAlignment="1">
      <alignment horizontal="center" vertical="center"/>
    </xf>
    <xf numFmtId="0" fontId="7" fillId="4" borderId="1" xfId="0" applyFont="1" applyFill="1" applyBorder="1"/>
    <xf numFmtId="4" fontId="7" fillId="3" borderId="1" xfId="0" applyNumberFormat="1" applyFont="1" applyFill="1" applyBorder="1" applyAlignment="1">
      <alignment horizontal="center"/>
    </xf>
    <xf numFmtId="2" fontId="22" fillId="0" borderId="1" xfId="0" applyNumberFormat="1" applyFont="1" applyBorder="1" applyAlignment="1">
      <alignment horizontal="right"/>
    </xf>
    <xf numFmtId="2" fontId="22" fillId="0" borderId="6" xfId="0" applyNumberFormat="1" applyFont="1" applyFill="1" applyBorder="1" applyAlignment="1">
      <alignment horizontal="right" vertical="center"/>
    </xf>
    <xf numFmtId="2" fontId="22" fillId="4" borderId="6" xfId="0" applyNumberFormat="1" applyFont="1" applyFill="1" applyBorder="1" applyAlignment="1">
      <alignment horizontal="right" vertical="center"/>
    </xf>
    <xf numFmtId="2" fontId="22" fillId="4" borderId="1" xfId="0" applyNumberFormat="1" applyFont="1" applyFill="1" applyBorder="1" applyAlignment="1">
      <alignment horizontal="right"/>
    </xf>
    <xf numFmtId="2" fontId="22" fillId="0" borderId="1" xfId="0" applyNumberFormat="1" applyFont="1" applyBorder="1" applyAlignment="1">
      <alignment horizontal="right" vertical="center"/>
    </xf>
    <xf numFmtId="2" fontId="22" fillId="4" borderId="11" xfId="0" applyNumberFormat="1" applyFont="1" applyFill="1" applyBorder="1"/>
    <xf numFmtId="2" fontId="7" fillId="4" borderId="1" xfId="0" applyNumberFormat="1" applyFont="1" applyFill="1" applyBorder="1" applyAlignment="1">
      <alignment horizontal="right"/>
    </xf>
    <xf numFmtId="2" fontId="7" fillId="4" borderId="1" xfId="0" applyNumberFormat="1" applyFont="1" applyFill="1" applyBorder="1" applyAlignment="1">
      <alignment horizontal="center"/>
    </xf>
    <xf numFmtId="4" fontId="7" fillId="6" borderId="1" xfId="0" applyNumberFormat="1" applyFont="1" applyFill="1" applyBorder="1" applyAlignment="1">
      <alignment horizontal="center"/>
    </xf>
    <xf numFmtId="4" fontId="7" fillId="4" borderId="1" xfId="0" applyNumberFormat="1" applyFont="1" applyFill="1" applyBorder="1" applyAlignment="1">
      <alignment horizontal="center"/>
    </xf>
    <xf numFmtId="4" fontId="7" fillId="6" borderId="1" xfId="0" applyNumberFormat="1" applyFont="1" applyFill="1" applyBorder="1"/>
    <xf numFmtId="4" fontId="7" fillId="6" borderId="1" xfId="0" applyNumberFormat="1" applyFont="1" applyFill="1" applyBorder="1" applyAlignment="1">
      <alignment vertical="center"/>
    </xf>
  </cellXfs>
  <cellStyles count="2">
    <cellStyle name="Euro" xfId="1" xr:uid="{00000000-0005-0000-0000-000000000000}"/>
    <cellStyle name="Normal" xfId="0" builtinId="0"/>
  </cellStyles>
  <dxfs count="0"/>
  <tableStyles count="0" defaultTableStyle="TableStyleMedium2" defaultPivotStyle="PivotStyleLight16"/>
  <colors>
    <mruColors>
      <color rgb="FFEAE8E1"/>
      <color rgb="FFFFFF99"/>
      <color rgb="FF6E96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ediambient.gencat.cat/cat/el_medi/atmosfera/emissions/doc/pgd_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es generals"/>
      <sheetName val="Balanç dissolvents 1"/>
      <sheetName val="Balanç dissolvents 2"/>
      <sheetName val="Balanç dissolvents 3"/>
      <sheetName val="Balanç dissolvents 4"/>
      <sheetName val="Balanç dissolvents 5"/>
      <sheetName val="Balanç dissolvents 6"/>
      <sheetName val="desplegabless"/>
    </sheetNames>
    <sheetDataSet>
      <sheetData sheetId="0"/>
      <sheetData sheetId="1"/>
      <sheetData sheetId="2"/>
      <sheetData sheetId="3"/>
      <sheetData sheetId="4"/>
      <sheetData sheetId="5"/>
      <sheetData sheetId="6"/>
      <sheetData sheetId="7">
        <row r="1">
          <cell r="A1" t="str">
            <v>01-Impressió en offset de bobines per assecat al calor</v>
          </cell>
          <cell r="B1" t="str">
            <v>01-Valors límit en gasos residuals i valors límit d’emissió difusa</v>
          </cell>
          <cell r="F1" t="str">
            <v>01-kg filferro bobines</v>
          </cell>
        </row>
        <row r="2">
          <cell r="A2" t="str">
            <v>02-Rotogravat de publicacions</v>
          </cell>
          <cell r="B2" t="str">
            <v>02-Valors límit d’emissió total</v>
          </cell>
          <cell r="F2" t="str">
            <v>02-m3 fibres fusta impregnada</v>
          </cell>
        </row>
        <row r="3">
          <cell r="A3" t="str">
            <v>03-Altres unitats de rotogravat, flexografia, impressió serigràfica rotativa, laminat o vernissatge (&gt;15), impressió serigràfica rotativa sobre tèxtil o en cartró/cartolina (&gt;30)</v>
          </cell>
          <cell r="B3" t="str">
            <v>03-Altres</v>
          </cell>
          <cell r="F3" t="str">
            <v>03-m2 cuir recobert</v>
          </cell>
        </row>
        <row r="4">
          <cell r="A4" t="str">
            <v>04-Neteja de superfícies amb productes amb frases de risc (R40, R45, R46, R49, R60, R61)</v>
          </cell>
          <cell r="B4" t="str">
            <v>04-Sistema de reducció aprovat</v>
          </cell>
          <cell r="F4" t="str">
            <v>04-parells de sabates</v>
          </cell>
        </row>
        <row r="5">
          <cell r="A5" t="str">
            <v>05-Neteja de superfícies amb altres productes (amb contingut en dissolvents&gt;30%)</v>
          </cell>
          <cell r="B5" t="str">
            <v>05-Realitzar unes emissions totals en el conjunt de les activitats que no superin les que resultarien si es complissin les limitacions d’emissions (per alguns dels 4 mètodes anteriors) de forma individual per cada activitat.</v>
          </cell>
          <cell r="F5" t="str">
            <v>05-m2 fusta o plàstic laminat</v>
          </cell>
        </row>
        <row r="6">
          <cell r="A6" t="str">
            <v xml:space="preserve">06-Recobriment de vehicles amb consum de dissolvents inferior a 15 t/a i renovació de l’acabat de vehicles </v>
          </cell>
          <cell r="F6" t="str">
            <v>06-tones greix animal</v>
          </cell>
        </row>
        <row r="7">
          <cell r="A7" t="str">
            <v>07-Recobriment de bobines</v>
          </cell>
          <cell r="F7" t="str">
            <v>07-tones llavor oli ricino</v>
          </cell>
        </row>
        <row r="8">
          <cell r="A8" t="str">
            <v>08-Altres recobriments: metall, plàstic, tèxtil, teixits, pel·lícules i paper</v>
          </cell>
          <cell r="F8" t="str">
            <v>08-tones llavors colza</v>
          </cell>
        </row>
        <row r="9">
          <cell r="A9" t="str">
            <v>09-Recobriment de filferro de bobines</v>
          </cell>
          <cell r="F9" t="str">
            <v>09-tones llavors girasol</v>
          </cell>
        </row>
        <row r="10">
          <cell r="A10" t="str">
            <v>10-Recobriment de fusta</v>
          </cell>
          <cell r="F10" t="str">
            <v>10-tones llavors soja (premsada normal)</v>
          </cell>
        </row>
        <row r="11">
          <cell r="A11" t="str">
            <v>11-Neteja en sec</v>
          </cell>
          <cell r="F11" t="str">
            <v>11-tones llavors soja (làmines blanques)</v>
          </cell>
        </row>
        <row r="12">
          <cell r="A12" t="str">
            <v>12-Impregnació de fibres de fusta</v>
          </cell>
          <cell r="F12" t="str">
            <v>12-tones altres llavors</v>
          </cell>
        </row>
        <row r="13">
          <cell r="A13" t="str">
            <v>13-Recobriment de cuir</v>
          </cell>
          <cell r="F13" t="str">
            <v>13-m2 superfície vehicle recobert</v>
          </cell>
        </row>
        <row r="14">
          <cell r="A14" t="str">
            <v>14-Fabricació de calçat</v>
          </cell>
        </row>
        <row r="15">
          <cell r="A15" t="str">
            <v>15-Laminat de fusta i plàstic</v>
          </cell>
        </row>
        <row r="16">
          <cell r="A16" t="str">
            <v>16-Recobriment amb adhesius</v>
          </cell>
        </row>
        <row r="17">
          <cell r="A17" t="str">
            <v>17-Fabricació de preparats de recobriments, vernissos, tintes i adhesius</v>
          </cell>
        </row>
        <row r="18">
          <cell r="A18" t="str">
            <v>18-Conversió de cautxú</v>
          </cell>
        </row>
        <row r="19">
          <cell r="A19" t="str">
            <v>19-Extracció d'oli vegetal i greix animal i activitats de refinat d'oli vegetal</v>
          </cell>
        </row>
        <row r="20">
          <cell r="A20" t="str">
            <v>20-Fabricació de productes farmacèutics</v>
          </cell>
        </row>
        <row r="21">
          <cell r="A21" t="str">
            <v xml:space="preserve">21-Recobriment de vehicles </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1"/>
  </sheetPr>
  <dimension ref="B2:H23"/>
  <sheetViews>
    <sheetView zoomScaleNormal="100" workbookViewId="0">
      <selection activeCell="F26" sqref="F26"/>
    </sheetView>
  </sheetViews>
  <sheetFormatPr baseColWidth="10" defaultRowHeight="12.75" x14ac:dyDescent="0.2"/>
  <cols>
    <col min="1" max="1" width="5.85546875" customWidth="1"/>
    <col min="2" max="2" width="25.85546875" customWidth="1"/>
    <col min="3" max="3" width="17" customWidth="1"/>
    <col min="4" max="4" width="16.85546875" customWidth="1"/>
    <col min="5" max="5" width="20.140625" customWidth="1"/>
  </cols>
  <sheetData>
    <row r="2" spans="2:8" x14ac:dyDescent="0.2">
      <c r="B2" s="10" t="s">
        <v>32</v>
      </c>
    </row>
    <row r="3" spans="2:8" x14ac:dyDescent="0.2">
      <c r="B3" t="s">
        <v>21</v>
      </c>
    </row>
    <row r="4" spans="2:8" x14ac:dyDescent="0.2">
      <c r="B4" t="s">
        <v>36</v>
      </c>
    </row>
    <row r="5" spans="2:8" ht="38.25" x14ac:dyDescent="0.2">
      <c r="B5" s="2" t="s">
        <v>7</v>
      </c>
      <c r="C5" s="2" t="s">
        <v>4</v>
      </c>
      <c r="D5" s="2" t="s">
        <v>12</v>
      </c>
      <c r="E5" s="2" t="s">
        <v>18</v>
      </c>
      <c r="F5" s="2" t="s">
        <v>11</v>
      </c>
      <c r="G5" s="2" t="s">
        <v>8</v>
      </c>
      <c r="H5" s="2" t="s">
        <v>3</v>
      </c>
    </row>
    <row r="6" spans="2:8" x14ac:dyDescent="0.2">
      <c r="B6" s="5" t="s">
        <v>16</v>
      </c>
      <c r="C6" s="3">
        <v>2000</v>
      </c>
      <c r="D6" s="3" t="s">
        <v>19</v>
      </c>
      <c r="E6" s="3">
        <v>40</v>
      </c>
      <c r="F6" s="7">
        <f>C6*E6/100</f>
        <v>800</v>
      </c>
      <c r="G6" s="17">
        <f>G14</f>
        <v>0.48648648648648651</v>
      </c>
      <c r="H6" s="7">
        <f>G6*E6*C6/100</f>
        <v>389.18918918918922</v>
      </c>
    </row>
    <row r="7" spans="2:8" x14ac:dyDescent="0.2">
      <c r="B7" s="5" t="s">
        <v>16</v>
      </c>
      <c r="C7" s="3">
        <v>2000</v>
      </c>
      <c r="D7" s="3" t="s">
        <v>15</v>
      </c>
      <c r="E7" s="3">
        <v>20</v>
      </c>
      <c r="F7" s="7">
        <f>C7*E7/100</f>
        <v>400</v>
      </c>
      <c r="G7" s="17">
        <f>G15</f>
        <v>0.91304347826086951</v>
      </c>
      <c r="H7" s="7">
        <f>G7*E7*C7/100</f>
        <v>365.21739130434781</v>
      </c>
    </row>
    <row r="8" spans="2:8" x14ac:dyDescent="0.2">
      <c r="B8" s="5" t="s">
        <v>16</v>
      </c>
      <c r="C8" s="3">
        <v>2000</v>
      </c>
      <c r="D8" t="s">
        <v>20</v>
      </c>
      <c r="E8" s="3">
        <v>40</v>
      </c>
      <c r="F8" s="7">
        <f>C8*E8/100</f>
        <v>800</v>
      </c>
      <c r="G8" s="17">
        <f>G16</f>
        <v>0.4</v>
      </c>
      <c r="H8" s="7">
        <f>G8*E8*C8/100</f>
        <v>320</v>
      </c>
    </row>
    <row r="9" spans="2:8" x14ac:dyDescent="0.2">
      <c r="B9" s="5" t="s">
        <v>17</v>
      </c>
      <c r="C9" s="3">
        <v>5000</v>
      </c>
      <c r="D9" s="3" t="s">
        <v>14</v>
      </c>
      <c r="E9" s="3">
        <v>36</v>
      </c>
      <c r="F9" s="7">
        <f>C9*E9/100</f>
        <v>1800</v>
      </c>
      <c r="G9" s="17">
        <f>G17</f>
        <v>0.54545454545454541</v>
      </c>
      <c r="H9" s="7">
        <f>G9*E9*C9/100</f>
        <v>981.81818181818164</v>
      </c>
    </row>
    <row r="10" spans="2:8" x14ac:dyDescent="0.2">
      <c r="B10" s="11"/>
      <c r="C10" s="4"/>
      <c r="D10" s="4"/>
      <c r="E10" s="4"/>
      <c r="F10" s="6"/>
      <c r="G10" s="4"/>
      <c r="H10" s="6"/>
    </row>
    <row r="11" spans="2:8" x14ac:dyDescent="0.2">
      <c r="B11" t="s">
        <v>25</v>
      </c>
    </row>
    <row r="13" spans="2:8" ht="38.25" x14ac:dyDescent="0.2">
      <c r="B13" s="2" t="s">
        <v>12</v>
      </c>
      <c r="C13" s="2" t="s">
        <v>22</v>
      </c>
      <c r="D13" s="2" t="s">
        <v>24</v>
      </c>
      <c r="E13" s="2" t="s">
        <v>38</v>
      </c>
      <c r="F13" s="2" t="s">
        <v>37</v>
      </c>
      <c r="G13" s="2" t="s">
        <v>8</v>
      </c>
    </row>
    <row r="14" spans="2:8" ht="15.75" x14ac:dyDescent="0.2">
      <c r="B14" s="12" t="s">
        <v>19</v>
      </c>
      <c r="C14" s="13" t="s">
        <v>27</v>
      </c>
      <c r="D14" s="13">
        <v>3</v>
      </c>
      <c r="E14" s="13">
        <f>D14*12</f>
        <v>36</v>
      </c>
      <c r="F14" s="13">
        <v>74</v>
      </c>
      <c r="G14" s="16">
        <f>E14/F14</f>
        <v>0.48648648648648651</v>
      </c>
    </row>
    <row r="15" spans="2:8" ht="15.75" x14ac:dyDescent="0.2">
      <c r="B15" s="12" t="s">
        <v>15</v>
      </c>
      <c r="C15" s="13" t="s">
        <v>26</v>
      </c>
      <c r="D15" s="13">
        <v>7</v>
      </c>
      <c r="E15" s="13">
        <f>D15*12</f>
        <v>84</v>
      </c>
      <c r="F15" s="13">
        <v>92</v>
      </c>
      <c r="G15" s="16">
        <f>E15/F15</f>
        <v>0.91304347826086951</v>
      </c>
    </row>
    <row r="16" spans="2:8" ht="15.75" x14ac:dyDescent="0.2">
      <c r="B16" s="13" t="s">
        <v>20</v>
      </c>
      <c r="C16" s="13" t="s">
        <v>28</v>
      </c>
      <c r="D16" s="13">
        <v>5</v>
      </c>
      <c r="E16" s="13">
        <v>48</v>
      </c>
      <c r="F16" s="13">
        <v>120</v>
      </c>
      <c r="G16" s="16">
        <f>E16/F16</f>
        <v>0.4</v>
      </c>
    </row>
    <row r="17" spans="2:7" ht="12.75" customHeight="1" x14ac:dyDescent="0.2">
      <c r="B17" s="12" t="s">
        <v>14</v>
      </c>
      <c r="C17" s="13" t="s">
        <v>23</v>
      </c>
      <c r="D17" s="13">
        <v>4</v>
      </c>
      <c r="E17" s="13">
        <f>D17*12</f>
        <v>48</v>
      </c>
      <c r="F17" s="13">
        <v>88</v>
      </c>
      <c r="G17" s="16">
        <f>E17/F17</f>
        <v>0.54545454545454541</v>
      </c>
    </row>
    <row r="19" spans="2:7" x14ac:dyDescent="0.2">
      <c r="B19" s="14" t="s">
        <v>33</v>
      </c>
    </row>
    <row r="20" spans="2:7" x14ac:dyDescent="0.2">
      <c r="B20" s="15" t="s">
        <v>29</v>
      </c>
    </row>
    <row r="21" spans="2:7" ht="38.25" x14ac:dyDescent="0.2">
      <c r="B21" s="1" t="s">
        <v>6</v>
      </c>
      <c r="C21" s="1" t="s">
        <v>5</v>
      </c>
      <c r="D21" s="2" t="s">
        <v>0</v>
      </c>
      <c r="E21" s="2" t="s">
        <v>1</v>
      </c>
      <c r="F21" s="2" t="s">
        <v>2</v>
      </c>
      <c r="G21" s="2" t="s">
        <v>3</v>
      </c>
    </row>
    <row r="22" spans="2:7" x14ac:dyDescent="0.2">
      <c r="B22" s="9">
        <v>1</v>
      </c>
      <c r="C22" s="3" t="s">
        <v>30</v>
      </c>
      <c r="D22" s="3">
        <v>57.8</v>
      </c>
      <c r="E22" s="3">
        <v>5509</v>
      </c>
      <c r="F22" s="3">
        <v>3250</v>
      </c>
      <c r="G22" s="8">
        <f>F22*E22*D22/1000000</f>
        <v>1034.86565</v>
      </c>
    </row>
    <row r="23" spans="2:7" x14ac:dyDescent="0.2">
      <c r="B23" s="9">
        <v>2</v>
      </c>
      <c r="C23" s="3" t="s">
        <v>31</v>
      </c>
      <c r="D23" s="3">
        <v>72.3</v>
      </c>
      <c r="E23" s="3">
        <v>1225</v>
      </c>
      <c r="F23" s="3">
        <v>1197</v>
      </c>
      <c r="G23" s="8">
        <f>F23*E23*D23/1000000</f>
        <v>106.0152975</v>
      </c>
    </row>
  </sheetData>
  <phoneticPr fontId="5" type="noConversion"/>
  <pageMargins left="0.78740157480314965" right="0.78740157480314965" top="1.3779527559055118" bottom="0.98425196850393704" header="0.5" footer="0"/>
  <pageSetup paperSize="9" scale="61" orientation="portrait" horizontalDpi="4294967294" r:id="rId1"/>
  <headerFooter alignWithMargins="0">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317"/>
  <sheetViews>
    <sheetView showGridLines="0" tabSelected="1" zoomScaleNormal="100" workbookViewId="0">
      <pane ySplit="9" topLeftCell="A10" activePane="bottomLeft" state="frozen"/>
      <selection pane="bottomLeft" activeCell="F19" sqref="F19"/>
    </sheetView>
  </sheetViews>
  <sheetFormatPr baseColWidth="10" defaultRowHeight="12" x14ac:dyDescent="0.2"/>
  <cols>
    <col min="1" max="1" width="2.42578125" style="18" customWidth="1"/>
    <col min="2" max="2" width="37.140625" style="18" customWidth="1"/>
    <col min="3" max="3" width="13.42578125" style="18" customWidth="1"/>
    <col min="4" max="4" width="35.42578125" style="18" customWidth="1"/>
    <col min="5" max="5" width="12.85546875" style="18" customWidth="1"/>
    <col min="6" max="6" width="10.85546875" style="18" customWidth="1"/>
    <col min="7" max="7" width="20.140625" style="18" bestFit="1" customWidth="1"/>
    <col min="8" max="10" width="10.85546875" style="18" customWidth="1"/>
    <col min="11" max="11" width="13.42578125" style="18" customWidth="1"/>
    <col min="12" max="12" width="10.85546875" style="18" customWidth="1"/>
    <col min="13" max="13" width="2.85546875" style="18" customWidth="1"/>
    <col min="14" max="14" width="15.85546875" style="18" customWidth="1"/>
    <col min="15" max="15" width="11.42578125" style="18"/>
    <col min="16" max="16" width="14.7109375" style="18" bestFit="1" customWidth="1"/>
    <col min="17" max="18" width="11.42578125" style="18"/>
    <col min="19" max="19" width="11.85546875" style="18" bestFit="1" customWidth="1"/>
    <col min="20" max="16384" width="11.42578125" style="18"/>
  </cols>
  <sheetData>
    <row r="1" spans="2:17" ht="15" customHeight="1" x14ac:dyDescent="0.2">
      <c r="B1" s="114" t="s">
        <v>47</v>
      </c>
      <c r="C1" s="114"/>
      <c r="D1" s="114"/>
      <c r="E1" s="114"/>
      <c r="F1" s="114"/>
      <c r="G1" s="114"/>
      <c r="H1" s="114"/>
      <c r="I1" s="114"/>
      <c r="J1" s="114"/>
      <c r="K1" s="114"/>
      <c r="L1" s="114"/>
      <c r="M1" s="114"/>
      <c r="N1" s="114"/>
      <c r="O1" s="114"/>
      <c r="P1" s="114"/>
      <c r="Q1" s="114"/>
    </row>
    <row r="2" spans="2:17" ht="12.75" customHeight="1" x14ac:dyDescent="0.2">
      <c r="B2" s="33"/>
      <c r="C2" s="33"/>
      <c r="D2" s="33"/>
      <c r="E2" s="33"/>
      <c r="F2" s="33"/>
      <c r="G2" s="33"/>
      <c r="H2" s="33"/>
      <c r="I2" s="33"/>
      <c r="J2" s="33"/>
      <c r="K2" s="33"/>
      <c r="L2" s="33"/>
      <c r="M2" s="33"/>
      <c r="N2" s="33"/>
      <c r="O2" s="33"/>
    </row>
    <row r="3" spans="2:17" x14ac:dyDescent="0.2">
      <c r="B3" s="30" t="s">
        <v>39</v>
      </c>
    </row>
    <row r="4" spans="2:17" x14ac:dyDescent="0.2">
      <c r="B4" s="30" t="s">
        <v>40</v>
      </c>
    </row>
    <row r="5" spans="2:17" x14ac:dyDescent="0.2">
      <c r="B5" s="30" t="s">
        <v>189</v>
      </c>
    </row>
    <row r="7" spans="2:17" x14ac:dyDescent="0.2">
      <c r="B7" s="19" t="s">
        <v>13</v>
      </c>
      <c r="C7" s="19"/>
      <c r="D7" s="19"/>
      <c r="E7" s="19"/>
      <c r="F7" s="19"/>
      <c r="G7" s="19"/>
      <c r="H7" s="19"/>
      <c r="I7" s="19"/>
      <c r="J7" s="19"/>
      <c r="K7" s="19"/>
      <c r="L7" s="19"/>
      <c r="M7" s="19"/>
      <c r="N7" s="19"/>
      <c r="O7" s="19"/>
      <c r="P7" s="19"/>
      <c r="Q7" s="19"/>
    </row>
    <row r="9" spans="2:17" ht="56.25" customHeight="1" x14ac:dyDescent="0.2">
      <c r="B9" s="20" t="s">
        <v>34</v>
      </c>
      <c r="C9" s="20" t="s">
        <v>4</v>
      </c>
      <c r="D9" s="20" t="s">
        <v>35</v>
      </c>
      <c r="E9" s="20" t="s">
        <v>45</v>
      </c>
      <c r="F9" s="20" t="s">
        <v>11</v>
      </c>
      <c r="G9" s="20" t="s">
        <v>22</v>
      </c>
      <c r="H9" s="20" t="s">
        <v>90</v>
      </c>
      <c r="I9" s="20" t="s">
        <v>91</v>
      </c>
      <c r="J9" s="20" t="s">
        <v>89</v>
      </c>
      <c r="K9" s="20" t="s">
        <v>46</v>
      </c>
      <c r="L9" s="20" t="s">
        <v>3</v>
      </c>
      <c r="N9" s="20" t="s">
        <v>9</v>
      </c>
      <c r="O9" s="20" t="s">
        <v>10</v>
      </c>
      <c r="P9" s="20" t="s">
        <v>41</v>
      </c>
      <c r="Q9" s="20" t="s">
        <v>42</v>
      </c>
    </row>
    <row r="10" spans="2:17" x14ac:dyDescent="0.2">
      <c r="B10" s="91" t="s">
        <v>48</v>
      </c>
      <c r="C10" s="89">
        <v>80646</v>
      </c>
      <c r="D10" s="57" t="s">
        <v>87</v>
      </c>
      <c r="E10" s="60">
        <v>76</v>
      </c>
      <c r="F10" s="58">
        <f>C10*E10/100</f>
        <v>61290.96</v>
      </c>
      <c r="G10" s="59"/>
      <c r="H10" s="59"/>
      <c r="I10" s="59"/>
      <c r="J10" s="59"/>
      <c r="K10" s="59"/>
      <c r="L10" s="59"/>
      <c r="N10" s="148">
        <f>SUMIFS(F9:F314,D9:D314,D10)</f>
        <v>543660.54000000015</v>
      </c>
      <c r="O10" s="36">
        <f>SUM(L11:L314)</f>
        <v>319646.8450055524</v>
      </c>
      <c r="P10" s="21">
        <f>AVERAGE(J10:J314)</f>
        <v>132.53492376681604</v>
      </c>
      <c r="Q10" s="21">
        <f>AVERAGE(H11:H314)</f>
        <v>7.1121076233183853</v>
      </c>
    </row>
    <row r="11" spans="2:17" x14ac:dyDescent="0.2">
      <c r="B11" s="106"/>
      <c r="C11" s="105"/>
      <c r="D11" s="57" t="s">
        <v>84</v>
      </c>
      <c r="E11" s="60">
        <f>(30+((50-30)/2))*76/78.5</f>
        <v>38.726114649681527</v>
      </c>
      <c r="F11" s="58">
        <f>E11*F10/E10</f>
        <v>31231.062420382164</v>
      </c>
      <c r="G11" s="59" t="s">
        <v>88</v>
      </c>
      <c r="H11" s="59">
        <v>5</v>
      </c>
      <c r="I11" s="61">
        <f>H11*12</f>
        <v>60</v>
      </c>
      <c r="J11" s="62">
        <v>99.13</v>
      </c>
      <c r="K11" s="63">
        <f>I11/J11</f>
        <v>0.60526581256935341</v>
      </c>
      <c r="L11" s="64">
        <f>K11*E11*C10/100</f>
        <v>18903.09437327681</v>
      </c>
      <c r="N11" s="22"/>
      <c r="O11" s="22"/>
    </row>
    <row r="12" spans="2:17" x14ac:dyDescent="0.2">
      <c r="B12" s="106"/>
      <c r="C12" s="105"/>
      <c r="D12" s="57" t="s">
        <v>113</v>
      </c>
      <c r="E12" s="60">
        <f>(12.5+((20-12.5)/2))*76/78.5</f>
        <v>15.732484076433121</v>
      </c>
      <c r="F12" s="58">
        <f>E12*F10/E10</f>
        <v>12687.619108280254</v>
      </c>
      <c r="G12" s="59" t="s">
        <v>92</v>
      </c>
      <c r="H12" s="59">
        <v>8</v>
      </c>
      <c r="I12" s="61">
        <f t="shared" ref="I12:I128" si="0">H12*12</f>
        <v>96</v>
      </c>
      <c r="J12" s="62">
        <v>106.17</v>
      </c>
      <c r="K12" s="63">
        <f>I12/J12</f>
        <v>0.90421022887821412</v>
      </c>
      <c r="L12" s="64">
        <f>K12*E12*C10/100</f>
        <v>11472.274977817691</v>
      </c>
      <c r="N12" s="22"/>
      <c r="O12" s="22"/>
    </row>
    <row r="13" spans="2:17" x14ac:dyDescent="0.2">
      <c r="B13" s="106"/>
      <c r="C13" s="105"/>
      <c r="D13" s="57" t="s">
        <v>85</v>
      </c>
      <c r="E13" s="60">
        <f>(12.5+((20-12.5)/2))*76/78.5</f>
        <v>15.732484076433121</v>
      </c>
      <c r="F13" s="58">
        <f>E13*F10/E10</f>
        <v>12687.619108280254</v>
      </c>
      <c r="G13" s="59" t="s">
        <v>108</v>
      </c>
      <c r="H13" s="59"/>
      <c r="I13" s="61">
        <f t="shared" si="0"/>
        <v>0</v>
      </c>
      <c r="J13" s="62"/>
      <c r="K13" s="63"/>
      <c r="L13" s="64"/>
      <c r="N13" s="22"/>
      <c r="O13" s="22"/>
    </row>
    <row r="14" spans="2:17" x14ac:dyDescent="0.2">
      <c r="B14" s="92"/>
      <c r="C14" s="90"/>
      <c r="D14" s="57" t="s">
        <v>86</v>
      </c>
      <c r="E14" s="60">
        <f>(5+(7-5)/2)*76/78.5</f>
        <v>5.8089171974522289</v>
      </c>
      <c r="F14" s="58">
        <f>E14*F10/E10</f>
        <v>4684.6593630573243</v>
      </c>
      <c r="G14" s="59" t="s">
        <v>93</v>
      </c>
      <c r="H14" s="59">
        <v>4</v>
      </c>
      <c r="I14" s="61">
        <f t="shared" si="0"/>
        <v>48</v>
      </c>
      <c r="J14" s="62">
        <v>87.12</v>
      </c>
      <c r="K14" s="63">
        <f t="shared" ref="K14:K197" si="1">I14/J14</f>
        <v>0.55096418732782371</v>
      </c>
      <c r="L14" s="64">
        <f>K14*E14*C10/100</f>
        <v>2581.0795388745591</v>
      </c>
      <c r="N14" s="22"/>
      <c r="O14" s="22"/>
    </row>
    <row r="15" spans="2:17" x14ac:dyDescent="0.2">
      <c r="B15" s="96" t="s">
        <v>49</v>
      </c>
      <c r="C15" s="93">
        <v>51050</v>
      </c>
      <c r="D15" s="65" t="s">
        <v>87</v>
      </c>
      <c r="E15" s="69">
        <v>60</v>
      </c>
      <c r="F15" s="58">
        <f t="shared" ref="F15" si="2">C15*E15/100</f>
        <v>30630</v>
      </c>
      <c r="G15" s="66"/>
      <c r="H15" s="66"/>
      <c r="I15" s="67"/>
      <c r="J15" s="67"/>
      <c r="K15" s="68"/>
      <c r="L15" s="67"/>
      <c r="N15" s="22"/>
      <c r="O15" s="22"/>
    </row>
    <row r="16" spans="2:17" x14ac:dyDescent="0.2">
      <c r="B16" s="97"/>
      <c r="C16" s="94"/>
      <c r="D16" s="65" t="s">
        <v>84</v>
      </c>
      <c r="E16" s="69">
        <f>(30+((50-30)/2))*E15/68</f>
        <v>35.294117647058826</v>
      </c>
      <c r="F16" s="58">
        <f>E16*F15/E15</f>
        <v>18017.647058823532</v>
      </c>
      <c r="G16" s="66" t="s">
        <v>88</v>
      </c>
      <c r="H16" s="66">
        <v>5</v>
      </c>
      <c r="I16" s="61">
        <f t="shared" si="0"/>
        <v>60</v>
      </c>
      <c r="J16" s="67">
        <v>99.13</v>
      </c>
      <c r="K16" s="63">
        <f t="shared" si="1"/>
        <v>0.60526581256935341</v>
      </c>
      <c r="L16" s="64">
        <f>K16*E16*C15/100</f>
        <v>10905.465787646644</v>
      </c>
      <c r="N16" s="22"/>
      <c r="O16" s="22"/>
    </row>
    <row r="17" spans="2:15" x14ac:dyDescent="0.2">
      <c r="B17" s="97"/>
      <c r="C17" s="94"/>
      <c r="D17" s="65" t="s">
        <v>113</v>
      </c>
      <c r="E17" s="69">
        <f>(5+((7-5)/2))*E15/68</f>
        <v>5.2941176470588234</v>
      </c>
      <c r="F17" s="58">
        <f>E17*F15/E15</f>
        <v>2702.6470588235293</v>
      </c>
      <c r="G17" s="66" t="s">
        <v>92</v>
      </c>
      <c r="H17" s="66">
        <v>8</v>
      </c>
      <c r="I17" s="61">
        <f t="shared" si="0"/>
        <v>96</v>
      </c>
      <c r="J17" s="67">
        <v>106.17</v>
      </c>
      <c r="K17" s="63">
        <f t="shared" si="1"/>
        <v>0.90421022887821412</v>
      </c>
      <c r="L17" s="64">
        <f>K17*E17*C15/100</f>
        <v>2443.7611156358557</v>
      </c>
      <c r="N17" s="22"/>
      <c r="O17" s="22"/>
    </row>
    <row r="18" spans="2:15" x14ac:dyDescent="0.2">
      <c r="B18" s="97"/>
      <c r="C18" s="94"/>
      <c r="D18" s="65" t="s">
        <v>85</v>
      </c>
      <c r="E18" s="69">
        <f>(5+((7-5)/2))*E15/68</f>
        <v>5.2941176470588234</v>
      </c>
      <c r="F18" s="58">
        <f>E18*F15/E15</f>
        <v>2702.6470588235293</v>
      </c>
      <c r="G18" s="66" t="s">
        <v>108</v>
      </c>
      <c r="H18" s="66"/>
      <c r="I18" s="61">
        <f t="shared" si="0"/>
        <v>0</v>
      </c>
      <c r="J18" s="67"/>
      <c r="K18" s="63"/>
      <c r="L18" s="64"/>
      <c r="N18" s="22"/>
      <c r="O18" s="22"/>
    </row>
    <row r="19" spans="2:15" x14ac:dyDescent="0.2">
      <c r="B19" s="97"/>
      <c r="C19" s="94"/>
      <c r="D19" s="65" t="s">
        <v>94</v>
      </c>
      <c r="E19" s="69">
        <f>(5+((7-5)/2))*E15/68</f>
        <v>5.2941176470588234</v>
      </c>
      <c r="F19" s="58">
        <f>E19*F15/E15</f>
        <v>2702.6470588235293</v>
      </c>
      <c r="G19" s="66" t="s">
        <v>104</v>
      </c>
      <c r="H19" s="66">
        <v>12</v>
      </c>
      <c r="I19" s="61">
        <f t="shared" si="0"/>
        <v>144</v>
      </c>
      <c r="J19" s="67">
        <v>198.35</v>
      </c>
      <c r="K19" s="63">
        <f t="shared" si="1"/>
        <v>0.72598941265439876</v>
      </c>
      <c r="L19" s="64">
        <f>K19*E19*C15/100</f>
        <v>1962.0931508474323</v>
      </c>
    </row>
    <row r="20" spans="2:15" x14ac:dyDescent="0.2">
      <c r="B20" s="97"/>
      <c r="C20" s="94"/>
      <c r="D20" s="65" t="s">
        <v>95</v>
      </c>
      <c r="E20" s="69">
        <f>(5+((7-5)/2))*E15/68</f>
        <v>5.2941176470588234</v>
      </c>
      <c r="F20" s="58">
        <f>E20*F15/E15</f>
        <v>2702.6470588235293</v>
      </c>
      <c r="G20" s="66" t="s">
        <v>105</v>
      </c>
      <c r="H20" s="66">
        <v>7</v>
      </c>
      <c r="I20" s="61">
        <f t="shared" si="0"/>
        <v>84</v>
      </c>
      <c r="J20" s="67">
        <v>253.45</v>
      </c>
      <c r="K20" s="63">
        <f t="shared" si="1"/>
        <v>0.33142631682777668</v>
      </c>
      <c r="L20" s="64">
        <f>K20*E20*C15/100</f>
        <v>895.72836039130573</v>
      </c>
    </row>
    <row r="21" spans="2:15" x14ac:dyDescent="0.2">
      <c r="B21" s="98"/>
      <c r="C21" s="95"/>
      <c r="D21" s="65" t="s">
        <v>86</v>
      </c>
      <c r="E21" s="69">
        <f>(3+((5-3)/2))*E15/68</f>
        <v>3.5294117647058822</v>
      </c>
      <c r="F21" s="58">
        <f>E21*F15/E15</f>
        <v>1801.7647058823529</v>
      </c>
      <c r="G21" s="66" t="s">
        <v>93</v>
      </c>
      <c r="H21" s="66">
        <v>4</v>
      </c>
      <c r="I21" s="61">
        <f t="shared" si="0"/>
        <v>48</v>
      </c>
      <c r="J21" s="67">
        <v>87.12</v>
      </c>
      <c r="K21" s="63">
        <f t="shared" si="1"/>
        <v>0.55096418732782371</v>
      </c>
      <c r="L21" s="64">
        <f>K21*E21*C15/100</f>
        <v>992.70782693242586</v>
      </c>
    </row>
    <row r="22" spans="2:15" x14ac:dyDescent="0.2">
      <c r="B22" s="91" t="s">
        <v>50</v>
      </c>
      <c r="C22" s="89">
        <v>4580</v>
      </c>
      <c r="D22" s="57" t="s">
        <v>87</v>
      </c>
      <c r="E22" s="60">
        <v>66</v>
      </c>
      <c r="F22" s="58">
        <f t="shared" ref="F22" si="3">C22*E22/100</f>
        <v>3022.8</v>
      </c>
      <c r="G22" s="59"/>
      <c r="H22" s="59"/>
      <c r="I22" s="62"/>
      <c r="J22" s="62"/>
      <c r="K22" s="62"/>
      <c r="L22" s="62"/>
    </row>
    <row r="23" spans="2:15" x14ac:dyDescent="0.2">
      <c r="B23" s="106"/>
      <c r="C23" s="105"/>
      <c r="D23" s="70" t="s">
        <v>96</v>
      </c>
      <c r="E23" s="60">
        <f>(12.5+((20-12.5)/2))*E22/63.875</f>
        <v>16.790606653620351</v>
      </c>
      <c r="F23" s="58">
        <f>E23*F22/E22</f>
        <v>769.0097847358121</v>
      </c>
      <c r="G23" s="59" t="s">
        <v>102</v>
      </c>
      <c r="H23" s="59">
        <v>6</v>
      </c>
      <c r="I23" s="61">
        <f t="shared" si="0"/>
        <v>72</v>
      </c>
      <c r="J23" s="62">
        <v>94.11</v>
      </c>
      <c r="K23" s="63">
        <f>I23/J23</f>
        <v>0.76506216130060567</v>
      </c>
      <c r="L23" s="64">
        <f>K23*E23*C22/100</f>
        <v>588.34028797129395</v>
      </c>
    </row>
    <row r="24" spans="2:15" x14ac:dyDescent="0.2">
      <c r="B24" s="106"/>
      <c r="C24" s="105"/>
      <c r="D24" s="57" t="s">
        <v>97</v>
      </c>
      <c r="E24" s="60">
        <f>(12.5+((20-12.5)/2))*E22/63.875</f>
        <v>16.790606653620351</v>
      </c>
      <c r="F24" s="58">
        <f>E24*F22/E22</f>
        <v>769.0097847358121</v>
      </c>
      <c r="G24" s="59" t="s">
        <v>103</v>
      </c>
      <c r="H24" s="59">
        <v>7</v>
      </c>
      <c r="I24" s="61">
        <f t="shared" si="0"/>
        <v>84</v>
      </c>
      <c r="J24" s="62">
        <v>108.14</v>
      </c>
      <c r="K24" s="63">
        <f>I24/J24</f>
        <v>0.77677085259848344</v>
      </c>
      <c r="L24" s="64">
        <f>K24*E24*C22/100</f>
        <v>597.3443861458129</v>
      </c>
    </row>
    <row r="25" spans="2:15" x14ac:dyDescent="0.2">
      <c r="B25" s="106"/>
      <c r="C25" s="105"/>
      <c r="D25" s="57" t="s">
        <v>94</v>
      </c>
      <c r="E25" s="60">
        <f>(7+((10-7)/2))*E22/63.875</f>
        <v>8.7827788649706466</v>
      </c>
      <c r="F25" s="58">
        <f>E25*F22/E22</f>
        <v>402.25127201565562</v>
      </c>
      <c r="G25" s="59" t="s">
        <v>104</v>
      </c>
      <c r="H25" s="59">
        <v>12</v>
      </c>
      <c r="I25" s="61">
        <f t="shared" si="0"/>
        <v>144</v>
      </c>
      <c r="J25" s="62">
        <v>198.35</v>
      </c>
      <c r="K25" s="63">
        <f>I25/J25</f>
        <v>0.72598941265439876</v>
      </c>
      <c r="L25" s="64">
        <f>K25*E25*C22/100</f>
        <v>292.03016471013058</v>
      </c>
    </row>
    <row r="26" spans="2:15" x14ac:dyDescent="0.2">
      <c r="B26" s="106"/>
      <c r="C26" s="105"/>
      <c r="D26" s="57" t="s">
        <v>95</v>
      </c>
      <c r="E26" s="60">
        <f>(7+((10-7)/2))*E22/63.875</f>
        <v>8.7827788649706466</v>
      </c>
      <c r="F26" s="58">
        <f>E26*F22/E22</f>
        <v>402.25127201565562</v>
      </c>
      <c r="G26" s="59" t="s">
        <v>105</v>
      </c>
      <c r="H26" s="59">
        <v>7</v>
      </c>
      <c r="I26" s="61">
        <f t="shared" si="0"/>
        <v>84</v>
      </c>
      <c r="J26" s="62">
        <v>253.45</v>
      </c>
      <c r="K26" s="63">
        <f>I26/J26</f>
        <v>0.33142631682777668</v>
      </c>
      <c r="L26" s="64">
        <f>K26*E26*C22/100</f>
        <v>133.31665752343687</v>
      </c>
    </row>
    <row r="27" spans="2:15" x14ac:dyDescent="0.2">
      <c r="B27" s="106"/>
      <c r="C27" s="105"/>
      <c r="D27" s="57" t="s">
        <v>98</v>
      </c>
      <c r="E27" s="60">
        <f>(3+((5-3)/2))*E22/63.875</f>
        <v>4.1330724070450096</v>
      </c>
      <c r="F27" s="58">
        <f>E27*F22/E22</f>
        <v>189.29471624266145</v>
      </c>
      <c r="G27" s="59" t="s">
        <v>108</v>
      </c>
      <c r="H27" s="59"/>
      <c r="I27" s="61">
        <f t="shared" si="0"/>
        <v>0</v>
      </c>
      <c r="J27" s="62"/>
      <c r="K27" s="63"/>
      <c r="L27" s="64"/>
    </row>
    <row r="28" spans="2:15" x14ac:dyDescent="0.2">
      <c r="B28" s="106"/>
      <c r="C28" s="105"/>
      <c r="D28" s="57" t="s">
        <v>99</v>
      </c>
      <c r="E28" s="60">
        <f>(3+((5-3)/2))*E22/63.875</f>
        <v>4.1330724070450096</v>
      </c>
      <c r="F28" s="58">
        <f>E28*F22/E22</f>
        <v>189.29471624266145</v>
      </c>
      <c r="G28" s="59" t="s">
        <v>106</v>
      </c>
      <c r="H28" s="59">
        <v>9</v>
      </c>
      <c r="I28" s="61">
        <f t="shared" si="0"/>
        <v>108</v>
      </c>
      <c r="J28" s="62">
        <v>136.19</v>
      </c>
      <c r="K28" s="63">
        <f t="shared" ref="K28:K45" si="4">I28/J28</f>
        <v>0.79300976576841176</v>
      </c>
      <c r="L28" s="64">
        <f>K28*E28*C22/100</f>
        <v>150.1125585887909</v>
      </c>
    </row>
    <row r="29" spans="2:15" ht="12.75" customHeight="1" x14ac:dyDescent="0.2">
      <c r="B29" s="106"/>
      <c r="C29" s="105"/>
      <c r="D29" s="57" t="s">
        <v>100</v>
      </c>
      <c r="E29" s="60">
        <f>(3+((5-3)/2))*E22/63.875</f>
        <v>4.1330724070450096</v>
      </c>
      <c r="F29" s="58">
        <f>E29*F22/E22</f>
        <v>189.29471624266145</v>
      </c>
      <c r="G29" s="59" t="s">
        <v>108</v>
      </c>
      <c r="H29" s="59"/>
      <c r="I29" s="61">
        <f t="shared" si="0"/>
        <v>0</v>
      </c>
      <c r="J29" s="62"/>
      <c r="K29" s="63"/>
      <c r="L29" s="64"/>
      <c r="N29" s="23"/>
    </row>
    <row r="30" spans="2:15" x14ac:dyDescent="0.2">
      <c r="B30" s="106"/>
      <c r="C30" s="105"/>
      <c r="D30" s="57" t="s">
        <v>134</v>
      </c>
      <c r="E30" s="60">
        <f>(1+((3-1)/2))*E22/63.875</f>
        <v>2.0665362035225048</v>
      </c>
      <c r="F30" s="58">
        <f>E30*F22/E22</f>
        <v>94.647358121330726</v>
      </c>
      <c r="G30" s="59" t="s">
        <v>107</v>
      </c>
      <c r="H30" s="59">
        <v>16</v>
      </c>
      <c r="I30" s="61">
        <f t="shared" si="0"/>
        <v>192</v>
      </c>
      <c r="J30" s="62">
        <v>340.32</v>
      </c>
      <c r="K30" s="63">
        <f>I30/J30</f>
        <v>0.56417489421720735</v>
      </c>
      <c r="L30" s="64">
        <f>K30*E30*C22/100</f>
        <v>53.397663256039905</v>
      </c>
      <c r="N30" s="23"/>
    </row>
    <row r="31" spans="2:15" x14ac:dyDescent="0.2">
      <c r="B31" s="92"/>
      <c r="C31" s="90"/>
      <c r="D31" s="57" t="s">
        <v>101</v>
      </c>
      <c r="E31" s="60">
        <f>(0.25+((0.5-0.25)/2))*E22/63.875</f>
        <v>0.38747553816046965</v>
      </c>
      <c r="F31" s="58">
        <f>E31*F22/E22</f>
        <v>17.74637964774951</v>
      </c>
      <c r="G31" s="59" t="s">
        <v>103</v>
      </c>
      <c r="H31" s="59">
        <v>7</v>
      </c>
      <c r="I31" s="61">
        <f t="shared" si="0"/>
        <v>84</v>
      </c>
      <c r="J31" s="62">
        <v>108.14</v>
      </c>
      <c r="K31" s="63">
        <f t="shared" si="4"/>
        <v>0.77677085259848344</v>
      </c>
      <c r="L31" s="64">
        <f>K31*E31*C22/100</f>
        <v>13.78487044951876</v>
      </c>
      <c r="N31" s="23"/>
    </row>
    <row r="32" spans="2:15" x14ac:dyDescent="0.2">
      <c r="B32" s="96" t="s">
        <v>51</v>
      </c>
      <c r="C32" s="93">
        <v>14000</v>
      </c>
      <c r="D32" s="65" t="s">
        <v>87</v>
      </c>
      <c r="E32" s="69">
        <v>70</v>
      </c>
      <c r="F32" s="58">
        <f>C32*E32/100</f>
        <v>9800</v>
      </c>
      <c r="G32" s="66"/>
      <c r="H32" s="66"/>
      <c r="I32" s="61"/>
      <c r="J32" s="67"/>
      <c r="K32" s="63"/>
      <c r="L32" s="64"/>
      <c r="N32" s="23"/>
      <c r="O32" s="23"/>
    </row>
    <row r="33" spans="2:15" x14ac:dyDescent="0.2">
      <c r="B33" s="97"/>
      <c r="C33" s="94"/>
      <c r="D33" s="65" t="s">
        <v>84</v>
      </c>
      <c r="E33" s="69">
        <f>(30+((50-30)/2))*E32/72</f>
        <v>38.888888888888886</v>
      </c>
      <c r="F33" s="58">
        <f>E33*F32/E32</f>
        <v>5444.4444444444434</v>
      </c>
      <c r="G33" s="66" t="s">
        <v>88</v>
      </c>
      <c r="H33" s="66">
        <v>5</v>
      </c>
      <c r="I33" s="61">
        <f t="shared" si="0"/>
        <v>60</v>
      </c>
      <c r="J33" s="67">
        <v>99.13</v>
      </c>
      <c r="K33" s="63">
        <f t="shared" si="4"/>
        <v>0.60526581256935341</v>
      </c>
      <c r="L33" s="64">
        <f>K33*E33*C32/100</f>
        <v>3295.336090655368</v>
      </c>
      <c r="N33" s="23"/>
      <c r="O33" s="23"/>
    </row>
    <row r="34" spans="2:15" x14ac:dyDescent="0.2">
      <c r="B34" s="97"/>
      <c r="C34" s="94"/>
      <c r="D34" s="65" t="s">
        <v>94</v>
      </c>
      <c r="E34" s="69">
        <f>(5+((7-5)/2))*E32/72</f>
        <v>5.833333333333333</v>
      </c>
      <c r="F34" s="58">
        <f>E34*F32/E32</f>
        <v>816.66666666666663</v>
      </c>
      <c r="G34" s="66" t="s">
        <v>104</v>
      </c>
      <c r="H34" s="66">
        <v>12</v>
      </c>
      <c r="I34" s="61">
        <f t="shared" si="0"/>
        <v>144</v>
      </c>
      <c r="J34" s="67">
        <v>198.35</v>
      </c>
      <c r="K34" s="63">
        <f t="shared" si="4"/>
        <v>0.72598941265439876</v>
      </c>
      <c r="L34" s="64">
        <f>K34*E34*C32/100</f>
        <v>592.89135366775895</v>
      </c>
      <c r="N34" s="23"/>
      <c r="O34" s="23"/>
    </row>
    <row r="35" spans="2:15" x14ac:dyDescent="0.2">
      <c r="B35" s="97"/>
      <c r="C35" s="94"/>
      <c r="D35" s="65" t="s">
        <v>95</v>
      </c>
      <c r="E35" s="69">
        <f>(5+((7-5)/2))*E32/72</f>
        <v>5.833333333333333</v>
      </c>
      <c r="F35" s="58">
        <f>E35*F32/E32</f>
        <v>816.66666666666663</v>
      </c>
      <c r="G35" s="66" t="s">
        <v>105</v>
      </c>
      <c r="H35" s="66">
        <v>7</v>
      </c>
      <c r="I35" s="61">
        <f t="shared" si="0"/>
        <v>84</v>
      </c>
      <c r="J35" s="67">
        <v>253.45</v>
      </c>
      <c r="K35" s="63">
        <f t="shared" si="4"/>
        <v>0.33142631682777668</v>
      </c>
      <c r="L35" s="64">
        <f>K35*E35*C32/100</f>
        <v>270.6648254093509</v>
      </c>
      <c r="N35" s="23"/>
      <c r="O35" s="23"/>
    </row>
    <row r="36" spans="2:15" x14ac:dyDescent="0.2">
      <c r="B36" s="97"/>
      <c r="C36" s="94"/>
      <c r="D36" s="65" t="s">
        <v>113</v>
      </c>
      <c r="E36" s="69">
        <f>(3+((5-3)/2))*E32/72</f>
        <v>3.8888888888888888</v>
      </c>
      <c r="F36" s="58">
        <f>E36*F32/E32</f>
        <v>544.44444444444446</v>
      </c>
      <c r="G36" s="66" t="s">
        <v>92</v>
      </c>
      <c r="H36" s="66">
        <v>8</v>
      </c>
      <c r="I36" s="61">
        <f t="shared" si="0"/>
        <v>96</v>
      </c>
      <c r="J36" s="67">
        <v>106.17</v>
      </c>
      <c r="K36" s="63">
        <f t="shared" si="4"/>
        <v>0.90421022887821412</v>
      </c>
      <c r="L36" s="64">
        <f>K36*E36*C32/100</f>
        <v>492.29223572258326</v>
      </c>
      <c r="N36" s="23"/>
      <c r="O36" s="23"/>
    </row>
    <row r="37" spans="2:15" x14ac:dyDescent="0.2">
      <c r="B37" s="97"/>
      <c r="C37" s="94"/>
      <c r="D37" s="65" t="s">
        <v>85</v>
      </c>
      <c r="E37" s="69">
        <f>(3+((5-3)/2))*E32/72</f>
        <v>3.8888888888888888</v>
      </c>
      <c r="F37" s="58">
        <f>E37*F32/E32</f>
        <v>544.44444444444446</v>
      </c>
      <c r="G37" s="66" t="s">
        <v>108</v>
      </c>
      <c r="H37" s="66"/>
      <c r="I37" s="61"/>
      <c r="J37" s="67"/>
      <c r="K37" s="63"/>
      <c r="L37" s="64"/>
      <c r="N37" s="23"/>
      <c r="O37" s="23"/>
    </row>
    <row r="38" spans="2:15" x14ac:dyDescent="0.2">
      <c r="B38" s="97"/>
      <c r="C38" s="94"/>
      <c r="D38" s="65" t="s">
        <v>86</v>
      </c>
      <c r="E38" s="69">
        <f>(3+((5-3)/2))*E32/72</f>
        <v>3.8888888888888888</v>
      </c>
      <c r="F38" s="58">
        <f>E38*F32/E32</f>
        <v>544.44444444444446</v>
      </c>
      <c r="G38" s="66" t="s">
        <v>93</v>
      </c>
      <c r="H38" s="66">
        <v>4</v>
      </c>
      <c r="I38" s="61">
        <f t="shared" si="0"/>
        <v>48</v>
      </c>
      <c r="J38" s="67">
        <v>87.12</v>
      </c>
      <c r="K38" s="63">
        <f t="shared" si="4"/>
        <v>0.55096418732782371</v>
      </c>
      <c r="L38" s="64">
        <f>K38*E38*C32/100</f>
        <v>299.96939087848182</v>
      </c>
      <c r="N38" s="23"/>
      <c r="O38" s="23"/>
    </row>
    <row r="39" spans="2:15" x14ac:dyDescent="0.2">
      <c r="B39" s="97"/>
      <c r="C39" s="94"/>
      <c r="D39" s="65" t="s">
        <v>109</v>
      </c>
      <c r="E39" s="69">
        <f>(3+((5-3)/2))*E32/72</f>
        <v>3.8888888888888888</v>
      </c>
      <c r="F39" s="58">
        <f>E39*F32/E32</f>
        <v>544.44444444444446</v>
      </c>
      <c r="G39" s="66" t="s">
        <v>110</v>
      </c>
      <c r="H39" s="66">
        <v>2</v>
      </c>
      <c r="I39" s="61">
        <f t="shared" si="0"/>
        <v>24</v>
      </c>
      <c r="J39" s="67">
        <v>62.07</v>
      </c>
      <c r="K39" s="63">
        <f t="shared" si="4"/>
        <v>0.38666022232962782</v>
      </c>
      <c r="L39" s="64">
        <f>K39*E39*C32/100</f>
        <v>210.51500993501958</v>
      </c>
      <c r="N39" s="23"/>
      <c r="O39" s="23"/>
    </row>
    <row r="40" spans="2:15" x14ac:dyDescent="0.2">
      <c r="B40" s="98"/>
      <c r="C40" s="95"/>
      <c r="D40" s="65" t="s">
        <v>112</v>
      </c>
      <c r="E40" s="69">
        <f>(3+((5-3)/2))*E32/72</f>
        <v>3.8888888888888888</v>
      </c>
      <c r="F40" s="58">
        <f>E40*F32/E32</f>
        <v>544.44444444444446</v>
      </c>
      <c r="G40" s="66" t="s">
        <v>111</v>
      </c>
      <c r="H40" s="66">
        <v>4</v>
      </c>
      <c r="I40" s="61">
        <f t="shared" si="0"/>
        <v>48</v>
      </c>
      <c r="J40" s="67">
        <v>74.12</v>
      </c>
      <c r="K40" s="63">
        <f t="shared" si="4"/>
        <v>0.64759848893685912</v>
      </c>
      <c r="L40" s="64">
        <f>K40*E40*C32/100</f>
        <v>352.58139953228994</v>
      </c>
      <c r="N40" s="23"/>
      <c r="O40" s="23"/>
    </row>
    <row r="41" spans="2:15" x14ac:dyDescent="0.2">
      <c r="B41" s="91" t="s">
        <v>52</v>
      </c>
      <c r="C41" s="89">
        <f>VLOOKUP(B41,Hoja1!A:D,4,FALSE)</f>
        <v>250</v>
      </c>
      <c r="D41" s="57" t="s">
        <v>87</v>
      </c>
      <c r="E41" s="60">
        <v>75</v>
      </c>
      <c r="F41" s="58">
        <f>C41*E41/100</f>
        <v>187.5</v>
      </c>
      <c r="G41" s="59"/>
      <c r="H41" s="59"/>
      <c r="I41" s="61"/>
      <c r="J41" s="62"/>
      <c r="K41" s="63"/>
      <c r="L41" s="64"/>
      <c r="N41" s="23"/>
      <c r="O41" s="23"/>
    </row>
    <row r="42" spans="2:15" x14ac:dyDescent="0.2">
      <c r="B42" s="106"/>
      <c r="C42" s="105"/>
      <c r="D42" s="57" t="s">
        <v>97</v>
      </c>
      <c r="E42" s="60">
        <f>(12.5+((20-12.5)/2))*75/61.25</f>
        <v>19.897959183673468</v>
      </c>
      <c r="F42" s="58">
        <f>E42*$F41/$E41</f>
        <v>49.744897959183668</v>
      </c>
      <c r="G42" s="59" t="s">
        <v>103</v>
      </c>
      <c r="H42" s="59">
        <v>7</v>
      </c>
      <c r="I42" s="61">
        <f t="shared" si="0"/>
        <v>84</v>
      </c>
      <c r="J42" s="62">
        <v>108.14</v>
      </c>
      <c r="K42" s="63">
        <f t="shared" si="4"/>
        <v>0.77677085259848344</v>
      </c>
      <c r="L42" s="64">
        <f>K42*E42*C41/100</f>
        <v>38.640386800179655</v>
      </c>
      <c r="N42" s="23"/>
      <c r="O42" s="23"/>
    </row>
    <row r="43" spans="2:15" x14ac:dyDescent="0.2">
      <c r="B43" s="106"/>
      <c r="C43" s="105"/>
      <c r="D43" s="57" t="s">
        <v>94</v>
      </c>
      <c r="E43" s="60">
        <f>(7+((10-7)/2))*75/61.25</f>
        <v>10.408163265306122</v>
      </c>
      <c r="F43" s="58">
        <f>E43*$F41/$E41</f>
        <v>26.020408163265305</v>
      </c>
      <c r="G43" s="59" t="s">
        <v>104</v>
      </c>
      <c r="H43" s="59">
        <v>12</v>
      </c>
      <c r="I43" s="61">
        <f t="shared" si="0"/>
        <v>144</v>
      </c>
      <c r="J43" s="62">
        <v>198.35</v>
      </c>
      <c r="K43" s="63">
        <f t="shared" si="4"/>
        <v>0.72598941265439876</v>
      </c>
      <c r="L43" s="64">
        <f>K43*E43*C41/100</f>
        <v>18.890540839476699</v>
      </c>
      <c r="N43" s="23"/>
      <c r="O43" s="23"/>
    </row>
    <row r="44" spans="2:15" x14ac:dyDescent="0.2">
      <c r="B44" s="106"/>
      <c r="C44" s="105"/>
      <c r="D44" s="57" t="s">
        <v>95</v>
      </c>
      <c r="E44" s="60">
        <f>(7+((10-7)/2))*75/61.25</f>
        <v>10.408163265306122</v>
      </c>
      <c r="F44" s="58">
        <f>E44*$F41/$E41</f>
        <v>26.020408163265305</v>
      </c>
      <c r="G44" s="59" t="s">
        <v>105</v>
      </c>
      <c r="H44" s="59">
        <v>7</v>
      </c>
      <c r="I44" s="61">
        <f t="shared" si="0"/>
        <v>84</v>
      </c>
      <c r="J44" s="62">
        <v>253.45</v>
      </c>
      <c r="K44" s="63">
        <f t="shared" si="4"/>
        <v>0.33142631682777668</v>
      </c>
      <c r="L44" s="64">
        <f>K44*E44*C41/100</f>
        <v>8.6238480399064343</v>
      </c>
      <c r="N44" s="23"/>
      <c r="O44" s="23"/>
    </row>
    <row r="45" spans="2:15" x14ac:dyDescent="0.2">
      <c r="B45" s="106"/>
      <c r="C45" s="105"/>
      <c r="D45" s="57" t="s">
        <v>96</v>
      </c>
      <c r="E45" s="60">
        <f>(7+((10-7)/2))*75/61.25</f>
        <v>10.408163265306122</v>
      </c>
      <c r="F45" s="58">
        <f>E45*$F41/$E41</f>
        <v>26.020408163265305</v>
      </c>
      <c r="G45" s="59" t="s">
        <v>102</v>
      </c>
      <c r="H45" s="59">
        <v>6</v>
      </c>
      <c r="I45" s="61">
        <f t="shared" si="0"/>
        <v>72</v>
      </c>
      <c r="J45" s="62">
        <v>94.11</v>
      </c>
      <c r="K45" s="63">
        <f t="shared" si="4"/>
        <v>0.76506216130060567</v>
      </c>
      <c r="L45" s="64">
        <f>K45*E45*C41/100</f>
        <v>19.907229707311679</v>
      </c>
      <c r="N45" s="23"/>
      <c r="O45" s="23"/>
    </row>
    <row r="46" spans="2:15" x14ac:dyDescent="0.2">
      <c r="B46" s="106"/>
      <c r="C46" s="105"/>
      <c r="D46" s="57" t="s">
        <v>113</v>
      </c>
      <c r="E46" s="60">
        <f>(5+((7-5)/2))*E41/61.25</f>
        <v>7.3469387755102042</v>
      </c>
      <c r="F46" s="58">
        <f>E46*$F41/$E41</f>
        <v>18.367346938775512</v>
      </c>
      <c r="G46" s="59" t="s">
        <v>92</v>
      </c>
      <c r="H46" s="59">
        <v>8</v>
      </c>
      <c r="I46" s="61">
        <f t="shared" si="0"/>
        <v>96</v>
      </c>
      <c r="J46" s="62">
        <v>106.17</v>
      </c>
      <c r="K46" s="63">
        <f>I46/J46</f>
        <v>0.90421022887821412</v>
      </c>
      <c r="L46" s="64">
        <f>K46*E46*C41/100</f>
        <v>16.607942979395769</v>
      </c>
      <c r="N46" s="23"/>
      <c r="O46" s="23"/>
    </row>
    <row r="47" spans="2:15" x14ac:dyDescent="0.2">
      <c r="B47" s="106"/>
      <c r="C47" s="105"/>
      <c r="D47" s="57" t="s">
        <v>85</v>
      </c>
      <c r="E47" s="60">
        <f>(5+((7-5)/2))*E41/61.25</f>
        <v>7.3469387755102042</v>
      </c>
      <c r="F47" s="58">
        <f>E47*$F41/$E41</f>
        <v>18.367346938775512</v>
      </c>
      <c r="G47" s="59" t="s">
        <v>108</v>
      </c>
      <c r="H47" s="59"/>
      <c r="I47" s="61"/>
      <c r="J47" s="62"/>
      <c r="K47" s="63"/>
      <c r="L47" s="64"/>
      <c r="N47" s="23"/>
      <c r="O47" s="23"/>
    </row>
    <row r="48" spans="2:15" x14ac:dyDescent="0.2">
      <c r="B48" s="106"/>
      <c r="C48" s="105"/>
      <c r="D48" s="57" t="s">
        <v>114</v>
      </c>
      <c r="E48" s="60">
        <f>(3+((5-3)/2))*E41/61.25</f>
        <v>4.8979591836734695</v>
      </c>
      <c r="F48" s="58">
        <f>E48*$F41/$E41</f>
        <v>12.244897959183675</v>
      </c>
      <c r="G48" s="59" t="s">
        <v>103</v>
      </c>
      <c r="H48" s="59">
        <v>7</v>
      </c>
      <c r="I48" s="61">
        <f>H48*12</f>
        <v>84</v>
      </c>
      <c r="J48" s="62">
        <v>108.14</v>
      </c>
      <c r="K48" s="63">
        <f>I48/J48</f>
        <v>0.77677085259848344</v>
      </c>
      <c r="L48" s="64">
        <f>K48*E48*C41/100</f>
        <v>9.5114798277365313</v>
      </c>
      <c r="N48" s="23"/>
      <c r="O48" s="23"/>
    </row>
    <row r="49" spans="2:15" x14ac:dyDescent="0.2">
      <c r="B49" s="106"/>
      <c r="C49" s="105"/>
      <c r="D49" s="57" t="s">
        <v>112</v>
      </c>
      <c r="E49" s="60">
        <f>(1+((3-1)/2))*E41/61.25</f>
        <v>2.4489795918367347</v>
      </c>
      <c r="F49" s="58">
        <f>E49*$F41/$E41</f>
        <v>6.1224489795918373</v>
      </c>
      <c r="G49" s="59" t="s">
        <v>111</v>
      </c>
      <c r="H49" s="59">
        <v>4</v>
      </c>
      <c r="I49" s="61">
        <f t="shared" si="0"/>
        <v>48</v>
      </c>
      <c r="J49" s="62">
        <v>74.12</v>
      </c>
      <c r="K49" s="63">
        <f>I49/J49</f>
        <v>0.64759848893685912</v>
      </c>
      <c r="L49" s="64">
        <f>K49*E49*C41/100</f>
        <v>3.9648887077766886</v>
      </c>
      <c r="N49" s="23"/>
      <c r="O49" s="23"/>
    </row>
    <row r="50" spans="2:15" x14ac:dyDescent="0.2">
      <c r="B50" s="106"/>
      <c r="C50" s="105"/>
      <c r="D50" s="57" t="s">
        <v>115</v>
      </c>
      <c r="E50" s="60">
        <f>(0.5+((1-0.5)/2))*E41/61.25</f>
        <v>0.91836734693877553</v>
      </c>
      <c r="F50" s="58">
        <f>E50*$F41/$E41</f>
        <v>2.295918367346939</v>
      </c>
      <c r="G50" s="59" t="s">
        <v>108</v>
      </c>
      <c r="H50" s="59"/>
      <c r="I50" s="61"/>
      <c r="J50" s="62"/>
      <c r="K50" s="63"/>
      <c r="L50" s="64"/>
      <c r="N50" s="23"/>
      <c r="O50" s="23"/>
    </row>
    <row r="51" spans="2:15" x14ac:dyDescent="0.2">
      <c r="B51" s="106"/>
      <c r="C51" s="105"/>
      <c r="D51" s="57" t="s">
        <v>116</v>
      </c>
      <c r="E51" s="60">
        <f>(0.25+((0.5-0.25)/2))*E41/61.25</f>
        <v>0.45918367346938777</v>
      </c>
      <c r="F51" s="58">
        <f>E51*$F41/$E41</f>
        <v>1.1479591836734695</v>
      </c>
      <c r="G51" s="59" t="s">
        <v>108</v>
      </c>
      <c r="H51" s="59"/>
      <c r="I51" s="61"/>
      <c r="J51" s="62"/>
      <c r="K51" s="63"/>
      <c r="L51" s="64"/>
      <c r="N51" s="23"/>
      <c r="O51" s="23"/>
    </row>
    <row r="52" spans="2:15" x14ac:dyDescent="0.2">
      <c r="B52" s="92"/>
      <c r="C52" s="90"/>
      <c r="D52" s="57" t="s">
        <v>117</v>
      </c>
      <c r="E52" s="60">
        <f>(0.25+((0.5-0.25)/2))*E41/61.25</f>
        <v>0.45918367346938777</v>
      </c>
      <c r="F52" s="58">
        <f>E52*$F41/$E41</f>
        <v>1.1479591836734695</v>
      </c>
      <c r="G52" s="59" t="s">
        <v>118</v>
      </c>
      <c r="H52" s="59">
        <v>10</v>
      </c>
      <c r="I52" s="61">
        <f t="shared" si="0"/>
        <v>120</v>
      </c>
      <c r="J52" s="62">
        <v>165.23</v>
      </c>
      <c r="K52" s="63">
        <f>I52/J52</f>
        <v>0.72626036434061614</v>
      </c>
      <c r="L52" s="64">
        <f>K52*E52*C41/100</f>
        <v>0.83371725498285021</v>
      </c>
      <c r="N52" s="23"/>
      <c r="O52" s="23"/>
    </row>
    <row r="53" spans="2:15" x14ac:dyDescent="0.2">
      <c r="B53" s="108" t="s">
        <v>53</v>
      </c>
      <c r="C53" s="107">
        <v>77050</v>
      </c>
      <c r="D53" s="65" t="s">
        <v>87</v>
      </c>
      <c r="E53" s="69">
        <v>73</v>
      </c>
      <c r="F53" s="58">
        <f>C53*E53/100</f>
        <v>56246.5</v>
      </c>
      <c r="G53" s="66"/>
      <c r="H53" s="66"/>
      <c r="I53" s="61"/>
      <c r="J53" s="67"/>
      <c r="K53" s="63"/>
      <c r="L53" s="64"/>
      <c r="N53" s="23"/>
      <c r="O53" s="23"/>
    </row>
    <row r="54" spans="2:15" x14ac:dyDescent="0.2">
      <c r="B54" s="108"/>
      <c r="C54" s="107"/>
      <c r="D54" s="65" t="s">
        <v>84</v>
      </c>
      <c r="E54" s="69">
        <f>(50+((100-50)/2))*E53/93.75</f>
        <v>58.4</v>
      </c>
      <c r="F54" s="58">
        <f>E54*$F53/$E53</f>
        <v>44997.200000000004</v>
      </c>
      <c r="G54" s="66" t="s">
        <v>88</v>
      </c>
      <c r="H54" s="66">
        <v>5</v>
      </c>
      <c r="I54" s="61">
        <f>H54*12</f>
        <v>60</v>
      </c>
      <c r="J54" s="67">
        <v>99.13</v>
      </c>
      <c r="K54" s="63">
        <f>I54/J54</f>
        <v>0.60526581256935341</v>
      </c>
      <c r="L54" s="64">
        <f>K54*E54*C53/100</f>
        <v>27235.266821345711</v>
      </c>
      <c r="N54" s="23"/>
      <c r="O54" s="23"/>
    </row>
    <row r="55" spans="2:15" x14ac:dyDescent="0.2">
      <c r="B55" s="108"/>
      <c r="C55" s="107"/>
      <c r="D55" s="65" t="s">
        <v>113</v>
      </c>
      <c r="E55" s="69">
        <f>(7+((10-7)/2))*E53/93.75</f>
        <v>6.6186666666666669</v>
      </c>
      <c r="F55" s="58">
        <f>E55*$F53/$E53</f>
        <v>5099.6826666666666</v>
      </c>
      <c r="G55" s="66" t="s">
        <v>92</v>
      </c>
      <c r="H55" s="66">
        <v>8</v>
      </c>
      <c r="I55" s="61">
        <f>H55*12</f>
        <v>96</v>
      </c>
      <c r="J55" s="67">
        <v>106.17</v>
      </c>
      <c r="K55" s="63">
        <f>I55/J55</f>
        <v>0.90421022887821412</v>
      </c>
      <c r="L55" s="64">
        <f>K55*E55*C53/100</f>
        <v>4611.1852312329283</v>
      </c>
      <c r="N55" s="23"/>
      <c r="O55" s="23"/>
    </row>
    <row r="56" spans="2:15" x14ac:dyDescent="0.2">
      <c r="B56" s="108"/>
      <c r="C56" s="107"/>
      <c r="D56" s="65" t="s">
        <v>85</v>
      </c>
      <c r="E56" s="69">
        <f>(7+((10-7)/2))*E53/93.75</f>
        <v>6.6186666666666669</v>
      </c>
      <c r="F56" s="58">
        <f>E56*$F53/$E53</f>
        <v>5099.6826666666666</v>
      </c>
      <c r="G56" s="66" t="s">
        <v>108</v>
      </c>
      <c r="H56" s="66"/>
      <c r="I56" s="61"/>
      <c r="J56" s="67"/>
      <c r="K56" s="63"/>
      <c r="L56" s="64"/>
      <c r="N56" s="23"/>
      <c r="O56" s="23"/>
    </row>
    <row r="57" spans="2:15" x14ac:dyDescent="0.2">
      <c r="B57" s="108"/>
      <c r="C57" s="107"/>
      <c r="D57" s="65" t="s">
        <v>97</v>
      </c>
      <c r="E57" s="69">
        <f>(1+((2.5-1)/2))*E53/93.75</f>
        <v>1.3626666666666667</v>
      </c>
      <c r="F57" s="58">
        <f>E57*$F53/$E53</f>
        <v>1049.9346666666668</v>
      </c>
      <c r="G57" s="66" t="s">
        <v>103</v>
      </c>
      <c r="H57" s="66">
        <v>7</v>
      </c>
      <c r="I57" s="61">
        <f>H57*12</f>
        <v>84</v>
      </c>
      <c r="J57" s="67">
        <v>108.14</v>
      </c>
      <c r="K57" s="63">
        <f>I57/J57</f>
        <v>0.77677085259848344</v>
      </c>
      <c r="L57" s="64">
        <f>K57*E57*C53/100</f>
        <v>815.5586461993712</v>
      </c>
      <c r="N57" s="23"/>
      <c r="O57" s="23"/>
    </row>
    <row r="58" spans="2:15" x14ac:dyDescent="0.2">
      <c r="B58" s="110" t="s">
        <v>54</v>
      </c>
      <c r="C58" s="109">
        <v>2300</v>
      </c>
      <c r="D58" s="57" t="s">
        <v>87</v>
      </c>
      <c r="E58" s="60">
        <v>70</v>
      </c>
      <c r="F58" s="58">
        <f>C58*E58/100</f>
        <v>1610</v>
      </c>
      <c r="G58" s="59"/>
      <c r="H58" s="59"/>
      <c r="I58" s="61"/>
      <c r="J58" s="62"/>
      <c r="K58" s="63"/>
      <c r="L58" s="64"/>
      <c r="N58" s="23"/>
      <c r="O58" s="23"/>
    </row>
    <row r="59" spans="2:15" x14ac:dyDescent="0.2">
      <c r="B59" s="110"/>
      <c r="C59" s="109"/>
      <c r="D59" s="57" t="s">
        <v>96</v>
      </c>
      <c r="E59" s="60">
        <f>(12.5+((20-12.5)/2))*E58/62.5</f>
        <v>18.2</v>
      </c>
      <c r="F59" s="58">
        <f>E59*$F58/$E58</f>
        <v>418.6</v>
      </c>
      <c r="G59" s="59" t="s">
        <v>102</v>
      </c>
      <c r="H59" s="59">
        <v>6</v>
      </c>
      <c r="I59" s="61">
        <f t="shared" ref="I59:I63" si="5">H59*12</f>
        <v>72</v>
      </c>
      <c r="J59" s="62">
        <v>94.11</v>
      </c>
      <c r="K59" s="63">
        <f t="shared" ref="K59:K61" si="6">I59/J59</f>
        <v>0.76506216130060567</v>
      </c>
      <c r="L59" s="64">
        <f>K59*E59*C58/100</f>
        <v>320.25502072043355</v>
      </c>
      <c r="N59" s="23"/>
      <c r="O59" s="23"/>
    </row>
    <row r="60" spans="2:15" x14ac:dyDescent="0.2">
      <c r="B60" s="110"/>
      <c r="C60" s="109"/>
      <c r="D60" s="57" t="s">
        <v>97</v>
      </c>
      <c r="E60" s="60">
        <f>(7+((10-7)/2))*E58/62.5</f>
        <v>9.52</v>
      </c>
      <c r="F60" s="58">
        <f>E60*$F58/$E58</f>
        <v>218.95999999999998</v>
      </c>
      <c r="G60" s="59" t="s">
        <v>103</v>
      </c>
      <c r="H60" s="59">
        <v>7</v>
      </c>
      <c r="I60" s="61">
        <f t="shared" si="5"/>
        <v>84</v>
      </c>
      <c r="J60" s="62">
        <v>108.14</v>
      </c>
      <c r="K60" s="63">
        <f t="shared" si="6"/>
        <v>0.77677085259848344</v>
      </c>
      <c r="L60" s="64">
        <f>K60*E60*C58/100</f>
        <v>170.08174588496394</v>
      </c>
      <c r="N60" s="23"/>
      <c r="O60" s="23"/>
    </row>
    <row r="61" spans="2:15" x14ac:dyDescent="0.2">
      <c r="B61" s="110"/>
      <c r="C61" s="109"/>
      <c r="D61" s="57" t="s">
        <v>113</v>
      </c>
      <c r="E61" s="60">
        <f>(7+((10-7)/2))*E58/62.5</f>
        <v>9.52</v>
      </c>
      <c r="F61" s="58">
        <f>E61*$F58/$E58</f>
        <v>218.95999999999998</v>
      </c>
      <c r="G61" s="59" t="s">
        <v>92</v>
      </c>
      <c r="H61" s="59">
        <v>8</v>
      </c>
      <c r="I61" s="61">
        <f t="shared" si="5"/>
        <v>96</v>
      </c>
      <c r="J61" s="62">
        <v>106.17</v>
      </c>
      <c r="K61" s="63">
        <f t="shared" si="6"/>
        <v>0.90421022887821412</v>
      </c>
      <c r="L61" s="64">
        <f>K61*E61*C58/100</f>
        <v>197.98587171517374</v>
      </c>
      <c r="N61" s="23"/>
      <c r="O61" s="23"/>
    </row>
    <row r="62" spans="2:15" x14ac:dyDescent="0.2">
      <c r="B62" s="110"/>
      <c r="C62" s="109"/>
      <c r="D62" s="57" t="s">
        <v>85</v>
      </c>
      <c r="E62" s="60">
        <f>(7+((10-7)/2))*E58/62.5</f>
        <v>9.52</v>
      </c>
      <c r="F62" s="58">
        <f>E62*$F58/$E58</f>
        <v>218.95999999999998</v>
      </c>
      <c r="G62" s="59" t="s">
        <v>108</v>
      </c>
      <c r="H62" s="59"/>
      <c r="I62" s="61"/>
      <c r="J62" s="62"/>
      <c r="K62" s="63"/>
      <c r="L62" s="64"/>
      <c r="N62" s="23"/>
      <c r="O62" s="23"/>
    </row>
    <row r="63" spans="2:15" x14ac:dyDescent="0.2">
      <c r="B63" s="110"/>
      <c r="C63" s="109"/>
      <c r="D63" s="57" t="s">
        <v>119</v>
      </c>
      <c r="E63" s="60">
        <f>(5+((7-5)/2))*E58/62.5</f>
        <v>6.72</v>
      </c>
      <c r="F63" s="58">
        <f>E63*$F58/$E58</f>
        <v>154.55999999999997</v>
      </c>
      <c r="G63" s="59" t="s">
        <v>120</v>
      </c>
      <c r="H63" s="59">
        <v>6</v>
      </c>
      <c r="I63" s="61">
        <f t="shared" si="5"/>
        <v>72</v>
      </c>
      <c r="J63" s="62">
        <v>132.16</v>
      </c>
      <c r="K63" s="63">
        <f t="shared" ref="K63:K67" si="7">I63/J63</f>
        <v>0.5447941888619855</v>
      </c>
      <c r="L63" s="64">
        <f>K63*E63*C58/100</f>
        <v>84.20338983050847</v>
      </c>
      <c r="N63" s="23"/>
      <c r="O63" s="23"/>
    </row>
    <row r="64" spans="2:15" x14ac:dyDescent="0.2">
      <c r="B64" s="110"/>
      <c r="C64" s="109"/>
      <c r="D64" s="57" t="s">
        <v>94</v>
      </c>
      <c r="E64" s="60">
        <f>(5+((7-5)/2))*E58/62.5</f>
        <v>6.72</v>
      </c>
      <c r="F64" s="58">
        <f>E64*$F58/$E58</f>
        <v>154.55999999999997</v>
      </c>
      <c r="G64" s="59" t="s">
        <v>104</v>
      </c>
      <c r="H64" s="59">
        <v>12</v>
      </c>
      <c r="I64" s="61">
        <f t="shared" ref="I64" si="8">H64*12</f>
        <v>144</v>
      </c>
      <c r="J64" s="62">
        <v>198.35</v>
      </c>
      <c r="K64" s="63">
        <f t="shared" si="7"/>
        <v>0.72598941265439876</v>
      </c>
      <c r="L64" s="64">
        <f>K64*E64*C58/100</f>
        <v>112.20892361986387</v>
      </c>
      <c r="N64" s="23"/>
      <c r="O64" s="23"/>
    </row>
    <row r="65" spans="2:15" x14ac:dyDescent="0.2">
      <c r="B65" s="110"/>
      <c r="C65" s="109"/>
      <c r="D65" s="57" t="s">
        <v>95</v>
      </c>
      <c r="E65" s="60">
        <f>(5+((7-5)/2))*E58/62.5</f>
        <v>6.72</v>
      </c>
      <c r="F65" s="58">
        <f>E65*$F58/$E58</f>
        <v>154.55999999999997</v>
      </c>
      <c r="G65" s="59" t="s">
        <v>105</v>
      </c>
      <c r="H65" s="59">
        <v>7</v>
      </c>
      <c r="I65" s="61">
        <f t="shared" ref="I65" si="9">H65*12</f>
        <v>84</v>
      </c>
      <c r="J65" s="62">
        <v>253.45</v>
      </c>
      <c r="K65" s="63">
        <f t="shared" si="7"/>
        <v>0.33142631682777668</v>
      </c>
      <c r="L65" s="64">
        <f>K65*E65*C58/100</f>
        <v>51.225251528901161</v>
      </c>
      <c r="N65" s="23"/>
      <c r="O65" s="23"/>
    </row>
    <row r="66" spans="2:15" x14ac:dyDescent="0.2">
      <c r="B66" s="110"/>
      <c r="C66" s="109"/>
      <c r="D66" s="57" t="s">
        <v>112</v>
      </c>
      <c r="E66" s="60">
        <f>(1+((3-1)/2))*E58/62.5</f>
        <v>2.2400000000000002</v>
      </c>
      <c r="F66" s="58">
        <f>E66*$F58/$E58</f>
        <v>51.52000000000001</v>
      </c>
      <c r="G66" s="59" t="s">
        <v>111</v>
      </c>
      <c r="H66" s="59">
        <v>4</v>
      </c>
      <c r="I66" s="61">
        <f t="shared" ref="I66:I67" si="10">H66*12</f>
        <v>48</v>
      </c>
      <c r="J66" s="62">
        <v>74.12</v>
      </c>
      <c r="K66" s="63">
        <f t="shared" si="7"/>
        <v>0.64759848893685912</v>
      </c>
      <c r="L66" s="64">
        <f>K66*E66*C58/100</f>
        <v>33.364274150026986</v>
      </c>
      <c r="N66" s="23"/>
      <c r="O66" s="23"/>
    </row>
    <row r="67" spans="2:15" x14ac:dyDescent="0.2">
      <c r="B67" s="110"/>
      <c r="C67" s="109"/>
      <c r="D67" s="57" t="s">
        <v>117</v>
      </c>
      <c r="E67" s="60">
        <f>(0.5+((1-0.5)/2))*E58/62.5</f>
        <v>0.84</v>
      </c>
      <c r="F67" s="58">
        <f>E67*$F58/$E58</f>
        <v>19.319999999999997</v>
      </c>
      <c r="G67" s="59" t="s">
        <v>118</v>
      </c>
      <c r="H67" s="59">
        <v>10</v>
      </c>
      <c r="I67" s="61">
        <f t="shared" si="10"/>
        <v>120</v>
      </c>
      <c r="J67" s="62">
        <v>165.23</v>
      </c>
      <c r="K67" s="63">
        <f t="shared" si="7"/>
        <v>0.72626036434061614</v>
      </c>
      <c r="L67" s="64">
        <f>K67*E67*C58/100</f>
        <v>14.031350239060705</v>
      </c>
      <c r="N67" s="23"/>
      <c r="O67" s="23"/>
    </row>
    <row r="68" spans="2:15" x14ac:dyDescent="0.2">
      <c r="B68" s="108" t="s">
        <v>55</v>
      </c>
      <c r="C68" s="107">
        <v>267600</v>
      </c>
      <c r="D68" s="65" t="s">
        <v>87</v>
      </c>
      <c r="E68" s="69">
        <v>59</v>
      </c>
      <c r="F68" s="58">
        <f t="shared" ref="F68" si="11">C68*E68/100</f>
        <v>157884</v>
      </c>
      <c r="G68" s="66"/>
      <c r="H68" s="66"/>
      <c r="I68" s="61"/>
      <c r="J68" s="67"/>
      <c r="K68" s="63"/>
      <c r="L68" s="64"/>
      <c r="N68" s="23"/>
      <c r="O68" s="23"/>
    </row>
    <row r="69" spans="2:15" x14ac:dyDescent="0.2">
      <c r="B69" s="108"/>
      <c r="C69" s="107"/>
      <c r="D69" s="65" t="s">
        <v>97</v>
      </c>
      <c r="E69" s="69">
        <f>(12.5+((20-12.5)/2))*E68/65.75</f>
        <v>14.581749049429657</v>
      </c>
      <c r="F69" s="58">
        <f>E69*F68/E68</f>
        <v>39020.760456273769</v>
      </c>
      <c r="G69" s="66" t="s">
        <v>103</v>
      </c>
      <c r="H69" s="66">
        <v>7</v>
      </c>
      <c r="I69" s="61">
        <f>H69*12</f>
        <v>84</v>
      </c>
      <c r="J69" s="67">
        <v>108.14</v>
      </c>
      <c r="K69" s="63">
        <f t="shared" ref="K69:K72" si="12">I69/J69</f>
        <v>0.77677085259848344</v>
      </c>
      <c r="L69" s="64">
        <f>K69*E69*C68/100</f>
        <v>30310.189368660958</v>
      </c>
      <c r="N69" s="23"/>
      <c r="O69" s="23"/>
    </row>
    <row r="70" spans="2:15" x14ac:dyDescent="0.2">
      <c r="B70" s="108"/>
      <c r="C70" s="107"/>
      <c r="D70" s="65" t="s">
        <v>96</v>
      </c>
      <c r="E70" s="69">
        <f>(10+((12.5-10)/2))*E68/65.75</f>
        <v>10.095057034220533</v>
      </c>
      <c r="F70" s="58">
        <f>E70*F68/E68</f>
        <v>27014.372623574145</v>
      </c>
      <c r="G70" s="66" t="s">
        <v>102</v>
      </c>
      <c r="H70" s="66">
        <v>6</v>
      </c>
      <c r="I70" s="61">
        <f t="shared" ref="I70:I72" si="13">H70*12</f>
        <v>72</v>
      </c>
      <c r="J70" s="67">
        <v>94.11</v>
      </c>
      <c r="K70" s="63">
        <f t="shared" si="12"/>
        <v>0.76506216130060567</v>
      </c>
      <c r="L70" s="64">
        <f>K70*E70*C68/100</f>
        <v>20667.674305571549</v>
      </c>
      <c r="N70" s="23"/>
      <c r="O70" s="23"/>
    </row>
    <row r="71" spans="2:15" x14ac:dyDescent="0.2">
      <c r="B71" s="108"/>
      <c r="C71" s="107"/>
      <c r="D71" s="65" t="s">
        <v>94</v>
      </c>
      <c r="E71" s="69">
        <f>(7+((10-7)/2))*E68/65.75</f>
        <v>7.6273764258555135</v>
      </c>
      <c r="F71" s="58">
        <f>E71*F68/E68</f>
        <v>20410.859315589354</v>
      </c>
      <c r="G71" s="66" t="s">
        <v>104</v>
      </c>
      <c r="H71" s="66">
        <v>12</v>
      </c>
      <c r="I71" s="61">
        <f t="shared" si="13"/>
        <v>144</v>
      </c>
      <c r="J71" s="67">
        <v>198.35</v>
      </c>
      <c r="K71" s="63">
        <f t="shared" si="12"/>
        <v>0.72598941265439876</v>
      </c>
      <c r="L71" s="64">
        <f>K71*E71*C68/100</f>
        <v>14818.067766296277</v>
      </c>
      <c r="N71" s="23"/>
      <c r="O71" s="23"/>
    </row>
    <row r="72" spans="2:15" x14ac:dyDescent="0.2">
      <c r="B72" s="108"/>
      <c r="C72" s="107"/>
      <c r="D72" s="65" t="s">
        <v>95</v>
      </c>
      <c r="E72" s="69">
        <f>(7+((10-7)/2))*E68/65.75</f>
        <v>7.6273764258555135</v>
      </c>
      <c r="F72" s="58">
        <f>E72*F68/E68</f>
        <v>20410.859315589354</v>
      </c>
      <c r="G72" s="66" t="s">
        <v>105</v>
      </c>
      <c r="H72" s="66">
        <v>7</v>
      </c>
      <c r="I72" s="61">
        <f t="shared" si="13"/>
        <v>84</v>
      </c>
      <c r="J72" s="67">
        <v>253.45</v>
      </c>
      <c r="K72" s="63">
        <f t="shared" si="12"/>
        <v>0.33142631682777668</v>
      </c>
      <c r="L72" s="64">
        <f>K72*E72*C68/100</f>
        <v>6764.6959262556948</v>
      </c>
      <c r="N72" s="23"/>
      <c r="O72" s="23"/>
    </row>
    <row r="73" spans="2:15" x14ac:dyDescent="0.2">
      <c r="B73" s="108"/>
      <c r="C73" s="107"/>
      <c r="D73" s="65" t="s">
        <v>98</v>
      </c>
      <c r="E73" s="69">
        <f>(7+((10-7)/2))*E68/65.75</f>
        <v>7.6273764258555135</v>
      </c>
      <c r="F73" s="58">
        <f>E73*F68/E68</f>
        <v>20410.859315589354</v>
      </c>
      <c r="G73" s="66" t="s">
        <v>108</v>
      </c>
      <c r="H73" s="66"/>
      <c r="I73" s="61"/>
      <c r="J73" s="67"/>
      <c r="K73" s="63"/>
      <c r="L73" s="64"/>
      <c r="N73" s="23"/>
      <c r="O73" s="23"/>
    </row>
    <row r="74" spans="2:15" x14ac:dyDescent="0.2">
      <c r="B74" s="108"/>
      <c r="C74" s="107"/>
      <c r="D74" s="65" t="s">
        <v>99</v>
      </c>
      <c r="E74" s="69">
        <f>(5+((5-3)/2))*E68/65.75</f>
        <v>5.3840304182509504</v>
      </c>
      <c r="F74" s="58">
        <f>E74*F68/E68</f>
        <v>14407.665399239542</v>
      </c>
      <c r="G74" s="66" t="s">
        <v>106</v>
      </c>
      <c r="H74" s="66">
        <v>9</v>
      </c>
      <c r="I74" s="61">
        <f t="shared" ref="I74:I83" si="14">H74*12</f>
        <v>108</v>
      </c>
      <c r="J74" s="67">
        <v>136.19</v>
      </c>
      <c r="K74" s="63">
        <f t="shared" si="1"/>
        <v>0.79300976576841176</v>
      </c>
      <c r="L74" s="64">
        <f>K74*E74*C68/100</f>
        <v>11425.419363520599</v>
      </c>
      <c r="N74" s="23"/>
      <c r="O74" s="23"/>
    </row>
    <row r="75" spans="2:15" x14ac:dyDescent="0.2">
      <c r="B75" s="108"/>
      <c r="C75" s="107"/>
      <c r="D75" s="65" t="s">
        <v>100</v>
      </c>
      <c r="E75" s="69">
        <f>(5+((5-3)/2))*E68/65.75</f>
        <v>5.3840304182509504</v>
      </c>
      <c r="F75" s="58">
        <f>E75*F68/E68</f>
        <v>14407.665399239542</v>
      </c>
      <c r="G75" s="66" t="s">
        <v>108</v>
      </c>
      <c r="H75" s="66"/>
      <c r="I75" s="61"/>
      <c r="J75" s="67"/>
      <c r="K75" s="63"/>
      <c r="L75" s="64"/>
      <c r="N75" s="23"/>
      <c r="O75" s="23"/>
    </row>
    <row r="76" spans="2:15" x14ac:dyDescent="0.2">
      <c r="B76" s="108"/>
      <c r="C76" s="107"/>
      <c r="D76" s="65" t="s">
        <v>121</v>
      </c>
      <c r="E76" s="69">
        <f>(0.5+((1-0.5)/2))*E68/65.75</f>
        <v>0.6730038022813688</v>
      </c>
      <c r="F76" s="58">
        <f>E76*F68/E68</f>
        <v>1800.9581749049428</v>
      </c>
      <c r="G76" s="66" t="s">
        <v>122</v>
      </c>
      <c r="H76" s="66">
        <v>5</v>
      </c>
      <c r="I76" s="61">
        <f t="shared" si="14"/>
        <v>60</v>
      </c>
      <c r="J76" s="67">
        <v>120.15</v>
      </c>
      <c r="K76" s="63">
        <f t="shared" ref="K76" si="15">I76/J76</f>
        <v>0.49937578027465668</v>
      </c>
      <c r="L76" s="64">
        <f>K76*E76*C68/100</f>
        <v>899.35489383517745</v>
      </c>
      <c r="N76" s="23"/>
      <c r="O76" s="23"/>
    </row>
    <row r="77" spans="2:15" x14ac:dyDescent="0.2">
      <c r="B77" s="91" t="s">
        <v>56</v>
      </c>
      <c r="C77" s="89">
        <v>9260</v>
      </c>
      <c r="D77" s="57" t="s">
        <v>87</v>
      </c>
      <c r="E77" s="60">
        <v>60</v>
      </c>
      <c r="F77" s="58">
        <f t="shared" ref="F77" si="16">C77*E77/100</f>
        <v>5556</v>
      </c>
      <c r="G77" s="59"/>
      <c r="H77" s="59"/>
      <c r="I77" s="61"/>
      <c r="J77" s="62"/>
      <c r="K77" s="63"/>
      <c r="L77" s="64"/>
      <c r="N77" s="23"/>
      <c r="O77" s="23"/>
    </row>
    <row r="78" spans="2:15" x14ac:dyDescent="0.2">
      <c r="B78" s="106"/>
      <c r="C78" s="105"/>
      <c r="D78" s="57" t="s">
        <v>123</v>
      </c>
      <c r="E78" s="60">
        <f>(25+((35-25)/2))*E77/59.98</f>
        <v>30.010003334444818</v>
      </c>
      <c r="F78" s="58">
        <f>E78*F77/E77</f>
        <v>2778.9263087695899</v>
      </c>
      <c r="G78" s="59" t="s">
        <v>103</v>
      </c>
      <c r="H78" s="59">
        <v>7</v>
      </c>
      <c r="I78" s="61">
        <f t="shared" si="14"/>
        <v>84</v>
      </c>
      <c r="J78" s="62">
        <v>108.14</v>
      </c>
      <c r="K78" s="63">
        <f t="shared" ref="K78:K83" si="17">I78/J78</f>
        <v>0.77677085259848344</v>
      </c>
      <c r="L78" s="64">
        <f>K78*E78*C77/100</f>
        <v>2158.5889581713113</v>
      </c>
      <c r="N78" s="23"/>
      <c r="O78" s="23"/>
    </row>
    <row r="79" spans="2:15" x14ac:dyDescent="0.2">
      <c r="B79" s="106"/>
      <c r="C79" s="105"/>
      <c r="D79" s="57" t="s">
        <v>109</v>
      </c>
      <c r="E79" s="60">
        <f>(15+((20-15)/2))*E77/59.98</f>
        <v>17.505835278426144</v>
      </c>
      <c r="F79" s="58">
        <f>E79*F77/E77</f>
        <v>1621.0403467822609</v>
      </c>
      <c r="G79" s="59" t="s">
        <v>110</v>
      </c>
      <c r="H79" s="59">
        <v>2</v>
      </c>
      <c r="I79" s="61">
        <f t="shared" si="14"/>
        <v>24</v>
      </c>
      <c r="J79" s="62">
        <v>62.07</v>
      </c>
      <c r="K79" s="63">
        <f t="shared" si="17"/>
        <v>0.38666022232962782</v>
      </c>
      <c r="L79" s="64">
        <f>K79*E79*C77/100</f>
        <v>626.791820892126</v>
      </c>
      <c r="N79" s="23"/>
      <c r="O79" s="23"/>
    </row>
    <row r="80" spans="2:15" x14ac:dyDescent="0.2">
      <c r="B80" s="106"/>
      <c r="C80" s="105"/>
      <c r="D80" s="57" t="s">
        <v>124</v>
      </c>
      <c r="E80" s="60">
        <f>(7+((10-7)/2))*E77/59.98</f>
        <v>8.5028342780926973</v>
      </c>
      <c r="F80" s="58">
        <f>E80*F77/E77</f>
        <v>787.36245415138376</v>
      </c>
      <c r="G80" s="59" t="s">
        <v>126</v>
      </c>
      <c r="H80" s="59">
        <v>8</v>
      </c>
      <c r="I80" s="61">
        <f t="shared" si="14"/>
        <v>96</v>
      </c>
      <c r="J80" s="62">
        <v>122.16</v>
      </c>
      <c r="K80" s="63">
        <f t="shared" si="17"/>
        <v>0.78585461689587432</v>
      </c>
      <c r="L80" s="64">
        <f>K80*E80*C77/100</f>
        <v>618.75241976533118</v>
      </c>
      <c r="N80" s="23"/>
      <c r="O80" s="23"/>
    </row>
    <row r="81" spans="2:15" x14ac:dyDescent="0.2">
      <c r="B81" s="106"/>
      <c r="C81" s="105"/>
      <c r="D81" s="57" t="s">
        <v>96</v>
      </c>
      <c r="E81" s="60">
        <f>(2+((2.5-2)/2))*E77/59.98</f>
        <v>2.2507502500833612</v>
      </c>
      <c r="F81" s="58">
        <f>E81*F77/E77</f>
        <v>208.41947315771924</v>
      </c>
      <c r="G81" s="59" t="s">
        <v>102</v>
      </c>
      <c r="H81" s="59">
        <v>6</v>
      </c>
      <c r="I81" s="61">
        <f t="shared" si="14"/>
        <v>72</v>
      </c>
      <c r="J81" s="62">
        <v>94.11</v>
      </c>
      <c r="K81" s="63">
        <f t="shared" si="17"/>
        <v>0.76506216130060567</v>
      </c>
      <c r="L81" s="64">
        <f>K81*E81*C77/100</f>
        <v>159.45385259117825</v>
      </c>
      <c r="N81" s="23"/>
      <c r="O81" s="23"/>
    </row>
    <row r="82" spans="2:15" x14ac:dyDescent="0.2">
      <c r="B82" s="106"/>
      <c r="C82" s="105"/>
      <c r="D82" s="57" t="s">
        <v>125</v>
      </c>
      <c r="E82" s="60">
        <f>(1+((2-1)/2))*E77/59.98</f>
        <v>1.5005001667222408</v>
      </c>
      <c r="F82" s="58">
        <f>E82*F77/E77</f>
        <v>138.9463154384795</v>
      </c>
      <c r="G82" s="59" t="s">
        <v>127</v>
      </c>
      <c r="H82" s="59">
        <v>4</v>
      </c>
      <c r="I82" s="61">
        <f t="shared" si="14"/>
        <v>48</v>
      </c>
      <c r="J82" s="62">
        <v>102.09</v>
      </c>
      <c r="K82" s="63">
        <f t="shared" si="17"/>
        <v>0.47017337643255946</v>
      </c>
      <c r="L82" s="64">
        <f>K82*E82*C77/100</f>
        <v>65.32885827257337</v>
      </c>
      <c r="N82" s="23"/>
      <c r="O82" s="23"/>
    </row>
    <row r="83" spans="2:15" x14ac:dyDescent="0.2">
      <c r="B83" s="92"/>
      <c r="C83" s="90"/>
      <c r="D83" s="57" t="s">
        <v>129</v>
      </c>
      <c r="E83" s="60">
        <f>(0.2+((0.25-0.2)/2))*E77/59.98</f>
        <v>0.22507502500833612</v>
      </c>
      <c r="F83" s="58">
        <f>E83*F77/E77</f>
        <v>20.841947315771925</v>
      </c>
      <c r="G83" s="59" t="s">
        <v>128</v>
      </c>
      <c r="H83" s="59">
        <v>6</v>
      </c>
      <c r="I83" s="61">
        <f t="shared" si="14"/>
        <v>72</v>
      </c>
      <c r="J83" s="62">
        <v>113.16</v>
      </c>
      <c r="K83" s="63">
        <f t="shared" si="17"/>
        <v>0.63626723223753978</v>
      </c>
      <c r="L83" s="64">
        <f>K83*E83*C77/100</f>
        <v>13.261048133046822</v>
      </c>
      <c r="N83" s="23"/>
      <c r="O83" s="23"/>
    </row>
    <row r="84" spans="2:15" x14ac:dyDescent="0.2">
      <c r="B84" s="96" t="s">
        <v>57</v>
      </c>
      <c r="C84" s="93">
        <v>5705</v>
      </c>
      <c r="D84" s="65" t="s">
        <v>87</v>
      </c>
      <c r="E84" s="69">
        <v>73</v>
      </c>
      <c r="F84" s="58">
        <f>C84*E84/100</f>
        <v>4164.6499999999996</v>
      </c>
      <c r="G84" s="66"/>
      <c r="H84" s="66"/>
      <c r="I84" s="61"/>
      <c r="J84" s="67"/>
      <c r="K84" s="63"/>
      <c r="L84" s="64"/>
      <c r="N84" s="23"/>
      <c r="O84" s="23"/>
    </row>
    <row r="85" spans="2:15" x14ac:dyDescent="0.2">
      <c r="B85" s="97"/>
      <c r="C85" s="94"/>
      <c r="D85" s="65" t="s">
        <v>84</v>
      </c>
      <c r="E85" s="69">
        <f>(50+((100-50)/2))*E84/105</f>
        <v>52.142857142857146</v>
      </c>
      <c r="F85" s="58">
        <f>E85*F84/E84</f>
        <v>2974.75</v>
      </c>
      <c r="G85" s="66" t="s">
        <v>88</v>
      </c>
      <c r="H85" s="66">
        <v>5</v>
      </c>
      <c r="I85" s="61">
        <f>H85*12</f>
        <v>60</v>
      </c>
      <c r="J85" s="67">
        <v>99.13</v>
      </c>
      <c r="K85" s="63">
        <f>I85/J85</f>
        <v>0.60526581256935341</v>
      </c>
      <c r="L85" s="64">
        <f>K85*E85*C84/100</f>
        <v>1800.5144759406842</v>
      </c>
      <c r="N85" s="23"/>
      <c r="O85" s="23"/>
    </row>
    <row r="86" spans="2:15" x14ac:dyDescent="0.2">
      <c r="B86" s="97"/>
      <c r="C86" s="94"/>
      <c r="D86" s="65" t="s">
        <v>130</v>
      </c>
      <c r="E86" s="69">
        <f>(10+((25-10)/2))*E84/105</f>
        <v>12.166666666666666</v>
      </c>
      <c r="F86" s="58">
        <f>E86*F84/E84</f>
        <v>694.10833333333323</v>
      </c>
      <c r="G86" s="66" t="s">
        <v>92</v>
      </c>
      <c r="H86" s="66">
        <v>8</v>
      </c>
      <c r="I86" s="61">
        <f>H86*12</f>
        <v>96</v>
      </c>
      <c r="J86" s="67">
        <v>106.17</v>
      </c>
      <c r="K86" s="63">
        <f t="shared" ref="K86:K88" si="18">I86/J86</f>
        <v>0.90421022887821412</v>
      </c>
      <c r="L86" s="64">
        <f>K86*E86*C84/100</f>
        <v>627.61985494960902</v>
      </c>
      <c r="N86" s="23"/>
      <c r="O86" s="23"/>
    </row>
    <row r="87" spans="2:15" x14ac:dyDescent="0.2">
      <c r="B87" s="97"/>
      <c r="C87" s="94"/>
      <c r="D87" s="65" t="s">
        <v>131</v>
      </c>
      <c r="E87" s="69">
        <f>(2.5+((10-2.5)/2))*E84/105</f>
        <v>4.3452380952380949</v>
      </c>
      <c r="F87" s="58">
        <f>E87*F84/E84</f>
        <v>247.89583333333331</v>
      </c>
      <c r="G87" s="66" t="s">
        <v>132</v>
      </c>
      <c r="H87" s="66">
        <v>7</v>
      </c>
      <c r="I87" s="61">
        <f>H87*12</f>
        <v>84</v>
      </c>
      <c r="J87" s="67">
        <v>253.45</v>
      </c>
      <c r="K87" s="63">
        <f>I87/J87</f>
        <v>0.33142631682777668</v>
      </c>
      <c r="L87" s="64">
        <f>K87*E87*C84/100</f>
        <v>82.159202998619051</v>
      </c>
      <c r="N87" s="23"/>
      <c r="O87" s="23"/>
    </row>
    <row r="88" spans="2:15" x14ac:dyDescent="0.2">
      <c r="B88" s="98"/>
      <c r="C88" s="95"/>
      <c r="D88" s="65" t="s">
        <v>133</v>
      </c>
      <c r="E88" s="69">
        <f>(2.5+((10-2.5)/2))*E84/105</f>
        <v>4.3452380952380949</v>
      </c>
      <c r="F88" s="58">
        <f>E88*F84/E84</f>
        <v>247.89583333333331</v>
      </c>
      <c r="G88" s="66" t="s">
        <v>92</v>
      </c>
      <c r="H88" s="66">
        <v>8</v>
      </c>
      <c r="I88" s="61">
        <f>H88*12</f>
        <v>96</v>
      </c>
      <c r="J88" s="67">
        <v>106.17</v>
      </c>
      <c r="K88" s="63">
        <f t="shared" si="18"/>
        <v>0.90421022887821412</v>
      </c>
      <c r="L88" s="64">
        <f>K88*E88*C84/100</f>
        <v>224.14994819628893</v>
      </c>
      <c r="N88" s="23"/>
      <c r="O88" s="23"/>
    </row>
    <row r="89" spans="2:15" x14ac:dyDescent="0.2">
      <c r="B89" s="91" t="s">
        <v>58</v>
      </c>
      <c r="C89" s="89">
        <v>5000</v>
      </c>
      <c r="D89" s="57" t="s">
        <v>87</v>
      </c>
      <c r="E89" s="60">
        <v>100</v>
      </c>
      <c r="F89" s="58">
        <f>C89*E89/100</f>
        <v>5000</v>
      </c>
      <c r="G89" s="59"/>
      <c r="H89" s="59"/>
      <c r="I89" s="61"/>
      <c r="J89" s="62"/>
      <c r="K89" s="63"/>
      <c r="L89" s="64"/>
      <c r="N89" s="23"/>
      <c r="O89" s="23"/>
    </row>
    <row r="90" spans="2:15" x14ac:dyDescent="0.2">
      <c r="B90" s="106"/>
      <c r="C90" s="105"/>
      <c r="D90" s="57" t="s">
        <v>86</v>
      </c>
      <c r="E90" s="60">
        <f>(50+((100-50)/2))*E89/120</f>
        <v>62.5</v>
      </c>
      <c r="F90" s="58">
        <f>E90*F89/E89</f>
        <v>3125</v>
      </c>
      <c r="G90" s="59" t="s">
        <v>93</v>
      </c>
      <c r="H90" s="59">
        <v>4</v>
      </c>
      <c r="I90" s="61">
        <f t="shared" ref="I90:I91" si="19">H90*12</f>
        <v>48</v>
      </c>
      <c r="J90" s="62">
        <v>87.12</v>
      </c>
      <c r="K90" s="63">
        <f t="shared" ref="K90:K91" si="20">I90/J90</f>
        <v>0.55096418732782371</v>
      </c>
      <c r="L90" s="64">
        <f>K90*E90*C89/100</f>
        <v>1721.763085399449</v>
      </c>
      <c r="N90" s="23"/>
      <c r="O90" s="23"/>
    </row>
    <row r="91" spans="2:15" x14ac:dyDescent="0.2">
      <c r="B91" s="106"/>
      <c r="C91" s="105"/>
      <c r="D91" s="57" t="s">
        <v>113</v>
      </c>
      <c r="E91" s="60">
        <f>(20+((25-20)/2))*E89/120</f>
        <v>18.75</v>
      </c>
      <c r="F91" s="58">
        <f>E91*F89/E89</f>
        <v>937.5</v>
      </c>
      <c r="G91" s="59" t="s">
        <v>92</v>
      </c>
      <c r="H91" s="59">
        <v>8</v>
      </c>
      <c r="I91" s="61">
        <f t="shared" si="19"/>
        <v>96</v>
      </c>
      <c r="J91" s="62">
        <v>106.17</v>
      </c>
      <c r="K91" s="63">
        <f t="shared" si="20"/>
        <v>0.90421022887821412</v>
      </c>
      <c r="L91" s="64">
        <f>K91*E91*C89/100</f>
        <v>847.6970895733258</v>
      </c>
      <c r="N91" s="23"/>
      <c r="O91" s="23"/>
    </row>
    <row r="92" spans="2:15" x14ac:dyDescent="0.2">
      <c r="B92" s="92"/>
      <c r="C92" s="90"/>
      <c r="D92" s="57" t="s">
        <v>85</v>
      </c>
      <c r="E92" s="60">
        <f>(20+((25-20)/2))*E89/120</f>
        <v>18.75</v>
      </c>
      <c r="F92" s="58">
        <f>E92*F89/E89</f>
        <v>937.5</v>
      </c>
      <c r="G92" s="59" t="s">
        <v>108</v>
      </c>
      <c r="H92" s="59"/>
      <c r="I92" s="61"/>
      <c r="J92" s="62"/>
      <c r="K92" s="63"/>
      <c r="L92" s="64"/>
      <c r="N92" s="23"/>
      <c r="O92" s="23"/>
    </row>
    <row r="93" spans="2:15" x14ac:dyDescent="0.2">
      <c r="B93" s="108" t="s">
        <v>59</v>
      </c>
      <c r="C93" s="107">
        <v>4350</v>
      </c>
      <c r="D93" s="65" t="s">
        <v>87</v>
      </c>
      <c r="E93" s="69">
        <v>56</v>
      </c>
      <c r="F93" s="58">
        <f>C93*E93/100</f>
        <v>2436</v>
      </c>
      <c r="G93" s="66"/>
      <c r="H93" s="66"/>
      <c r="I93" s="61"/>
      <c r="J93" s="67"/>
      <c r="K93" s="63"/>
      <c r="L93" s="64"/>
      <c r="N93" s="23"/>
      <c r="O93" s="23"/>
    </row>
    <row r="94" spans="2:15" x14ac:dyDescent="0.2">
      <c r="B94" s="108"/>
      <c r="C94" s="107"/>
      <c r="D94" s="65" t="s">
        <v>97</v>
      </c>
      <c r="E94" s="69">
        <f>(12.5+((20-12.5)/2))*E93/54.98</f>
        <v>16.551473263004731</v>
      </c>
      <c r="F94" s="58">
        <f>E94*F93/E93</f>
        <v>719.98908694070576</v>
      </c>
      <c r="G94" s="66" t="s">
        <v>103</v>
      </c>
      <c r="H94" s="66">
        <v>7</v>
      </c>
      <c r="I94" s="61">
        <f>H94*12</f>
        <v>84</v>
      </c>
      <c r="J94" s="67">
        <v>108.14</v>
      </c>
      <c r="K94" s="63">
        <f t="shared" ref="K94:K97" si="21">I94/J94</f>
        <v>0.77677085259848344</v>
      </c>
      <c r="L94" s="64">
        <f>K94*E94*C93/100</f>
        <v>559.26653692453556</v>
      </c>
      <c r="N94" s="23"/>
      <c r="O94" s="23"/>
    </row>
    <row r="95" spans="2:15" x14ac:dyDescent="0.2">
      <c r="B95" s="108"/>
      <c r="C95" s="107"/>
      <c r="D95" s="65" t="s">
        <v>94</v>
      </c>
      <c r="E95" s="69">
        <f>(7+((10-7)/2))*E93/54.98</f>
        <v>8.6576937068024744</v>
      </c>
      <c r="F95" s="58">
        <f>E95*F93/E93</f>
        <v>376.60967624590768</v>
      </c>
      <c r="G95" s="66" t="s">
        <v>104</v>
      </c>
      <c r="H95" s="66">
        <v>12</v>
      </c>
      <c r="I95" s="61">
        <f t="shared" ref="I95:I96" si="22">H95*12</f>
        <v>144</v>
      </c>
      <c r="J95" s="67">
        <v>198.35</v>
      </c>
      <c r="K95" s="63">
        <f t="shared" si="21"/>
        <v>0.72598941265439876</v>
      </c>
      <c r="L95" s="64">
        <f>K95*E95*C93/100</f>
        <v>273.41463765772977</v>
      </c>
      <c r="N95" s="23"/>
      <c r="O95" s="23"/>
    </row>
    <row r="96" spans="2:15" x14ac:dyDescent="0.2">
      <c r="B96" s="108"/>
      <c r="C96" s="107"/>
      <c r="D96" s="65" t="s">
        <v>95</v>
      </c>
      <c r="E96" s="69">
        <f>(7+((10-7)/2))*E93/54.98</f>
        <v>8.6576937068024744</v>
      </c>
      <c r="F96" s="58">
        <f>E96*F93/E93</f>
        <v>376.60967624590768</v>
      </c>
      <c r="G96" s="66" t="s">
        <v>105</v>
      </c>
      <c r="H96" s="66">
        <v>7</v>
      </c>
      <c r="I96" s="61">
        <f t="shared" si="22"/>
        <v>84</v>
      </c>
      <c r="J96" s="67">
        <v>253.45</v>
      </c>
      <c r="K96" s="63">
        <f t="shared" si="21"/>
        <v>0.33142631682777668</v>
      </c>
      <c r="L96" s="64">
        <f>K96*E96*C93/100</f>
        <v>124.81835787988258</v>
      </c>
      <c r="N96" s="23"/>
      <c r="O96" s="23"/>
    </row>
    <row r="97" spans="2:15" x14ac:dyDescent="0.2">
      <c r="B97" s="108"/>
      <c r="C97" s="107"/>
      <c r="D97" s="65" t="s">
        <v>96</v>
      </c>
      <c r="E97" s="69">
        <f>(7+((10-7)/2))*E93/54.98</f>
        <v>8.6576937068024744</v>
      </c>
      <c r="F97" s="58">
        <f>E97*F93/E93</f>
        <v>376.60967624590768</v>
      </c>
      <c r="G97" s="66" t="s">
        <v>102</v>
      </c>
      <c r="H97" s="66">
        <v>6</v>
      </c>
      <c r="I97" s="61">
        <f t="shared" ref="I97" si="23">H97*12</f>
        <v>72</v>
      </c>
      <c r="J97" s="67">
        <v>94.11</v>
      </c>
      <c r="K97" s="63">
        <f t="shared" si="21"/>
        <v>0.76506216130060567</v>
      </c>
      <c r="L97" s="64">
        <f>K97*E97*C93/100</f>
        <v>288.1298128754155</v>
      </c>
      <c r="N97" s="23"/>
      <c r="O97" s="23"/>
    </row>
    <row r="98" spans="2:15" x14ac:dyDescent="0.2">
      <c r="B98" s="108"/>
      <c r="C98" s="107"/>
      <c r="D98" s="65" t="s">
        <v>98</v>
      </c>
      <c r="E98" s="69">
        <f>(5+((7-5)/2))*E93/54.98</f>
        <v>6.1113132048017462</v>
      </c>
      <c r="F98" s="58">
        <f>E98*F93/E93</f>
        <v>265.84212440887597</v>
      </c>
      <c r="G98" s="66" t="s">
        <v>108</v>
      </c>
      <c r="H98" s="66"/>
      <c r="I98" s="61"/>
      <c r="J98" s="67"/>
      <c r="K98" s="63"/>
      <c r="L98" s="64"/>
      <c r="N98" s="23"/>
      <c r="O98" s="23"/>
    </row>
    <row r="99" spans="2:15" x14ac:dyDescent="0.2">
      <c r="B99" s="108"/>
      <c r="C99" s="107"/>
      <c r="D99" s="65" t="s">
        <v>100</v>
      </c>
      <c r="E99" s="69">
        <f>(3+((5-3)/2))*E93/54.98</f>
        <v>4.0742088032011639</v>
      </c>
      <c r="F99" s="58">
        <f>E99*F93/E93</f>
        <v>177.22808293925064</v>
      </c>
      <c r="G99" s="66" t="s">
        <v>108</v>
      </c>
      <c r="H99" s="66"/>
      <c r="I99" s="61"/>
      <c r="J99" s="67"/>
      <c r="K99" s="63"/>
      <c r="L99" s="64"/>
      <c r="N99" s="23"/>
      <c r="O99" s="23"/>
    </row>
    <row r="100" spans="2:15" x14ac:dyDescent="0.2">
      <c r="B100" s="108"/>
      <c r="C100" s="107"/>
      <c r="D100" s="65" t="s">
        <v>134</v>
      </c>
      <c r="E100" s="69">
        <f>(1+((3-1)/2))*E93/54.98</f>
        <v>2.0371044016005819</v>
      </c>
      <c r="F100" s="58">
        <f>E100*F93/E93</f>
        <v>88.61404146962532</v>
      </c>
      <c r="G100" s="66" t="s">
        <v>107</v>
      </c>
      <c r="H100" s="66">
        <v>16</v>
      </c>
      <c r="I100" s="61">
        <f t="shared" ref="I100:I101" si="24">H100*12</f>
        <v>192</v>
      </c>
      <c r="J100" s="67">
        <v>340.32</v>
      </c>
      <c r="K100" s="63">
        <f t="shared" si="1"/>
        <v>0.56417489421720735</v>
      </c>
      <c r="L100" s="64">
        <f>K100*E100*C93/100</f>
        <v>49.993817472285087</v>
      </c>
    </row>
    <row r="101" spans="2:15" x14ac:dyDescent="0.2">
      <c r="B101" s="108"/>
      <c r="C101" s="107"/>
      <c r="D101" s="65" t="s">
        <v>99</v>
      </c>
      <c r="E101" s="69">
        <f>(0.5+((1-0.5)/2))*E93/54.98</f>
        <v>0.76391415060021828</v>
      </c>
      <c r="F101" s="58">
        <f>E101*F93/E93</f>
        <v>33.230265551109497</v>
      </c>
      <c r="G101" s="66" t="s">
        <v>106</v>
      </c>
      <c r="H101" s="66">
        <v>9</v>
      </c>
      <c r="I101" s="61">
        <f t="shared" si="24"/>
        <v>108</v>
      </c>
      <c r="J101" s="67">
        <v>136.19</v>
      </c>
      <c r="K101" s="63">
        <f t="shared" si="1"/>
        <v>0.79300976576841176</v>
      </c>
      <c r="L101" s="64">
        <f>K101*E101*C93/100</f>
        <v>26.351925101107462</v>
      </c>
    </row>
    <row r="102" spans="2:15" x14ac:dyDescent="0.2">
      <c r="B102" s="108"/>
      <c r="C102" s="107"/>
      <c r="D102" s="65" t="s">
        <v>114</v>
      </c>
      <c r="E102" s="69">
        <f>(0.25+((0.5-0.25)/2))*E93/54.98</f>
        <v>0.38195707530010914</v>
      </c>
      <c r="F102" s="58">
        <f>E102*F93/E93</f>
        <v>16.615132775554748</v>
      </c>
      <c r="G102" s="66" t="s">
        <v>103</v>
      </c>
      <c r="H102" s="66">
        <v>7</v>
      </c>
      <c r="I102" s="61">
        <f>H102*12</f>
        <v>84</v>
      </c>
      <c r="J102" s="67">
        <v>108.14</v>
      </c>
      <c r="K102" s="63">
        <f t="shared" si="1"/>
        <v>0.77677085259848344</v>
      </c>
      <c r="L102" s="64">
        <f>K102*E102*C93/100</f>
        <v>12.90615085210467</v>
      </c>
    </row>
    <row r="103" spans="2:15" x14ac:dyDescent="0.2">
      <c r="B103" s="108"/>
      <c r="C103" s="107"/>
      <c r="D103" s="65" t="s">
        <v>135</v>
      </c>
      <c r="E103" s="69">
        <f>0.1*E93/54.98</f>
        <v>0.10185522008002912</v>
      </c>
      <c r="F103" s="58">
        <f>E103*F93/E93</f>
        <v>4.4307020734812665</v>
      </c>
      <c r="G103" s="66" t="s">
        <v>136</v>
      </c>
      <c r="H103" s="66">
        <v>1</v>
      </c>
      <c r="I103" s="61">
        <f t="shared" si="0"/>
        <v>12</v>
      </c>
      <c r="J103" s="67">
        <v>30.03</v>
      </c>
      <c r="K103" s="63">
        <f t="shared" si="1"/>
        <v>0.39960039960039956</v>
      </c>
      <c r="L103" s="64">
        <f>K103*E103*C93/100</f>
        <v>1.7705103190734328</v>
      </c>
    </row>
    <row r="104" spans="2:15" x14ac:dyDescent="0.2">
      <c r="B104" s="91" t="s">
        <v>60</v>
      </c>
      <c r="C104" s="89">
        <v>109300</v>
      </c>
      <c r="D104" s="57" t="s">
        <v>87</v>
      </c>
      <c r="E104" s="60">
        <v>60</v>
      </c>
      <c r="F104" s="64">
        <f>C104*E104/100</f>
        <v>65580</v>
      </c>
      <c r="G104" s="59"/>
      <c r="H104" s="59"/>
      <c r="I104" s="61"/>
      <c r="J104" s="62"/>
      <c r="K104" s="63"/>
      <c r="L104" s="64"/>
    </row>
    <row r="105" spans="2:15" x14ac:dyDescent="0.2">
      <c r="B105" s="106"/>
      <c r="C105" s="105"/>
      <c r="D105" s="57" t="s">
        <v>96</v>
      </c>
      <c r="E105" s="60">
        <f>(12.5+((20-12.5)/2))*E104/51.5</f>
        <v>18.932038834951456</v>
      </c>
      <c r="F105" s="64">
        <f>E105*F104/E104</f>
        <v>20692.718446601943</v>
      </c>
      <c r="G105" s="59" t="s">
        <v>102</v>
      </c>
      <c r="H105" s="59">
        <v>6</v>
      </c>
      <c r="I105" s="61">
        <f t="shared" ref="I105:I109" si="25">H105*12</f>
        <v>72</v>
      </c>
      <c r="J105" s="62">
        <v>94.11</v>
      </c>
      <c r="K105" s="63">
        <f>I105/J105</f>
        <v>0.76506216130060567</v>
      </c>
      <c r="L105" s="64">
        <f>K105*E105*C104/100</f>
        <v>15831.215897942193</v>
      </c>
    </row>
    <row r="106" spans="2:15" x14ac:dyDescent="0.2">
      <c r="B106" s="106"/>
      <c r="C106" s="105"/>
      <c r="D106" s="57" t="s">
        <v>97</v>
      </c>
      <c r="E106" s="60">
        <f>(12.5+((20-12.5)/2))*E104/51.5</f>
        <v>18.932038834951456</v>
      </c>
      <c r="F106" s="64">
        <f>E106*F104/E104</f>
        <v>20692.718446601943</v>
      </c>
      <c r="G106" s="59" t="s">
        <v>103</v>
      </c>
      <c r="H106" s="59">
        <v>7</v>
      </c>
      <c r="I106" s="61">
        <f t="shared" si="25"/>
        <v>84</v>
      </c>
      <c r="J106" s="62">
        <v>108.14</v>
      </c>
      <c r="K106" s="63">
        <f t="shared" ref="K106:K124" si="26">I106/J106</f>
        <v>0.77677085259848344</v>
      </c>
      <c r="L106" s="64">
        <f>K106*E106*C104/100</f>
        <v>16073.500550347355</v>
      </c>
    </row>
    <row r="107" spans="2:15" x14ac:dyDescent="0.2">
      <c r="B107" s="106"/>
      <c r="C107" s="105"/>
      <c r="D107" s="57" t="s">
        <v>94</v>
      </c>
      <c r="E107" s="60">
        <f>(7+((10-7)/2))*E104/51.5</f>
        <v>9.9029126213592225</v>
      </c>
      <c r="F107" s="64">
        <f>E107*$F$104/$E$104</f>
        <v>10823.88349514563</v>
      </c>
      <c r="G107" s="59" t="s">
        <v>104</v>
      </c>
      <c r="H107" s="59">
        <v>12</v>
      </c>
      <c r="I107" s="61">
        <f t="shared" si="25"/>
        <v>144</v>
      </c>
      <c r="J107" s="62">
        <v>198.35</v>
      </c>
      <c r="K107" s="63">
        <f t="shared" si="26"/>
        <v>0.72598941265439876</v>
      </c>
      <c r="L107" s="64">
        <f>K107*E107*C104/100</f>
        <v>7858.0248212804172</v>
      </c>
    </row>
    <row r="108" spans="2:15" x14ac:dyDescent="0.2">
      <c r="B108" s="106"/>
      <c r="C108" s="105"/>
      <c r="D108" s="57" t="s">
        <v>95</v>
      </c>
      <c r="E108" s="60">
        <f>(7+((10-7)/2))*E104/51.5</f>
        <v>9.9029126213592225</v>
      </c>
      <c r="F108" s="64">
        <f>E108*F104/E104</f>
        <v>10823.88349514563</v>
      </c>
      <c r="G108" s="59" t="s">
        <v>105</v>
      </c>
      <c r="H108" s="59">
        <v>7</v>
      </c>
      <c r="I108" s="61">
        <f t="shared" si="25"/>
        <v>84</v>
      </c>
      <c r="J108" s="62">
        <v>253.45</v>
      </c>
      <c r="K108" s="63">
        <f t="shared" si="26"/>
        <v>0.33142631682777668</v>
      </c>
      <c r="L108" s="64">
        <f>K108*E108*C104/100</f>
        <v>3587.3198405690782</v>
      </c>
    </row>
    <row r="109" spans="2:15" x14ac:dyDescent="0.2">
      <c r="B109" s="92"/>
      <c r="C109" s="90"/>
      <c r="D109" s="57" t="s">
        <v>134</v>
      </c>
      <c r="E109" s="60">
        <f>(1+((3-1)/2))*E104/51.5</f>
        <v>2.3300970873786406</v>
      </c>
      <c r="F109" s="64">
        <f>E109*F104/E104</f>
        <v>2546.7961165048541</v>
      </c>
      <c r="G109" s="59" t="s">
        <v>107</v>
      </c>
      <c r="H109" s="59">
        <v>16</v>
      </c>
      <c r="I109" s="61">
        <f t="shared" si="25"/>
        <v>192</v>
      </c>
      <c r="J109" s="62">
        <v>340.32</v>
      </c>
      <c r="K109" s="63">
        <f t="shared" si="26"/>
        <v>0.56417489421720735</v>
      </c>
      <c r="L109" s="64">
        <f>K109*E109*C104/100</f>
        <v>1436.8384296219206</v>
      </c>
    </row>
    <row r="110" spans="2:15" x14ac:dyDescent="0.2">
      <c r="B110" s="96" t="s">
        <v>61</v>
      </c>
      <c r="C110" s="93">
        <v>23450</v>
      </c>
      <c r="D110" s="65" t="s">
        <v>87</v>
      </c>
      <c r="E110" s="69">
        <v>70</v>
      </c>
      <c r="F110" s="64">
        <f>C110*E110/100</f>
        <v>16415</v>
      </c>
      <c r="G110" s="66"/>
      <c r="H110" s="66"/>
      <c r="I110" s="61"/>
      <c r="J110" s="67"/>
      <c r="K110" s="63"/>
      <c r="L110" s="64"/>
    </row>
    <row r="111" spans="2:15" x14ac:dyDescent="0.2">
      <c r="B111" s="97"/>
      <c r="C111" s="94"/>
      <c r="D111" s="65" t="s">
        <v>84</v>
      </c>
      <c r="E111" s="69">
        <f>(30+((50-30)/2))*E110/62.38</f>
        <v>44.886181468419366</v>
      </c>
      <c r="F111" s="64">
        <f>E111*$F$110/$E$110</f>
        <v>10525.809554344341</v>
      </c>
      <c r="G111" s="66" t="s">
        <v>88</v>
      </c>
      <c r="H111" s="66">
        <v>5</v>
      </c>
      <c r="I111" s="61">
        <f>H111*12</f>
        <v>60</v>
      </c>
      <c r="J111" s="67">
        <v>99.13</v>
      </c>
      <c r="K111" s="63">
        <f t="shared" si="26"/>
        <v>0.60526581256935341</v>
      </c>
      <c r="L111" s="64">
        <f>K111*E111*C110/100</f>
        <v>6370.9126728604906</v>
      </c>
    </row>
    <row r="112" spans="2:15" x14ac:dyDescent="0.2">
      <c r="B112" s="97"/>
      <c r="C112" s="94"/>
      <c r="D112" s="65" t="s">
        <v>86</v>
      </c>
      <c r="E112" s="69">
        <f>(5+((7-5)/2))*E110/62.38</f>
        <v>6.7329272202629049</v>
      </c>
      <c r="F112" s="64">
        <f t="shared" ref="F112:F117" si="27">E112*$F$110/$E$110</f>
        <v>1578.8714331516512</v>
      </c>
      <c r="G112" s="66" t="s">
        <v>93</v>
      </c>
      <c r="H112" s="66">
        <v>4</v>
      </c>
      <c r="I112" s="61">
        <f t="shared" ref="I112" si="28">H112*12</f>
        <v>48</v>
      </c>
      <c r="J112" s="67">
        <v>87.12</v>
      </c>
      <c r="K112" s="63">
        <f t="shared" si="26"/>
        <v>0.55096418732782371</v>
      </c>
      <c r="L112" s="64">
        <f>K112*E112*C110/100</f>
        <v>869.90161606151582</v>
      </c>
    </row>
    <row r="113" spans="2:12" x14ac:dyDescent="0.2">
      <c r="B113" s="97"/>
      <c r="C113" s="94"/>
      <c r="D113" s="65" t="s">
        <v>113</v>
      </c>
      <c r="E113" s="69">
        <f>(3+((5-3)/2))*E110/62.38</f>
        <v>4.4886181468419366</v>
      </c>
      <c r="F113" s="64">
        <f t="shared" si="27"/>
        <v>1052.5809554344341</v>
      </c>
      <c r="G113" s="66" t="s">
        <v>92</v>
      </c>
      <c r="H113" s="66">
        <v>8</v>
      </c>
      <c r="I113" s="61">
        <f>H113*12</f>
        <v>96</v>
      </c>
      <c r="J113" s="67">
        <v>106.17</v>
      </c>
      <c r="K113" s="63">
        <f t="shared" si="26"/>
        <v>0.90421022887821412</v>
      </c>
      <c r="L113" s="64">
        <f>K113*E113*C110/100</f>
        <v>951.75446662621891</v>
      </c>
    </row>
    <row r="114" spans="2:12" x14ac:dyDescent="0.2">
      <c r="B114" s="97"/>
      <c r="C114" s="94"/>
      <c r="D114" s="65" t="s">
        <v>85</v>
      </c>
      <c r="E114" s="69">
        <f>(3+((5-3)/2))*E110/62.38</f>
        <v>4.4886181468419366</v>
      </c>
      <c r="F114" s="64">
        <f t="shared" si="27"/>
        <v>1052.5809554344341</v>
      </c>
      <c r="G114" s="66" t="s">
        <v>108</v>
      </c>
      <c r="H114" s="66"/>
      <c r="I114" s="61"/>
      <c r="J114" s="67"/>
      <c r="K114" s="63"/>
      <c r="L114" s="64"/>
    </row>
    <row r="115" spans="2:12" x14ac:dyDescent="0.2">
      <c r="B115" s="97"/>
      <c r="C115" s="94"/>
      <c r="D115" s="65" t="s">
        <v>94</v>
      </c>
      <c r="E115" s="69">
        <f>(3+((5-3)/2))*E110/62.38</f>
        <v>4.4886181468419366</v>
      </c>
      <c r="F115" s="64">
        <f t="shared" si="27"/>
        <v>1052.5809554344341</v>
      </c>
      <c r="G115" s="66" t="s">
        <v>104</v>
      </c>
      <c r="H115" s="66">
        <v>12</v>
      </c>
      <c r="I115" s="61">
        <f t="shared" si="0"/>
        <v>144</v>
      </c>
      <c r="J115" s="67">
        <v>198.35</v>
      </c>
      <c r="K115" s="63">
        <f t="shared" si="26"/>
        <v>0.72598941265439876</v>
      </c>
      <c r="L115" s="64">
        <f>K115*E115*C110/100</f>
        <v>764.16262960705058</v>
      </c>
    </row>
    <row r="116" spans="2:12" x14ac:dyDescent="0.2">
      <c r="B116" s="97"/>
      <c r="C116" s="94"/>
      <c r="D116" s="65" t="s">
        <v>95</v>
      </c>
      <c r="E116" s="69">
        <f>(3+((5-3)/2))*E110/62.38</f>
        <v>4.4886181468419366</v>
      </c>
      <c r="F116" s="64">
        <f t="shared" si="27"/>
        <v>1052.5809554344341</v>
      </c>
      <c r="G116" s="66" t="s">
        <v>105</v>
      </c>
      <c r="H116" s="66">
        <v>7</v>
      </c>
      <c r="I116" s="61">
        <f t="shared" si="0"/>
        <v>84</v>
      </c>
      <c r="J116" s="67">
        <v>253.45</v>
      </c>
      <c r="K116" s="63">
        <f t="shared" si="26"/>
        <v>0.33142631682777668</v>
      </c>
      <c r="L116" s="64">
        <f>K116*E116*C110/100</f>
        <v>348.85302922269665</v>
      </c>
    </row>
    <row r="117" spans="2:12" x14ac:dyDescent="0.2">
      <c r="B117" s="98"/>
      <c r="C117" s="95"/>
      <c r="D117" s="65" t="s">
        <v>117</v>
      </c>
      <c r="E117" s="69">
        <f>(0.25+((0.5-0.25)/2))*E110/62.38</f>
        <v>0.42080795126643156</v>
      </c>
      <c r="F117" s="64">
        <f t="shared" si="27"/>
        <v>98.679464571978201</v>
      </c>
      <c r="G117" s="66" t="s">
        <v>118</v>
      </c>
      <c r="H117" s="66">
        <v>10</v>
      </c>
      <c r="I117" s="61">
        <f t="shared" si="0"/>
        <v>120</v>
      </c>
      <c r="J117" s="67">
        <v>165.23</v>
      </c>
      <c r="K117" s="63">
        <f t="shared" si="26"/>
        <v>0.72626036434061614</v>
      </c>
      <c r="L117" s="64">
        <f>K117*E117*C110/100</f>
        <v>71.666983892981804</v>
      </c>
    </row>
    <row r="118" spans="2:12" x14ac:dyDescent="0.2">
      <c r="B118" s="110" t="s">
        <v>62</v>
      </c>
      <c r="C118" s="109">
        <v>1730</v>
      </c>
      <c r="D118" s="57" t="s">
        <v>87</v>
      </c>
      <c r="E118" s="60">
        <v>75</v>
      </c>
      <c r="F118" s="64">
        <f>C118*E118/100</f>
        <v>1297.5</v>
      </c>
      <c r="G118" s="59"/>
      <c r="H118" s="59"/>
      <c r="I118" s="61"/>
      <c r="J118" s="62"/>
      <c r="K118" s="63"/>
      <c r="L118" s="64"/>
    </row>
    <row r="119" spans="2:12" x14ac:dyDescent="0.2">
      <c r="B119" s="110"/>
      <c r="C119" s="109"/>
      <c r="D119" s="57" t="s">
        <v>84</v>
      </c>
      <c r="E119" s="60">
        <f>(50+((100-50)/2))*E118/104</f>
        <v>54.08653846153846</v>
      </c>
      <c r="F119" s="64">
        <f>E119*$F$118/$E$118</f>
        <v>935.69711538461536</v>
      </c>
      <c r="G119" s="59" t="s">
        <v>88</v>
      </c>
      <c r="H119" s="59">
        <v>5</v>
      </c>
      <c r="I119" s="61">
        <f>H119*12</f>
        <v>60</v>
      </c>
      <c r="J119" s="62">
        <v>99.13</v>
      </c>
      <c r="K119" s="63">
        <f>I119/J119</f>
        <v>0.60526581256935341</v>
      </c>
      <c r="L119" s="64">
        <f>K119*E119*C118/100</f>
        <v>566.3454748620693</v>
      </c>
    </row>
    <row r="120" spans="2:12" x14ac:dyDescent="0.2">
      <c r="B120" s="110"/>
      <c r="C120" s="109"/>
      <c r="D120" s="57" t="s">
        <v>113</v>
      </c>
      <c r="E120" s="60">
        <f>(7+((10-7)/2))*E118/104</f>
        <v>6.1298076923076925</v>
      </c>
      <c r="F120" s="64">
        <f t="shared" ref="F120:F123" si="29">E120*$F$118/$E$118</f>
        <v>106.04567307692308</v>
      </c>
      <c r="G120" s="59" t="s">
        <v>92</v>
      </c>
      <c r="H120" s="59">
        <v>8</v>
      </c>
      <c r="I120" s="61">
        <f>H120*12</f>
        <v>96</v>
      </c>
      <c r="J120" s="62">
        <v>106.17</v>
      </c>
      <c r="K120" s="63">
        <f t="shared" ref="K120" si="30">I120/J120</f>
        <v>0.90421022887821412</v>
      </c>
      <c r="L120" s="64">
        <f>K120*E120*C118/100</f>
        <v>95.887582324428877</v>
      </c>
    </row>
    <row r="121" spans="2:12" x14ac:dyDescent="0.2">
      <c r="B121" s="110"/>
      <c r="C121" s="109"/>
      <c r="D121" s="57" t="s">
        <v>85</v>
      </c>
      <c r="E121" s="60">
        <f>(7+((10-7)/2))*E118/104</f>
        <v>6.1298076923076925</v>
      </c>
      <c r="F121" s="64">
        <f t="shared" si="29"/>
        <v>106.04567307692308</v>
      </c>
      <c r="G121" s="59" t="s">
        <v>108</v>
      </c>
      <c r="H121" s="59"/>
      <c r="I121" s="61"/>
      <c r="J121" s="62"/>
      <c r="K121" s="63"/>
      <c r="L121" s="64"/>
    </row>
    <row r="122" spans="2:12" x14ac:dyDescent="0.2">
      <c r="B122" s="110"/>
      <c r="C122" s="109"/>
      <c r="D122" s="57" t="s">
        <v>94</v>
      </c>
      <c r="E122" s="60">
        <f>(3+((5-3)/2))*E118/104</f>
        <v>2.8846153846153846</v>
      </c>
      <c r="F122" s="64">
        <f t="shared" si="29"/>
        <v>49.903846153846153</v>
      </c>
      <c r="G122" s="59" t="s">
        <v>104</v>
      </c>
      <c r="H122" s="59">
        <v>12</v>
      </c>
      <c r="I122" s="61">
        <f t="shared" ref="I122:I123" si="31">H122*12</f>
        <v>144</v>
      </c>
      <c r="J122" s="62">
        <v>198.35</v>
      </c>
      <c r="K122" s="63">
        <f t="shared" si="26"/>
        <v>0.72598941265439876</v>
      </c>
      <c r="L122" s="64">
        <f>K122*E122*C118/100</f>
        <v>36.229663958426251</v>
      </c>
    </row>
    <row r="123" spans="2:12" x14ac:dyDescent="0.2">
      <c r="B123" s="110"/>
      <c r="C123" s="109"/>
      <c r="D123" s="57" t="s">
        <v>95</v>
      </c>
      <c r="E123" s="60">
        <f>(3+((5-3)/2))*E118/104</f>
        <v>2.8846153846153846</v>
      </c>
      <c r="F123" s="64">
        <f t="shared" si="29"/>
        <v>49.903846153846153</v>
      </c>
      <c r="G123" s="59" t="s">
        <v>132</v>
      </c>
      <c r="H123" s="59">
        <v>7</v>
      </c>
      <c r="I123" s="61">
        <f t="shared" si="31"/>
        <v>84</v>
      </c>
      <c r="J123" s="62">
        <v>253.45</v>
      </c>
      <c r="K123" s="63">
        <f t="shared" si="26"/>
        <v>0.33142631682777668</v>
      </c>
      <c r="L123" s="64">
        <f>K123*E123*C118/100</f>
        <v>16.53944792630924</v>
      </c>
    </row>
    <row r="124" spans="2:12" x14ac:dyDescent="0.2">
      <c r="B124" s="110"/>
      <c r="C124" s="109"/>
      <c r="D124" s="57" t="s">
        <v>86</v>
      </c>
      <c r="E124" s="60">
        <f>(3+((5-3)/2))*E118/104</f>
        <v>2.8846153846153846</v>
      </c>
      <c r="F124" s="64">
        <f>E124*$F$118/$E$118</f>
        <v>49.903846153846153</v>
      </c>
      <c r="G124" s="59" t="s">
        <v>93</v>
      </c>
      <c r="H124" s="59">
        <v>4</v>
      </c>
      <c r="I124" s="61">
        <f t="shared" si="0"/>
        <v>48</v>
      </c>
      <c r="J124" s="62">
        <v>87.12</v>
      </c>
      <c r="K124" s="63">
        <f t="shared" si="26"/>
        <v>0.55096418732782371</v>
      </c>
      <c r="L124" s="64">
        <f>K124*E124*C118/100</f>
        <v>27.495232040686588</v>
      </c>
    </row>
    <row r="125" spans="2:12" x14ac:dyDescent="0.2">
      <c r="B125" s="96" t="s">
        <v>63</v>
      </c>
      <c r="C125" s="93">
        <v>0</v>
      </c>
      <c r="D125" s="65" t="s">
        <v>87</v>
      </c>
      <c r="E125" s="69">
        <v>66</v>
      </c>
      <c r="F125" s="64">
        <f>C125*E125/100</f>
        <v>0</v>
      </c>
      <c r="G125" s="66"/>
      <c r="H125" s="66"/>
      <c r="I125" s="61"/>
      <c r="J125" s="67"/>
      <c r="K125" s="63"/>
      <c r="L125" s="64"/>
    </row>
    <row r="126" spans="2:12" x14ac:dyDescent="0.2">
      <c r="B126" s="97"/>
      <c r="C126" s="94"/>
      <c r="D126" s="65" t="s">
        <v>137</v>
      </c>
      <c r="E126" s="69">
        <f>(20+((25-20)/2))*E125/59.3</f>
        <v>25.042158516020237</v>
      </c>
      <c r="F126" s="64">
        <f>E126*$F$125/$E$125</f>
        <v>0</v>
      </c>
      <c r="G126" s="66" t="s">
        <v>132</v>
      </c>
      <c r="H126" s="66">
        <v>7</v>
      </c>
      <c r="I126" s="61">
        <f t="shared" ref="I126" si="32">H126*12</f>
        <v>84</v>
      </c>
      <c r="J126" s="67">
        <v>253.45</v>
      </c>
      <c r="K126" s="63">
        <f t="shared" si="1"/>
        <v>0.33142631682777668</v>
      </c>
      <c r="L126" s="64">
        <f>K126*E126*C125/100</f>
        <v>0</v>
      </c>
    </row>
    <row r="127" spans="2:12" x14ac:dyDescent="0.2">
      <c r="B127" s="97"/>
      <c r="C127" s="94"/>
      <c r="D127" s="65" t="s">
        <v>138</v>
      </c>
      <c r="E127" s="69">
        <f>(12.5+((20-12.5)/2))*E125/59.3</f>
        <v>18.086003372681283</v>
      </c>
      <c r="F127" s="64">
        <f t="shared" ref="F127:F136" si="33">E127*$F$125/$E$125</f>
        <v>0</v>
      </c>
      <c r="G127" s="66" t="s">
        <v>103</v>
      </c>
      <c r="H127" s="66">
        <v>7</v>
      </c>
      <c r="I127" s="61">
        <f t="shared" si="0"/>
        <v>84</v>
      </c>
      <c r="J127" s="67">
        <v>108.14</v>
      </c>
      <c r="K127" s="63">
        <f t="shared" si="1"/>
        <v>0.77677085259848344</v>
      </c>
      <c r="L127" s="64">
        <f>K127*E127*C125/100</f>
        <v>0</v>
      </c>
    </row>
    <row r="128" spans="2:12" x14ac:dyDescent="0.2">
      <c r="B128" s="97"/>
      <c r="C128" s="94"/>
      <c r="D128" s="65" t="s">
        <v>141</v>
      </c>
      <c r="E128" s="69">
        <f>(7+((10-7)/2))*E125/59.3</f>
        <v>9.4603709949409787</v>
      </c>
      <c r="F128" s="64">
        <f t="shared" si="33"/>
        <v>0</v>
      </c>
      <c r="G128" s="66" t="s">
        <v>102</v>
      </c>
      <c r="H128" s="66">
        <v>6</v>
      </c>
      <c r="I128" s="61">
        <f t="shared" si="0"/>
        <v>72</v>
      </c>
      <c r="J128" s="67">
        <v>94.11</v>
      </c>
      <c r="K128" s="63">
        <f t="shared" si="1"/>
        <v>0.76506216130060567</v>
      </c>
      <c r="L128" s="64">
        <f>K128*E128*C125/100</f>
        <v>0</v>
      </c>
    </row>
    <row r="129" spans="2:12" x14ac:dyDescent="0.2">
      <c r="B129" s="97"/>
      <c r="C129" s="94"/>
      <c r="D129" s="65" t="s">
        <v>142</v>
      </c>
      <c r="E129" s="69">
        <f>(1+((3-1)/2))*E125/59.3</f>
        <v>2.2259696458684655</v>
      </c>
      <c r="F129" s="64">
        <f t="shared" si="33"/>
        <v>0</v>
      </c>
      <c r="G129" s="66" t="s">
        <v>103</v>
      </c>
      <c r="H129" s="66">
        <v>7</v>
      </c>
      <c r="I129" s="61">
        <f t="shared" ref="I129" si="34">H129*12</f>
        <v>84</v>
      </c>
      <c r="J129" s="67">
        <v>108.14</v>
      </c>
      <c r="K129" s="63">
        <f t="shared" ref="K129:K130" si="35">I129/J129</f>
        <v>0.77677085259848344</v>
      </c>
      <c r="L129" s="64">
        <f>K129*E129*C125/100</f>
        <v>0</v>
      </c>
    </row>
    <row r="130" spans="2:12" x14ac:dyDescent="0.2">
      <c r="B130" s="97"/>
      <c r="C130" s="94"/>
      <c r="D130" s="65" t="s">
        <v>143</v>
      </c>
      <c r="E130" s="69">
        <f>(1+((3-1)/2))*E125/59.3</f>
        <v>2.2259696458684655</v>
      </c>
      <c r="F130" s="64">
        <f t="shared" si="33"/>
        <v>0</v>
      </c>
      <c r="G130" s="66" t="s">
        <v>103</v>
      </c>
      <c r="H130" s="66">
        <v>7</v>
      </c>
      <c r="I130" s="61">
        <f t="shared" ref="I130:I135" si="36">H130*12</f>
        <v>84</v>
      </c>
      <c r="J130" s="67">
        <v>108.14</v>
      </c>
      <c r="K130" s="63">
        <f t="shared" si="35"/>
        <v>0.77677085259848344</v>
      </c>
      <c r="L130" s="64">
        <f>K130*E130*C125/100</f>
        <v>0</v>
      </c>
    </row>
    <row r="131" spans="2:12" x14ac:dyDescent="0.2">
      <c r="B131" s="97"/>
      <c r="C131" s="94"/>
      <c r="D131" s="65" t="s">
        <v>139</v>
      </c>
      <c r="E131" s="69">
        <f>(1+((2.5-1)/2))*E125/59.3</f>
        <v>1.9477234401349073</v>
      </c>
      <c r="F131" s="64">
        <f t="shared" si="33"/>
        <v>0</v>
      </c>
      <c r="G131" s="66" t="s">
        <v>108</v>
      </c>
      <c r="H131" s="66"/>
      <c r="I131" s="61"/>
      <c r="J131" s="67"/>
      <c r="K131" s="63"/>
      <c r="L131" s="64"/>
    </row>
    <row r="132" spans="2:12" x14ac:dyDescent="0.2">
      <c r="B132" s="97"/>
      <c r="C132" s="94"/>
      <c r="D132" s="65" t="s">
        <v>124</v>
      </c>
      <c r="E132" s="69">
        <f>(1+((2.5-1)/2))*E125/59.3</f>
        <v>1.9477234401349073</v>
      </c>
      <c r="F132" s="64">
        <f t="shared" si="33"/>
        <v>0</v>
      </c>
      <c r="G132" s="66" t="s">
        <v>126</v>
      </c>
      <c r="H132" s="66">
        <v>8</v>
      </c>
      <c r="I132" s="61">
        <f t="shared" si="36"/>
        <v>96</v>
      </c>
      <c r="J132" s="67">
        <v>122.16</v>
      </c>
      <c r="K132" s="63">
        <f t="shared" ref="K132:K136" si="37">I132/J132</f>
        <v>0.78585461689587432</v>
      </c>
      <c r="L132" s="64">
        <f>K132*E132*C125/100</f>
        <v>0</v>
      </c>
    </row>
    <row r="133" spans="2:12" x14ac:dyDescent="0.2">
      <c r="B133" s="97"/>
      <c r="C133" s="94"/>
      <c r="D133" s="71" t="s">
        <v>144</v>
      </c>
      <c r="E133" s="69">
        <f>(1+((3-1)/2))*E125/59.3</f>
        <v>2.2259696458684655</v>
      </c>
      <c r="F133" s="64">
        <f t="shared" si="33"/>
        <v>0</v>
      </c>
      <c r="G133" s="66" t="s">
        <v>103</v>
      </c>
      <c r="H133" s="66">
        <v>7</v>
      </c>
      <c r="I133" s="61">
        <f t="shared" si="36"/>
        <v>84</v>
      </c>
      <c r="J133" s="67">
        <v>108.14</v>
      </c>
      <c r="K133" s="63">
        <f t="shared" si="37"/>
        <v>0.77677085259848344</v>
      </c>
      <c r="L133" s="64">
        <f>K133*E133*C125/100</f>
        <v>0</v>
      </c>
    </row>
    <row r="134" spans="2:12" x14ac:dyDescent="0.2">
      <c r="B134" s="97"/>
      <c r="C134" s="94"/>
      <c r="D134" s="65" t="s">
        <v>140</v>
      </c>
      <c r="E134" s="69">
        <f>(1+((3-1)/2))*E125/59.3</f>
        <v>2.2259696458684655</v>
      </c>
      <c r="F134" s="64">
        <f t="shared" si="33"/>
        <v>0</v>
      </c>
      <c r="G134" s="66" t="s">
        <v>126</v>
      </c>
      <c r="H134" s="66">
        <v>8</v>
      </c>
      <c r="I134" s="61">
        <f t="shared" si="36"/>
        <v>96</v>
      </c>
      <c r="J134" s="67">
        <v>122.16</v>
      </c>
      <c r="K134" s="63">
        <f t="shared" si="37"/>
        <v>0.78585461689587432</v>
      </c>
      <c r="L134" s="64">
        <f>K134*E134*C125/100</f>
        <v>0</v>
      </c>
    </row>
    <row r="135" spans="2:12" x14ac:dyDescent="0.2">
      <c r="B135" s="97"/>
      <c r="C135" s="94"/>
      <c r="D135" s="65" t="s">
        <v>145</v>
      </c>
      <c r="E135" s="69">
        <f>(0.25+((0.5-0.25)/2))*E125/59.3</f>
        <v>0.41736930860033727</v>
      </c>
      <c r="F135" s="64">
        <f>E135*$F$125/$E$125</f>
        <v>0</v>
      </c>
      <c r="G135" s="66" t="s">
        <v>126</v>
      </c>
      <c r="H135" s="66">
        <v>8</v>
      </c>
      <c r="I135" s="61">
        <f t="shared" si="36"/>
        <v>96</v>
      </c>
      <c r="J135" s="67">
        <v>122.17</v>
      </c>
      <c r="K135" s="63">
        <f t="shared" si="37"/>
        <v>0.78579029221576491</v>
      </c>
      <c r="L135" s="64">
        <f>K135*E135*C125/100</f>
        <v>0</v>
      </c>
    </row>
    <row r="136" spans="2:12" x14ac:dyDescent="0.2">
      <c r="B136" s="98"/>
      <c r="C136" s="95"/>
      <c r="D136" s="65" t="s">
        <v>146</v>
      </c>
      <c r="E136" s="69">
        <f>(0.1+((0.25-0.1)/2))*E125/59.3</f>
        <v>0.19477234401349072</v>
      </c>
      <c r="F136" s="64">
        <f t="shared" si="33"/>
        <v>0</v>
      </c>
      <c r="G136" s="66" t="s">
        <v>126</v>
      </c>
      <c r="H136" s="66">
        <v>8</v>
      </c>
      <c r="I136" s="61">
        <f t="shared" ref="I136" si="38">H136*12</f>
        <v>96</v>
      </c>
      <c r="J136" s="67">
        <v>122.17</v>
      </c>
      <c r="K136" s="63">
        <f t="shared" si="37"/>
        <v>0.78579029221576491</v>
      </c>
      <c r="L136" s="64">
        <f>K136*E136*C125/100</f>
        <v>0</v>
      </c>
    </row>
    <row r="137" spans="2:12" x14ac:dyDescent="0.2">
      <c r="B137" s="91" t="s">
        <v>64</v>
      </c>
      <c r="C137" s="89">
        <v>0</v>
      </c>
      <c r="D137" s="57" t="s">
        <v>87</v>
      </c>
      <c r="E137" s="60">
        <v>65</v>
      </c>
      <c r="F137" s="64">
        <f>C137*E137/100</f>
        <v>0</v>
      </c>
      <c r="G137" s="59"/>
      <c r="H137" s="59"/>
      <c r="I137" s="61"/>
      <c r="J137" s="62"/>
      <c r="K137" s="63"/>
      <c r="L137" s="64"/>
    </row>
    <row r="138" spans="2:12" x14ac:dyDescent="0.2">
      <c r="B138" s="106"/>
      <c r="C138" s="105"/>
      <c r="D138" s="57" t="s">
        <v>96</v>
      </c>
      <c r="E138" s="60">
        <f>(20+((25-20)/2))*E137/63.025</f>
        <v>23.205077350257834</v>
      </c>
      <c r="F138" s="64">
        <f>E138*$F$137/$E$137</f>
        <v>0</v>
      </c>
      <c r="G138" s="59" t="s">
        <v>102</v>
      </c>
      <c r="H138" s="59">
        <v>6</v>
      </c>
      <c r="I138" s="61">
        <f t="shared" ref="I138:I139" si="39">H138*12</f>
        <v>72</v>
      </c>
      <c r="J138" s="62">
        <v>94.11</v>
      </c>
      <c r="K138" s="63">
        <f t="shared" ref="K138:K143" si="40">I138/J138</f>
        <v>0.76506216130060567</v>
      </c>
      <c r="L138" s="64">
        <f>K138*E138*C137/100</f>
        <v>0</v>
      </c>
    </row>
    <row r="139" spans="2:12" x14ac:dyDescent="0.2">
      <c r="B139" s="106"/>
      <c r="C139" s="105"/>
      <c r="D139" s="57" t="s">
        <v>123</v>
      </c>
      <c r="E139" s="60">
        <f>(15+1.5+((20-15)/2))*E137/63.025</f>
        <v>19.595398651328839</v>
      </c>
      <c r="F139" s="64">
        <f t="shared" ref="F139:F148" si="41">E139*$F$137/$E$137</f>
        <v>0</v>
      </c>
      <c r="G139" s="59" t="s">
        <v>103</v>
      </c>
      <c r="H139" s="59">
        <v>7</v>
      </c>
      <c r="I139" s="61">
        <f t="shared" si="39"/>
        <v>84</v>
      </c>
      <c r="J139" s="62">
        <v>108.14</v>
      </c>
      <c r="K139" s="63">
        <f t="shared" si="40"/>
        <v>0.77677085259848344</v>
      </c>
      <c r="L139" s="64">
        <f>K139*E139*C137/100</f>
        <v>0</v>
      </c>
    </row>
    <row r="140" spans="2:12" x14ac:dyDescent="0.2">
      <c r="B140" s="106"/>
      <c r="C140" s="105"/>
      <c r="D140" s="57" t="s">
        <v>130</v>
      </c>
      <c r="E140" s="60">
        <f>(7+((10-7)/2))*E137/63.025</f>
        <v>8.766362554541848</v>
      </c>
      <c r="F140" s="64">
        <f t="shared" si="41"/>
        <v>0</v>
      </c>
      <c r="G140" s="59" t="s">
        <v>92</v>
      </c>
      <c r="H140" s="59">
        <v>8</v>
      </c>
      <c r="I140" s="61">
        <f>H140*12</f>
        <v>96</v>
      </c>
      <c r="J140" s="62">
        <v>106.17</v>
      </c>
      <c r="K140" s="63">
        <f t="shared" si="40"/>
        <v>0.90421022887821412</v>
      </c>
      <c r="L140" s="64">
        <f>K140*E140*C137/100</f>
        <v>0</v>
      </c>
    </row>
    <row r="141" spans="2:12" x14ac:dyDescent="0.2">
      <c r="B141" s="106"/>
      <c r="C141" s="105"/>
      <c r="D141" s="57" t="s">
        <v>112</v>
      </c>
      <c r="E141" s="60">
        <f>(3+((5-3)/2))*E137/63.025</f>
        <v>4.125347084490282</v>
      </c>
      <c r="F141" s="64">
        <f t="shared" si="41"/>
        <v>0</v>
      </c>
      <c r="G141" s="59" t="s">
        <v>111</v>
      </c>
      <c r="H141" s="59">
        <v>4</v>
      </c>
      <c r="I141" s="61">
        <f t="shared" ref="I141:I143" si="42">H141*12</f>
        <v>48</v>
      </c>
      <c r="J141" s="62">
        <v>74.12</v>
      </c>
      <c r="K141" s="63">
        <f t="shared" si="40"/>
        <v>0.64759848893685912</v>
      </c>
      <c r="L141" s="64">
        <f>K141*E141*C137/100</f>
        <v>0</v>
      </c>
    </row>
    <row r="142" spans="2:12" x14ac:dyDescent="0.2">
      <c r="B142" s="106"/>
      <c r="C142" s="105"/>
      <c r="D142" s="57" t="s">
        <v>124</v>
      </c>
      <c r="E142" s="60">
        <f>(3+((5-3)/2))*E137/63.025</f>
        <v>4.125347084490282</v>
      </c>
      <c r="F142" s="64">
        <f t="shared" si="41"/>
        <v>0</v>
      </c>
      <c r="G142" s="59" t="s">
        <v>126</v>
      </c>
      <c r="H142" s="59">
        <v>8</v>
      </c>
      <c r="I142" s="61">
        <f t="shared" si="42"/>
        <v>96</v>
      </c>
      <c r="J142" s="62">
        <v>122.16</v>
      </c>
      <c r="K142" s="63">
        <f t="shared" si="40"/>
        <v>0.78585461689587432</v>
      </c>
      <c r="L142" s="64">
        <f>K142*E142*C137/100</f>
        <v>0</v>
      </c>
    </row>
    <row r="143" spans="2:12" x14ac:dyDescent="0.2">
      <c r="B143" s="106"/>
      <c r="C143" s="105"/>
      <c r="D143" s="57" t="s">
        <v>147</v>
      </c>
      <c r="E143" s="60">
        <f>(1+((2-1)/2))*E137/63.025</f>
        <v>1.5470051566838556</v>
      </c>
      <c r="F143" s="64">
        <f t="shared" si="41"/>
        <v>0</v>
      </c>
      <c r="G143" s="59" t="s">
        <v>152</v>
      </c>
      <c r="H143" s="59">
        <v>9</v>
      </c>
      <c r="I143" s="61">
        <f t="shared" si="42"/>
        <v>108</v>
      </c>
      <c r="J143" s="62">
        <v>120.2</v>
      </c>
      <c r="K143" s="63">
        <f t="shared" si="40"/>
        <v>0.8985024958402662</v>
      </c>
      <c r="L143" s="64"/>
    </row>
    <row r="144" spans="2:12" x14ac:dyDescent="0.2">
      <c r="B144" s="106"/>
      <c r="C144" s="105"/>
      <c r="D144" s="57" t="s">
        <v>148</v>
      </c>
      <c r="E144" s="60">
        <f>(1+((2-1)/2))*E137/63.025</f>
        <v>1.5470051566838556</v>
      </c>
      <c r="F144" s="64">
        <f t="shared" si="41"/>
        <v>0</v>
      </c>
      <c r="G144" s="59" t="s">
        <v>132</v>
      </c>
      <c r="H144" s="59">
        <v>7</v>
      </c>
      <c r="I144" s="61">
        <f>H144*12</f>
        <v>84</v>
      </c>
      <c r="J144" s="62">
        <v>253.45</v>
      </c>
      <c r="K144" s="63">
        <f t="shared" ref="K144:K148" si="43">I144/J144</f>
        <v>0.33142631682777668</v>
      </c>
      <c r="L144" s="64">
        <f>K144*E144*C137/100</f>
        <v>0</v>
      </c>
    </row>
    <row r="145" spans="2:12" x14ac:dyDescent="0.2">
      <c r="B145" s="106"/>
      <c r="C145" s="105"/>
      <c r="D145" s="57" t="s">
        <v>133</v>
      </c>
      <c r="E145" s="60">
        <f>(1+((2-1)/2))*E137/63.025</f>
        <v>1.5470051566838556</v>
      </c>
      <c r="F145" s="64">
        <f>E145*$F$137/$E$137</f>
        <v>0</v>
      </c>
      <c r="G145" s="59" t="s">
        <v>92</v>
      </c>
      <c r="H145" s="59">
        <v>8</v>
      </c>
      <c r="I145" s="61">
        <f>H145*12</f>
        <v>96</v>
      </c>
      <c r="J145" s="62">
        <v>106.17</v>
      </c>
      <c r="K145" s="63">
        <f t="shared" si="43"/>
        <v>0.90421022887821412</v>
      </c>
      <c r="L145" s="64">
        <f>K145*E145*C137/100</f>
        <v>0</v>
      </c>
    </row>
    <row r="146" spans="2:12" x14ac:dyDescent="0.2">
      <c r="B146" s="106"/>
      <c r="C146" s="105"/>
      <c r="D146" s="57" t="s">
        <v>149</v>
      </c>
      <c r="E146" s="60">
        <f>(0.2+((0.25-0.2)/2))*E137/63.025</f>
        <v>0.23205077350257836</v>
      </c>
      <c r="F146" s="64">
        <f t="shared" si="41"/>
        <v>0</v>
      </c>
      <c r="G146" s="59" t="s">
        <v>152</v>
      </c>
      <c r="H146" s="59">
        <v>9</v>
      </c>
      <c r="I146" s="61">
        <f t="shared" ref="I146" si="44">H146*12</f>
        <v>108</v>
      </c>
      <c r="J146" s="62">
        <v>120.2</v>
      </c>
      <c r="K146" s="63">
        <f t="shared" si="43"/>
        <v>0.8985024958402662</v>
      </c>
      <c r="L146" s="64">
        <f>K146*E146*C137/100</f>
        <v>0</v>
      </c>
    </row>
    <row r="147" spans="2:12" x14ac:dyDescent="0.2">
      <c r="B147" s="106"/>
      <c r="C147" s="105"/>
      <c r="D147" s="57" t="s">
        <v>150</v>
      </c>
      <c r="E147" s="60">
        <f>(0.1+((0.2-0.1)/2))*E137/63.025</f>
        <v>0.15470051566838558</v>
      </c>
      <c r="F147" s="64">
        <f t="shared" si="41"/>
        <v>0</v>
      </c>
      <c r="G147" s="59" t="s">
        <v>153</v>
      </c>
      <c r="H147" s="59">
        <v>9</v>
      </c>
      <c r="I147" s="61">
        <f t="shared" ref="I147:I172" si="45">H147*12</f>
        <v>108</v>
      </c>
      <c r="J147" s="62">
        <v>108.099</v>
      </c>
      <c r="K147" s="63">
        <f t="shared" si="43"/>
        <v>0.99908417284156181</v>
      </c>
      <c r="L147" s="64">
        <f>K147*E147*C137/100</f>
        <v>0</v>
      </c>
    </row>
    <row r="148" spans="2:12" x14ac:dyDescent="0.2">
      <c r="B148" s="92"/>
      <c r="C148" s="90"/>
      <c r="D148" s="57" t="s">
        <v>151</v>
      </c>
      <c r="E148" s="60">
        <f>(0.1+((0.2-0.1)/2))*E137/63.025</f>
        <v>0.15470051566838558</v>
      </c>
      <c r="F148" s="64">
        <f t="shared" si="41"/>
        <v>0</v>
      </c>
      <c r="G148" s="59" t="s">
        <v>152</v>
      </c>
      <c r="H148" s="59">
        <v>9</v>
      </c>
      <c r="I148" s="61">
        <f t="shared" si="45"/>
        <v>108</v>
      </c>
      <c r="J148" s="62">
        <v>120.2</v>
      </c>
      <c r="K148" s="63">
        <f t="shared" si="43"/>
        <v>0.8985024958402662</v>
      </c>
      <c r="L148" s="64">
        <f>K148*E148*C137/100</f>
        <v>0</v>
      </c>
    </row>
    <row r="149" spans="2:12" x14ac:dyDescent="0.2">
      <c r="B149" s="108" t="s">
        <v>65</v>
      </c>
      <c r="C149" s="107">
        <v>210</v>
      </c>
      <c r="D149" s="65" t="s">
        <v>87</v>
      </c>
      <c r="E149" s="69">
        <v>75</v>
      </c>
      <c r="F149" s="64">
        <f>C149*E149/100</f>
        <v>157.5</v>
      </c>
      <c r="G149" s="66"/>
      <c r="H149" s="66"/>
      <c r="I149" s="61"/>
      <c r="J149" s="67"/>
      <c r="K149" s="63"/>
      <c r="L149" s="64"/>
    </row>
    <row r="150" spans="2:12" x14ac:dyDescent="0.2">
      <c r="B150" s="108"/>
      <c r="C150" s="107"/>
      <c r="D150" s="65" t="s">
        <v>97</v>
      </c>
      <c r="E150" s="69">
        <f>(12.5+((20-12.5)/2))*E149/61.25</f>
        <v>19.897959183673468</v>
      </c>
      <c r="F150" s="64">
        <f>E150*$F$149/$E$149</f>
        <v>41.785714285714285</v>
      </c>
      <c r="G150" s="66" t="s">
        <v>103</v>
      </c>
      <c r="H150" s="66">
        <v>7</v>
      </c>
      <c r="I150" s="61">
        <f>H150*12</f>
        <v>84</v>
      </c>
      <c r="J150" s="67">
        <v>108.14</v>
      </c>
      <c r="K150" s="63">
        <f>I150/J150</f>
        <v>0.77677085259848344</v>
      </c>
      <c r="L150" s="64">
        <f>K150*E150*C149/100</f>
        <v>32.457924912150908</v>
      </c>
    </row>
    <row r="151" spans="2:12" x14ac:dyDescent="0.2">
      <c r="B151" s="108"/>
      <c r="C151" s="107"/>
      <c r="D151" s="65" t="s">
        <v>94</v>
      </c>
      <c r="E151" s="69">
        <f>(7+((10-7)/2))*E149/61.25</f>
        <v>10.408163265306122</v>
      </c>
      <c r="F151" s="64">
        <f t="shared" ref="F151:F160" si="46">E151*$F$149/$E$149</f>
        <v>21.857142857142858</v>
      </c>
      <c r="G151" s="66" t="s">
        <v>104</v>
      </c>
      <c r="H151" s="66">
        <v>12</v>
      </c>
      <c r="I151" s="61">
        <f t="shared" ref="I151:I153" si="47">H151*12</f>
        <v>144</v>
      </c>
      <c r="J151" s="67">
        <v>198.35</v>
      </c>
      <c r="K151" s="63">
        <f t="shared" ref="K151:K160" si="48">I151/J151</f>
        <v>0.72598941265439876</v>
      </c>
      <c r="L151" s="64">
        <f>K151*E151*C149/100</f>
        <v>15.868054305160429</v>
      </c>
    </row>
    <row r="152" spans="2:12" x14ac:dyDescent="0.2">
      <c r="B152" s="108"/>
      <c r="C152" s="107"/>
      <c r="D152" s="65" t="s">
        <v>95</v>
      </c>
      <c r="E152" s="69">
        <f>(7+((10-7)/2))*E149/61.25</f>
        <v>10.408163265306122</v>
      </c>
      <c r="F152" s="64">
        <f t="shared" si="46"/>
        <v>21.857142857142858</v>
      </c>
      <c r="G152" s="66" t="s">
        <v>105</v>
      </c>
      <c r="H152" s="66">
        <v>7</v>
      </c>
      <c r="I152" s="61">
        <f t="shared" si="47"/>
        <v>84</v>
      </c>
      <c r="J152" s="67">
        <v>253.45</v>
      </c>
      <c r="K152" s="63">
        <f t="shared" si="48"/>
        <v>0.33142631682777668</v>
      </c>
      <c r="L152" s="64">
        <f>K152*E152*C149/100</f>
        <v>7.244032353521404</v>
      </c>
    </row>
    <row r="153" spans="2:12" x14ac:dyDescent="0.2">
      <c r="B153" s="108"/>
      <c r="C153" s="107"/>
      <c r="D153" s="65" t="s">
        <v>96</v>
      </c>
      <c r="E153" s="69">
        <f>(7+((10-7)/2))*E149/61.25</f>
        <v>10.408163265306122</v>
      </c>
      <c r="F153" s="64">
        <f t="shared" si="46"/>
        <v>21.857142857142858</v>
      </c>
      <c r="G153" s="66" t="s">
        <v>102</v>
      </c>
      <c r="H153" s="66">
        <v>6</v>
      </c>
      <c r="I153" s="61">
        <f t="shared" si="47"/>
        <v>72</v>
      </c>
      <c r="J153" s="67">
        <v>94.11</v>
      </c>
      <c r="K153" s="63">
        <f t="shared" si="48"/>
        <v>0.76506216130060567</v>
      </c>
      <c r="L153" s="64">
        <f>K153*E153*C149/100</f>
        <v>16.722072954141808</v>
      </c>
    </row>
    <row r="154" spans="2:12" x14ac:dyDescent="0.2">
      <c r="B154" s="108"/>
      <c r="C154" s="107"/>
      <c r="D154" s="65" t="s">
        <v>113</v>
      </c>
      <c r="E154" s="69">
        <f>(5+((7-5)/2))*E149/61.25</f>
        <v>7.3469387755102042</v>
      </c>
      <c r="F154" s="64">
        <f t="shared" si="46"/>
        <v>15.428571428571429</v>
      </c>
      <c r="G154" s="66" t="s">
        <v>92</v>
      </c>
      <c r="H154" s="66">
        <v>8</v>
      </c>
      <c r="I154" s="61">
        <f>H154*12</f>
        <v>96</v>
      </c>
      <c r="J154" s="67">
        <v>106.17</v>
      </c>
      <c r="K154" s="63">
        <f>I154/J154</f>
        <v>0.90421022887821412</v>
      </c>
      <c r="L154" s="64">
        <f>K154*E154*C149/100</f>
        <v>13.950672102692447</v>
      </c>
    </row>
    <row r="155" spans="2:12" x14ac:dyDescent="0.2">
      <c r="B155" s="108"/>
      <c r="C155" s="107"/>
      <c r="D155" s="65" t="s">
        <v>85</v>
      </c>
      <c r="E155" s="69">
        <f>(5+((7-5)/2))*E149/61.25</f>
        <v>7.3469387755102042</v>
      </c>
      <c r="F155" s="64">
        <f t="shared" si="46"/>
        <v>15.428571428571429</v>
      </c>
      <c r="G155" s="66" t="s">
        <v>108</v>
      </c>
      <c r="H155" s="66"/>
      <c r="I155" s="61"/>
      <c r="J155" s="67"/>
      <c r="K155" s="63"/>
      <c r="L155" s="64"/>
    </row>
    <row r="156" spans="2:12" x14ac:dyDescent="0.2">
      <c r="B156" s="108"/>
      <c r="C156" s="107"/>
      <c r="D156" s="65" t="s">
        <v>114</v>
      </c>
      <c r="E156" s="69">
        <f>(3+((5-3)/2))*E149/61.25</f>
        <v>4.8979591836734695</v>
      </c>
      <c r="F156" s="64">
        <f t="shared" si="46"/>
        <v>10.285714285714286</v>
      </c>
      <c r="G156" s="66" t="s">
        <v>103</v>
      </c>
      <c r="H156" s="66">
        <v>7</v>
      </c>
      <c r="I156" s="61">
        <f>H156*12</f>
        <v>84</v>
      </c>
      <c r="J156" s="67">
        <v>108.14</v>
      </c>
      <c r="K156" s="63">
        <f t="shared" si="48"/>
        <v>0.77677085259848344</v>
      </c>
      <c r="L156" s="64">
        <f>K156*E156*C149/100</f>
        <v>7.9896430552986875</v>
      </c>
    </row>
    <row r="157" spans="2:12" x14ac:dyDescent="0.2">
      <c r="B157" s="108"/>
      <c r="C157" s="107"/>
      <c r="D157" s="65" t="s">
        <v>112</v>
      </c>
      <c r="E157" s="69">
        <f>(1+((3-1)/2))*E149/61.25</f>
        <v>2.4489795918367347</v>
      </c>
      <c r="F157" s="64">
        <f t="shared" si="46"/>
        <v>5.1428571428571432</v>
      </c>
      <c r="G157" s="66" t="s">
        <v>111</v>
      </c>
      <c r="H157" s="66">
        <v>4</v>
      </c>
      <c r="I157" s="61">
        <f t="shared" ref="I157" si="49">H157*12</f>
        <v>48</v>
      </c>
      <c r="J157" s="67">
        <v>74.12</v>
      </c>
      <c r="K157" s="63">
        <f t="shared" si="48"/>
        <v>0.64759848893685912</v>
      </c>
      <c r="L157" s="64">
        <f>K157*E157*C149/100</f>
        <v>3.3305065145324186</v>
      </c>
    </row>
    <row r="158" spans="2:12" x14ac:dyDescent="0.2">
      <c r="B158" s="108"/>
      <c r="C158" s="107"/>
      <c r="D158" s="65" t="s">
        <v>115</v>
      </c>
      <c r="E158" s="69">
        <f>(0.5+((1-0.5)/2))*E149/61.25</f>
        <v>0.91836734693877553</v>
      </c>
      <c r="F158" s="64">
        <f t="shared" si="46"/>
        <v>1.9285714285714286</v>
      </c>
      <c r="G158" s="66" t="s">
        <v>108</v>
      </c>
      <c r="H158" s="66"/>
      <c r="I158" s="61"/>
      <c r="J158" s="67"/>
      <c r="K158" s="63"/>
      <c r="L158" s="64"/>
    </row>
    <row r="159" spans="2:12" x14ac:dyDescent="0.2">
      <c r="B159" s="108"/>
      <c r="C159" s="107"/>
      <c r="D159" s="65" t="s">
        <v>116</v>
      </c>
      <c r="E159" s="69">
        <f>(0.25+((0.5-0.25)/2))*E149/61.25</f>
        <v>0.45918367346938777</v>
      </c>
      <c r="F159" s="64">
        <f t="shared" si="46"/>
        <v>0.9642857142857143</v>
      </c>
      <c r="G159" s="66" t="s">
        <v>108</v>
      </c>
      <c r="H159" s="66"/>
      <c r="I159" s="61"/>
      <c r="J159" s="67"/>
      <c r="K159" s="63"/>
      <c r="L159" s="64"/>
    </row>
    <row r="160" spans="2:12" x14ac:dyDescent="0.2">
      <c r="B160" s="108"/>
      <c r="C160" s="107"/>
      <c r="D160" s="65" t="s">
        <v>117</v>
      </c>
      <c r="E160" s="69">
        <f>(0.25+((0.5-0.25)/2))*E149/61.25</f>
        <v>0.45918367346938777</v>
      </c>
      <c r="F160" s="64">
        <f t="shared" si="46"/>
        <v>0.9642857142857143</v>
      </c>
      <c r="G160" s="66" t="s">
        <v>118</v>
      </c>
      <c r="H160" s="66">
        <v>10</v>
      </c>
      <c r="I160" s="61">
        <f t="shared" si="45"/>
        <v>120</v>
      </c>
      <c r="J160" s="67">
        <v>165.23</v>
      </c>
      <c r="K160" s="63">
        <f t="shared" si="48"/>
        <v>0.72626036434061614</v>
      </c>
      <c r="L160" s="64">
        <f>K160*E160*C149/100</f>
        <v>0.70032249418559411</v>
      </c>
    </row>
    <row r="161" spans="2:12" x14ac:dyDescent="0.2">
      <c r="B161" s="91" t="s">
        <v>66</v>
      </c>
      <c r="C161" s="86">
        <v>0</v>
      </c>
      <c r="D161" s="57" t="s">
        <v>87</v>
      </c>
      <c r="E161" s="60">
        <v>59</v>
      </c>
      <c r="F161" s="64">
        <f>C161*E161/100</f>
        <v>0</v>
      </c>
      <c r="G161" s="72"/>
      <c r="H161" s="59"/>
      <c r="I161" s="61"/>
      <c r="J161" s="62"/>
      <c r="K161" s="63"/>
      <c r="L161" s="64"/>
    </row>
    <row r="162" spans="2:12" x14ac:dyDescent="0.2">
      <c r="B162" s="106"/>
      <c r="C162" s="87"/>
      <c r="D162" s="57" t="s">
        <v>121</v>
      </c>
      <c r="E162" s="60">
        <f>(12.5+((20-12.5)/2))*E161/56.75</f>
        <v>16.894273127753305</v>
      </c>
      <c r="F162" s="64">
        <f>E162*$F$161/$E$161</f>
        <v>0</v>
      </c>
      <c r="G162" s="59" t="s">
        <v>122</v>
      </c>
      <c r="H162" s="59">
        <v>5</v>
      </c>
      <c r="I162" s="61">
        <f t="shared" si="45"/>
        <v>60</v>
      </c>
      <c r="J162" s="62">
        <v>120.15</v>
      </c>
      <c r="K162" s="63">
        <f>I162/J162</f>
        <v>0.49937578027465668</v>
      </c>
      <c r="L162" s="64">
        <f>K162*E162*C161/100</f>
        <v>0</v>
      </c>
    </row>
    <row r="163" spans="2:12" x14ac:dyDescent="0.2">
      <c r="B163" s="106"/>
      <c r="C163" s="87"/>
      <c r="D163" s="57" t="s">
        <v>96</v>
      </c>
      <c r="E163" s="60">
        <f>(10+((12.5-10)/2))*E161/56.75</f>
        <v>11.696035242290749</v>
      </c>
      <c r="F163" s="64">
        <f t="shared" ref="F163:F170" si="50">E163*$F$161/$E$161</f>
        <v>0</v>
      </c>
      <c r="G163" s="59" t="s">
        <v>102</v>
      </c>
      <c r="H163" s="59">
        <v>6</v>
      </c>
      <c r="I163" s="61">
        <f t="shared" si="45"/>
        <v>72</v>
      </c>
      <c r="J163" s="62">
        <v>94.11</v>
      </c>
      <c r="K163" s="63">
        <f>I163/J163</f>
        <v>0.76506216130060567</v>
      </c>
      <c r="L163" s="64">
        <f>K163*E163*C161/100</f>
        <v>0</v>
      </c>
    </row>
    <row r="164" spans="2:12" x14ac:dyDescent="0.2">
      <c r="B164" s="106"/>
      <c r="C164" s="87"/>
      <c r="D164" s="57" t="s">
        <v>94</v>
      </c>
      <c r="E164" s="60">
        <f>(7+((10-7)/2))*E161/56.75</f>
        <v>8.8370044052863435</v>
      </c>
      <c r="F164" s="64">
        <f t="shared" si="50"/>
        <v>0</v>
      </c>
      <c r="G164" s="59" t="s">
        <v>104</v>
      </c>
      <c r="H164" s="59">
        <v>12</v>
      </c>
      <c r="I164" s="61">
        <f t="shared" si="45"/>
        <v>144</v>
      </c>
      <c r="J164" s="62">
        <v>198.35</v>
      </c>
      <c r="K164" s="63">
        <f t="shared" ref="K164:K168" si="51">I164/J164</f>
        <v>0.72598941265439876</v>
      </c>
      <c r="L164" s="64">
        <f>K164*E164*C161/100</f>
        <v>0</v>
      </c>
    </row>
    <row r="165" spans="2:12" x14ac:dyDescent="0.2">
      <c r="B165" s="106"/>
      <c r="C165" s="87"/>
      <c r="D165" s="57" t="s">
        <v>95</v>
      </c>
      <c r="E165" s="60">
        <f>(7+((10-7)/2))*E161/56.75</f>
        <v>8.8370044052863435</v>
      </c>
      <c r="F165" s="64">
        <f t="shared" si="50"/>
        <v>0</v>
      </c>
      <c r="G165" s="59" t="s">
        <v>132</v>
      </c>
      <c r="H165" s="59">
        <v>7</v>
      </c>
      <c r="I165" s="61">
        <f t="shared" si="45"/>
        <v>84</v>
      </c>
      <c r="J165" s="62">
        <v>253.45</v>
      </c>
      <c r="K165" s="63">
        <f>I165/J165</f>
        <v>0.33142631682777668</v>
      </c>
      <c r="L165" s="64">
        <f>K165*E165*C161/100</f>
        <v>0</v>
      </c>
    </row>
    <row r="166" spans="2:12" x14ac:dyDescent="0.2">
      <c r="B166" s="106"/>
      <c r="C166" s="87"/>
      <c r="D166" s="57" t="s">
        <v>99</v>
      </c>
      <c r="E166" s="60">
        <f>(5+((7-5)/2))*E161/56.75</f>
        <v>6.2378854625550657</v>
      </c>
      <c r="F166" s="64">
        <f t="shared" si="50"/>
        <v>0</v>
      </c>
      <c r="G166" s="59" t="s">
        <v>106</v>
      </c>
      <c r="H166" s="59">
        <v>9</v>
      </c>
      <c r="I166" s="61">
        <f t="shared" si="45"/>
        <v>108</v>
      </c>
      <c r="J166" s="62">
        <v>136.19</v>
      </c>
      <c r="K166" s="63">
        <f t="shared" si="51"/>
        <v>0.79300976576841176</v>
      </c>
      <c r="L166" s="64">
        <f>K166*E166*C161/100</f>
        <v>0</v>
      </c>
    </row>
    <row r="167" spans="2:12" x14ac:dyDescent="0.2">
      <c r="B167" s="106"/>
      <c r="C167" s="87"/>
      <c r="D167" s="57" t="s">
        <v>97</v>
      </c>
      <c r="E167" s="60">
        <f>(1+((2.5-1)/2))*E161/56.75</f>
        <v>1.8193832599118942</v>
      </c>
      <c r="F167" s="64">
        <f t="shared" si="50"/>
        <v>0</v>
      </c>
      <c r="G167" s="59" t="s">
        <v>103</v>
      </c>
      <c r="H167" s="59">
        <v>7</v>
      </c>
      <c r="I167" s="61">
        <f t="shared" si="45"/>
        <v>84</v>
      </c>
      <c r="J167" s="62">
        <v>108.14</v>
      </c>
      <c r="K167" s="63">
        <f t="shared" si="51"/>
        <v>0.77677085259848344</v>
      </c>
      <c r="L167" s="64">
        <f>K167*E167*C161/100</f>
        <v>0</v>
      </c>
    </row>
    <row r="168" spans="2:12" x14ac:dyDescent="0.2">
      <c r="B168" s="106"/>
      <c r="C168" s="87"/>
      <c r="D168" s="57" t="s">
        <v>109</v>
      </c>
      <c r="E168" s="60">
        <f>(1+((3-1)/2))*E161/56.75</f>
        <v>2.0792951541850222</v>
      </c>
      <c r="F168" s="64">
        <f t="shared" si="50"/>
        <v>0</v>
      </c>
      <c r="G168" s="59" t="s">
        <v>110</v>
      </c>
      <c r="H168" s="59">
        <v>2</v>
      </c>
      <c r="I168" s="61">
        <f t="shared" si="45"/>
        <v>24</v>
      </c>
      <c r="J168" s="62">
        <v>62.07</v>
      </c>
      <c r="K168" s="63">
        <f t="shared" si="51"/>
        <v>0.38666022232962782</v>
      </c>
      <c r="L168" s="64">
        <f>K168*E168*C161/100</f>
        <v>0</v>
      </c>
    </row>
    <row r="169" spans="2:12" x14ac:dyDescent="0.2">
      <c r="B169" s="106"/>
      <c r="C169" s="87"/>
      <c r="D169" s="57" t="s">
        <v>98</v>
      </c>
      <c r="E169" s="60">
        <f>(1+((2.5-1)/2))*E161/56.75</f>
        <v>1.8193832599118942</v>
      </c>
      <c r="F169" s="64">
        <f t="shared" si="50"/>
        <v>0</v>
      </c>
      <c r="G169" s="59" t="s">
        <v>108</v>
      </c>
      <c r="H169" s="59"/>
      <c r="I169" s="61"/>
      <c r="J169" s="62"/>
      <c r="K169" s="63"/>
      <c r="L169" s="64"/>
    </row>
    <row r="170" spans="2:12" x14ac:dyDescent="0.2">
      <c r="B170" s="92"/>
      <c r="C170" s="88"/>
      <c r="D170" s="57" t="s">
        <v>100</v>
      </c>
      <c r="E170" s="60">
        <f>(0.5+((1-0.5)/2))*E161/56.75</f>
        <v>0.77973568281938321</v>
      </c>
      <c r="F170" s="64">
        <f t="shared" si="50"/>
        <v>0</v>
      </c>
      <c r="G170" s="59" t="s">
        <v>108</v>
      </c>
      <c r="H170" s="59"/>
      <c r="I170" s="61"/>
      <c r="J170" s="62"/>
      <c r="K170" s="63"/>
      <c r="L170" s="64"/>
    </row>
    <row r="171" spans="2:12" x14ac:dyDescent="0.2">
      <c r="B171" s="96" t="s">
        <v>67</v>
      </c>
      <c r="C171" s="93">
        <v>28400</v>
      </c>
      <c r="D171" s="65" t="s">
        <v>87</v>
      </c>
      <c r="E171" s="69">
        <v>64</v>
      </c>
      <c r="F171" s="64">
        <f>C171*E171/100</f>
        <v>18176</v>
      </c>
      <c r="G171" s="66"/>
      <c r="H171" s="66"/>
      <c r="I171" s="67"/>
      <c r="J171" s="67"/>
      <c r="K171" s="63"/>
      <c r="L171" s="64"/>
    </row>
    <row r="172" spans="2:12" x14ac:dyDescent="0.2">
      <c r="B172" s="97"/>
      <c r="C172" s="94"/>
      <c r="D172" s="65" t="s">
        <v>96</v>
      </c>
      <c r="E172" s="69">
        <f>(10+((25-10)/2))*E171/82.5</f>
        <v>13.575757575757576</v>
      </c>
      <c r="F172" s="64">
        <f>E172*$F$171/$E$171</f>
        <v>3855.5151515151515</v>
      </c>
      <c r="G172" s="66" t="s">
        <v>102</v>
      </c>
      <c r="H172" s="66">
        <v>6</v>
      </c>
      <c r="I172" s="61">
        <f t="shared" si="45"/>
        <v>72</v>
      </c>
      <c r="J172" s="67">
        <v>94.11</v>
      </c>
      <c r="K172" s="63">
        <f>I172/J172</f>
        <v>0.76506216130060567</v>
      </c>
      <c r="L172" s="64">
        <f>K172*E172*C171/100</f>
        <v>2949.7087547454139</v>
      </c>
    </row>
    <row r="173" spans="2:12" x14ac:dyDescent="0.2">
      <c r="B173" s="97"/>
      <c r="C173" s="94"/>
      <c r="D173" s="65" t="s">
        <v>131</v>
      </c>
      <c r="E173" s="69">
        <f>(10+((25-10)/2))*E171/82.5</f>
        <v>13.575757575757576</v>
      </c>
      <c r="F173" s="64">
        <f t="shared" ref="F173:F182" si="52">E173*$F$171/$E$171</f>
        <v>3855.5151515151515</v>
      </c>
      <c r="G173" s="66" t="s">
        <v>132</v>
      </c>
      <c r="H173" s="66">
        <v>7</v>
      </c>
      <c r="I173" s="61">
        <f>H173*12</f>
        <v>84</v>
      </c>
      <c r="J173" s="67">
        <v>253.45</v>
      </c>
      <c r="K173" s="63">
        <f t="shared" ref="K173:K182" si="53">I173/J173</f>
        <v>0.33142631682777668</v>
      </c>
      <c r="L173" s="64">
        <f>K173*E173*C171/100</f>
        <v>1277.8191861403541</v>
      </c>
    </row>
    <row r="174" spans="2:12" x14ac:dyDescent="0.2">
      <c r="B174" s="97"/>
      <c r="C174" s="94"/>
      <c r="D174" s="65" t="s">
        <v>114</v>
      </c>
      <c r="E174" s="69">
        <f>(10+((25-10)/2))*E171/82.5</f>
        <v>13.575757575757576</v>
      </c>
      <c r="F174" s="64">
        <f t="shared" si="52"/>
        <v>3855.5151515151515</v>
      </c>
      <c r="G174" s="66" t="s">
        <v>103</v>
      </c>
      <c r="H174" s="66">
        <v>7</v>
      </c>
      <c r="I174" s="61">
        <f>H174*12</f>
        <v>84</v>
      </c>
      <c r="J174" s="67">
        <v>108.14</v>
      </c>
      <c r="K174" s="63">
        <f t="shared" si="53"/>
        <v>0.77677085259848344</v>
      </c>
      <c r="L174" s="64">
        <f>K174*E174*C171/100</f>
        <v>2994.8517914487952</v>
      </c>
    </row>
    <row r="175" spans="2:12" x14ac:dyDescent="0.2">
      <c r="B175" s="97"/>
      <c r="C175" s="94"/>
      <c r="D175" s="65" t="s">
        <v>130</v>
      </c>
      <c r="E175" s="69">
        <f>(2.5+((10-2.5)/2))*E171/82.5</f>
        <v>4.8484848484848486</v>
      </c>
      <c r="F175" s="64">
        <f t="shared" si="52"/>
        <v>1376.969696969697</v>
      </c>
      <c r="G175" s="66" t="s">
        <v>92</v>
      </c>
      <c r="H175" s="66">
        <v>8</v>
      </c>
      <c r="I175" s="61">
        <f>H175*12</f>
        <v>96</v>
      </c>
      <c r="J175" s="67">
        <v>106.17</v>
      </c>
      <c r="K175" s="63">
        <f t="shared" si="53"/>
        <v>0.90421022887821412</v>
      </c>
      <c r="L175" s="64">
        <f>K175*E175*C171/100</f>
        <v>1245.0700848553349</v>
      </c>
    </row>
    <row r="176" spans="2:12" x14ac:dyDescent="0.2">
      <c r="B176" s="97"/>
      <c r="C176" s="94"/>
      <c r="D176" s="65" t="s">
        <v>150</v>
      </c>
      <c r="E176" s="69">
        <f>(2.5+((10-2.5)/2))*E171/82.5</f>
        <v>4.8484848484848486</v>
      </c>
      <c r="F176" s="64">
        <f t="shared" si="52"/>
        <v>1376.969696969697</v>
      </c>
      <c r="G176" s="66" t="s">
        <v>153</v>
      </c>
      <c r="H176" s="66">
        <v>9</v>
      </c>
      <c r="I176" s="61">
        <f t="shared" ref="I176" si="54">H176*12</f>
        <v>108</v>
      </c>
      <c r="J176" s="67">
        <v>108.099</v>
      </c>
      <c r="K176" s="63">
        <f t="shared" si="53"/>
        <v>0.99908417284156181</v>
      </c>
      <c r="L176" s="64">
        <f>K176*E176*C171/100</f>
        <v>1375.7086307248655</v>
      </c>
    </row>
    <row r="177" spans="2:12" x14ac:dyDescent="0.2">
      <c r="B177" s="97"/>
      <c r="C177" s="94"/>
      <c r="D177" s="65" t="s">
        <v>139</v>
      </c>
      <c r="E177" s="69">
        <f>(2.5+((10-2.5)/2))*E171/82.5</f>
        <v>4.8484848484848486</v>
      </c>
      <c r="F177" s="64">
        <f t="shared" si="52"/>
        <v>1376.969696969697</v>
      </c>
      <c r="G177" s="66" t="s">
        <v>108</v>
      </c>
      <c r="H177" s="66"/>
      <c r="I177" s="61"/>
      <c r="J177" s="67"/>
      <c r="K177" s="63"/>
      <c r="L177" s="64"/>
    </row>
    <row r="178" spans="2:12" x14ac:dyDescent="0.2">
      <c r="B178" s="97"/>
      <c r="C178" s="94"/>
      <c r="D178" s="65" t="s">
        <v>109</v>
      </c>
      <c r="E178" s="69">
        <f>(2.5+((10-2.5)/2))*E171/82.5</f>
        <v>4.8484848484848486</v>
      </c>
      <c r="F178" s="64">
        <f t="shared" si="52"/>
        <v>1376.969696969697</v>
      </c>
      <c r="G178" s="66" t="s">
        <v>110</v>
      </c>
      <c r="H178" s="66">
        <v>2</v>
      </c>
      <c r="I178" s="61">
        <f t="shared" ref="I178" si="55">H178*12</f>
        <v>24</v>
      </c>
      <c r="J178" s="67">
        <v>62.07</v>
      </c>
      <c r="K178" s="63">
        <f t="shared" si="53"/>
        <v>0.38666022232962782</v>
      </c>
      <c r="L178" s="64">
        <f>K178*E178*C171/100</f>
        <v>532.41940917146337</v>
      </c>
    </row>
    <row r="179" spans="2:12" x14ac:dyDescent="0.2">
      <c r="B179" s="97"/>
      <c r="C179" s="94"/>
      <c r="D179" s="65" t="s">
        <v>133</v>
      </c>
      <c r="E179" s="69">
        <f>(0+((2.5-0)/2))*E171/82.5</f>
        <v>0.96969696969696972</v>
      </c>
      <c r="F179" s="64">
        <f t="shared" si="52"/>
        <v>275.39393939393938</v>
      </c>
      <c r="G179" s="66" t="s">
        <v>92</v>
      </c>
      <c r="H179" s="66">
        <v>8</v>
      </c>
      <c r="I179" s="61">
        <f>H179*12</f>
        <v>96</v>
      </c>
      <c r="J179" s="67">
        <v>106.17</v>
      </c>
      <c r="K179" s="63">
        <f t="shared" si="53"/>
        <v>0.90421022887821412</v>
      </c>
      <c r="L179" s="64">
        <f>K179*E179*C171/100</f>
        <v>249.01401697106695</v>
      </c>
    </row>
    <row r="180" spans="2:12" x14ac:dyDescent="0.2">
      <c r="B180" s="97"/>
      <c r="C180" s="94"/>
      <c r="D180" s="65" t="s">
        <v>154</v>
      </c>
      <c r="E180" s="69">
        <f>(0+((2.5-0)/2))*E171/82.5</f>
        <v>0.96969696969696972</v>
      </c>
      <c r="F180" s="64">
        <f t="shared" si="52"/>
        <v>275.39393939393938</v>
      </c>
      <c r="G180" s="66" t="s">
        <v>155</v>
      </c>
      <c r="H180" s="66">
        <v>10</v>
      </c>
      <c r="I180" s="61">
        <f>H180*12</f>
        <v>120</v>
      </c>
      <c r="J180" s="67">
        <v>128.16999999999999</v>
      </c>
      <c r="K180" s="63">
        <f>I180/J180</f>
        <v>0.93625653429039568</v>
      </c>
      <c r="L180" s="64">
        <f>K180*E180*C171/100</f>
        <v>257.83937526154898</v>
      </c>
    </row>
    <row r="181" spans="2:12" x14ac:dyDescent="0.2">
      <c r="B181" s="97"/>
      <c r="C181" s="94"/>
      <c r="D181" s="65" t="s">
        <v>156</v>
      </c>
      <c r="E181" s="69">
        <f>(0+((2.5-0)/2))*E171/82.5</f>
        <v>0.96969696969696972</v>
      </c>
      <c r="F181" s="64">
        <f t="shared" si="52"/>
        <v>275.39393939393938</v>
      </c>
      <c r="G181" s="66" t="s">
        <v>111</v>
      </c>
      <c r="H181" s="66">
        <v>4</v>
      </c>
      <c r="I181" s="61">
        <f>H181*12</f>
        <v>48</v>
      </c>
      <c r="J181" s="67">
        <v>74.12</v>
      </c>
      <c r="K181" s="63">
        <f t="shared" si="53"/>
        <v>0.64759848893685912</v>
      </c>
      <c r="L181" s="64">
        <f>K181*E181*C171/100</f>
        <v>178.34469901388414</v>
      </c>
    </row>
    <row r="182" spans="2:12" x14ac:dyDescent="0.2">
      <c r="B182" s="98"/>
      <c r="C182" s="95"/>
      <c r="D182" s="65" t="s">
        <v>135</v>
      </c>
      <c r="E182" s="69">
        <f>(0+((2.5-0)/2))*E171/82.5</f>
        <v>0.96969696969696972</v>
      </c>
      <c r="F182" s="64">
        <f t="shared" si="52"/>
        <v>275.39393939393938</v>
      </c>
      <c r="G182" s="66" t="s">
        <v>136</v>
      </c>
      <c r="H182" s="66">
        <v>1</v>
      </c>
      <c r="I182" s="61">
        <f t="shared" ref="I182" si="56">H182*12</f>
        <v>12</v>
      </c>
      <c r="J182" s="67">
        <v>30.03</v>
      </c>
      <c r="K182" s="63">
        <f t="shared" si="53"/>
        <v>0.39960039960039956</v>
      </c>
      <c r="L182" s="64">
        <f>K182*E182*C171/100</f>
        <v>110.04752822934641</v>
      </c>
    </row>
    <row r="183" spans="2:12" x14ac:dyDescent="0.2">
      <c r="B183" s="110" t="s">
        <v>68</v>
      </c>
      <c r="C183" s="109">
        <v>74000</v>
      </c>
      <c r="D183" s="57" t="s">
        <v>87</v>
      </c>
      <c r="E183" s="142">
        <v>70</v>
      </c>
      <c r="F183" s="64">
        <f>C183*E183/100</f>
        <v>51800</v>
      </c>
      <c r="G183" s="59"/>
      <c r="H183" s="59"/>
      <c r="I183" s="61"/>
      <c r="J183" s="62"/>
      <c r="K183" s="63"/>
      <c r="L183" s="64"/>
    </row>
    <row r="184" spans="2:12" x14ac:dyDescent="0.2">
      <c r="B184" s="110"/>
      <c r="C184" s="109"/>
      <c r="D184" s="57" t="s">
        <v>84</v>
      </c>
      <c r="E184" s="60">
        <f>(50+((100-50)/2))*E183/88.75</f>
        <v>59.154929577464792</v>
      </c>
      <c r="F184" s="64">
        <f>E184*$F$183/$E$183</f>
        <v>43774.647887323947</v>
      </c>
      <c r="G184" s="59" t="s">
        <v>88</v>
      </c>
      <c r="H184" s="59">
        <v>5</v>
      </c>
      <c r="I184" s="61">
        <f>H184*12</f>
        <v>60</v>
      </c>
      <c r="J184" s="62">
        <v>99.13</v>
      </c>
      <c r="K184" s="63">
        <f>I184/J184</f>
        <v>0.60526581256935341</v>
      </c>
      <c r="L184" s="64">
        <f>K184*C183*E184/100</f>
        <v>26495.297823458459</v>
      </c>
    </row>
    <row r="185" spans="2:12" x14ac:dyDescent="0.2">
      <c r="B185" s="110"/>
      <c r="C185" s="109"/>
      <c r="D185" s="57" t="s">
        <v>113</v>
      </c>
      <c r="E185" s="60">
        <f>(5+((7-5)/2))*E183/88.75</f>
        <v>4.732394366197183</v>
      </c>
      <c r="F185" s="64">
        <f t="shared" ref="F185:F187" si="57">E185*$F$183/$E$183</f>
        <v>3501.9718309859154</v>
      </c>
      <c r="G185" s="59" t="s">
        <v>92</v>
      </c>
      <c r="H185" s="59">
        <v>8</v>
      </c>
      <c r="I185" s="61">
        <f>H185*12</f>
        <v>96</v>
      </c>
      <c r="J185" s="62">
        <v>106.17</v>
      </c>
      <c r="K185" s="63">
        <f t="shared" ref="K185" si="58">I185/J185</f>
        <v>0.90421022887821412</v>
      </c>
      <c r="L185" s="64">
        <f>K185*E185*C183/100</f>
        <v>3166.5187508208332</v>
      </c>
    </row>
    <row r="186" spans="2:12" x14ac:dyDescent="0.2">
      <c r="B186" s="110"/>
      <c r="C186" s="109"/>
      <c r="D186" s="57" t="s">
        <v>85</v>
      </c>
      <c r="E186" s="60">
        <f>(5+((7-5)/2))*E183/88.75</f>
        <v>4.732394366197183</v>
      </c>
      <c r="F186" s="64">
        <f>E186*$F$183/$E$183</f>
        <v>3501.9718309859154</v>
      </c>
      <c r="G186" s="59" t="s">
        <v>108</v>
      </c>
      <c r="H186" s="59"/>
      <c r="I186" s="61"/>
      <c r="J186" s="62"/>
      <c r="K186" s="63"/>
      <c r="L186" s="64"/>
    </row>
    <row r="187" spans="2:12" x14ac:dyDescent="0.2">
      <c r="B187" s="110"/>
      <c r="C187" s="109"/>
      <c r="D187" s="57" t="s">
        <v>97</v>
      </c>
      <c r="E187" s="60">
        <f>(1+((2.5-1)/2))*E183/88.75</f>
        <v>1.380281690140845</v>
      </c>
      <c r="F187" s="64">
        <f t="shared" si="57"/>
        <v>1021.4084507042253</v>
      </c>
      <c r="G187" s="59" t="s">
        <v>103</v>
      </c>
      <c r="H187" s="59">
        <v>7</v>
      </c>
      <c r="I187" s="61">
        <f t="shared" ref="I187" si="59">H187*12</f>
        <v>84</v>
      </c>
      <c r="J187" s="62">
        <v>108.14</v>
      </c>
      <c r="K187" s="63">
        <f>I187/J187</f>
        <v>0.77677085259848344</v>
      </c>
      <c r="L187" s="64">
        <f>K187*E187*C183/100</f>
        <v>793.4003131048172</v>
      </c>
    </row>
    <row r="188" spans="2:12" x14ac:dyDescent="0.2">
      <c r="B188" s="96" t="s">
        <v>69</v>
      </c>
      <c r="C188" s="111">
        <v>48500</v>
      </c>
      <c r="D188" s="65" t="s">
        <v>87</v>
      </c>
      <c r="E188" s="69">
        <v>64</v>
      </c>
      <c r="F188" s="64">
        <f>C188*E188/100</f>
        <v>31040</v>
      </c>
      <c r="G188" s="66"/>
      <c r="H188" s="66"/>
      <c r="I188" s="61"/>
      <c r="J188" s="67"/>
      <c r="K188" s="63"/>
      <c r="L188" s="64"/>
    </row>
    <row r="189" spans="2:12" x14ac:dyDescent="0.2">
      <c r="B189" s="97"/>
      <c r="C189" s="112"/>
      <c r="D189" s="65" t="s">
        <v>157</v>
      </c>
      <c r="E189" s="69">
        <f>(25+((30-25)/2))*E188/54.75</f>
        <v>32.146118721461185</v>
      </c>
      <c r="F189" s="64">
        <f>E189*F188/E188</f>
        <v>15590.867579908674</v>
      </c>
      <c r="G189" s="66" t="s">
        <v>103</v>
      </c>
      <c r="H189" s="66">
        <v>7</v>
      </c>
      <c r="I189" s="61">
        <f>H189*12</f>
        <v>84</v>
      </c>
      <c r="J189" s="67">
        <v>108.14</v>
      </c>
      <c r="K189" s="63">
        <f t="shared" ref="K189:K194" si="60">I189/J189</f>
        <v>0.77677085259848344</v>
      </c>
      <c r="L189" s="64">
        <f>K189*C188*E189/100</f>
        <v>12110.531502795715</v>
      </c>
    </row>
    <row r="190" spans="2:12" x14ac:dyDescent="0.2">
      <c r="B190" s="97"/>
      <c r="C190" s="112"/>
      <c r="D190" s="65" t="s">
        <v>96</v>
      </c>
      <c r="E190" s="69">
        <f>(7+((10-7)/2))*E188/54.75</f>
        <v>9.93607305936073</v>
      </c>
      <c r="F190" s="64">
        <f>E190*F188/E188</f>
        <v>4818.9954337899544</v>
      </c>
      <c r="G190" s="66" t="s">
        <v>102</v>
      </c>
      <c r="H190" s="66">
        <v>6</v>
      </c>
      <c r="I190" s="61">
        <f t="shared" ref="I190:I192" si="61">H190*12</f>
        <v>72</v>
      </c>
      <c r="J190" s="67">
        <v>94.11</v>
      </c>
      <c r="K190" s="63">
        <f t="shared" si="60"/>
        <v>0.76506216130060567</v>
      </c>
      <c r="L190" s="64">
        <f>K190*C188*E190/100</f>
        <v>3686.8310618730925</v>
      </c>
    </row>
    <row r="191" spans="2:12" x14ac:dyDescent="0.2">
      <c r="B191" s="97"/>
      <c r="C191" s="112"/>
      <c r="D191" s="65" t="s">
        <v>158</v>
      </c>
      <c r="E191" s="69">
        <f>(5+((7-5)/2))*E188/54.75</f>
        <v>7.0136986301369859</v>
      </c>
      <c r="F191" s="64">
        <f>E191*F188/E188</f>
        <v>3401.6438356164381</v>
      </c>
      <c r="G191" s="66" t="s">
        <v>103</v>
      </c>
      <c r="H191" s="66">
        <v>7</v>
      </c>
      <c r="I191" s="61">
        <f t="shared" si="61"/>
        <v>84</v>
      </c>
      <c r="J191" s="67">
        <v>108.14</v>
      </c>
      <c r="K191" s="63">
        <f t="shared" si="60"/>
        <v>0.77677085259848344</v>
      </c>
      <c r="L191" s="64">
        <f>K191*C188*E191/100</f>
        <v>2642.2977824281566</v>
      </c>
    </row>
    <row r="192" spans="2:12" x14ac:dyDescent="0.2">
      <c r="B192" s="97"/>
      <c r="C192" s="112"/>
      <c r="D192" s="65" t="s">
        <v>159</v>
      </c>
      <c r="E192" s="69">
        <f>(5+((7-5)/2))*E188/54.75</f>
        <v>7.0136986301369859</v>
      </c>
      <c r="F192" s="64">
        <f>E192*F188/E188</f>
        <v>3401.6438356164381</v>
      </c>
      <c r="G192" s="66" t="s">
        <v>104</v>
      </c>
      <c r="H192" s="66">
        <v>12</v>
      </c>
      <c r="I192" s="61">
        <f t="shared" si="61"/>
        <v>144</v>
      </c>
      <c r="J192" s="67">
        <v>198.35</v>
      </c>
      <c r="K192" s="63">
        <f t="shared" si="60"/>
        <v>0.72598941265439876</v>
      </c>
      <c r="L192" s="64">
        <f>K192*C188*E192/100</f>
        <v>2469.5574102786341</v>
      </c>
    </row>
    <row r="193" spans="2:12" x14ac:dyDescent="0.2">
      <c r="B193" s="97"/>
      <c r="C193" s="112"/>
      <c r="D193" s="65" t="s">
        <v>95</v>
      </c>
      <c r="E193" s="69">
        <f>(5+((7-5)/2))*E188/54.75</f>
        <v>7.0136986301369859</v>
      </c>
      <c r="F193" s="64">
        <f>E193*F188/E188</f>
        <v>3401.6438356164381</v>
      </c>
      <c r="G193" s="66" t="s">
        <v>105</v>
      </c>
      <c r="H193" s="66">
        <v>7</v>
      </c>
      <c r="I193" s="61">
        <f t="shared" ref="I193" si="62">H193*12</f>
        <v>84</v>
      </c>
      <c r="J193" s="67">
        <v>253.45</v>
      </c>
      <c r="K193" s="63">
        <f t="shared" si="60"/>
        <v>0.33142631682777668</v>
      </c>
      <c r="L193" s="64">
        <f>K193*C188*E193/100</f>
        <v>1127.3942875982671</v>
      </c>
    </row>
    <row r="194" spans="2:12" x14ac:dyDescent="0.2">
      <c r="B194" s="98"/>
      <c r="C194" s="113"/>
      <c r="D194" s="65" t="s">
        <v>121</v>
      </c>
      <c r="E194" s="69">
        <f>(0.5+((1-0.5)/2))*E188/54.75</f>
        <v>0.87671232876712324</v>
      </c>
      <c r="F194" s="64">
        <f>E194*F188/E188</f>
        <v>425.20547945205476</v>
      </c>
      <c r="G194" s="66" t="s">
        <v>122</v>
      </c>
      <c r="H194" s="66">
        <v>5</v>
      </c>
      <c r="I194" s="61">
        <f t="shared" ref="I194" si="63">H194*12</f>
        <v>60</v>
      </c>
      <c r="J194" s="67">
        <v>120.15</v>
      </c>
      <c r="K194" s="63">
        <f t="shared" si="60"/>
        <v>0.49937578027465668</v>
      </c>
      <c r="L194" s="64">
        <f>K194*C188*E194/100</f>
        <v>212.33731807842935</v>
      </c>
    </row>
    <row r="195" spans="2:12" x14ac:dyDescent="0.2">
      <c r="B195" s="91" t="s">
        <v>70</v>
      </c>
      <c r="C195" s="89">
        <v>0</v>
      </c>
      <c r="D195" s="57" t="s">
        <v>87</v>
      </c>
      <c r="E195" s="60">
        <v>75</v>
      </c>
      <c r="F195" s="64">
        <f>C195*E195/100</f>
        <v>0</v>
      </c>
      <c r="G195" s="59"/>
      <c r="H195" s="59"/>
      <c r="I195" s="61"/>
      <c r="J195" s="62"/>
      <c r="K195" s="63"/>
      <c r="L195" s="64"/>
    </row>
    <row r="196" spans="2:12" x14ac:dyDescent="0.2">
      <c r="B196" s="106"/>
      <c r="C196" s="105"/>
      <c r="D196" s="57" t="s">
        <v>160</v>
      </c>
      <c r="E196" s="60">
        <f>(24+((26-24)/2))*E195/100</f>
        <v>18.75</v>
      </c>
      <c r="F196" s="64">
        <f>E196*F195/E195</f>
        <v>0</v>
      </c>
      <c r="G196" s="59" t="s">
        <v>108</v>
      </c>
      <c r="H196" s="59"/>
      <c r="I196" s="61"/>
      <c r="J196" s="62"/>
      <c r="K196" s="63"/>
      <c r="L196" s="64"/>
    </row>
    <row r="197" spans="2:12" x14ac:dyDescent="0.2">
      <c r="B197" s="92"/>
      <c r="C197" s="90"/>
      <c r="D197" s="57" t="s">
        <v>161</v>
      </c>
      <c r="E197" s="60">
        <f>(74+((76-74)/2))*E195/100</f>
        <v>56.25</v>
      </c>
      <c r="F197" s="64">
        <f>E197*F195/E195</f>
        <v>0</v>
      </c>
      <c r="G197" s="59" t="s">
        <v>88</v>
      </c>
      <c r="H197" s="59">
        <v>5</v>
      </c>
      <c r="I197" s="61">
        <f>H197*12</f>
        <v>60</v>
      </c>
      <c r="J197" s="62">
        <v>99.13</v>
      </c>
      <c r="K197" s="63">
        <f t="shared" si="1"/>
        <v>0.60526581256935341</v>
      </c>
      <c r="L197" s="64">
        <f>K197*E197*C195/100</f>
        <v>0</v>
      </c>
    </row>
    <row r="198" spans="2:12" x14ac:dyDescent="0.2">
      <c r="B198" s="96" t="s">
        <v>71</v>
      </c>
      <c r="C198" s="93">
        <v>1800</v>
      </c>
      <c r="D198" s="65" t="s">
        <v>87</v>
      </c>
      <c r="E198" s="69">
        <v>82</v>
      </c>
      <c r="F198" s="64">
        <f>C198*E198/100</f>
        <v>1476</v>
      </c>
      <c r="G198" s="66"/>
      <c r="H198" s="66"/>
      <c r="I198" s="61"/>
      <c r="J198" s="67"/>
      <c r="K198" s="63"/>
      <c r="L198" s="64"/>
    </row>
    <row r="199" spans="2:12" x14ac:dyDescent="0.2">
      <c r="B199" s="97"/>
      <c r="C199" s="94"/>
      <c r="D199" s="65" t="s">
        <v>160</v>
      </c>
      <c r="E199" s="69">
        <f>(17+((19-17)/2))*E198/98</f>
        <v>15.061224489795919</v>
      </c>
      <c r="F199" s="64">
        <f>E199*F198/E198</f>
        <v>271.10204081632651</v>
      </c>
      <c r="G199" s="66" t="s">
        <v>108</v>
      </c>
      <c r="H199" s="66"/>
      <c r="I199" s="61"/>
      <c r="J199" s="67"/>
      <c r="K199" s="63"/>
      <c r="L199" s="64"/>
    </row>
    <row r="200" spans="2:12" x14ac:dyDescent="0.2">
      <c r="B200" s="98"/>
      <c r="C200" s="95"/>
      <c r="D200" s="65" t="s">
        <v>86</v>
      </c>
      <c r="E200" s="69">
        <f>(78+((82-78)/2))*E198/98</f>
        <v>66.938775510204081</v>
      </c>
      <c r="F200" s="64">
        <f>E200*F198/E198</f>
        <v>1204.8979591836735</v>
      </c>
      <c r="G200" s="66" t="s">
        <v>93</v>
      </c>
      <c r="H200" s="66">
        <v>4</v>
      </c>
      <c r="I200" s="61">
        <f t="shared" ref="I200:I202" si="64">H200*12</f>
        <v>48</v>
      </c>
      <c r="J200" s="67">
        <v>87.12</v>
      </c>
      <c r="K200" s="63">
        <f t="shared" ref="K200" si="65">I200/J200</f>
        <v>0.55096418732782371</v>
      </c>
      <c r="L200" s="64">
        <f>K200*E200*C198/100</f>
        <v>663.85562489458596</v>
      </c>
    </row>
    <row r="201" spans="2:12" x14ac:dyDescent="0.2">
      <c r="B201" s="91" t="s">
        <v>72</v>
      </c>
      <c r="C201" s="89">
        <v>8360</v>
      </c>
      <c r="D201" s="57" t="s">
        <v>87</v>
      </c>
      <c r="E201" s="60">
        <v>98.8</v>
      </c>
      <c r="F201" s="64">
        <f>C201*E201/100</f>
        <v>8259.68</v>
      </c>
      <c r="G201" s="59"/>
      <c r="H201" s="59"/>
      <c r="I201" s="61"/>
      <c r="J201" s="62"/>
      <c r="K201" s="63"/>
      <c r="L201" s="64"/>
    </row>
    <row r="202" spans="2:12" x14ac:dyDescent="0.2">
      <c r="B202" s="106"/>
      <c r="C202" s="105"/>
      <c r="D202" s="57" t="s">
        <v>162</v>
      </c>
      <c r="E202" s="60">
        <f>(50+((100-50)/2))*E201/81</f>
        <v>91.481481481481481</v>
      </c>
      <c r="F202" s="64">
        <f>E202*F201/E201</f>
        <v>7647.8518518518522</v>
      </c>
      <c r="G202" s="59" t="s">
        <v>164</v>
      </c>
      <c r="H202" s="59">
        <v>6</v>
      </c>
      <c r="I202" s="61">
        <f t="shared" si="64"/>
        <v>72</v>
      </c>
      <c r="J202" s="62">
        <v>86.18</v>
      </c>
      <c r="K202" s="63">
        <f>I202/J202</f>
        <v>0.83546066372708283</v>
      </c>
      <c r="L202" s="64">
        <f>K202*E202*C201/100</f>
        <v>6389.479384234548</v>
      </c>
    </row>
    <row r="203" spans="2:12" x14ac:dyDescent="0.2">
      <c r="B203" s="92"/>
      <c r="C203" s="90"/>
      <c r="D203" s="57" t="s">
        <v>163</v>
      </c>
      <c r="E203" s="60">
        <f>(5+((7-5)/2))*E201/81</f>
        <v>7.318518518518518</v>
      </c>
      <c r="F203" s="64">
        <f>E203*F201/E201</f>
        <v>611.8281481481481</v>
      </c>
      <c r="G203" s="59" t="s">
        <v>165</v>
      </c>
      <c r="H203" s="59">
        <v>3</v>
      </c>
      <c r="I203" s="61">
        <f>H203*12</f>
        <v>36</v>
      </c>
      <c r="J203" s="62">
        <v>112.98</v>
      </c>
      <c r="K203" s="63">
        <f t="shared" ref="K203" si="66">I203/J203</f>
        <v>0.31864046733935208</v>
      </c>
      <c r="L203" s="64">
        <f>K203*E203*C201/100</f>
        <v>194.95320705729628</v>
      </c>
    </row>
    <row r="204" spans="2:12" x14ac:dyDescent="0.2">
      <c r="B204" s="108" t="s">
        <v>73</v>
      </c>
      <c r="C204" s="107">
        <v>690</v>
      </c>
      <c r="D204" s="73" t="s">
        <v>87</v>
      </c>
      <c r="E204" s="69">
        <v>67</v>
      </c>
      <c r="F204" s="64">
        <f>C204*E204/100</f>
        <v>462.3</v>
      </c>
      <c r="G204" s="66"/>
      <c r="H204" s="66"/>
      <c r="I204" s="61"/>
      <c r="J204" s="67"/>
      <c r="K204" s="63"/>
      <c r="L204" s="64"/>
    </row>
    <row r="205" spans="2:12" x14ac:dyDescent="0.2">
      <c r="B205" s="108"/>
      <c r="C205" s="107"/>
      <c r="D205" s="65" t="s">
        <v>84</v>
      </c>
      <c r="E205" s="69">
        <f>(25+((50-25)/2))*E204/70</f>
        <v>35.892857142857146</v>
      </c>
      <c r="F205" s="64">
        <f>E205*$F$204/$E$204</f>
        <v>247.66071428571431</v>
      </c>
      <c r="G205" s="66" t="s">
        <v>88</v>
      </c>
      <c r="H205" s="66">
        <v>5</v>
      </c>
      <c r="I205" s="61">
        <f>H205*12</f>
        <v>60</v>
      </c>
      <c r="J205" s="67">
        <v>99.13</v>
      </c>
      <c r="K205" s="63">
        <f>I205/J205</f>
        <v>0.60526581256935341</v>
      </c>
      <c r="L205" s="64">
        <f>K205*E205*C204/100</f>
        <v>149.90056347364936</v>
      </c>
    </row>
    <row r="206" spans="2:12" x14ac:dyDescent="0.2">
      <c r="B206" s="108"/>
      <c r="C206" s="107"/>
      <c r="D206" s="65" t="s">
        <v>131</v>
      </c>
      <c r="E206" s="69">
        <f>(2.5+((10-2.5)/2))*E204/70</f>
        <v>5.9821428571428568</v>
      </c>
      <c r="F206" s="64">
        <f t="shared" ref="F206:F219" si="67">E206*$F$204/$E$204</f>
        <v>41.276785714285708</v>
      </c>
      <c r="G206" s="66" t="s">
        <v>132</v>
      </c>
      <c r="H206" s="66">
        <v>7</v>
      </c>
      <c r="I206" s="61">
        <f>H206*12</f>
        <v>84</v>
      </c>
      <c r="J206" s="67">
        <v>253.45</v>
      </c>
      <c r="K206" s="63">
        <f t="shared" ref="K206:K219" si="68">I206/J206</f>
        <v>0.33142631682777668</v>
      </c>
      <c r="L206" s="64">
        <f>K206*E206*C204/100</f>
        <v>13.680213059775104</v>
      </c>
    </row>
    <row r="207" spans="2:12" x14ac:dyDescent="0.2">
      <c r="B207" s="108"/>
      <c r="C207" s="107"/>
      <c r="D207" s="73" t="s">
        <v>130</v>
      </c>
      <c r="E207" s="69">
        <f>(2.5+((10-2.5)/2))*E204/70</f>
        <v>5.9821428571428568</v>
      </c>
      <c r="F207" s="64">
        <f t="shared" si="67"/>
        <v>41.276785714285708</v>
      </c>
      <c r="G207" s="66" t="s">
        <v>92</v>
      </c>
      <c r="H207" s="66">
        <v>8</v>
      </c>
      <c r="I207" s="61">
        <f>H207*12</f>
        <v>96</v>
      </c>
      <c r="J207" s="67">
        <v>106.17</v>
      </c>
      <c r="K207" s="63">
        <f t="shared" si="68"/>
        <v>0.90421022887821412</v>
      </c>
      <c r="L207" s="64">
        <f>K207*E207*C204/100</f>
        <v>37.32289185807128</v>
      </c>
    </row>
    <row r="208" spans="2:12" x14ac:dyDescent="0.2">
      <c r="B208" s="108"/>
      <c r="C208" s="107"/>
      <c r="D208" s="73" t="s">
        <v>125</v>
      </c>
      <c r="E208" s="69">
        <f>(2.5+((10-2.5)/2))*E204/70</f>
        <v>5.9821428571428568</v>
      </c>
      <c r="F208" s="64">
        <f t="shared" si="67"/>
        <v>41.276785714285708</v>
      </c>
      <c r="G208" s="66" t="s">
        <v>127</v>
      </c>
      <c r="H208" s="66">
        <v>4</v>
      </c>
      <c r="I208" s="61">
        <f t="shared" ref="I208" si="69">H208*12</f>
        <v>48</v>
      </c>
      <c r="J208" s="67">
        <v>102.09</v>
      </c>
      <c r="K208" s="63">
        <f t="shared" si="68"/>
        <v>0.47017337643255946</v>
      </c>
      <c r="L208" s="64">
        <f>K208*E208*C204/100</f>
        <v>19.407245707568951</v>
      </c>
    </row>
    <row r="209" spans="2:12" x14ac:dyDescent="0.2">
      <c r="B209" s="108"/>
      <c r="C209" s="107"/>
      <c r="D209" s="73" t="s">
        <v>133</v>
      </c>
      <c r="E209" s="69">
        <f>(0+((2.5-0)/2))*E204/70</f>
        <v>1.1964285714285714</v>
      </c>
      <c r="F209" s="64">
        <f t="shared" si="67"/>
        <v>8.2553571428571431</v>
      </c>
      <c r="G209" s="66" t="s">
        <v>92</v>
      </c>
      <c r="H209" s="66">
        <v>8</v>
      </c>
      <c r="I209" s="61">
        <f>H209*12</f>
        <v>96</v>
      </c>
      <c r="J209" s="67">
        <v>106.17</v>
      </c>
      <c r="K209" s="63">
        <f t="shared" si="68"/>
        <v>0.90421022887821412</v>
      </c>
      <c r="L209" s="64">
        <f>K209*E209*C204/100</f>
        <v>7.4645783716142571</v>
      </c>
    </row>
    <row r="210" spans="2:12" x14ac:dyDescent="0.2">
      <c r="B210" s="108"/>
      <c r="C210" s="107"/>
      <c r="D210" s="73" t="s">
        <v>114</v>
      </c>
      <c r="E210" s="69">
        <f>(0+((2.5-0)/2))*E204/70</f>
        <v>1.1964285714285714</v>
      </c>
      <c r="F210" s="64">
        <f t="shared" si="67"/>
        <v>8.2553571428571431</v>
      </c>
      <c r="G210" s="66" t="s">
        <v>103</v>
      </c>
      <c r="H210" s="66">
        <v>7</v>
      </c>
      <c r="I210" s="61">
        <f>H210*12</f>
        <v>84</v>
      </c>
      <c r="J210" s="67">
        <v>108.14</v>
      </c>
      <c r="K210" s="63">
        <f t="shared" si="68"/>
        <v>0.77677085259848344</v>
      </c>
      <c r="L210" s="64">
        <f>K210*E210*C204/100</f>
        <v>6.4125208063621235</v>
      </c>
    </row>
    <row r="211" spans="2:12" x14ac:dyDescent="0.2">
      <c r="B211" s="108"/>
      <c r="C211" s="107"/>
      <c r="D211" s="73" t="s">
        <v>158</v>
      </c>
      <c r="E211" s="69">
        <f>(0+((2.5-0)/2))*E204/70</f>
        <v>1.1964285714285714</v>
      </c>
      <c r="F211" s="64">
        <f t="shared" si="67"/>
        <v>8.2553571428571431</v>
      </c>
      <c r="G211" s="66" t="s">
        <v>103</v>
      </c>
      <c r="H211" s="66">
        <v>7</v>
      </c>
      <c r="I211" s="61">
        <f t="shared" ref="I211" si="70">H211*12</f>
        <v>84</v>
      </c>
      <c r="J211" s="67">
        <v>108.14</v>
      </c>
      <c r="K211" s="63">
        <f t="shared" si="68"/>
        <v>0.77677085259848344</v>
      </c>
      <c r="L211" s="64">
        <f>K211*E211*C204/100</f>
        <v>6.4125208063621235</v>
      </c>
    </row>
    <row r="212" spans="2:12" x14ac:dyDescent="0.2">
      <c r="B212" s="108"/>
      <c r="C212" s="107"/>
      <c r="D212" s="73" t="s">
        <v>166</v>
      </c>
      <c r="E212" s="69">
        <f>(0+((2.5-0)/2))*E204/70</f>
        <v>1.1964285714285714</v>
      </c>
      <c r="F212" s="64">
        <f>E212*$F$204/$E$204</f>
        <v>8.2553571428571431</v>
      </c>
      <c r="G212" s="66" t="s">
        <v>152</v>
      </c>
      <c r="H212" s="66">
        <v>9</v>
      </c>
      <c r="I212" s="61">
        <f t="shared" ref="I212:I274" si="71">H212*12</f>
        <v>108</v>
      </c>
      <c r="J212" s="67">
        <v>120.2</v>
      </c>
      <c r="K212" s="63">
        <f t="shared" si="68"/>
        <v>0.8985024958402662</v>
      </c>
      <c r="L212" s="64">
        <f>K212*E212*C204/100</f>
        <v>7.417458996909911</v>
      </c>
    </row>
    <row r="213" spans="2:12" x14ac:dyDescent="0.2">
      <c r="B213" s="108"/>
      <c r="C213" s="107"/>
      <c r="D213" s="73" t="s">
        <v>167</v>
      </c>
      <c r="E213" s="69">
        <f>(0+((2.5-0)/2))*E204/70</f>
        <v>1.1964285714285714</v>
      </c>
      <c r="F213" s="64">
        <f t="shared" si="67"/>
        <v>8.2553571428571431</v>
      </c>
      <c r="G213" s="66" t="s">
        <v>169</v>
      </c>
      <c r="H213" s="66">
        <v>7</v>
      </c>
      <c r="I213" s="61">
        <f t="shared" si="71"/>
        <v>84</v>
      </c>
      <c r="J213" s="67">
        <v>92.14</v>
      </c>
      <c r="K213" s="63">
        <f t="shared" si="68"/>
        <v>0.91165617538528321</v>
      </c>
      <c r="L213" s="64">
        <f>K213*E213*C204/100</f>
        <v>7.5260473192967217</v>
      </c>
    </row>
    <row r="214" spans="2:12" x14ac:dyDescent="0.2">
      <c r="B214" s="108"/>
      <c r="C214" s="107"/>
      <c r="D214" s="73" t="s">
        <v>139</v>
      </c>
      <c r="E214" s="69">
        <f>(0+((2.5-0)/2))*E204/70</f>
        <v>1.1964285714285714</v>
      </c>
      <c r="F214" s="64">
        <f t="shared" si="67"/>
        <v>8.2553571428571431</v>
      </c>
      <c r="G214" s="66" t="s">
        <v>108</v>
      </c>
      <c r="H214" s="66"/>
      <c r="I214" s="61"/>
      <c r="J214" s="67"/>
      <c r="K214" s="63"/>
      <c r="L214" s="64"/>
    </row>
    <row r="215" spans="2:12" x14ac:dyDescent="0.2">
      <c r="B215" s="108"/>
      <c r="C215" s="107"/>
      <c r="D215" s="73" t="s">
        <v>156</v>
      </c>
      <c r="E215" s="69">
        <f>(0+((2.5-0)/2))*E204/70</f>
        <v>1.1964285714285714</v>
      </c>
      <c r="F215" s="64">
        <f t="shared" si="67"/>
        <v>8.2553571428571431</v>
      </c>
      <c r="G215" s="66" t="s">
        <v>111</v>
      </c>
      <c r="H215" s="66">
        <v>4</v>
      </c>
      <c r="I215" s="61">
        <f>H215*12</f>
        <v>48</v>
      </c>
      <c r="J215" s="67">
        <v>74.12</v>
      </c>
      <c r="K215" s="63">
        <f t="shared" si="68"/>
        <v>0.64759848893685912</v>
      </c>
      <c r="L215" s="64">
        <f>K215*E215*C204/100</f>
        <v>5.3461568113483917</v>
      </c>
    </row>
    <row r="216" spans="2:12" x14ac:dyDescent="0.2">
      <c r="B216" s="108"/>
      <c r="C216" s="107"/>
      <c r="D216" s="73" t="s">
        <v>168</v>
      </c>
      <c r="E216" s="69">
        <f>(0+((2.5-0)/2))*E204/70</f>
        <v>1.1964285714285714</v>
      </c>
      <c r="F216" s="64">
        <f t="shared" si="67"/>
        <v>8.2553571428571431</v>
      </c>
      <c r="G216" s="66" t="s">
        <v>92</v>
      </c>
      <c r="H216" s="66">
        <v>8</v>
      </c>
      <c r="I216" s="61">
        <f t="shared" si="71"/>
        <v>96</v>
      </c>
      <c r="J216" s="67">
        <v>106.17</v>
      </c>
      <c r="K216" s="63">
        <f t="shared" si="68"/>
        <v>0.90421022887821412</v>
      </c>
      <c r="L216" s="64">
        <f>K216*E216*C204/100</f>
        <v>7.4645783716142571</v>
      </c>
    </row>
    <row r="217" spans="2:12" x14ac:dyDescent="0.2">
      <c r="B217" s="108"/>
      <c r="C217" s="107"/>
      <c r="D217" s="73" t="s">
        <v>96</v>
      </c>
      <c r="E217" s="69">
        <f>(0+((2.5-0)/2))*E204/70</f>
        <v>1.1964285714285714</v>
      </c>
      <c r="F217" s="64">
        <f t="shared" si="67"/>
        <v>8.2553571428571431</v>
      </c>
      <c r="G217" s="66" t="s">
        <v>102</v>
      </c>
      <c r="H217" s="66">
        <v>6</v>
      </c>
      <c r="I217" s="61">
        <f t="shared" si="71"/>
        <v>72</v>
      </c>
      <c r="J217" s="67">
        <v>94.11</v>
      </c>
      <c r="K217" s="63">
        <f t="shared" si="68"/>
        <v>0.76506216130060567</v>
      </c>
      <c r="L217" s="64">
        <f>K217*E217*C204/100</f>
        <v>6.315861378022678</v>
      </c>
    </row>
    <row r="218" spans="2:12" x14ac:dyDescent="0.2">
      <c r="B218" s="108"/>
      <c r="C218" s="107"/>
      <c r="D218" s="73" t="s">
        <v>170</v>
      </c>
      <c r="E218" s="69">
        <f>(0+((2.5-0)/2))*E204/70</f>
        <v>1.1964285714285714</v>
      </c>
      <c r="F218" s="64">
        <f t="shared" si="67"/>
        <v>8.2553571428571431</v>
      </c>
      <c r="G218" s="66" t="s">
        <v>111</v>
      </c>
      <c r="H218" s="66">
        <v>4</v>
      </c>
      <c r="I218" s="61">
        <f t="shared" si="71"/>
        <v>48</v>
      </c>
      <c r="J218" s="67">
        <v>74.12</v>
      </c>
      <c r="K218" s="63">
        <f t="shared" si="68"/>
        <v>0.64759848893685912</v>
      </c>
      <c r="L218" s="64">
        <f>K218*E218*C204/100</f>
        <v>5.3461568113483917</v>
      </c>
    </row>
    <row r="219" spans="2:12" x14ac:dyDescent="0.2">
      <c r="B219" s="108"/>
      <c r="C219" s="107"/>
      <c r="D219" s="65" t="s">
        <v>135</v>
      </c>
      <c r="E219" s="69">
        <f>(0+((2.5-0)/2))*E204/70</f>
        <v>1.1964285714285714</v>
      </c>
      <c r="F219" s="64">
        <f t="shared" si="67"/>
        <v>8.2553571428571431</v>
      </c>
      <c r="G219" s="66" t="s">
        <v>136</v>
      </c>
      <c r="H219" s="66">
        <v>1</v>
      </c>
      <c r="I219" s="61">
        <f t="shared" si="71"/>
        <v>12</v>
      </c>
      <c r="J219" s="67">
        <v>30.03</v>
      </c>
      <c r="K219" s="63">
        <f t="shared" si="68"/>
        <v>0.39960039960039956</v>
      </c>
      <c r="L219" s="64">
        <f>K219*E219*C204/100</f>
        <v>3.2988440131297265</v>
      </c>
    </row>
    <row r="220" spans="2:12" x14ac:dyDescent="0.2">
      <c r="B220" s="91" t="s">
        <v>74</v>
      </c>
      <c r="C220" s="89">
        <v>1980</v>
      </c>
      <c r="D220" s="57" t="s">
        <v>87</v>
      </c>
      <c r="E220" s="60">
        <v>82</v>
      </c>
      <c r="F220" s="64">
        <f>C220*E220/100</f>
        <v>1623.6</v>
      </c>
      <c r="G220" s="66"/>
      <c r="H220" s="66"/>
      <c r="I220" s="61"/>
      <c r="J220" s="67"/>
      <c r="K220" s="63"/>
      <c r="L220" s="64"/>
    </row>
    <row r="221" spans="2:12" x14ac:dyDescent="0.2">
      <c r="B221" s="106"/>
      <c r="C221" s="105"/>
      <c r="D221" s="57" t="s">
        <v>86</v>
      </c>
      <c r="E221" s="60">
        <f>(50+((100-50)/2))*E220/82.5</f>
        <v>74.545454545454547</v>
      </c>
      <c r="F221" s="64">
        <f>E221*F220/E220</f>
        <v>1476</v>
      </c>
      <c r="G221" s="59" t="s">
        <v>93</v>
      </c>
      <c r="H221" s="59">
        <v>4</v>
      </c>
      <c r="I221" s="61">
        <f t="shared" ref="I221" si="72">H221*12</f>
        <v>48</v>
      </c>
      <c r="J221" s="62">
        <v>87.12</v>
      </c>
      <c r="K221" s="63">
        <f>I221/J221</f>
        <v>0.55096418732782371</v>
      </c>
      <c r="L221" s="64">
        <f>K221*E221*C220/100</f>
        <v>813.22314049586782</v>
      </c>
    </row>
    <row r="222" spans="2:12" x14ac:dyDescent="0.2">
      <c r="B222" s="106"/>
      <c r="C222" s="105"/>
      <c r="D222" s="57" t="s">
        <v>130</v>
      </c>
      <c r="E222" s="60">
        <f>(2.5+((10-2.5)/2))*E220/82.5</f>
        <v>6.2121212121212119</v>
      </c>
      <c r="F222" s="64">
        <f>E222*F220/E220</f>
        <v>123</v>
      </c>
      <c r="G222" s="59" t="s">
        <v>92</v>
      </c>
      <c r="H222" s="59">
        <v>8</v>
      </c>
      <c r="I222" s="61">
        <f>H222*12</f>
        <v>96</v>
      </c>
      <c r="J222" s="62">
        <v>106.17</v>
      </c>
      <c r="K222" s="63">
        <f t="shared" ref="K222:K240" si="73">I222/J222</f>
        <v>0.90421022887821412</v>
      </c>
      <c r="L222" s="64">
        <f>K222*E222*C220/100</f>
        <v>111.21785815202033</v>
      </c>
    </row>
    <row r="223" spans="2:12" x14ac:dyDescent="0.2">
      <c r="B223" s="92"/>
      <c r="C223" s="90"/>
      <c r="D223" s="57" t="s">
        <v>133</v>
      </c>
      <c r="E223" s="60">
        <f>(0+((2.5-0)/2))*E220/82.5</f>
        <v>1.2424242424242424</v>
      </c>
      <c r="F223" s="64">
        <f>E223*F220/E220</f>
        <v>24.599999999999998</v>
      </c>
      <c r="G223" s="59" t="s">
        <v>92</v>
      </c>
      <c r="H223" s="59">
        <v>8</v>
      </c>
      <c r="I223" s="61">
        <f>H223*12</f>
        <v>96</v>
      </c>
      <c r="J223" s="62">
        <v>106.17</v>
      </c>
      <c r="K223" s="63">
        <f t="shared" si="73"/>
        <v>0.90421022887821412</v>
      </c>
      <c r="L223" s="64">
        <f>K223*E223*C220/100</f>
        <v>22.243571630404066</v>
      </c>
    </row>
    <row r="224" spans="2:12" x14ac:dyDescent="0.2">
      <c r="B224" s="96" t="s">
        <v>75</v>
      </c>
      <c r="C224" s="93">
        <v>0</v>
      </c>
      <c r="D224" s="65" t="s">
        <v>87</v>
      </c>
      <c r="E224" s="69">
        <v>56</v>
      </c>
      <c r="F224" s="64">
        <f>C224*E224/100</f>
        <v>0</v>
      </c>
      <c r="G224" s="66"/>
      <c r="H224" s="66"/>
      <c r="I224" s="61"/>
      <c r="J224" s="67"/>
      <c r="K224" s="63"/>
      <c r="L224" s="64"/>
    </row>
    <row r="225" spans="2:12" x14ac:dyDescent="0.2">
      <c r="B225" s="97"/>
      <c r="C225" s="94"/>
      <c r="D225" s="65" t="s">
        <v>96</v>
      </c>
      <c r="E225" s="69">
        <f>(12.5+((20-12.5)/2))*E224/40.75</f>
        <v>22.331288343558281</v>
      </c>
      <c r="F225" s="64">
        <f>E225*$F$224/$E$224</f>
        <v>0</v>
      </c>
      <c r="G225" s="66" t="s">
        <v>102</v>
      </c>
      <c r="H225" s="66">
        <v>6</v>
      </c>
      <c r="I225" s="61">
        <f t="shared" si="71"/>
        <v>72</v>
      </c>
      <c r="J225" s="67">
        <v>94.11</v>
      </c>
      <c r="K225" s="63">
        <f t="shared" si="73"/>
        <v>0.76506216130060567</v>
      </c>
      <c r="L225" s="64">
        <f>K225*E225*C224/100</f>
        <v>0</v>
      </c>
    </row>
    <row r="226" spans="2:12" x14ac:dyDescent="0.2">
      <c r="B226" s="97"/>
      <c r="C226" s="94"/>
      <c r="D226" s="65" t="s">
        <v>97</v>
      </c>
      <c r="E226" s="69">
        <f>(7+((10-7)/2))*E224/40.75</f>
        <v>11.680981595092025</v>
      </c>
      <c r="F226" s="64">
        <f t="shared" ref="F226:F230" si="74">E226*$F$224/$E$224</f>
        <v>0</v>
      </c>
      <c r="G226" s="66" t="s">
        <v>103</v>
      </c>
      <c r="H226" s="66">
        <v>7</v>
      </c>
      <c r="I226" s="61">
        <f>H226*12</f>
        <v>84</v>
      </c>
      <c r="J226" s="67">
        <v>108.14</v>
      </c>
      <c r="K226" s="63">
        <f t="shared" si="73"/>
        <v>0.77677085259848344</v>
      </c>
      <c r="L226" s="64">
        <f>K226*E226*C224/100</f>
        <v>0</v>
      </c>
    </row>
    <row r="227" spans="2:12" x14ac:dyDescent="0.2">
      <c r="B227" s="97"/>
      <c r="C227" s="94"/>
      <c r="D227" s="65" t="s">
        <v>94</v>
      </c>
      <c r="E227" s="69">
        <f>(5+((7-5)/2))*E224/40.75</f>
        <v>8.2453987730061353</v>
      </c>
      <c r="F227" s="64">
        <f t="shared" si="74"/>
        <v>0</v>
      </c>
      <c r="G227" s="66" t="s">
        <v>104</v>
      </c>
      <c r="H227" s="66">
        <v>12</v>
      </c>
      <c r="I227" s="61">
        <f t="shared" ref="I227:I230" si="75">H227*12</f>
        <v>144</v>
      </c>
      <c r="J227" s="67">
        <v>198.35</v>
      </c>
      <c r="K227" s="63">
        <f t="shared" si="73"/>
        <v>0.72598941265439876</v>
      </c>
      <c r="L227" s="64">
        <f>K227*E227*C224/100</f>
        <v>0</v>
      </c>
    </row>
    <row r="228" spans="2:12" x14ac:dyDescent="0.2">
      <c r="B228" s="97"/>
      <c r="C228" s="94"/>
      <c r="D228" s="65" t="s">
        <v>95</v>
      </c>
      <c r="E228" s="69">
        <f>(5+((7-5)/2))*E224/40.75</f>
        <v>8.2453987730061353</v>
      </c>
      <c r="F228" s="64">
        <f t="shared" si="74"/>
        <v>0</v>
      </c>
      <c r="G228" s="66" t="s">
        <v>105</v>
      </c>
      <c r="H228" s="66">
        <v>7</v>
      </c>
      <c r="I228" s="61">
        <f t="shared" si="75"/>
        <v>84</v>
      </c>
      <c r="J228" s="67">
        <v>253.45</v>
      </c>
      <c r="K228" s="63">
        <f t="shared" si="73"/>
        <v>0.33142631682777668</v>
      </c>
      <c r="L228" s="64">
        <f>K228*E228*C224/100</f>
        <v>0</v>
      </c>
    </row>
    <row r="229" spans="2:12" x14ac:dyDescent="0.2">
      <c r="B229" s="97"/>
      <c r="C229" s="94"/>
      <c r="D229" s="65" t="s">
        <v>134</v>
      </c>
      <c r="E229" s="69">
        <f>(1+((3-1)/2))*E224/40.75</f>
        <v>2.7484662576687118</v>
      </c>
      <c r="F229" s="64">
        <f t="shared" si="74"/>
        <v>0</v>
      </c>
      <c r="G229" s="66" t="s">
        <v>107</v>
      </c>
      <c r="H229" s="66">
        <v>16</v>
      </c>
      <c r="I229" s="61">
        <f t="shared" si="75"/>
        <v>192</v>
      </c>
      <c r="J229" s="67">
        <v>340.32</v>
      </c>
      <c r="K229" s="63">
        <f t="shared" si="73"/>
        <v>0.56417489421720735</v>
      </c>
      <c r="L229" s="64">
        <f>K229*E229*C224/100</f>
        <v>0</v>
      </c>
    </row>
    <row r="230" spans="2:12" x14ac:dyDescent="0.2">
      <c r="B230" s="98"/>
      <c r="C230" s="95"/>
      <c r="D230" s="65" t="s">
        <v>109</v>
      </c>
      <c r="E230" s="69">
        <f>(1+((3-1)/2))*E224/40.75</f>
        <v>2.7484662576687118</v>
      </c>
      <c r="F230" s="64">
        <f t="shared" si="74"/>
        <v>0</v>
      </c>
      <c r="G230" s="66" t="s">
        <v>110</v>
      </c>
      <c r="H230" s="66">
        <v>2</v>
      </c>
      <c r="I230" s="61">
        <f t="shared" si="75"/>
        <v>24</v>
      </c>
      <c r="J230" s="67">
        <v>62.07</v>
      </c>
      <c r="K230" s="63">
        <f t="shared" si="73"/>
        <v>0.38666022232962782</v>
      </c>
      <c r="L230" s="64">
        <f>K230*E230*C224/100</f>
        <v>0</v>
      </c>
    </row>
    <row r="231" spans="2:12" x14ac:dyDescent="0.2">
      <c r="B231" s="91" t="s">
        <v>76</v>
      </c>
      <c r="C231" s="89">
        <v>140</v>
      </c>
      <c r="D231" s="57" t="s">
        <v>87</v>
      </c>
      <c r="E231" s="60">
        <v>73</v>
      </c>
      <c r="F231" s="64">
        <f>C231*E231/100</f>
        <v>102.2</v>
      </c>
      <c r="G231" s="59"/>
      <c r="H231" s="59"/>
      <c r="I231" s="61"/>
      <c r="J231" s="62"/>
      <c r="K231" s="63"/>
      <c r="L231" s="64"/>
    </row>
    <row r="232" spans="2:12" x14ac:dyDescent="0.2">
      <c r="B232" s="106"/>
      <c r="C232" s="105"/>
      <c r="D232" s="57" t="s">
        <v>171</v>
      </c>
      <c r="E232" s="60">
        <f>(50+((75-50)/2))*E231/82.7</f>
        <v>55.169286577992743</v>
      </c>
      <c r="F232" s="64">
        <f>E232*F231/E231</f>
        <v>77.237001209189842</v>
      </c>
      <c r="G232" s="59" t="s">
        <v>88</v>
      </c>
      <c r="H232" s="59">
        <v>5</v>
      </c>
      <c r="I232" s="61">
        <f t="shared" si="71"/>
        <v>60</v>
      </c>
      <c r="J232" s="62">
        <v>99.13</v>
      </c>
      <c r="K232" s="63">
        <f t="shared" si="73"/>
        <v>0.60526581256935341</v>
      </c>
      <c r="L232" s="64">
        <f>K232*E232*C231/100</f>
        <v>46.748916297300418</v>
      </c>
    </row>
    <row r="233" spans="2:12" x14ac:dyDescent="0.2">
      <c r="B233" s="106"/>
      <c r="C233" s="105"/>
      <c r="D233" s="74" t="s">
        <v>173</v>
      </c>
      <c r="E233" s="60">
        <f>10*E231/82.7</f>
        <v>8.827085852478838</v>
      </c>
      <c r="F233" s="64">
        <f>E233*F231/E231</f>
        <v>12.357920193470374</v>
      </c>
      <c r="G233" s="59" t="s">
        <v>108</v>
      </c>
      <c r="H233" s="59"/>
      <c r="I233" s="61"/>
      <c r="J233" s="62"/>
      <c r="K233" s="63"/>
      <c r="L233" s="64"/>
    </row>
    <row r="234" spans="2:12" x14ac:dyDescent="0.2">
      <c r="B234" s="106"/>
      <c r="C234" s="105"/>
      <c r="D234" s="57" t="s">
        <v>172</v>
      </c>
      <c r="E234" s="60">
        <f>10*E231/82.7</f>
        <v>8.827085852478838</v>
      </c>
      <c r="F234" s="64">
        <f>E234*F231/E231</f>
        <v>12.357920193470374</v>
      </c>
      <c r="G234" s="59" t="s">
        <v>132</v>
      </c>
      <c r="H234" s="59">
        <v>7</v>
      </c>
      <c r="I234" s="61">
        <f t="shared" si="71"/>
        <v>84</v>
      </c>
      <c r="J234" s="62">
        <v>253.45</v>
      </c>
      <c r="K234" s="63">
        <f t="shared" si="73"/>
        <v>0.33142631682777668</v>
      </c>
      <c r="L234" s="64">
        <f>K234*E234*C231/100</f>
        <v>4.0957399733734912</v>
      </c>
    </row>
    <row r="235" spans="2:12" x14ac:dyDescent="0.2">
      <c r="B235" s="92"/>
      <c r="C235" s="90"/>
      <c r="D235" s="57" t="s">
        <v>142</v>
      </c>
      <c r="E235" s="60">
        <f>0.2*E231/82.7</f>
        <v>0.1765417170495768</v>
      </c>
      <c r="F235" s="64">
        <f>E235*F231/E231</f>
        <v>0.24715840386940754</v>
      </c>
      <c r="G235" s="59" t="s">
        <v>103</v>
      </c>
      <c r="H235" s="59">
        <v>7</v>
      </c>
      <c r="I235" s="61">
        <f t="shared" si="71"/>
        <v>84</v>
      </c>
      <c r="J235" s="62">
        <v>108.14</v>
      </c>
      <c r="K235" s="63">
        <f t="shared" si="73"/>
        <v>0.77677085259848344</v>
      </c>
      <c r="L235" s="64">
        <f>K235*E235*C231/100</f>
        <v>0.19198544410051999</v>
      </c>
    </row>
    <row r="236" spans="2:12" x14ac:dyDescent="0.2">
      <c r="B236" s="108" t="s">
        <v>77</v>
      </c>
      <c r="C236" s="107">
        <v>10000</v>
      </c>
      <c r="D236" s="65" t="s">
        <v>87</v>
      </c>
      <c r="E236" s="69">
        <v>64</v>
      </c>
      <c r="F236" s="64">
        <f>C236*E236/100</f>
        <v>6400</v>
      </c>
      <c r="G236" s="66"/>
      <c r="H236" s="66"/>
      <c r="I236" s="61"/>
      <c r="J236" s="67"/>
      <c r="K236" s="63"/>
      <c r="L236" s="64"/>
    </row>
    <row r="237" spans="2:12" x14ac:dyDescent="0.2">
      <c r="B237" s="108"/>
      <c r="C237" s="107"/>
      <c r="D237" s="65" t="s">
        <v>96</v>
      </c>
      <c r="E237" s="69">
        <f>(25+((50-25)/2))*E236/77.95</f>
        <v>30.788967286722258</v>
      </c>
      <c r="F237" s="64">
        <f>E237*$F$236/$E$236</f>
        <v>3078.8967286722259</v>
      </c>
      <c r="G237" s="66" t="s">
        <v>102</v>
      </c>
      <c r="H237" s="66">
        <v>6</v>
      </c>
      <c r="I237" s="61">
        <f t="shared" si="71"/>
        <v>72</v>
      </c>
      <c r="J237" s="67">
        <v>94.11</v>
      </c>
      <c r="K237" s="63">
        <f t="shared" si="73"/>
        <v>0.76506216130060567</v>
      </c>
      <c r="L237" s="64">
        <f>K237*E237*C236/100</f>
        <v>2355.5473856593376</v>
      </c>
    </row>
    <row r="238" spans="2:12" x14ac:dyDescent="0.2">
      <c r="B238" s="108"/>
      <c r="C238" s="107"/>
      <c r="D238" s="71" t="s">
        <v>172</v>
      </c>
      <c r="E238" s="69">
        <f>(10+((18-10)/2))*E236/77.95</f>
        <v>11.494547787042976</v>
      </c>
      <c r="F238" s="64">
        <f t="shared" ref="F238:F248" si="76">E238*$F$236/$E$236</f>
        <v>1149.4547787042975</v>
      </c>
      <c r="G238" s="66" t="s">
        <v>105</v>
      </c>
      <c r="H238" s="66">
        <v>7</v>
      </c>
      <c r="I238" s="61">
        <f t="shared" si="71"/>
        <v>84</v>
      </c>
      <c r="J238" s="67">
        <v>253.45</v>
      </c>
      <c r="K238" s="63">
        <f t="shared" si="73"/>
        <v>0.33142631682777668</v>
      </c>
      <c r="L238" s="64">
        <f>K238*E238*C236/100</f>
        <v>380.95956366605247</v>
      </c>
    </row>
    <row r="239" spans="2:12" x14ac:dyDescent="0.2">
      <c r="B239" s="108"/>
      <c r="C239" s="107"/>
      <c r="D239" s="65" t="s">
        <v>174</v>
      </c>
      <c r="E239" s="69">
        <f>10*E236/77.95</f>
        <v>8.2103912764592692</v>
      </c>
      <c r="F239" s="64">
        <f t="shared" si="76"/>
        <v>821.0391276459269</v>
      </c>
      <c r="G239" s="66" t="s">
        <v>179</v>
      </c>
      <c r="H239" s="66">
        <v>10</v>
      </c>
      <c r="I239" s="61">
        <f t="shared" si="71"/>
        <v>120</v>
      </c>
      <c r="J239" s="67">
        <v>194.19</v>
      </c>
      <c r="K239" s="63">
        <f t="shared" si="73"/>
        <v>0.61795149080797163</v>
      </c>
      <c r="L239" s="64">
        <f>K239*E239*C236/100</f>
        <v>507.36235294047697</v>
      </c>
    </row>
    <row r="240" spans="2:12" x14ac:dyDescent="0.2">
      <c r="B240" s="108"/>
      <c r="C240" s="107"/>
      <c r="D240" s="65" t="s">
        <v>175</v>
      </c>
      <c r="E240" s="69">
        <f>3*E236/77.95</f>
        <v>2.4631173829377806</v>
      </c>
      <c r="F240" s="64">
        <f t="shared" si="76"/>
        <v>246.31173829377806</v>
      </c>
      <c r="G240" s="66" t="s">
        <v>178</v>
      </c>
      <c r="H240" s="66">
        <v>6</v>
      </c>
      <c r="I240" s="61">
        <f t="shared" si="71"/>
        <v>72</v>
      </c>
      <c r="J240" s="67">
        <v>118.18</v>
      </c>
      <c r="K240" s="63">
        <f t="shared" si="73"/>
        <v>0.60924014215603317</v>
      </c>
      <c r="L240" s="64">
        <f>K240*E240*C236/100</f>
        <v>150.062998452801</v>
      </c>
    </row>
    <row r="241" spans="2:12" x14ac:dyDescent="0.2">
      <c r="B241" s="108"/>
      <c r="C241" s="107"/>
      <c r="D241" s="65" t="s">
        <v>121</v>
      </c>
      <c r="E241" s="69">
        <f>3*E236/77.95</f>
        <v>2.4631173829377806</v>
      </c>
      <c r="F241" s="64">
        <f t="shared" si="76"/>
        <v>246.31173829377806</v>
      </c>
      <c r="G241" s="66" t="s">
        <v>122</v>
      </c>
      <c r="H241" s="66">
        <v>5</v>
      </c>
      <c r="I241" s="61">
        <f t="shared" si="71"/>
        <v>60</v>
      </c>
      <c r="J241" s="67">
        <v>120.15</v>
      </c>
      <c r="K241" s="63">
        <f t="shared" ref="K241:K314" si="77">I241/J241</f>
        <v>0.49937578027465668</v>
      </c>
      <c r="L241" s="64">
        <f>K241*E241*C236/100</f>
        <v>123.00211650126245</v>
      </c>
    </row>
    <row r="242" spans="2:12" x14ac:dyDescent="0.2">
      <c r="B242" s="108"/>
      <c r="C242" s="107"/>
      <c r="D242" s="65" t="s">
        <v>142</v>
      </c>
      <c r="E242" s="69">
        <f>2.8*E236/77.95</f>
        <v>2.2989095574085949</v>
      </c>
      <c r="F242" s="64">
        <f t="shared" si="76"/>
        <v>229.89095574085948</v>
      </c>
      <c r="G242" s="66" t="s">
        <v>103</v>
      </c>
      <c r="H242" s="66">
        <v>7</v>
      </c>
      <c r="I242" s="61">
        <f t="shared" si="71"/>
        <v>84</v>
      </c>
      <c r="J242" s="67">
        <v>108.14</v>
      </c>
      <c r="K242" s="63">
        <f t="shared" si="77"/>
        <v>0.77677085259848344</v>
      </c>
      <c r="L242" s="64">
        <f>K242*E242*C236/100</f>
        <v>178.57259369550763</v>
      </c>
    </row>
    <row r="243" spans="2:12" x14ac:dyDescent="0.2">
      <c r="B243" s="108"/>
      <c r="C243" s="107"/>
      <c r="D243" s="65" t="s">
        <v>177</v>
      </c>
      <c r="E243" s="69">
        <f>3*E236/77.95</f>
        <v>2.4631173829377806</v>
      </c>
      <c r="F243" s="64">
        <f t="shared" si="76"/>
        <v>246.31173829377806</v>
      </c>
      <c r="G243" s="66" t="s">
        <v>110</v>
      </c>
      <c r="H243" s="66">
        <v>2</v>
      </c>
      <c r="I243" s="61">
        <f t="shared" si="71"/>
        <v>24</v>
      </c>
      <c r="J243" s="67">
        <v>62.067999999999998</v>
      </c>
      <c r="K243" s="63">
        <f t="shared" si="77"/>
        <v>0.38667268157504675</v>
      </c>
      <c r="L243" s="64">
        <f>K243*E243*C236/100</f>
        <v>95.242020349466287</v>
      </c>
    </row>
    <row r="244" spans="2:12" x14ac:dyDescent="0.2">
      <c r="B244" s="108"/>
      <c r="C244" s="107"/>
      <c r="D244" s="65" t="s">
        <v>134</v>
      </c>
      <c r="E244" s="69">
        <f>1.9*E236/77.95</f>
        <v>1.559974342527261</v>
      </c>
      <c r="F244" s="64">
        <f t="shared" si="76"/>
        <v>155.99743425272609</v>
      </c>
      <c r="G244" s="66" t="s">
        <v>107</v>
      </c>
      <c r="H244" s="66">
        <v>16</v>
      </c>
      <c r="I244" s="61">
        <f t="shared" si="71"/>
        <v>192</v>
      </c>
      <c r="J244" s="67">
        <v>340.32</v>
      </c>
      <c r="K244" s="63">
        <f t="shared" si="77"/>
        <v>0.56417489421720735</v>
      </c>
      <c r="L244" s="64">
        <f>K244*E244*C236/100</f>
        <v>88.009835967687508</v>
      </c>
    </row>
    <row r="245" spans="2:12" x14ac:dyDescent="0.2">
      <c r="B245" s="108"/>
      <c r="C245" s="107"/>
      <c r="D245" s="65" t="s">
        <v>143</v>
      </c>
      <c r="E245" s="69">
        <f>1*E236/77.95</f>
        <v>0.82103912764592679</v>
      </c>
      <c r="F245" s="64">
        <f t="shared" si="76"/>
        <v>82.103912764592678</v>
      </c>
      <c r="G245" s="66" t="s">
        <v>103</v>
      </c>
      <c r="H245" s="66">
        <v>7</v>
      </c>
      <c r="I245" s="61">
        <f t="shared" si="71"/>
        <v>84</v>
      </c>
      <c r="J245" s="67">
        <v>108.14</v>
      </c>
      <c r="K245" s="63">
        <f t="shared" si="77"/>
        <v>0.77677085259848344</v>
      </c>
      <c r="L245" s="64">
        <f>K245*E245*C236/100</f>
        <v>63.775926319824158</v>
      </c>
    </row>
    <row r="246" spans="2:12" x14ac:dyDescent="0.2">
      <c r="B246" s="108"/>
      <c r="C246" s="107"/>
      <c r="D246" s="65" t="s">
        <v>124</v>
      </c>
      <c r="E246" s="69">
        <f>1*E236/77.95</f>
        <v>0.82103912764592679</v>
      </c>
      <c r="F246" s="64">
        <f t="shared" si="76"/>
        <v>82.103912764592678</v>
      </c>
      <c r="G246" s="66" t="s">
        <v>126</v>
      </c>
      <c r="H246" s="66">
        <v>8</v>
      </c>
      <c r="I246" s="61">
        <f t="shared" si="71"/>
        <v>96</v>
      </c>
      <c r="J246" s="67">
        <v>122.16</v>
      </c>
      <c r="K246" s="63">
        <f t="shared" si="77"/>
        <v>0.78585461689587432</v>
      </c>
      <c r="L246" s="64">
        <f>K246*E246*C236/100</f>
        <v>64.521738911271271</v>
      </c>
    </row>
    <row r="247" spans="2:12" x14ac:dyDescent="0.2">
      <c r="B247" s="108"/>
      <c r="C247" s="107"/>
      <c r="D247" s="71" t="s">
        <v>144</v>
      </c>
      <c r="E247" s="69">
        <f>0.55*E236/77.95</f>
        <v>0.45157152020525981</v>
      </c>
      <c r="F247" s="64">
        <f>E247*$F$236/$E$236</f>
        <v>45.157152020525984</v>
      </c>
      <c r="G247" s="66" t="s">
        <v>103</v>
      </c>
      <c r="H247" s="66">
        <v>7</v>
      </c>
      <c r="I247" s="61">
        <f t="shared" si="71"/>
        <v>84</v>
      </c>
      <c r="J247" s="67">
        <v>108.14</v>
      </c>
      <c r="K247" s="63">
        <f t="shared" si="77"/>
        <v>0.77677085259848344</v>
      </c>
      <c r="L247" s="64">
        <f>K247*E247*C236/100</f>
        <v>35.076759475903295</v>
      </c>
    </row>
    <row r="248" spans="2:12" x14ac:dyDescent="0.2">
      <c r="B248" s="108"/>
      <c r="C248" s="107"/>
      <c r="D248" s="65" t="s">
        <v>185</v>
      </c>
      <c r="E248" s="69">
        <f>0.2*E236/77.95</f>
        <v>0.16420782552918539</v>
      </c>
      <c r="F248" s="64">
        <f t="shared" si="76"/>
        <v>16.420782552918538</v>
      </c>
      <c r="G248" s="66" t="s">
        <v>176</v>
      </c>
      <c r="H248" s="66">
        <v>10</v>
      </c>
      <c r="I248" s="61">
        <f t="shared" si="71"/>
        <v>120</v>
      </c>
      <c r="J248" s="67">
        <v>150.22</v>
      </c>
      <c r="K248" s="63">
        <f t="shared" si="77"/>
        <v>0.79882838503528164</v>
      </c>
      <c r="L248" s="64">
        <f>K248*E248*C236/100</f>
        <v>13.117387207763445</v>
      </c>
    </row>
    <row r="249" spans="2:12" x14ac:dyDescent="0.2">
      <c r="B249" s="91" t="s">
        <v>78</v>
      </c>
      <c r="C249" s="89">
        <v>0</v>
      </c>
      <c r="D249" s="57" t="s">
        <v>87</v>
      </c>
      <c r="E249" s="60">
        <v>58</v>
      </c>
      <c r="F249" s="64">
        <f>C249*E249/100</f>
        <v>0</v>
      </c>
      <c r="G249" s="59"/>
      <c r="H249" s="59"/>
      <c r="I249" s="61"/>
      <c r="J249" s="62"/>
      <c r="K249" s="63"/>
      <c r="L249" s="64"/>
    </row>
    <row r="250" spans="2:12" x14ac:dyDescent="0.2">
      <c r="B250" s="106"/>
      <c r="C250" s="105"/>
      <c r="D250" s="57" t="s">
        <v>96</v>
      </c>
      <c r="E250" s="60">
        <f>(25+((35-25)/2))*E249/48.8</f>
        <v>35.655737704918032</v>
      </c>
      <c r="F250" s="64">
        <f>E250*$F$249/$E$249</f>
        <v>0</v>
      </c>
      <c r="G250" s="59" t="s">
        <v>102</v>
      </c>
      <c r="H250" s="59">
        <v>6</v>
      </c>
      <c r="I250" s="61">
        <f t="shared" si="71"/>
        <v>72</v>
      </c>
      <c r="J250" s="62">
        <v>94.11</v>
      </c>
      <c r="K250" s="63">
        <f t="shared" si="77"/>
        <v>0.76506216130060567</v>
      </c>
      <c r="L250" s="64">
        <f>K250*E250*C249/100</f>
        <v>0</v>
      </c>
    </row>
    <row r="251" spans="2:12" x14ac:dyDescent="0.2">
      <c r="B251" s="106"/>
      <c r="C251" s="105"/>
      <c r="D251" s="57" t="s">
        <v>180</v>
      </c>
      <c r="E251" s="60">
        <f>(7+((10-7)/2))*E249/48.8</f>
        <v>10.102459016393443</v>
      </c>
      <c r="F251" s="64">
        <f t="shared" ref="F251:F260" si="78">E251*$F$249/$E$249</f>
        <v>0</v>
      </c>
      <c r="G251" s="59" t="s">
        <v>153</v>
      </c>
      <c r="H251" s="59">
        <v>9</v>
      </c>
      <c r="I251" s="61">
        <f t="shared" si="71"/>
        <v>108</v>
      </c>
      <c r="J251" s="62">
        <v>108.099</v>
      </c>
      <c r="K251" s="63">
        <f>I251/J251</f>
        <v>0.99908417284156181</v>
      </c>
      <c r="L251" s="64">
        <f>K251*E251*C249/100</f>
        <v>0</v>
      </c>
    </row>
    <row r="252" spans="2:12" x14ac:dyDescent="0.2">
      <c r="B252" s="106"/>
      <c r="C252" s="105"/>
      <c r="D252" s="57" t="s">
        <v>138</v>
      </c>
      <c r="E252" s="60">
        <f>(3+((5-3)/2))*E249/48.8</f>
        <v>4.7540983606557381</v>
      </c>
      <c r="F252" s="64">
        <f t="shared" si="78"/>
        <v>0</v>
      </c>
      <c r="G252" s="59" t="s">
        <v>103</v>
      </c>
      <c r="H252" s="59">
        <v>7</v>
      </c>
      <c r="I252" s="61">
        <f t="shared" si="71"/>
        <v>84</v>
      </c>
      <c r="J252" s="62">
        <v>108.14</v>
      </c>
      <c r="K252" s="63">
        <f t="shared" si="77"/>
        <v>0.77677085259848344</v>
      </c>
      <c r="L252" s="64">
        <f>K252*E252*C249/100</f>
        <v>0</v>
      </c>
    </row>
    <row r="253" spans="2:12" x14ac:dyDescent="0.2">
      <c r="B253" s="106"/>
      <c r="C253" s="105"/>
      <c r="D253" s="57" t="s">
        <v>147</v>
      </c>
      <c r="E253" s="60">
        <f>(1+((2-1)/2))*E249/48.8</f>
        <v>1.7827868852459017</v>
      </c>
      <c r="F253" s="64">
        <f t="shared" si="78"/>
        <v>0</v>
      </c>
      <c r="G253" s="59" t="s">
        <v>152</v>
      </c>
      <c r="H253" s="59">
        <v>9</v>
      </c>
      <c r="I253" s="61">
        <f t="shared" si="71"/>
        <v>108</v>
      </c>
      <c r="J253" s="62">
        <v>120.2</v>
      </c>
      <c r="K253" s="63">
        <f t="shared" si="77"/>
        <v>0.8985024958402662</v>
      </c>
      <c r="L253" s="64">
        <f>K253*E253*C249/100</f>
        <v>0</v>
      </c>
    </row>
    <row r="254" spans="2:12" x14ac:dyDescent="0.2">
      <c r="B254" s="106"/>
      <c r="C254" s="105"/>
      <c r="D254" s="57" t="s">
        <v>181</v>
      </c>
      <c r="E254" s="60">
        <f>(1+((2-1)/2))*E249/48.8</f>
        <v>1.7827868852459017</v>
      </c>
      <c r="F254" s="64">
        <f t="shared" si="78"/>
        <v>0</v>
      </c>
      <c r="G254" s="59" t="s">
        <v>132</v>
      </c>
      <c r="H254" s="59">
        <v>7</v>
      </c>
      <c r="I254" s="61">
        <f>H254*12</f>
        <v>84</v>
      </c>
      <c r="J254" s="62">
        <v>253.45</v>
      </c>
      <c r="K254" s="63">
        <f>I254/J254</f>
        <v>0.33142631682777668</v>
      </c>
      <c r="L254" s="64">
        <f>K254*E254*C249/100</f>
        <v>0</v>
      </c>
    </row>
    <row r="255" spans="2:12" x14ac:dyDescent="0.2">
      <c r="B255" s="106"/>
      <c r="C255" s="105"/>
      <c r="D255" s="57" t="s">
        <v>124</v>
      </c>
      <c r="E255" s="60">
        <f>(1+((2-1)/2))*E249/48.8</f>
        <v>1.7827868852459017</v>
      </c>
      <c r="F255" s="64">
        <f t="shared" si="78"/>
        <v>0</v>
      </c>
      <c r="G255" s="59" t="s">
        <v>126</v>
      </c>
      <c r="H255" s="59">
        <v>8</v>
      </c>
      <c r="I255" s="61">
        <f t="shared" ref="I255" si="79">H255*12</f>
        <v>96</v>
      </c>
      <c r="J255" s="62">
        <v>122.16</v>
      </c>
      <c r="K255" s="63">
        <f t="shared" si="77"/>
        <v>0.78585461689587432</v>
      </c>
      <c r="L255" s="64">
        <f>K255*E255*C249/100</f>
        <v>0</v>
      </c>
    </row>
    <row r="256" spans="2:12" x14ac:dyDescent="0.2">
      <c r="B256" s="106"/>
      <c r="C256" s="105"/>
      <c r="D256" s="57" t="s">
        <v>138</v>
      </c>
      <c r="E256" s="60">
        <f>(0.5+((1-0.5)/2))*E249/48.8</f>
        <v>0.89139344262295084</v>
      </c>
      <c r="F256" s="64">
        <f t="shared" si="78"/>
        <v>0</v>
      </c>
      <c r="G256" s="59" t="s">
        <v>103</v>
      </c>
      <c r="H256" s="59">
        <v>7</v>
      </c>
      <c r="I256" s="61">
        <f t="shared" si="71"/>
        <v>84</v>
      </c>
      <c r="J256" s="62">
        <v>108.14</v>
      </c>
      <c r="K256" s="63">
        <f t="shared" si="77"/>
        <v>0.77677085259848344</v>
      </c>
      <c r="L256" s="64">
        <f>K256*E256*C249/100</f>
        <v>0</v>
      </c>
    </row>
    <row r="257" spans="2:12" x14ac:dyDescent="0.2">
      <c r="B257" s="106"/>
      <c r="C257" s="105"/>
      <c r="D257" s="57" t="s">
        <v>149</v>
      </c>
      <c r="E257" s="60">
        <f>(0.25+((0.5-0.25)/2))*E249/48.8</f>
        <v>0.44569672131147542</v>
      </c>
      <c r="F257" s="64">
        <f t="shared" si="78"/>
        <v>0</v>
      </c>
      <c r="G257" s="59" t="s">
        <v>152</v>
      </c>
      <c r="H257" s="59">
        <v>9</v>
      </c>
      <c r="I257" s="61">
        <f t="shared" si="71"/>
        <v>108</v>
      </c>
      <c r="J257" s="62">
        <v>120.2</v>
      </c>
      <c r="K257" s="63">
        <f>I257/J257</f>
        <v>0.8985024958402662</v>
      </c>
      <c r="L257" s="64">
        <f>K257*E257*C249/100</f>
        <v>0</v>
      </c>
    </row>
    <row r="258" spans="2:12" x14ac:dyDescent="0.2">
      <c r="B258" s="106"/>
      <c r="C258" s="105"/>
      <c r="D258" s="57" t="s">
        <v>182</v>
      </c>
      <c r="E258" s="60">
        <f>(0.25+((0.5-0.25)/2))*E249/48.8</f>
        <v>0.44569672131147542</v>
      </c>
      <c r="F258" s="64">
        <f t="shared" si="78"/>
        <v>0</v>
      </c>
      <c r="G258" s="59" t="s">
        <v>176</v>
      </c>
      <c r="H258" s="59">
        <v>10</v>
      </c>
      <c r="I258" s="61">
        <f t="shared" si="71"/>
        <v>120</v>
      </c>
      <c r="J258" s="62">
        <v>150.22</v>
      </c>
      <c r="K258" s="63">
        <f t="shared" si="77"/>
        <v>0.79882838503528164</v>
      </c>
      <c r="L258" s="64">
        <f>K258*E258*C249/100</f>
        <v>0</v>
      </c>
    </row>
    <row r="259" spans="2:12" x14ac:dyDescent="0.2">
      <c r="B259" s="106"/>
      <c r="C259" s="105"/>
      <c r="D259" s="57" t="s">
        <v>184</v>
      </c>
      <c r="E259" s="60">
        <f>(0.1+((0.2-0.1)/2))*E249/48.8</f>
        <v>0.1782786885245902</v>
      </c>
      <c r="F259" s="64">
        <f t="shared" si="78"/>
        <v>0</v>
      </c>
      <c r="G259" s="59" t="s">
        <v>183</v>
      </c>
      <c r="H259" s="59">
        <v>15</v>
      </c>
      <c r="I259" s="61">
        <f t="shared" si="71"/>
        <v>180</v>
      </c>
      <c r="J259" s="62">
        <v>228.29</v>
      </c>
      <c r="K259" s="63">
        <f t="shared" si="77"/>
        <v>0.78847080467826014</v>
      </c>
      <c r="L259" s="64">
        <f>K259*E259*C249/100</f>
        <v>0</v>
      </c>
    </row>
    <row r="260" spans="2:12" x14ac:dyDescent="0.2">
      <c r="B260" s="92"/>
      <c r="C260" s="90"/>
      <c r="D260" s="57" t="s">
        <v>154</v>
      </c>
      <c r="E260" s="60">
        <f>(0.1+((0.2-0.1)/2))*E249/48.8</f>
        <v>0.1782786885245902</v>
      </c>
      <c r="F260" s="64">
        <f t="shared" si="78"/>
        <v>0</v>
      </c>
      <c r="G260" s="59" t="s">
        <v>155</v>
      </c>
      <c r="H260" s="59">
        <v>10</v>
      </c>
      <c r="I260" s="61">
        <f>H260*12</f>
        <v>120</v>
      </c>
      <c r="J260" s="62">
        <v>128.16999999999999</v>
      </c>
      <c r="K260" s="63">
        <f>I260/J260</f>
        <v>0.93625653429039568</v>
      </c>
      <c r="L260" s="64">
        <f>K260*E260*C249/100</f>
        <v>0</v>
      </c>
    </row>
    <row r="261" spans="2:12" x14ac:dyDescent="0.2">
      <c r="B261" s="96" t="s">
        <v>79</v>
      </c>
      <c r="C261" s="93">
        <v>600</v>
      </c>
      <c r="D261" s="65" t="s">
        <v>87</v>
      </c>
      <c r="E261" s="69">
        <v>73</v>
      </c>
      <c r="F261" s="64">
        <f>C261*E261/100</f>
        <v>438</v>
      </c>
      <c r="G261" s="66"/>
      <c r="H261" s="66"/>
      <c r="I261" s="61"/>
      <c r="J261" s="67"/>
      <c r="K261" s="63"/>
      <c r="L261" s="64"/>
    </row>
    <row r="262" spans="2:12" x14ac:dyDescent="0.2">
      <c r="B262" s="97"/>
      <c r="C262" s="94"/>
      <c r="D262" s="65" t="s">
        <v>186</v>
      </c>
      <c r="E262" s="69">
        <f>(26+((28-26)/2))*E261/98</f>
        <v>20.112244897959183</v>
      </c>
      <c r="F262" s="64">
        <f>E262*F261/E261</f>
        <v>120.67346938775511</v>
      </c>
      <c r="G262" s="66" t="s">
        <v>108</v>
      </c>
      <c r="H262" s="66"/>
      <c r="I262" s="61"/>
      <c r="J262" s="67"/>
      <c r="K262" s="63"/>
      <c r="L262" s="64"/>
    </row>
    <row r="263" spans="2:12" x14ac:dyDescent="0.2">
      <c r="B263" s="98"/>
      <c r="C263" s="95"/>
      <c r="D263" s="65" t="s">
        <v>114</v>
      </c>
      <c r="E263" s="69">
        <f>(70+((72-70)/2))*E261/98</f>
        <v>52.887755102040813</v>
      </c>
      <c r="F263" s="64">
        <f>E263*F261/E261</f>
        <v>317.32653061224488</v>
      </c>
      <c r="G263" s="66" t="s">
        <v>103</v>
      </c>
      <c r="H263" s="66">
        <v>7</v>
      </c>
      <c r="I263" s="61">
        <f t="shared" si="71"/>
        <v>84</v>
      </c>
      <c r="J263" s="67">
        <v>108.14</v>
      </c>
      <c r="K263" s="63">
        <f t="shared" si="77"/>
        <v>0.77677085259848344</v>
      </c>
      <c r="L263" s="64">
        <f>K263*E263*C261/100</f>
        <v>246.48999973579222</v>
      </c>
    </row>
    <row r="264" spans="2:12" x14ac:dyDescent="0.2">
      <c r="B264" s="91" t="s">
        <v>80</v>
      </c>
      <c r="C264" s="89">
        <v>270</v>
      </c>
      <c r="D264" s="57" t="s">
        <v>87</v>
      </c>
      <c r="E264" s="60">
        <v>69</v>
      </c>
      <c r="F264" s="64">
        <f>C264*E264/100</f>
        <v>186.3</v>
      </c>
      <c r="G264" s="66"/>
      <c r="H264" s="66"/>
      <c r="I264" s="61"/>
      <c r="J264" s="67"/>
      <c r="K264" s="63"/>
      <c r="L264" s="64"/>
    </row>
    <row r="265" spans="2:12" x14ac:dyDescent="0.2">
      <c r="B265" s="106"/>
      <c r="C265" s="105"/>
      <c r="D265" s="57" t="s">
        <v>84</v>
      </c>
      <c r="E265" s="60">
        <f>(30+((50-30)/2))*E264/62.5</f>
        <v>44.16</v>
      </c>
      <c r="F265" s="64">
        <f>E265*F264/E264</f>
        <v>119.232</v>
      </c>
      <c r="G265" s="59" t="s">
        <v>88</v>
      </c>
      <c r="H265" s="59">
        <v>5</v>
      </c>
      <c r="I265" s="61">
        <f>H265*12</f>
        <v>60</v>
      </c>
      <c r="J265" s="62">
        <v>99.13</v>
      </c>
      <c r="K265" s="63">
        <f>I265/J265</f>
        <v>0.60526581256935341</v>
      </c>
      <c r="L265" s="64">
        <f>K265*E265*C264/100</f>
        <v>72.167053364269137</v>
      </c>
    </row>
    <row r="266" spans="2:12" x14ac:dyDescent="0.2">
      <c r="B266" s="106"/>
      <c r="C266" s="105"/>
      <c r="D266" s="57" t="s">
        <v>113</v>
      </c>
      <c r="E266" s="60">
        <f>(10+((12.5-10)/2))*E264/62.5</f>
        <v>12.42</v>
      </c>
      <c r="F266" s="64">
        <f>E266*F264/E264</f>
        <v>33.533999999999999</v>
      </c>
      <c r="G266" s="59" t="s">
        <v>92</v>
      </c>
      <c r="H266" s="59">
        <v>8</v>
      </c>
      <c r="I266" s="61">
        <f>H266*12</f>
        <v>96</v>
      </c>
      <c r="J266" s="62">
        <v>106.17</v>
      </c>
      <c r="K266" s="63">
        <f t="shared" si="77"/>
        <v>0.90421022887821412</v>
      </c>
      <c r="L266" s="64">
        <f>K266*E266*C264/100</f>
        <v>30.321785815202034</v>
      </c>
    </row>
    <row r="267" spans="2:12" x14ac:dyDescent="0.2">
      <c r="B267" s="92"/>
      <c r="C267" s="90"/>
      <c r="D267" s="57" t="s">
        <v>85</v>
      </c>
      <c r="E267" s="60">
        <f>(10+((12.5-10)/2))*E264/62.5</f>
        <v>12.42</v>
      </c>
      <c r="F267" s="64">
        <f>E267*F264/E264</f>
        <v>33.533999999999999</v>
      </c>
      <c r="G267" s="59" t="s">
        <v>108</v>
      </c>
      <c r="H267" s="59"/>
      <c r="I267" s="61"/>
      <c r="J267" s="62"/>
      <c r="K267" s="63"/>
      <c r="L267" s="64"/>
    </row>
    <row r="268" spans="2:12" x14ac:dyDescent="0.2">
      <c r="B268" s="96" t="s">
        <v>81</v>
      </c>
      <c r="C268" s="93">
        <v>20</v>
      </c>
      <c r="D268" s="65" t="s">
        <v>87</v>
      </c>
      <c r="E268" s="69">
        <v>87</v>
      </c>
      <c r="F268" s="64">
        <f>C268*E268/100</f>
        <v>17.399999999999999</v>
      </c>
      <c r="G268" s="66"/>
      <c r="H268" s="66"/>
      <c r="I268" s="61"/>
      <c r="J268" s="67"/>
      <c r="K268" s="63"/>
      <c r="L268" s="64"/>
    </row>
    <row r="269" spans="2:12" x14ac:dyDescent="0.2">
      <c r="B269" s="97"/>
      <c r="C269" s="94"/>
      <c r="D269" s="65" t="s">
        <v>97</v>
      </c>
      <c r="E269" s="69">
        <f>(50+((100-50)/2))*E268/111.6</f>
        <v>58.467741935483872</v>
      </c>
      <c r="F269" s="64">
        <f>E269*$F$268/$E$268</f>
        <v>11.693548387096774</v>
      </c>
      <c r="G269" s="66" t="s">
        <v>103</v>
      </c>
      <c r="H269" s="66">
        <v>7</v>
      </c>
      <c r="I269" s="61">
        <f>H269*12</f>
        <v>84</v>
      </c>
      <c r="J269" s="67">
        <v>108.14</v>
      </c>
      <c r="K269" s="63">
        <f>I269/J269</f>
        <v>0.77677085259848344</v>
      </c>
      <c r="L269" s="64">
        <f>K269*E269*C268/100</f>
        <v>9.0832075505467831</v>
      </c>
    </row>
    <row r="270" spans="2:12" x14ac:dyDescent="0.2">
      <c r="B270" s="97"/>
      <c r="C270" s="94"/>
      <c r="D270" s="65" t="s">
        <v>96</v>
      </c>
      <c r="E270" s="69">
        <f>(20+((25-20)/2))*E268/111.6</f>
        <v>17.540322580645164</v>
      </c>
      <c r="F270" s="64">
        <f t="shared" ref="F270:F274" si="80">E270*$F$268/$E$268</f>
        <v>3.5080645161290329</v>
      </c>
      <c r="G270" s="66" t="s">
        <v>102</v>
      </c>
      <c r="H270" s="66">
        <v>6</v>
      </c>
      <c r="I270" s="61">
        <f t="shared" si="71"/>
        <v>72</v>
      </c>
      <c r="J270" s="67">
        <v>94.11</v>
      </c>
      <c r="K270" s="63">
        <f t="shared" si="77"/>
        <v>0.76506216130060567</v>
      </c>
      <c r="L270" s="64">
        <f>K270*E270*C268/100</f>
        <v>2.683887420691641</v>
      </c>
    </row>
    <row r="271" spans="2:12" x14ac:dyDescent="0.2">
      <c r="B271" s="97"/>
      <c r="C271" s="94"/>
      <c r="D271" s="65" t="s">
        <v>94</v>
      </c>
      <c r="E271" s="69">
        <f>(5+((7-5)/2))*E268/111.6</f>
        <v>4.67741935483871</v>
      </c>
      <c r="F271" s="64">
        <f t="shared" si="80"/>
        <v>0.93548387096774199</v>
      </c>
      <c r="G271" s="66" t="s">
        <v>104</v>
      </c>
      <c r="H271" s="66">
        <v>12</v>
      </c>
      <c r="I271" s="61">
        <f t="shared" si="71"/>
        <v>144</v>
      </c>
      <c r="J271" s="67">
        <v>198.35</v>
      </c>
      <c r="K271" s="63">
        <f>I271/J271</f>
        <v>0.72598941265439876</v>
      </c>
      <c r="L271" s="64">
        <f>K271*E271*C268/100</f>
        <v>0.67915138603153435</v>
      </c>
    </row>
    <row r="272" spans="2:12" x14ac:dyDescent="0.2">
      <c r="B272" s="97"/>
      <c r="C272" s="94"/>
      <c r="D272" s="65" t="s">
        <v>95</v>
      </c>
      <c r="E272" s="69">
        <f>(5+((7-5)/2))*E268/111.6</f>
        <v>4.67741935483871</v>
      </c>
      <c r="F272" s="64">
        <f t="shared" si="80"/>
        <v>0.93548387096774199</v>
      </c>
      <c r="G272" s="66" t="s">
        <v>105</v>
      </c>
      <c r="H272" s="66">
        <v>7</v>
      </c>
      <c r="I272" s="61">
        <f t="shared" si="71"/>
        <v>84</v>
      </c>
      <c r="J272" s="67">
        <v>253.45</v>
      </c>
      <c r="K272" s="63">
        <f t="shared" si="77"/>
        <v>0.33142631682777668</v>
      </c>
      <c r="L272" s="64">
        <f>K272*E272*C268/100</f>
        <v>0.31004397380662979</v>
      </c>
    </row>
    <row r="273" spans="2:12" x14ac:dyDescent="0.2">
      <c r="B273" s="97"/>
      <c r="C273" s="94"/>
      <c r="D273" s="65" t="s">
        <v>156</v>
      </c>
      <c r="E273" s="69">
        <f>(1+((3-1)/2))*E268/111.6</f>
        <v>1.5591397849462367</v>
      </c>
      <c r="F273" s="64">
        <f t="shared" si="80"/>
        <v>0.31182795698924731</v>
      </c>
      <c r="G273" s="66" t="s">
        <v>111</v>
      </c>
      <c r="H273" s="66">
        <v>4</v>
      </c>
      <c r="I273" s="61">
        <f>H273*12</f>
        <v>48</v>
      </c>
      <c r="J273" s="67">
        <v>74.12</v>
      </c>
      <c r="K273" s="63">
        <f>I273/J273</f>
        <v>0.64759848893685912</v>
      </c>
      <c r="L273" s="64">
        <f>K273*E257*C268/100</f>
        <v>5.7726504649084777E-2</v>
      </c>
    </row>
    <row r="274" spans="2:12" x14ac:dyDescent="0.2">
      <c r="B274" s="98"/>
      <c r="C274" s="95"/>
      <c r="D274" s="65" t="s">
        <v>135</v>
      </c>
      <c r="E274" s="69">
        <f>0.1*E268/111.6</f>
        <v>7.7956989247311842E-2</v>
      </c>
      <c r="F274" s="64">
        <f t="shared" si="80"/>
        <v>1.5591397849462368E-2</v>
      </c>
      <c r="G274" s="66" t="s">
        <v>136</v>
      </c>
      <c r="H274" s="66">
        <v>1</v>
      </c>
      <c r="I274" s="61">
        <f t="shared" si="71"/>
        <v>12</v>
      </c>
      <c r="J274" s="67">
        <v>30.03</v>
      </c>
      <c r="K274" s="63">
        <f t="shared" si="77"/>
        <v>0.39960039960039956</v>
      </c>
      <c r="L274" s="64">
        <f>K274*E274*C268/100</f>
        <v>6.2303288109739731E-3</v>
      </c>
    </row>
    <row r="275" spans="2:12" x14ac:dyDescent="0.2">
      <c r="B275" s="91" t="s">
        <v>82</v>
      </c>
      <c r="C275" s="89">
        <v>770</v>
      </c>
      <c r="D275" s="57" t="s">
        <v>87</v>
      </c>
      <c r="E275" s="60">
        <v>100</v>
      </c>
      <c r="F275" s="64">
        <f>C275*E275/100</f>
        <v>770</v>
      </c>
      <c r="G275" s="66"/>
      <c r="H275" s="66"/>
      <c r="I275" s="61"/>
      <c r="J275" s="67"/>
      <c r="K275" s="63"/>
      <c r="L275" s="64"/>
    </row>
    <row r="276" spans="2:12" x14ac:dyDescent="0.2">
      <c r="B276" s="92"/>
      <c r="C276" s="90"/>
      <c r="D276" s="57" t="s">
        <v>84</v>
      </c>
      <c r="E276" s="60">
        <v>100</v>
      </c>
      <c r="F276" s="64">
        <f>F275</f>
        <v>770</v>
      </c>
      <c r="G276" s="59" t="s">
        <v>88</v>
      </c>
      <c r="H276" s="59">
        <v>5</v>
      </c>
      <c r="I276" s="61">
        <f>H276*12</f>
        <v>60</v>
      </c>
      <c r="J276" s="62">
        <v>99.13</v>
      </c>
      <c r="K276" s="63">
        <f t="shared" si="77"/>
        <v>0.60526581256935341</v>
      </c>
      <c r="L276" s="64">
        <f>K276*E276*C275/100</f>
        <v>466.05467567840213</v>
      </c>
    </row>
    <row r="277" spans="2:12" x14ac:dyDescent="0.2">
      <c r="B277" s="96" t="s">
        <v>83</v>
      </c>
      <c r="C277" s="93">
        <v>35</v>
      </c>
      <c r="D277" s="65" t="s">
        <v>87</v>
      </c>
      <c r="E277" s="69">
        <v>73</v>
      </c>
      <c r="F277" s="64">
        <f>C277*E277/100</f>
        <v>25.55</v>
      </c>
      <c r="G277" s="66"/>
      <c r="H277" s="66"/>
      <c r="I277" s="61"/>
      <c r="J277" s="67"/>
      <c r="K277" s="63"/>
      <c r="L277" s="64"/>
    </row>
    <row r="278" spans="2:12" x14ac:dyDescent="0.2">
      <c r="B278" s="97"/>
      <c r="C278" s="94"/>
      <c r="D278" s="65" t="s">
        <v>84</v>
      </c>
      <c r="E278" s="69">
        <f>(50+((100-50)/2))*E277/90.75</f>
        <v>60.330578512396691</v>
      </c>
      <c r="F278" s="64">
        <f>E278*$F$277/$E$277</f>
        <v>21.115702479338843</v>
      </c>
      <c r="G278" s="66" t="s">
        <v>88</v>
      </c>
      <c r="H278" s="66">
        <v>5</v>
      </c>
      <c r="I278" s="61">
        <f>H278*12</f>
        <v>60</v>
      </c>
      <c r="J278" s="67">
        <v>99.13</v>
      </c>
      <c r="K278" s="63">
        <f t="shared" si="77"/>
        <v>0.60526581256935341</v>
      </c>
      <c r="L278" s="64">
        <f>K278*E278*C277/100</f>
        <v>12.780612819129733</v>
      </c>
    </row>
    <row r="279" spans="2:12" x14ac:dyDescent="0.2">
      <c r="B279" s="97"/>
      <c r="C279" s="94"/>
      <c r="D279" s="65" t="s">
        <v>113</v>
      </c>
      <c r="E279" s="69">
        <f>(5+((7-5)/2))*E277/90.75</f>
        <v>4.8264462809917354</v>
      </c>
      <c r="F279" s="64">
        <f t="shared" ref="F279:F281" si="81">E279*$F$277/$E$277</f>
        <v>1.6892561983471073</v>
      </c>
      <c r="G279" s="66" t="s">
        <v>92</v>
      </c>
      <c r="H279" s="66">
        <v>8</v>
      </c>
      <c r="I279" s="61">
        <f>H279*12</f>
        <v>96</v>
      </c>
      <c r="J279" s="67">
        <v>106.17</v>
      </c>
      <c r="K279" s="63">
        <f t="shared" si="77"/>
        <v>0.90421022887821412</v>
      </c>
      <c r="L279" s="64">
        <f>K279*E279*C277/100</f>
        <v>1.5274427337413801</v>
      </c>
    </row>
    <row r="280" spans="2:12" x14ac:dyDescent="0.2">
      <c r="B280" s="97"/>
      <c r="C280" s="94"/>
      <c r="D280" s="65" t="s">
        <v>85</v>
      </c>
      <c r="E280" s="69">
        <f>(5+((7-5)/2))*E277/90.75</f>
        <v>4.8264462809917354</v>
      </c>
      <c r="F280" s="64">
        <f t="shared" si="81"/>
        <v>1.6892561983471073</v>
      </c>
      <c r="G280" s="66" t="s">
        <v>108</v>
      </c>
      <c r="H280" s="66"/>
      <c r="I280" s="61"/>
      <c r="J280" s="67"/>
      <c r="K280" s="63"/>
      <c r="L280" s="64"/>
    </row>
    <row r="281" spans="2:12" x14ac:dyDescent="0.2">
      <c r="B281" s="97"/>
      <c r="C281" s="94"/>
      <c r="D281" s="65" t="s">
        <v>97</v>
      </c>
      <c r="E281" s="69">
        <f>(1+((2.5-1)/2))*E277/90.75</f>
        <v>1.4077134986225894</v>
      </c>
      <c r="F281" s="64">
        <f t="shared" si="81"/>
        <v>0.49269972451790628</v>
      </c>
      <c r="G281" s="66" t="s">
        <v>103</v>
      </c>
      <c r="H281" s="66">
        <v>7</v>
      </c>
      <c r="I281" s="61">
        <f>H281*12</f>
        <v>84</v>
      </c>
      <c r="J281" s="67">
        <v>108.14</v>
      </c>
      <c r="K281" s="63">
        <f>I281/J281</f>
        <v>0.77677085259848344</v>
      </c>
      <c r="L281" s="64">
        <f>K281*E281*C277/100</f>
        <v>0.38271478508881202</v>
      </c>
    </row>
    <row r="282" spans="2:12" x14ac:dyDescent="0.2">
      <c r="B282" s="98"/>
      <c r="C282" s="95"/>
      <c r="D282" s="65" t="s">
        <v>187</v>
      </c>
      <c r="E282" s="69">
        <f>(1+((3-1)/2))*E277/90.75</f>
        <v>1.6088154269972452</v>
      </c>
      <c r="F282" s="64">
        <f>E282*$F$277/$E$277</f>
        <v>0.56308539944903591</v>
      </c>
      <c r="G282" s="66" t="s">
        <v>188</v>
      </c>
      <c r="H282" s="66">
        <v>0</v>
      </c>
      <c r="I282" s="61">
        <f>H282*12</f>
        <v>0</v>
      </c>
      <c r="J282" s="67">
        <v>60.08</v>
      </c>
      <c r="K282" s="63">
        <f t="shared" si="77"/>
        <v>0</v>
      </c>
      <c r="L282" s="64">
        <f>K282*E282*C277/100</f>
        <v>0</v>
      </c>
    </row>
    <row r="283" spans="2:12" x14ac:dyDescent="0.2">
      <c r="B283" s="80" t="s">
        <v>83</v>
      </c>
      <c r="C283" s="81">
        <v>35</v>
      </c>
      <c r="D283" s="65"/>
      <c r="E283" s="137"/>
      <c r="F283" s="64"/>
      <c r="G283" s="66"/>
      <c r="H283" s="66"/>
      <c r="I283" s="61"/>
      <c r="J283" s="67"/>
      <c r="K283" s="63"/>
      <c r="L283" s="64"/>
    </row>
    <row r="284" spans="2:12" x14ac:dyDescent="0.2">
      <c r="B284" s="99" t="s">
        <v>345</v>
      </c>
      <c r="C284" s="102">
        <v>1020</v>
      </c>
      <c r="D284" s="84" t="s">
        <v>87</v>
      </c>
      <c r="E284" s="138">
        <v>63</v>
      </c>
      <c r="F284" s="82">
        <f>E284*C284/100</f>
        <v>642.6</v>
      </c>
      <c r="G284" s="85"/>
      <c r="H284" s="85"/>
      <c r="I284" s="83"/>
      <c r="J284" s="85"/>
      <c r="K284" s="83"/>
      <c r="L284" s="82"/>
    </row>
    <row r="285" spans="2:12" x14ac:dyDescent="0.2">
      <c r="B285" s="100"/>
      <c r="C285" s="103"/>
      <c r="D285" s="84" t="s">
        <v>346</v>
      </c>
      <c r="E285" s="138">
        <f>(10+((25-10)/2))*E284/68.75</f>
        <v>16.036363636363635</v>
      </c>
      <c r="F285" s="82">
        <f>E285*$F$284/$E$284</f>
        <v>163.57090909090908</v>
      </c>
      <c r="G285" s="85" t="s">
        <v>102</v>
      </c>
      <c r="H285" s="85">
        <v>6</v>
      </c>
      <c r="I285" s="83">
        <f t="shared" ref="I285" si="82">H285*12</f>
        <v>72</v>
      </c>
      <c r="J285" s="85">
        <v>94.11</v>
      </c>
      <c r="K285" s="83">
        <f>I285/J285</f>
        <v>0.76506216130060567</v>
      </c>
      <c r="L285" s="82">
        <f>K285*E285*$C$284/100</f>
        <v>125.1419132349958</v>
      </c>
    </row>
    <row r="286" spans="2:12" x14ac:dyDescent="0.2">
      <c r="B286" s="100"/>
      <c r="C286" s="103"/>
      <c r="D286" s="84" t="s">
        <v>131</v>
      </c>
      <c r="E286" s="138">
        <f>(10+((25-10)/2))*E284/68.75</f>
        <v>16.036363636363635</v>
      </c>
      <c r="F286" s="82">
        <f t="shared" ref="F286:F292" si="83">E286*$F$284/$E$284</f>
        <v>163.57090909090908</v>
      </c>
      <c r="G286" s="85" t="s">
        <v>132</v>
      </c>
      <c r="H286" s="85">
        <v>7</v>
      </c>
      <c r="I286" s="83">
        <f>H286*12</f>
        <v>84</v>
      </c>
      <c r="J286" s="85">
        <v>253.45</v>
      </c>
      <c r="K286" s="83">
        <f>I286/J286</f>
        <v>0.33142631682777668</v>
      </c>
      <c r="L286" s="82">
        <f t="shared" ref="L286:L287" si="84">K286*E286*$C$284/100</f>
        <v>54.211703940171091</v>
      </c>
    </row>
    <row r="287" spans="2:12" x14ac:dyDescent="0.2">
      <c r="B287" s="100"/>
      <c r="C287" s="103"/>
      <c r="D287" s="84" t="s">
        <v>347</v>
      </c>
      <c r="E287" s="138">
        <f>(10+((25-10)/2))*E284/68.75</f>
        <v>16.036363636363635</v>
      </c>
      <c r="F287" s="82">
        <f t="shared" si="83"/>
        <v>163.57090909090908</v>
      </c>
      <c r="G287" s="66" t="s">
        <v>103</v>
      </c>
      <c r="H287" s="66">
        <v>7</v>
      </c>
      <c r="I287" s="83">
        <f>H287*12</f>
        <v>84</v>
      </c>
      <c r="J287" s="85">
        <v>108.14</v>
      </c>
      <c r="K287" s="83">
        <f>I287/J287</f>
        <v>0.77677085259848344</v>
      </c>
      <c r="L287" s="82">
        <f t="shared" si="84"/>
        <v>127.05711451485446</v>
      </c>
    </row>
    <row r="288" spans="2:12" x14ac:dyDescent="0.2">
      <c r="B288" s="100"/>
      <c r="C288" s="103"/>
      <c r="D288" s="84" t="s">
        <v>124</v>
      </c>
      <c r="E288" s="138">
        <f>(2.5+((10-2.5)/2))*E284/68.75</f>
        <v>5.7272727272727275</v>
      </c>
      <c r="F288" s="82">
        <f t="shared" si="83"/>
        <v>58.418181818181822</v>
      </c>
      <c r="G288" s="85" t="s">
        <v>126</v>
      </c>
      <c r="H288" s="85">
        <v>8</v>
      </c>
      <c r="I288" s="83">
        <f t="shared" ref="I288" si="85">H288*12</f>
        <v>96</v>
      </c>
      <c r="J288" s="85">
        <v>122.16</v>
      </c>
      <c r="K288" s="83">
        <f>I288/J288</f>
        <v>0.78585461689587432</v>
      </c>
      <c r="L288" s="82">
        <f>K288*E288*$C$284/100</f>
        <v>45.9081978924808</v>
      </c>
    </row>
    <row r="289" spans="2:12" x14ac:dyDescent="0.2">
      <c r="B289" s="100"/>
      <c r="C289" s="103"/>
      <c r="D289" s="84" t="s">
        <v>139</v>
      </c>
      <c r="E289" s="138">
        <f>(2.5+((10-2.5)/2))*E284/68.75</f>
        <v>5.7272727272727275</v>
      </c>
      <c r="F289" s="82">
        <f t="shared" si="83"/>
        <v>58.418181818181822</v>
      </c>
      <c r="G289" s="85" t="s">
        <v>108</v>
      </c>
      <c r="H289" s="85"/>
      <c r="I289" s="83"/>
      <c r="J289" s="85"/>
      <c r="K289" s="83"/>
      <c r="L289" s="82"/>
    </row>
    <row r="290" spans="2:12" x14ac:dyDescent="0.2">
      <c r="B290" s="100"/>
      <c r="C290" s="103"/>
      <c r="D290" s="84" t="s">
        <v>348</v>
      </c>
      <c r="E290" s="138">
        <f>(0+((2.5-0)/2))*E284/68.75</f>
        <v>1.1454545454545455</v>
      </c>
      <c r="F290" s="82">
        <f t="shared" si="83"/>
        <v>11.683636363636364</v>
      </c>
      <c r="G290" s="85" t="s">
        <v>110</v>
      </c>
      <c r="H290" s="85">
        <v>2</v>
      </c>
      <c r="I290" s="83">
        <f>H290*12</f>
        <v>24</v>
      </c>
      <c r="J290" s="85">
        <v>62.07</v>
      </c>
      <c r="K290" s="83">
        <f>I290/J290</f>
        <v>0.38666022232962782</v>
      </c>
      <c r="L290" s="82">
        <f>K290*E290*$C$284/100</f>
        <v>4.5175974339821607</v>
      </c>
    </row>
    <row r="291" spans="2:12" x14ac:dyDescent="0.2">
      <c r="B291" s="100"/>
      <c r="C291" s="103"/>
      <c r="D291" s="84" t="s">
        <v>349</v>
      </c>
      <c r="E291" s="138">
        <f>(0+((2.5-0)/2))*E284/68.75</f>
        <v>1.1454545454545455</v>
      </c>
      <c r="F291" s="82">
        <f t="shared" si="83"/>
        <v>11.683636363636364</v>
      </c>
      <c r="G291" s="85" t="s">
        <v>92</v>
      </c>
      <c r="H291" s="85">
        <v>8</v>
      </c>
      <c r="I291" s="83">
        <f>H291*12</f>
        <v>96</v>
      </c>
      <c r="J291" s="85">
        <v>106.17</v>
      </c>
      <c r="K291" s="83">
        <f t="shared" ref="K291" si="86">I291/J291</f>
        <v>0.90421022887821412</v>
      </c>
      <c r="L291" s="82">
        <f t="shared" ref="L291:L292" si="87">K291*E291*$C$284/100</f>
        <v>10.564463510493463</v>
      </c>
    </row>
    <row r="292" spans="2:12" x14ac:dyDescent="0.2">
      <c r="B292" s="101"/>
      <c r="C292" s="104"/>
      <c r="D292" s="84" t="s">
        <v>350</v>
      </c>
      <c r="E292" s="138">
        <f>(+((2.5-0)/2))*E284/68.75</f>
        <v>1.1454545454545455</v>
      </c>
      <c r="F292" s="82">
        <f t="shared" si="83"/>
        <v>11.683636363636364</v>
      </c>
      <c r="G292" s="85" t="s">
        <v>111</v>
      </c>
      <c r="H292" s="85">
        <v>4</v>
      </c>
      <c r="I292" s="83">
        <f>H292*12</f>
        <v>48</v>
      </c>
      <c r="J292" s="85">
        <v>74.12</v>
      </c>
      <c r="K292" s="83">
        <f>I292/J292</f>
        <v>0.64759848893685912</v>
      </c>
      <c r="L292" s="82">
        <f t="shared" si="87"/>
        <v>7.5663052543786486</v>
      </c>
    </row>
    <row r="293" spans="2:12" x14ac:dyDescent="0.2">
      <c r="B293" s="110" t="s">
        <v>341</v>
      </c>
      <c r="C293" s="109">
        <v>420</v>
      </c>
      <c r="D293" s="57" t="s">
        <v>87</v>
      </c>
      <c r="E293" s="139">
        <v>74</v>
      </c>
      <c r="F293" s="82">
        <f>E293*C293/100</f>
        <v>310.8</v>
      </c>
      <c r="G293" s="59"/>
      <c r="H293" s="59"/>
      <c r="I293" s="61"/>
      <c r="J293" s="62"/>
      <c r="K293" s="63"/>
      <c r="L293" s="64"/>
    </row>
    <row r="294" spans="2:12" x14ac:dyDescent="0.2">
      <c r="B294" s="110"/>
      <c r="C294" s="109"/>
      <c r="D294" s="57" t="s">
        <v>84</v>
      </c>
      <c r="E294" s="139">
        <f>(50+(100-50)/2)*E293/90.5</f>
        <v>61.325966850828728</v>
      </c>
      <c r="F294" s="82">
        <f>E294*$F$293/$E$293</f>
        <v>257.56906077348066</v>
      </c>
      <c r="G294" s="59" t="s">
        <v>88</v>
      </c>
      <c r="H294" s="59">
        <v>5</v>
      </c>
      <c r="I294" s="83">
        <f>H294*12</f>
        <v>60</v>
      </c>
      <c r="J294" s="62">
        <v>99.13</v>
      </c>
      <c r="K294" s="83">
        <f t="shared" ref="K294:K295" si="88">I294/J294</f>
        <v>0.60526581256935341</v>
      </c>
      <c r="L294" s="82">
        <f>K294*E294*$C$293/100</f>
        <v>155.89774686178592</v>
      </c>
    </row>
    <row r="295" spans="2:12" x14ac:dyDescent="0.2">
      <c r="B295" s="110"/>
      <c r="C295" s="109"/>
      <c r="D295" s="57" t="s">
        <v>351</v>
      </c>
      <c r="E295" s="139">
        <f>(5+(7-5)/2)*E293/90.5</f>
        <v>4.9060773480662982</v>
      </c>
      <c r="F295" s="82">
        <f t="shared" ref="F295:F298" si="89">E295*$F$293/$E$293</f>
        <v>20.60552486187845</v>
      </c>
      <c r="G295" s="59" t="s">
        <v>92</v>
      </c>
      <c r="H295" s="59">
        <v>8</v>
      </c>
      <c r="I295" s="83">
        <f t="shared" ref="I295:I298" si="90">H295*12</f>
        <v>96</v>
      </c>
      <c r="J295" s="62">
        <v>106.17</v>
      </c>
      <c r="K295" s="83">
        <f t="shared" si="88"/>
        <v>0.90421022887821412</v>
      </c>
      <c r="L295" s="82">
        <f>K295*E295*$C$293/100</f>
        <v>18.631726351514846</v>
      </c>
    </row>
    <row r="296" spans="2:12" x14ac:dyDescent="0.2">
      <c r="B296" s="110"/>
      <c r="C296" s="109"/>
      <c r="D296" s="57" t="s">
        <v>85</v>
      </c>
      <c r="E296" s="139">
        <f>(5+(7-5)/2)*E293/90.5</f>
        <v>4.9060773480662982</v>
      </c>
      <c r="F296" s="82">
        <f t="shared" si="89"/>
        <v>20.60552486187845</v>
      </c>
      <c r="G296" s="59" t="s">
        <v>108</v>
      </c>
      <c r="H296" s="59"/>
      <c r="I296" s="83">
        <f t="shared" si="90"/>
        <v>0</v>
      </c>
      <c r="J296" s="62"/>
      <c r="K296" s="63"/>
      <c r="L296" s="64"/>
    </row>
    <row r="297" spans="2:12" x14ac:dyDescent="0.2">
      <c r="B297" s="110"/>
      <c r="C297" s="109"/>
      <c r="D297" s="57" t="s">
        <v>94</v>
      </c>
      <c r="E297" s="139">
        <f>(1+(2.5-1)/2)*E293/90.5</f>
        <v>1.430939226519337</v>
      </c>
      <c r="F297" s="82">
        <f t="shared" si="89"/>
        <v>6.0099447513812159</v>
      </c>
      <c r="G297" s="59" t="s">
        <v>104</v>
      </c>
      <c r="H297" s="59">
        <v>12</v>
      </c>
      <c r="I297" s="83">
        <f t="shared" si="90"/>
        <v>144</v>
      </c>
      <c r="J297" s="62">
        <v>198.35</v>
      </c>
      <c r="K297" s="83">
        <f t="shared" ref="K297:K298" si="91">I297/J297</f>
        <v>0.72598941265439876</v>
      </c>
      <c r="L297" s="82">
        <f>K297*E297*$C$293/100</f>
        <v>4.3631562601406362</v>
      </c>
    </row>
    <row r="298" spans="2:12" x14ac:dyDescent="0.2">
      <c r="B298" s="110"/>
      <c r="C298" s="109"/>
      <c r="D298" s="57" t="s">
        <v>95</v>
      </c>
      <c r="E298" s="139">
        <f>(1+(2.5-1)/2)*E293/90.5</f>
        <v>1.430939226519337</v>
      </c>
      <c r="F298" s="82">
        <f t="shared" si="89"/>
        <v>6.0099447513812159</v>
      </c>
      <c r="G298" s="59" t="s">
        <v>132</v>
      </c>
      <c r="H298" s="59">
        <v>7</v>
      </c>
      <c r="I298" s="83">
        <f t="shared" si="90"/>
        <v>84</v>
      </c>
      <c r="J298" s="62">
        <v>253.45</v>
      </c>
      <c r="K298" s="83">
        <f t="shared" si="91"/>
        <v>0.33142631682777668</v>
      </c>
      <c r="L298" s="82">
        <f>K298*E298*$C$293/100</f>
        <v>1.9918538532887045</v>
      </c>
    </row>
    <row r="299" spans="2:12" x14ac:dyDescent="0.2">
      <c r="B299" s="129" t="s">
        <v>342</v>
      </c>
      <c r="C299" s="128">
        <v>125</v>
      </c>
      <c r="D299" s="65" t="s">
        <v>87</v>
      </c>
      <c r="E299" s="137">
        <v>74</v>
      </c>
      <c r="F299" s="82">
        <f>E299*C299/100</f>
        <v>92.5</v>
      </c>
      <c r="G299" s="66"/>
      <c r="H299" s="66"/>
      <c r="I299" s="61"/>
      <c r="J299" s="67"/>
      <c r="K299" s="63"/>
      <c r="L299" s="64"/>
    </row>
    <row r="300" spans="2:12" x14ac:dyDescent="0.2">
      <c r="B300" s="129"/>
      <c r="C300" s="128"/>
      <c r="D300" s="65" t="s">
        <v>84</v>
      </c>
      <c r="E300" s="137">
        <f>(50+(100-50)/2)*E299/75.18</f>
        <v>73.822825219473259</v>
      </c>
      <c r="F300" s="82">
        <f>E300*$F$299/$E$299</f>
        <v>92.278531524341574</v>
      </c>
      <c r="G300" s="66" t="s">
        <v>88</v>
      </c>
      <c r="H300" s="66">
        <v>5</v>
      </c>
      <c r="I300" s="83">
        <f>H300*12</f>
        <v>60</v>
      </c>
      <c r="J300" s="67">
        <v>99.13</v>
      </c>
      <c r="K300" s="83">
        <f t="shared" ref="K300" si="92">I300/J300</f>
        <v>0.60526581256935341</v>
      </c>
      <c r="L300" s="82">
        <f>K300*E300*$C$299/100</f>
        <v>55.853040365787301</v>
      </c>
    </row>
    <row r="301" spans="2:12" x14ac:dyDescent="0.2">
      <c r="B301" s="129"/>
      <c r="C301" s="128"/>
      <c r="D301" s="65" t="s">
        <v>352</v>
      </c>
      <c r="E301" s="137">
        <f>(0.1+(0.25-0.1)/2)*E299/75.18</f>
        <v>0.1722532588454376</v>
      </c>
      <c r="F301" s="82">
        <f>E301*$F$299/$E$299</f>
        <v>0.21531657355679698</v>
      </c>
      <c r="G301" s="66" t="s">
        <v>108</v>
      </c>
      <c r="H301" s="66"/>
      <c r="I301" s="61"/>
      <c r="J301" s="67"/>
      <c r="K301" s="63"/>
      <c r="L301" s="64"/>
    </row>
    <row r="302" spans="2:12" x14ac:dyDescent="0.2">
      <c r="B302" s="91" t="s">
        <v>343</v>
      </c>
      <c r="C302" s="89">
        <v>210</v>
      </c>
      <c r="D302" s="57" t="s">
        <v>87</v>
      </c>
      <c r="E302" s="140">
        <v>67</v>
      </c>
      <c r="F302" s="82">
        <f>E302*C302/100</f>
        <v>140.69999999999999</v>
      </c>
      <c r="G302" s="59"/>
      <c r="H302" s="59"/>
      <c r="I302" s="61"/>
      <c r="J302" s="62"/>
      <c r="K302" s="63"/>
      <c r="L302" s="64"/>
    </row>
    <row r="303" spans="2:12" x14ac:dyDescent="0.2">
      <c r="B303" s="106"/>
      <c r="C303" s="105"/>
      <c r="D303" s="57" t="s">
        <v>84</v>
      </c>
      <c r="E303" s="140">
        <f>(50+(100-50)/2)*E302/92</f>
        <v>54.619565217391305</v>
      </c>
      <c r="F303" s="82">
        <f>E303*$F$302/$E$302</f>
        <v>114.70108695652173</v>
      </c>
      <c r="G303" s="59" t="s">
        <v>88</v>
      </c>
      <c r="H303" s="59">
        <v>5</v>
      </c>
      <c r="I303" s="83">
        <f t="shared" ref="I303:I304" si="93">H303*12</f>
        <v>60</v>
      </c>
      <c r="J303" s="62">
        <v>99.13</v>
      </c>
      <c r="K303" s="83">
        <f t="shared" ref="K303:K304" si="94">I303/J303</f>
        <v>0.60526581256935341</v>
      </c>
      <c r="L303" s="82">
        <f>K303*E303*$C$302/100</f>
        <v>69.42464659932719</v>
      </c>
    </row>
    <row r="304" spans="2:12" x14ac:dyDescent="0.2">
      <c r="B304" s="106"/>
      <c r="C304" s="105"/>
      <c r="D304" s="57" t="s">
        <v>351</v>
      </c>
      <c r="E304" s="140">
        <f>(7+(10-7)/2)*E302/92</f>
        <v>6.1902173913043477</v>
      </c>
      <c r="F304" s="82">
        <f t="shared" ref="F304:F305" si="95">E304*$F$302/$E$302</f>
        <v>12.999456521739129</v>
      </c>
      <c r="G304" s="59" t="s">
        <v>92</v>
      </c>
      <c r="H304" s="59">
        <v>8</v>
      </c>
      <c r="I304" s="83">
        <f t="shared" si="93"/>
        <v>96</v>
      </c>
      <c r="J304" s="62">
        <v>106.17</v>
      </c>
      <c r="K304" s="83">
        <f t="shared" si="94"/>
        <v>0.90421022887821412</v>
      </c>
      <c r="L304" s="82">
        <f>K304*E304*$C$302/100</f>
        <v>11.754241556814133</v>
      </c>
    </row>
    <row r="305" spans="2:12" x14ac:dyDescent="0.2">
      <c r="B305" s="92"/>
      <c r="C305" s="90"/>
      <c r="D305" s="57" t="s">
        <v>85</v>
      </c>
      <c r="E305" s="140">
        <f>(7+(10-7)/2)*E302/92</f>
        <v>6.1902173913043477</v>
      </c>
      <c r="F305" s="82">
        <f t="shared" si="95"/>
        <v>12.999456521739129</v>
      </c>
      <c r="G305" s="59" t="s">
        <v>108</v>
      </c>
      <c r="H305" s="59"/>
      <c r="I305" s="61"/>
      <c r="J305" s="62"/>
      <c r="K305" s="63"/>
      <c r="L305" s="64"/>
    </row>
    <row r="306" spans="2:12" x14ac:dyDescent="0.2">
      <c r="B306" s="99" t="s">
        <v>344</v>
      </c>
      <c r="C306" s="130">
        <v>200</v>
      </c>
      <c r="D306" s="65" t="s">
        <v>87</v>
      </c>
      <c r="E306" s="141">
        <v>60</v>
      </c>
      <c r="F306" s="82">
        <f>E306*C306/100</f>
        <v>120</v>
      </c>
      <c r="G306" s="66"/>
      <c r="H306" s="66"/>
      <c r="I306" s="61"/>
      <c r="J306" s="67"/>
      <c r="K306" s="63"/>
      <c r="L306" s="64"/>
    </row>
    <row r="307" spans="2:12" x14ac:dyDescent="0.2">
      <c r="B307" s="100"/>
      <c r="C307" s="131"/>
      <c r="D307" s="65" t="s">
        <v>353</v>
      </c>
      <c r="E307" s="137">
        <f>(39+(41-39)/2)*E306/103</f>
        <v>23.300970873786408</v>
      </c>
      <c r="F307" s="82">
        <f>E307*$F$306/$E$306</f>
        <v>46.601941747572816</v>
      </c>
      <c r="G307" s="66" t="s">
        <v>108</v>
      </c>
      <c r="H307" s="66"/>
      <c r="I307" s="61"/>
      <c r="J307" s="67"/>
      <c r="K307" s="63"/>
      <c r="L307" s="64"/>
    </row>
    <row r="308" spans="2:12" x14ac:dyDescent="0.2">
      <c r="B308" s="100"/>
      <c r="C308" s="131"/>
      <c r="D308" s="65" t="s">
        <v>354</v>
      </c>
      <c r="E308" s="137">
        <f>(2+(4-2)/2)*E306/103</f>
        <v>1.7475728155339805</v>
      </c>
      <c r="F308" s="82">
        <f>E308*$F$306/$E$306</f>
        <v>3.4951456310679609</v>
      </c>
      <c r="G308" s="66" t="s">
        <v>108</v>
      </c>
      <c r="H308" s="66"/>
      <c r="I308" s="61"/>
      <c r="J308" s="67"/>
      <c r="K308" s="63"/>
      <c r="L308" s="64"/>
    </row>
    <row r="309" spans="2:12" x14ac:dyDescent="0.2">
      <c r="B309" s="100"/>
      <c r="C309" s="131"/>
      <c r="D309" s="65" t="s">
        <v>355</v>
      </c>
      <c r="E309" s="137">
        <f>(32+(40-32)/2)*E306/103</f>
        <v>20.970873786407768</v>
      </c>
      <c r="F309" s="82">
        <f>E309*$F$306/$E$306</f>
        <v>41.941747572815537</v>
      </c>
      <c r="G309" s="66" t="s">
        <v>103</v>
      </c>
      <c r="H309" s="66">
        <v>7</v>
      </c>
      <c r="I309" s="83">
        <f t="shared" ref="I309:I310" si="96">H309*12</f>
        <v>84</v>
      </c>
      <c r="J309" s="85">
        <v>108.14</v>
      </c>
      <c r="K309" s="83">
        <f t="shared" ref="K309:K310" si="97">I309/J309</f>
        <v>0.77677085259848344</v>
      </c>
      <c r="L309" s="82">
        <f>K309*E309*$C$306/100</f>
        <v>32.579127021606297</v>
      </c>
    </row>
    <row r="310" spans="2:12" x14ac:dyDescent="0.2">
      <c r="B310" s="101"/>
      <c r="C310" s="132"/>
      <c r="D310" s="65" t="s">
        <v>113</v>
      </c>
      <c r="E310" s="137">
        <f>(22+(26-22)/2)*E306/103</f>
        <v>13.980582524271844</v>
      </c>
      <c r="F310" s="82">
        <f>E310*$F$306/$E$306</f>
        <v>27.961165048543688</v>
      </c>
      <c r="G310" s="66" t="s">
        <v>92</v>
      </c>
      <c r="H310" s="66">
        <v>8</v>
      </c>
      <c r="I310" s="83">
        <f t="shared" si="96"/>
        <v>96</v>
      </c>
      <c r="J310" s="67">
        <v>106.17</v>
      </c>
      <c r="K310" s="83">
        <f t="shared" si="97"/>
        <v>0.90421022887821412</v>
      </c>
      <c r="L310" s="82">
        <f>K310*E310*$C$306/100</f>
        <v>25.282771448245214</v>
      </c>
    </row>
    <row r="311" spans="2:12" x14ac:dyDescent="0.2">
      <c r="B311" s="133" t="s">
        <v>240</v>
      </c>
      <c r="C311" s="134">
        <v>300</v>
      </c>
      <c r="D311" s="135" t="s">
        <v>87</v>
      </c>
      <c r="E311" s="143">
        <v>99.5</v>
      </c>
      <c r="F311" s="136">
        <f>C311*E311/100</f>
        <v>298.5</v>
      </c>
      <c r="G311" s="76"/>
      <c r="H311" s="76"/>
      <c r="I311" s="77"/>
      <c r="J311" s="78"/>
      <c r="K311" s="79"/>
      <c r="L311" s="75"/>
    </row>
    <row r="312" spans="2:12" x14ac:dyDescent="0.2">
      <c r="B312" s="133"/>
      <c r="C312" s="134"/>
      <c r="D312" s="135" t="s">
        <v>356</v>
      </c>
      <c r="E312" s="143">
        <f>(50+(100-50)/2)*E311/125</f>
        <v>59.7</v>
      </c>
      <c r="F312" s="136">
        <f>E312*$F$311/$E$311</f>
        <v>179.1</v>
      </c>
      <c r="G312" s="144" t="s">
        <v>359</v>
      </c>
      <c r="H312" s="144">
        <v>7</v>
      </c>
      <c r="I312" s="145">
        <f t="shared" ref="I312" si="98">H312*12</f>
        <v>84</v>
      </c>
      <c r="J312" s="146">
        <v>100.2</v>
      </c>
      <c r="K312" s="147">
        <f t="shared" si="77"/>
        <v>0.83832335329341312</v>
      </c>
      <c r="L312" s="136">
        <f>K312*E312*$C$311/100</f>
        <v>150.1437125748503</v>
      </c>
    </row>
    <row r="313" spans="2:12" x14ac:dyDescent="0.2">
      <c r="B313" s="133"/>
      <c r="C313" s="134"/>
      <c r="D313" s="135" t="s">
        <v>357</v>
      </c>
      <c r="E313" s="143">
        <f>(27.5+(60-27.5)/2)*E311/125</f>
        <v>34.825000000000003</v>
      </c>
      <c r="F313" s="136">
        <f t="shared" ref="F313:F314" si="99">E313*$F$311/$E$311</f>
        <v>104.47500000000001</v>
      </c>
      <c r="G313" s="144" t="s">
        <v>108</v>
      </c>
      <c r="H313" s="144"/>
      <c r="I313" s="145"/>
      <c r="J313" s="146"/>
      <c r="K313" s="147"/>
      <c r="L313" s="136"/>
    </row>
    <row r="314" spans="2:12" x14ac:dyDescent="0.2">
      <c r="B314" s="133"/>
      <c r="C314" s="134"/>
      <c r="D314" s="135" t="s">
        <v>358</v>
      </c>
      <c r="E314" s="143">
        <f>(2.5+(10-2.5)/2)*E311/125</f>
        <v>4.9749999999999996</v>
      </c>
      <c r="F314" s="136">
        <f t="shared" si="99"/>
        <v>14.924999999999999</v>
      </c>
      <c r="G314" s="144" t="s">
        <v>111</v>
      </c>
      <c r="H314" s="144">
        <v>4</v>
      </c>
      <c r="I314" s="145">
        <f t="shared" ref="I314" si="100">H314*12</f>
        <v>48</v>
      </c>
      <c r="J314" s="146">
        <v>74.072999999999993</v>
      </c>
      <c r="K314" s="147">
        <f t="shared" si="77"/>
        <v>0.64800939613624409</v>
      </c>
      <c r="L314" s="136">
        <f>K314*E314*$C$311/100</f>
        <v>9.671540237333442</v>
      </c>
    </row>
    <row r="315" spans="2:12" x14ac:dyDescent="0.2">
      <c r="B315" s="31"/>
      <c r="E315" s="34"/>
      <c r="F315" s="32"/>
      <c r="G315" s="32"/>
      <c r="H315" s="32"/>
      <c r="I315" s="32"/>
      <c r="J315" s="32"/>
      <c r="K315" s="35"/>
      <c r="L315" s="32"/>
    </row>
    <row r="316" spans="2:12" ht="21.75" customHeight="1" x14ac:dyDescent="0.2">
      <c r="B316" s="24" t="s">
        <v>43</v>
      </c>
      <c r="C316" s="26"/>
      <c r="D316" s="26"/>
      <c r="E316" s="26"/>
      <c r="F316" s="26"/>
      <c r="G316" s="26"/>
      <c r="H316" s="26"/>
      <c r="I316" s="26"/>
      <c r="J316" s="26"/>
      <c r="K316" s="26"/>
      <c r="L316" s="27"/>
    </row>
    <row r="317" spans="2:12" ht="21.75" customHeight="1" x14ac:dyDescent="0.2">
      <c r="B317" s="25" t="s">
        <v>44</v>
      </c>
      <c r="C317" s="28"/>
      <c r="D317" s="28"/>
      <c r="E317" s="28"/>
      <c r="F317" s="28"/>
      <c r="G317" s="28"/>
      <c r="H317" s="28"/>
      <c r="I317" s="28"/>
      <c r="J317" s="28"/>
      <c r="K317" s="28"/>
      <c r="L317" s="29"/>
    </row>
  </sheetData>
  <autoFilter ref="A9:R314" xr:uid="{512DC8E1-6364-4219-B4F9-DD9CC8744657}"/>
  <mergeCells count="85">
    <mergeCell ref="C53:C57"/>
    <mergeCell ref="B53:B57"/>
    <mergeCell ref="C58:C67"/>
    <mergeCell ref="B22:B31"/>
    <mergeCell ref="C22:C31"/>
    <mergeCell ref="C32:C40"/>
    <mergeCell ref="B32:B40"/>
    <mergeCell ref="C41:C52"/>
    <mergeCell ref="B41:B52"/>
    <mergeCell ref="B58:B67"/>
    <mergeCell ref="B1:Q1"/>
    <mergeCell ref="B10:B14"/>
    <mergeCell ref="C10:C14"/>
    <mergeCell ref="C15:C21"/>
    <mergeCell ref="B15:B21"/>
    <mergeCell ref="C68:C76"/>
    <mergeCell ref="B68:B76"/>
    <mergeCell ref="C77:C83"/>
    <mergeCell ref="B77:B83"/>
    <mergeCell ref="C84:C88"/>
    <mergeCell ref="B84:B88"/>
    <mergeCell ref="C89:C92"/>
    <mergeCell ref="B89:B92"/>
    <mergeCell ref="C118:C124"/>
    <mergeCell ref="B118:B124"/>
    <mergeCell ref="C125:C136"/>
    <mergeCell ref="B125:B136"/>
    <mergeCell ref="C93:C103"/>
    <mergeCell ref="B93:B103"/>
    <mergeCell ref="C104:C109"/>
    <mergeCell ref="B104:B109"/>
    <mergeCell ref="C110:C117"/>
    <mergeCell ref="B110:B117"/>
    <mergeCell ref="C137:C148"/>
    <mergeCell ref="B137:B148"/>
    <mergeCell ref="B149:B160"/>
    <mergeCell ref="C149:C160"/>
    <mergeCell ref="C161:C170"/>
    <mergeCell ref="B161:B170"/>
    <mergeCell ref="C171:C182"/>
    <mergeCell ref="B171:B182"/>
    <mergeCell ref="C183:C187"/>
    <mergeCell ref="B183:B187"/>
    <mergeCell ref="C188:C194"/>
    <mergeCell ref="B188:B194"/>
    <mergeCell ref="C195:C197"/>
    <mergeCell ref="B195:B197"/>
    <mergeCell ref="C198:C200"/>
    <mergeCell ref="B198:B200"/>
    <mergeCell ref="C201:C203"/>
    <mergeCell ref="B201:B203"/>
    <mergeCell ref="C204:C219"/>
    <mergeCell ref="B204:B219"/>
    <mergeCell ref="C220:C223"/>
    <mergeCell ref="B220:B223"/>
    <mergeCell ref="C224:C230"/>
    <mergeCell ref="B224:B230"/>
    <mergeCell ref="C231:C235"/>
    <mergeCell ref="B231:B235"/>
    <mergeCell ref="C236:C248"/>
    <mergeCell ref="B236:B248"/>
    <mergeCell ref="C249:C260"/>
    <mergeCell ref="B249:B260"/>
    <mergeCell ref="C261:C263"/>
    <mergeCell ref="B261:B263"/>
    <mergeCell ref="C264:C267"/>
    <mergeCell ref="B264:B267"/>
    <mergeCell ref="C268:C274"/>
    <mergeCell ref="B268:B274"/>
    <mergeCell ref="B311:B314"/>
    <mergeCell ref="C311:C314"/>
    <mergeCell ref="C275:C276"/>
    <mergeCell ref="B275:B276"/>
    <mergeCell ref="C277:C282"/>
    <mergeCell ref="B277:B282"/>
    <mergeCell ref="B284:B292"/>
    <mergeCell ref="C284:C292"/>
    <mergeCell ref="B293:B298"/>
    <mergeCell ref="C293:C298"/>
    <mergeCell ref="C299:C301"/>
    <mergeCell ref="B299:B301"/>
    <mergeCell ref="B302:B305"/>
    <mergeCell ref="C302:C305"/>
    <mergeCell ref="C306:C310"/>
    <mergeCell ref="B306:B310"/>
  </mergeCells>
  <phoneticPr fontId="0" type="noConversion"/>
  <pageMargins left="0.74803149606299213" right="0.74803149606299213" top="1.1417322834645669" bottom="0.6692913385826772" header="0.35433070866141736" footer="0"/>
  <pageSetup paperSize="9" scale="66" orientation="landscape" horizontalDpi="4294967294" r:id="rId1"/>
  <headerFooter alignWithMargins="0">
    <oddHeader>&amp;L&amp;G</oddHead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05"/>
  <sheetViews>
    <sheetView workbookViewId="0">
      <selection activeCell="I4" sqref="I4"/>
    </sheetView>
  </sheetViews>
  <sheetFormatPr baseColWidth="10" defaultRowHeight="12.75" x14ac:dyDescent="0.2"/>
  <sheetData>
    <row r="1" spans="1:17" x14ac:dyDescent="0.2">
      <c r="A1" s="124" t="s">
        <v>190</v>
      </c>
      <c r="B1" s="117" t="s">
        <v>191</v>
      </c>
      <c r="C1" s="117" t="s">
        <v>192</v>
      </c>
      <c r="D1" s="126" t="s">
        <v>193</v>
      </c>
      <c r="E1" s="117" t="s">
        <v>194</v>
      </c>
      <c r="F1" s="117" t="s">
        <v>195</v>
      </c>
      <c r="G1" s="117" t="s">
        <v>196</v>
      </c>
      <c r="H1" s="119" t="s">
        <v>197</v>
      </c>
      <c r="I1" s="119"/>
      <c r="J1" s="117" t="s">
        <v>198</v>
      </c>
      <c r="K1" s="117" t="s">
        <v>199</v>
      </c>
      <c r="L1" s="117"/>
      <c r="M1" s="121" t="s">
        <v>200</v>
      </c>
      <c r="N1" s="123" t="s">
        <v>201</v>
      </c>
      <c r="O1" s="123"/>
      <c r="P1" s="123"/>
      <c r="Q1" s="115" t="s">
        <v>202</v>
      </c>
    </row>
    <row r="2" spans="1:17" ht="78.75" x14ac:dyDescent="0.2">
      <c r="A2" s="125"/>
      <c r="B2" s="118"/>
      <c r="C2" s="118"/>
      <c r="D2" s="127"/>
      <c r="E2" s="118"/>
      <c r="F2" s="118"/>
      <c r="G2" s="118"/>
      <c r="H2" s="120"/>
      <c r="I2" s="120"/>
      <c r="J2" s="118"/>
      <c r="K2" s="37" t="s">
        <v>203</v>
      </c>
      <c r="L2" s="37" t="s">
        <v>204</v>
      </c>
      <c r="M2" s="122"/>
      <c r="N2" s="38" t="s">
        <v>205</v>
      </c>
      <c r="O2" s="38" t="s">
        <v>206</v>
      </c>
      <c r="P2" s="38" t="s">
        <v>207</v>
      </c>
      <c r="Q2" s="116"/>
    </row>
    <row r="3" spans="1:17" ht="24" x14ac:dyDescent="0.2">
      <c r="A3" s="39" t="s">
        <v>208</v>
      </c>
      <c r="B3" s="40" t="s">
        <v>209</v>
      </c>
      <c r="C3" s="41">
        <v>0</v>
      </c>
      <c r="D3" s="41">
        <v>0</v>
      </c>
      <c r="E3" s="41">
        <v>0</v>
      </c>
      <c r="F3" s="41">
        <v>0</v>
      </c>
      <c r="G3" s="42"/>
      <c r="H3" s="43">
        <f>C3+D3-F3</f>
        <v>0</v>
      </c>
      <c r="I3" s="44" t="str">
        <f t="shared" ref="I3:I44" si="0">IF(G3="","kg","l")</f>
        <v>kg</v>
      </c>
      <c r="J3" s="45"/>
      <c r="K3" s="46">
        <v>55</v>
      </c>
      <c r="L3" s="40"/>
      <c r="M3" s="44">
        <f>IF(AND(K3&lt;&gt;"",L3&lt;&gt;""),"REVISAR",IF(I3="l",IF(K3&lt;&gt;"",IF(J3=0,0,H3*J3*K3/100),H3*L3/1000),IF(K3&lt;&gt;"",H3*K3/100,IF(J3=0,0,H3/J3*L3/1000))))</f>
        <v>0</v>
      </c>
      <c r="N3" s="40"/>
      <c r="O3" s="40"/>
      <c r="P3" s="47"/>
      <c r="Q3" s="48" t="s">
        <v>210</v>
      </c>
    </row>
    <row r="4" spans="1:17" ht="24" x14ac:dyDescent="0.2">
      <c r="A4" s="39" t="s">
        <v>48</v>
      </c>
      <c r="B4" s="40" t="s">
        <v>209</v>
      </c>
      <c r="C4" s="41">
        <v>0</v>
      </c>
      <c r="D4" s="41">
        <v>80646</v>
      </c>
      <c r="E4" s="41">
        <v>0</v>
      </c>
      <c r="F4" s="41">
        <v>0</v>
      </c>
      <c r="G4" s="42"/>
      <c r="H4" s="43">
        <f t="shared" ref="H4:H67" si="1">C4+D4-F4</f>
        <v>80646</v>
      </c>
      <c r="I4" s="44" t="str">
        <f t="shared" si="0"/>
        <v>kg</v>
      </c>
      <c r="J4" s="45"/>
      <c r="K4" s="46">
        <v>76</v>
      </c>
      <c r="L4" s="40"/>
      <c r="M4" s="44">
        <f t="shared" ref="M4:M67" si="2">IF(AND(K4&lt;&gt;"",L4&lt;&gt;""),"REVISAR",IF(I4="l",IF(K4&lt;&gt;"",IF(J4=0,0,H4*J4*K4/100),H4*L4/1000),IF(K4&lt;&gt;"",H4*K4/100,IF(J4=0,0,H4/J4*L4/1000))))</f>
        <v>61290.96</v>
      </c>
      <c r="N4" s="40"/>
      <c r="O4" s="40"/>
      <c r="P4" s="47" t="s">
        <v>211</v>
      </c>
      <c r="Q4" s="48" t="s">
        <v>212</v>
      </c>
    </row>
    <row r="5" spans="1:17" ht="48" x14ac:dyDescent="0.2">
      <c r="A5" s="49" t="s">
        <v>49</v>
      </c>
      <c r="B5" s="40" t="s">
        <v>209</v>
      </c>
      <c r="C5" s="41">
        <v>0</v>
      </c>
      <c r="D5" s="41">
        <v>51050</v>
      </c>
      <c r="E5" s="41">
        <v>0</v>
      </c>
      <c r="F5" s="41">
        <v>0</v>
      </c>
      <c r="G5" s="42"/>
      <c r="H5" s="43">
        <f t="shared" si="1"/>
        <v>51050</v>
      </c>
      <c r="I5" s="44" t="str">
        <f t="shared" si="0"/>
        <v>kg</v>
      </c>
      <c r="J5" s="45"/>
      <c r="K5" s="46">
        <v>60</v>
      </c>
      <c r="L5" s="40"/>
      <c r="M5" s="44">
        <f t="shared" si="2"/>
        <v>30630</v>
      </c>
      <c r="N5" s="40"/>
      <c r="O5" s="40"/>
      <c r="P5" s="47" t="s">
        <v>211</v>
      </c>
      <c r="Q5" s="48" t="s">
        <v>213</v>
      </c>
    </row>
    <row r="6" spans="1:17" ht="24" x14ac:dyDescent="0.2">
      <c r="A6" s="49" t="s">
        <v>50</v>
      </c>
      <c r="B6" s="40" t="s">
        <v>209</v>
      </c>
      <c r="C6" s="41">
        <v>0</v>
      </c>
      <c r="D6" s="41">
        <v>4580</v>
      </c>
      <c r="E6" s="41">
        <v>0</v>
      </c>
      <c r="F6" s="41">
        <v>0</v>
      </c>
      <c r="G6" s="42"/>
      <c r="H6" s="43">
        <f t="shared" si="1"/>
        <v>4580</v>
      </c>
      <c r="I6" s="44" t="str">
        <f t="shared" si="0"/>
        <v>kg</v>
      </c>
      <c r="J6" s="45"/>
      <c r="K6" s="46">
        <v>66</v>
      </c>
      <c r="L6" s="40"/>
      <c r="M6" s="44">
        <f t="shared" si="2"/>
        <v>3022.8</v>
      </c>
      <c r="N6" s="40"/>
      <c r="O6" s="40"/>
      <c r="P6" s="47"/>
      <c r="Q6" s="48" t="s">
        <v>214</v>
      </c>
    </row>
    <row r="7" spans="1:17" ht="22.5" x14ac:dyDescent="0.2">
      <c r="A7" s="39" t="s">
        <v>215</v>
      </c>
      <c r="B7" s="40" t="s">
        <v>209</v>
      </c>
      <c r="C7" s="41">
        <v>0</v>
      </c>
      <c r="D7" s="41">
        <v>0</v>
      </c>
      <c r="E7" s="41">
        <v>0</v>
      </c>
      <c r="F7" s="41">
        <v>0</v>
      </c>
      <c r="G7" s="42"/>
      <c r="H7" s="43">
        <f t="shared" si="1"/>
        <v>0</v>
      </c>
      <c r="I7" s="44" t="str">
        <f t="shared" si="0"/>
        <v>kg</v>
      </c>
      <c r="J7" s="45"/>
      <c r="K7" s="46">
        <v>65</v>
      </c>
      <c r="L7" s="40"/>
      <c r="M7" s="44">
        <f t="shared" si="2"/>
        <v>0</v>
      </c>
      <c r="N7" s="40"/>
      <c r="O7" s="40"/>
      <c r="P7" s="47"/>
      <c r="Q7" s="48" t="s">
        <v>216</v>
      </c>
    </row>
    <row r="8" spans="1:17" ht="24" x14ac:dyDescent="0.2">
      <c r="A8" s="49" t="s">
        <v>51</v>
      </c>
      <c r="B8" s="40" t="s">
        <v>209</v>
      </c>
      <c r="C8" s="41">
        <v>0</v>
      </c>
      <c r="D8" s="41">
        <v>14000</v>
      </c>
      <c r="E8" s="41">
        <v>0</v>
      </c>
      <c r="F8" s="41">
        <v>0</v>
      </c>
      <c r="G8" s="42"/>
      <c r="H8" s="43">
        <f t="shared" si="1"/>
        <v>14000</v>
      </c>
      <c r="I8" s="44" t="str">
        <f t="shared" si="0"/>
        <v>kg</v>
      </c>
      <c r="J8" s="45"/>
      <c r="K8" s="46">
        <v>70</v>
      </c>
      <c r="L8" s="40"/>
      <c r="M8" s="44">
        <f>IF(AND(K8&lt;&gt;"",L8&lt;&gt;""),"REVISAR",IF(I8="l",IF(K8&lt;&gt;"",IF(J8=0,0,H8*J8*K8/100),H8*L8/1000),IF(K8&lt;&gt;"",H8*K8/100,IF(J8=0,0,H8/J8*L8/1000))))</f>
        <v>9800</v>
      </c>
      <c r="N8" s="40"/>
      <c r="O8" s="40"/>
      <c r="P8" s="47" t="s">
        <v>211</v>
      </c>
      <c r="Q8" s="48" t="s">
        <v>217</v>
      </c>
    </row>
    <row r="9" spans="1:17" ht="36" x14ac:dyDescent="0.2">
      <c r="A9" s="49" t="s">
        <v>52</v>
      </c>
      <c r="B9" s="40" t="s">
        <v>209</v>
      </c>
      <c r="C9" s="41">
        <v>0</v>
      </c>
      <c r="D9" s="41">
        <v>250</v>
      </c>
      <c r="E9" s="41">
        <v>0</v>
      </c>
      <c r="F9" s="41">
        <v>0</v>
      </c>
      <c r="G9" s="42"/>
      <c r="H9" s="43">
        <f t="shared" si="1"/>
        <v>250</v>
      </c>
      <c r="I9" s="44" t="str">
        <f t="shared" si="0"/>
        <v>kg</v>
      </c>
      <c r="J9" s="45"/>
      <c r="K9" s="46">
        <v>75</v>
      </c>
      <c r="L9" s="40"/>
      <c r="M9" s="44">
        <f t="shared" si="2"/>
        <v>187.5</v>
      </c>
      <c r="N9" s="40"/>
      <c r="O9" s="40"/>
      <c r="P9" s="47"/>
      <c r="Q9" s="48" t="s">
        <v>218</v>
      </c>
    </row>
    <row r="10" spans="1:17" ht="24" x14ac:dyDescent="0.2">
      <c r="A10" s="49" t="s">
        <v>53</v>
      </c>
      <c r="B10" s="40" t="s">
        <v>209</v>
      </c>
      <c r="C10" s="41">
        <v>0</v>
      </c>
      <c r="D10" s="41">
        <v>0</v>
      </c>
      <c r="E10" s="41">
        <v>0</v>
      </c>
      <c r="F10" s="41">
        <v>0</v>
      </c>
      <c r="G10" s="42"/>
      <c r="H10" s="43">
        <f t="shared" si="1"/>
        <v>0</v>
      </c>
      <c r="I10" s="44" t="str">
        <f t="shared" si="0"/>
        <v>kg</v>
      </c>
      <c r="J10" s="45"/>
      <c r="K10" s="46">
        <v>73</v>
      </c>
      <c r="L10" s="40"/>
      <c r="M10" s="44">
        <f t="shared" si="2"/>
        <v>0</v>
      </c>
      <c r="N10" s="40"/>
      <c r="O10" s="40"/>
      <c r="P10" s="47" t="s">
        <v>211</v>
      </c>
      <c r="Q10" s="48" t="s">
        <v>219</v>
      </c>
    </row>
    <row r="11" spans="1:17" ht="36" x14ac:dyDescent="0.2">
      <c r="A11" s="49" t="s">
        <v>54</v>
      </c>
      <c r="B11" s="40" t="s">
        <v>209</v>
      </c>
      <c r="C11" s="41">
        <v>0</v>
      </c>
      <c r="D11" s="41">
        <v>2300</v>
      </c>
      <c r="E11" s="41">
        <v>0</v>
      </c>
      <c r="F11" s="41">
        <v>0</v>
      </c>
      <c r="G11" s="42"/>
      <c r="H11" s="43">
        <f t="shared" si="1"/>
        <v>2300</v>
      </c>
      <c r="I11" s="44" t="str">
        <f>IF(G11="","kg","l")</f>
        <v>kg</v>
      </c>
      <c r="J11" s="45"/>
      <c r="K11" s="46">
        <v>70</v>
      </c>
      <c r="L11" s="40"/>
      <c r="M11" s="44">
        <f t="shared" si="2"/>
        <v>1610</v>
      </c>
      <c r="N11" s="40"/>
      <c r="O11" s="40"/>
      <c r="P11" s="47" t="s">
        <v>211</v>
      </c>
      <c r="Q11" s="48" t="s">
        <v>220</v>
      </c>
    </row>
    <row r="12" spans="1:17" ht="36" x14ac:dyDescent="0.2">
      <c r="A12" s="49" t="s">
        <v>55</v>
      </c>
      <c r="B12" s="40" t="s">
        <v>209</v>
      </c>
      <c r="C12" s="41">
        <v>0</v>
      </c>
      <c r="D12" s="41">
        <v>267600</v>
      </c>
      <c r="E12" s="41">
        <v>0</v>
      </c>
      <c r="F12" s="41">
        <v>0</v>
      </c>
      <c r="G12" s="42"/>
      <c r="H12" s="43">
        <f>C12+D12-F12</f>
        <v>267600</v>
      </c>
      <c r="I12" s="44" t="str">
        <f t="shared" si="0"/>
        <v>kg</v>
      </c>
      <c r="J12" s="45"/>
      <c r="K12" s="46">
        <v>59</v>
      </c>
      <c r="L12" s="40"/>
      <c r="M12" s="44">
        <f>IF(AND(K12&lt;&gt;"",L12&lt;&gt;""),"REVISAR",IF(I12="l",IF(K12&lt;&gt;"",IF(J12=0,0,H12*J12*K12/100),H12*L12/1000),IF(K12&lt;&gt;"",H12*K12/100,IF(J12=0,0,H12/J12*L12/1000))))</f>
        <v>157884</v>
      </c>
      <c r="N12" s="40"/>
      <c r="O12" s="40"/>
      <c r="P12" s="47" t="s">
        <v>211</v>
      </c>
      <c r="Q12" s="48" t="s">
        <v>221</v>
      </c>
    </row>
    <row r="13" spans="1:17" ht="22.5" x14ac:dyDescent="0.2">
      <c r="A13" s="39" t="s">
        <v>222</v>
      </c>
      <c r="B13" s="40" t="s">
        <v>209</v>
      </c>
      <c r="C13" s="41">
        <v>0</v>
      </c>
      <c r="D13" s="41">
        <v>0</v>
      </c>
      <c r="E13" s="41">
        <v>0</v>
      </c>
      <c r="F13" s="41">
        <v>0</v>
      </c>
      <c r="G13" s="42"/>
      <c r="H13" s="43">
        <f t="shared" si="1"/>
        <v>0</v>
      </c>
      <c r="I13" s="44" t="str">
        <f t="shared" si="0"/>
        <v>kg</v>
      </c>
      <c r="J13" s="45"/>
      <c r="K13" s="46">
        <v>81</v>
      </c>
      <c r="L13" s="40"/>
      <c r="M13" s="44">
        <f t="shared" si="2"/>
        <v>0</v>
      </c>
      <c r="N13" s="40"/>
      <c r="O13" s="40"/>
      <c r="P13" s="47" t="s">
        <v>211</v>
      </c>
      <c r="Q13" s="48" t="s">
        <v>223</v>
      </c>
    </row>
    <row r="14" spans="1:17" ht="22.5" x14ac:dyDescent="0.2">
      <c r="A14" s="39" t="s">
        <v>224</v>
      </c>
      <c r="B14" s="40" t="s">
        <v>209</v>
      </c>
      <c r="C14" s="41">
        <v>0</v>
      </c>
      <c r="D14" s="41">
        <v>0</v>
      </c>
      <c r="E14" s="41">
        <v>0</v>
      </c>
      <c r="F14" s="41">
        <v>0</v>
      </c>
      <c r="G14" s="42"/>
      <c r="H14" s="43">
        <f t="shared" si="1"/>
        <v>0</v>
      </c>
      <c r="I14" s="44" t="str">
        <f t="shared" si="0"/>
        <v>kg</v>
      </c>
      <c r="J14" s="45"/>
      <c r="K14" s="46">
        <v>75</v>
      </c>
      <c r="L14" s="40"/>
      <c r="M14" s="44">
        <f>IF(AND(K14&lt;&gt;"",L14&lt;&gt;""),"REVISAR",IF(I14="l",IF(K14&lt;&gt;"",IF(J14=0,0,H14*J14*K14/100),H14*L14/1000),IF(K14&lt;&gt;"",H14*K14/100,IF(J14=0,0,H14/J14*L14/1000))))</f>
        <v>0</v>
      </c>
      <c r="N14" s="40"/>
      <c r="O14" s="40"/>
      <c r="P14" s="47"/>
      <c r="Q14" s="48" t="s">
        <v>225</v>
      </c>
    </row>
    <row r="15" spans="1:17" ht="18" x14ac:dyDescent="0.2">
      <c r="A15" s="49" t="s">
        <v>56</v>
      </c>
      <c r="B15" s="40" t="s">
        <v>209</v>
      </c>
      <c r="C15" s="41">
        <v>0</v>
      </c>
      <c r="D15" s="41">
        <v>9260</v>
      </c>
      <c r="E15" s="41">
        <v>0</v>
      </c>
      <c r="F15" s="41">
        <v>0</v>
      </c>
      <c r="G15" s="42"/>
      <c r="H15" s="43">
        <f t="shared" si="1"/>
        <v>9260</v>
      </c>
      <c r="I15" s="44" t="str">
        <f t="shared" si="0"/>
        <v>kg</v>
      </c>
      <c r="J15" s="45"/>
      <c r="K15" s="46">
        <v>60</v>
      </c>
      <c r="L15" s="40"/>
      <c r="M15" s="44">
        <f t="shared" si="2"/>
        <v>5556</v>
      </c>
      <c r="N15" s="40"/>
      <c r="O15" s="40"/>
      <c r="P15" s="47" t="s">
        <v>211</v>
      </c>
      <c r="Q15" s="48" t="s">
        <v>226</v>
      </c>
    </row>
    <row r="16" spans="1:17" ht="22.5" x14ac:dyDescent="0.2">
      <c r="A16" s="39" t="s">
        <v>227</v>
      </c>
      <c r="B16" s="40" t="s">
        <v>209</v>
      </c>
      <c r="C16" s="41">
        <v>0</v>
      </c>
      <c r="D16" s="41">
        <v>0</v>
      </c>
      <c r="E16" s="41">
        <v>0</v>
      </c>
      <c r="F16" s="41">
        <v>0</v>
      </c>
      <c r="G16" s="42"/>
      <c r="H16" s="43">
        <f t="shared" si="1"/>
        <v>0</v>
      </c>
      <c r="I16" s="44" t="str">
        <f t="shared" si="0"/>
        <v>kg</v>
      </c>
      <c r="J16" s="45"/>
      <c r="K16" s="46">
        <v>89</v>
      </c>
      <c r="L16" s="40"/>
      <c r="M16" s="44">
        <f>IF(AND(K16&lt;&gt;"",L16&lt;&gt;""),"REVISAR",IF(I16="l",IF(K16&lt;&gt;"",IF(J16=0,0,H16*J16*K16/100),H16*L16/1000),IF(K16&lt;&gt;"",H16*K16/100,IF(J16=0,0,H16/J16*L16/1000))))</f>
        <v>0</v>
      </c>
      <c r="N16" s="40"/>
      <c r="O16" s="40"/>
      <c r="P16" s="47"/>
      <c r="Q16" s="48" t="s">
        <v>228</v>
      </c>
    </row>
    <row r="17" spans="1:17" ht="22.5" x14ac:dyDescent="0.2">
      <c r="A17" s="39" t="s">
        <v>229</v>
      </c>
      <c r="B17" s="40" t="s">
        <v>209</v>
      </c>
      <c r="C17" s="41">
        <v>0</v>
      </c>
      <c r="D17" s="41">
        <v>0</v>
      </c>
      <c r="E17" s="41">
        <v>0</v>
      </c>
      <c r="F17" s="41">
        <v>0</v>
      </c>
      <c r="G17" s="42"/>
      <c r="H17" s="43">
        <f t="shared" si="1"/>
        <v>0</v>
      </c>
      <c r="I17" s="44" t="str">
        <f t="shared" si="0"/>
        <v>kg</v>
      </c>
      <c r="J17" s="45"/>
      <c r="K17" s="46">
        <v>70</v>
      </c>
      <c r="L17" s="40"/>
      <c r="M17" s="44">
        <f t="shared" si="2"/>
        <v>0</v>
      </c>
      <c r="N17" s="40"/>
      <c r="O17" s="40"/>
      <c r="P17" s="47" t="s">
        <v>211</v>
      </c>
      <c r="Q17" s="48" t="s">
        <v>230</v>
      </c>
    </row>
    <row r="18" spans="1:17" ht="22.5" x14ac:dyDescent="0.2">
      <c r="A18" s="39" t="s">
        <v>231</v>
      </c>
      <c r="B18" s="40" t="s">
        <v>209</v>
      </c>
      <c r="C18" s="41">
        <v>0</v>
      </c>
      <c r="D18" s="41">
        <v>0</v>
      </c>
      <c r="E18" s="41">
        <v>0</v>
      </c>
      <c r="F18" s="41">
        <v>0</v>
      </c>
      <c r="G18" s="42"/>
      <c r="H18" s="43">
        <f t="shared" si="1"/>
        <v>0</v>
      </c>
      <c r="I18" s="44" t="str">
        <f t="shared" si="0"/>
        <v>kg</v>
      </c>
      <c r="J18" s="45"/>
      <c r="K18" s="46">
        <v>60</v>
      </c>
      <c r="L18" s="40"/>
      <c r="M18" s="44">
        <f t="shared" si="2"/>
        <v>0</v>
      </c>
      <c r="N18" s="40"/>
      <c r="O18" s="40"/>
      <c r="P18" s="47" t="s">
        <v>211</v>
      </c>
      <c r="Q18" s="48" t="s">
        <v>232</v>
      </c>
    </row>
    <row r="19" spans="1:17" ht="24" x14ac:dyDescent="0.2">
      <c r="A19" s="39" t="s">
        <v>233</v>
      </c>
      <c r="B19" s="40" t="s">
        <v>209</v>
      </c>
      <c r="C19" s="41">
        <v>0</v>
      </c>
      <c r="D19" s="41">
        <v>0</v>
      </c>
      <c r="E19" s="41">
        <v>0</v>
      </c>
      <c r="F19" s="41">
        <v>0</v>
      </c>
      <c r="G19" s="42"/>
      <c r="H19" s="43">
        <f t="shared" si="1"/>
        <v>0</v>
      </c>
      <c r="I19" s="44" t="str">
        <f t="shared" si="0"/>
        <v>kg</v>
      </c>
      <c r="J19" s="45"/>
      <c r="K19" s="46">
        <v>55</v>
      </c>
      <c r="L19" s="40"/>
      <c r="M19" s="44">
        <f t="shared" si="2"/>
        <v>0</v>
      </c>
      <c r="N19" s="40"/>
      <c r="O19" s="40"/>
      <c r="P19" s="47"/>
      <c r="Q19" s="48" t="s">
        <v>234</v>
      </c>
    </row>
    <row r="20" spans="1:17" ht="24" x14ac:dyDescent="0.2">
      <c r="A20" s="49" t="s">
        <v>57</v>
      </c>
      <c r="B20" s="40" t="s">
        <v>209</v>
      </c>
      <c r="C20" s="41">
        <v>0</v>
      </c>
      <c r="D20" s="41">
        <v>5705</v>
      </c>
      <c r="E20" s="41">
        <v>0</v>
      </c>
      <c r="F20" s="41">
        <v>0</v>
      </c>
      <c r="G20" s="42"/>
      <c r="H20" s="43">
        <f t="shared" si="1"/>
        <v>5705</v>
      </c>
      <c r="I20" s="44" t="str">
        <f t="shared" si="0"/>
        <v>kg</v>
      </c>
      <c r="J20" s="45"/>
      <c r="K20" s="46">
        <v>73</v>
      </c>
      <c r="L20" s="40"/>
      <c r="M20" s="44">
        <f t="shared" si="2"/>
        <v>4164.6499999999996</v>
      </c>
      <c r="N20" s="40"/>
      <c r="O20" s="40"/>
      <c r="P20" s="47" t="s">
        <v>211</v>
      </c>
      <c r="Q20" s="48" t="s">
        <v>235</v>
      </c>
    </row>
    <row r="21" spans="1:17" ht="33.75" x14ac:dyDescent="0.2">
      <c r="A21" s="39" t="s">
        <v>236</v>
      </c>
      <c r="B21" s="40" t="s">
        <v>209</v>
      </c>
      <c r="C21" s="41">
        <v>0</v>
      </c>
      <c r="D21" s="41">
        <v>0</v>
      </c>
      <c r="E21" s="41">
        <v>0</v>
      </c>
      <c r="F21" s="41">
        <v>0</v>
      </c>
      <c r="G21" s="42"/>
      <c r="H21" s="43">
        <f t="shared" si="1"/>
        <v>0</v>
      </c>
      <c r="I21" s="44" t="str">
        <f t="shared" si="0"/>
        <v>kg</v>
      </c>
      <c r="J21" s="45"/>
      <c r="K21" s="46">
        <v>61</v>
      </c>
      <c r="L21" s="40"/>
      <c r="M21" s="44">
        <f t="shared" si="2"/>
        <v>0</v>
      </c>
      <c r="N21" s="40"/>
      <c r="O21" s="40"/>
      <c r="P21" s="47"/>
      <c r="Q21" s="48" t="s">
        <v>237</v>
      </c>
    </row>
    <row r="22" spans="1:17" ht="33.75" x14ac:dyDescent="0.2">
      <c r="A22" s="49" t="s">
        <v>238</v>
      </c>
      <c r="B22" s="40" t="s">
        <v>239</v>
      </c>
      <c r="C22" s="41">
        <v>0</v>
      </c>
      <c r="D22" s="41" t="e">
        <f>VLOOKUP(A22,#REF!,3,FALSE)</f>
        <v>#REF!</v>
      </c>
      <c r="E22" s="41">
        <v>0</v>
      </c>
      <c r="F22" s="41">
        <v>0</v>
      </c>
      <c r="G22" s="42"/>
      <c r="H22" s="43" t="e">
        <f t="shared" si="1"/>
        <v>#REF!</v>
      </c>
      <c r="I22" s="44" t="str">
        <f t="shared" si="0"/>
        <v>kg</v>
      </c>
      <c r="J22" s="45"/>
      <c r="K22" s="46">
        <v>99.5</v>
      </c>
      <c r="L22" s="40"/>
      <c r="M22" s="44" t="e">
        <f t="shared" si="2"/>
        <v>#REF!</v>
      </c>
      <c r="N22" s="40"/>
      <c r="O22" s="40"/>
      <c r="P22" s="47"/>
      <c r="Q22" s="48" t="s">
        <v>240</v>
      </c>
    </row>
    <row r="23" spans="1:17" ht="45" x14ac:dyDescent="0.2">
      <c r="A23" s="39" t="s">
        <v>241</v>
      </c>
      <c r="B23" s="40" t="s">
        <v>239</v>
      </c>
      <c r="C23" s="41">
        <v>0</v>
      </c>
      <c r="D23" s="41">
        <v>0</v>
      </c>
      <c r="E23" s="41">
        <v>0</v>
      </c>
      <c r="F23" s="41">
        <v>0</v>
      </c>
      <c r="G23" s="42"/>
      <c r="H23" s="43">
        <f t="shared" si="1"/>
        <v>0</v>
      </c>
      <c r="I23" s="44" t="str">
        <f t="shared" si="0"/>
        <v>kg</v>
      </c>
      <c r="J23" s="45"/>
      <c r="K23" s="46">
        <v>99</v>
      </c>
      <c r="L23" s="40"/>
      <c r="M23" s="44">
        <f t="shared" si="2"/>
        <v>0</v>
      </c>
      <c r="N23" s="40"/>
      <c r="O23" s="40"/>
      <c r="P23" s="47"/>
      <c r="Q23" s="48" t="s">
        <v>242</v>
      </c>
    </row>
    <row r="24" spans="1:17" ht="24" x14ac:dyDescent="0.2">
      <c r="A24" s="39" t="s">
        <v>243</v>
      </c>
      <c r="B24" s="40" t="s">
        <v>239</v>
      </c>
      <c r="C24" s="41">
        <v>0</v>
      </c>
      <c r="D24" s="41">
        <v>0</v>
      </c>
      <c r="E24" s="41">
        <v>0</v>
      </c>
      <c r="F24" s="41">
        <v>0</v>
      </c>
      <c r="G24" s="42"/>
      <c r="H24" s="43">
        <f t="shared" si="1"/>
        <v>0</v>
      </c>
      <c r="I24" s="44" t="str">
        <f t="shared" si="0"/>
        <v>kg</v>
      </c>
      <c r="J24" s="45"/>
      <c r="K24" s="46">
        <v>98.5</v>
      </c>
      <c r="L24" s="40"/>
      <c r="M24" s="44">
        <f t="shared" si="2"/>
        <v>0</v>
      </c>
      <c r="N24" s="40"/>
      <c r="O24" s="40"/>
      <c r="P24" s="47"/>
      <c r="Q24" s="48" t="s">
        <v>244</v>
      </c>
    </row>
    <row r="25" spans="1:17" ht="36" x14ac:dyDescent="0.2">
      <c r="A25" s="39" t="s">
        <v>58</v>
      </c>
      <c r="B25" s="40" t="s">
        <v>245</v>
      </c>
      <c r="C25" s="41">
        <v>0</v>
      </c>
      <c r="D25" s="41">
        <v>0</v>
      </c>
      <c r="E25" s="41">
        <v>0</v>
      </c>
      <c r="F25" s="41">
        <v>0</v>
      </c>
      <c r="G25" s="42"/>
      <c r="H25" s="43">
        <f t="shared" si="1"/>
        <v>0</v>
      </c>
      <c r="I25" s="44" t="str">
        <f t="shared" si="0"/>
        <v>kg</v>
      </c>
      <c r="J25" s="45"/>
      <c r="K25" s="46">
        <v>100</v>
      </c>
      <c r="L25" s="40"/>
      <c r="M25" s="44">
        <f t="shared" si="2"/>
        <v>0</v>
      </c>
      <c r="N25" s="40"/>
      <c r="O25" s="40"/>
      <c r="P25" s="47" t="s">
        <v>211</v>
      </c>
      <c r="Q25" s="48" t="s">
        <v>246</v>
      </c>
    </row>
    <row r="26" spans="1:17" ht="24" x14ac:dyDescent="0.2">
      <c r="A26" s="39" t="s">
        <v>247</v>
      </c>
      <c r="B26" s="40" t="s">
        <v>239</v>
      </c>
      <c r="C26" s="41">
        <v>0</v>
      </c>
      <c r="D26" s="41">
        <v>0</v>
      </c>
      <c r="E26" s="41">
        <v>0</v>
      </c>
      <c r="F26" s="41">
        <v>0</v>
      </c>
      <c r="G26" s="42"/>
      <c r="H26" s="43">
        <f t="shared" si="1"/>
        <v>0</v>
      </c>
      <c r="I26" s="44" t="str">
        <f t="shared" si="0"/>
        <v>kg</v>
      </c>
      <c r="J26" s="45"/>
      <c r="K26" s="40">
        <v>99</v>
      </c>
      <c r="L26" s="40"/>
      <c r="M26" s="44">
        <f t="shared" si="2"/>
        <v>0</v>
      </c>
      <c r="N26" s="40"/>
      <c r="O26" s="40"/>
      <c r="P26" s="47"/>
      <c r="Q26" s="48" t="s">
        <v>248</v>
      </c>
    </row>
    <row r="27" spans="1:17" ht="24" x14ac:dyDescent="0.2">
      <c r="A27" s="39" t="s">
        <v>249</v>
      </c>
      <c r="B27" s="40" t="s">
        <v>209</v>
      </c>
      <c r="C27" s="41">
        <v>0</v>
      </c>
      <c r="D27" s="41">
        <v>0</v>
      </c>
      <c r="E27" s="41">
        <v>0</v>
      </c>
      <c r="F27" s="41">
        <v>0</v>
      </c>
      <c r="G27" s="42"/>
      <c r="H27" s="43">
        <f t="shared" si="1"/>
        <v>0</v>
      </c>
      <c r="I27" s="43" t="str">
        <f t="shared" si="0"/>
        <v>kg</v>
      </c>
      <c r="J27" s="45"/>
      <c r="K27" s="40">
        <v>60</v>
      </c>
      <c r="L27" s="40"/>
      <c r="M27" s="44">
        <f t="shared" si="2"/>
        <v>0</v>
      </c>
      <c r="N27" s="40"/>
      <c r="O27" s="40"/>
      <c r="P27" s="47"/>
      <c r="Q27" s="48" t="s">
        <v>250</v>
      </c>
    </row>
    <row r="28" spans="1:17" ht="24" x14ac:dyDescent="0.2">
      <c r="A28" s="49" t="s">
        <v>59</v>
      </c>
      <c r="B28" s="40" t="s">
        <v>209</v>
      </c>
      <c r="C28" s="41">
        <v>0</v>
      </c>
      <c r="D28" s="41">
        <v>4350</v>
      </c>
      <c r="E28" s="41">
        <v>0</v>
      </c>
      <c r="F28" s="41">
        <v>0</v>
      </c>
      <c r="G28" s="42"/>
      <c r="H28" s="43">
        <f t="shared" si="1"/>
        <v>4350</v>
      </c>
      <c r="I28" s="44" t="str">
        <f t="shared" si="0"/>
        <v>kg</v>
      </c>
      <c r="J28" s="45"/>
      <c r="K28" s="40">
        <v>56</v>
      </c>
      <c r="L28" s="40"/>
      <c r="M28" s="44">
        <f t="shared" si="2"/>
        <v>2436</v>
      </c>
      <c r="N28" s="40"/>
      <c r="O28" s="40"/>
      <c r="P28" s="47" t="s">
        <v>211</v>
      </c>
      <c r="Q28" s="48" t="s">
        <v>251</v>
      </c>
    </row>
    <row r="29" spans="1:17" ht="18" x14ac:dyDescent="0.2">
      <c r="A29" s="39" t="s">
        <v>252</v>
      </c>
      <c r="B29" s="40" t="s">
        <v>209</v>
      </c>
      <c r="C29" s="41">
        <v>0</v>
      </c>
      <c r="D29" s="41">
        <v>0</v>
      </c>
      <c r="E29" s="41">
        <v>0</v>
      </c>
      <c r="F29" s="41">
        <v>0</v>
      </c>
      <c r="G29" s="42"/>
      <c r="H29" s="43">
        <f t="shared" si="1"/>
        <v>0</v>
      </c>
      <c r="I29" s="44" t="str">
        <f t="shared" si="0"/>
        <v>kg</v>
      </c>
      <c r="J29" s="45"/>
      <c r="K29" s="40">
        <v>70</v>
      </c>
      <c r="L29" s="40"/>
      <c r="M29" s="44">
        <f t="shared" si="2"/>
        <v>0</v>
      </c>
      <c r="N29" s="40"/>
      <c r="O29" s="40"/>
      <c r="P29" s="47" t="s">
        <v>211</v>
      </c>
      <c r="Q29" s="48" t="s">
        <v>253</v>
      </c>
    </row>
    <row r="30" spans="1:17" ht="36" x14ac:dyDescent="0.2">
      <c r="A30" s="39" t="s">
        <v>60</v>
      </c>
      <c r="B30" s="40" t="s">
        <v>209</v>
      </c>
      <c r="C30" s="41">
        <v>0</v>
      </c>
      <c r="D30" s="41">
        <v>109300</v>
      </c>
      <c r="E30" s="41">
        <v>0</v>
      </c>
      <c r="F30" s="41">
        <v>0</v>
      </c>
      <c r="G30" s="42"/>
      <c r="H30" s="43">
        <f t="shared" si="1"/>
        <v>109300</v>
      </c>
      <c r="I30" s="44" t="str">
        <f t="shared" si="0"/>
        <v>kg</v>
      </c>
      <c r="J30" s="45"/>
      <c r="K30" s="40">
        <v>60</v>
      </c>
      <c r="L30" s="40"/>
      <c r="M30" s="44">
        <f t="shared" si="2"/>
        <v>65580</v>
      </c>
      <c r="N30" s="40"/>
      <c r="O30" s="40"/>
      <c r="P30" s="47" t="s">
        <v>211</v>
      </c>
      <c r="Q30" s="48" t="s">
        <v>254</v>
      </c>
    </row>
    <row r="31" spans="1:17" ht="24" x14ac:dyDescent="0.2">
      <c r="A31" s="39" t="s">
        <v>255</v>
      </c>
      <c r="B31" s="40" t="s">
        <v>209</v>
      </c>
      <c r="C31" s="41">
        <v>0</v>
      </c>
      <c r="D31" s="41">
        <v>0</v>
      </c>
      <c r="E31" s="41">
        <v>0</v>
      </c>
      <c r="F31" s="41">
        <v>0</v>
      </c>
      <c r="G31" s="42"/>
      <c r="H31" s="43">
        <f t="shared" si="1"/>
        <v>0</v>
      </c>
      <c r="I31" s="44" t="str">
        <f t="shared" si="0"/>
        <v>kg</v>
      </c>
      <c r="J31" s="45"/>
      <c r="K31" s="40">
        <v>55</v>
      </c>
      <c r="L31" s="40"/>
      <c r="M31" s="44">
        <f t="shared" si="2"/>
        <v>0</v>
      </c>
      <c r="N31" s="40"/>
      <c r="O31" s="40"/>
      <c r="P31" s="47"/>
      <c r="Q31" s="48" t="s">
        <v>256</v>
      </c>
    </row>
    <row r="32" spans="1:17" ht="24" x14ac:dyDescent="0.2">
      <c r="A32" s="49" t="s">
        <v>257</v>
      </c>
      <c r="B32" s="40" t="s">
        <v>209</v>
      </c>
      <c r="C32" s="41">
        <v>0</v>
      </c>
      <c r="D32" s="41">
        <v>0</v>
      </c>
      <c r="E32" s="41">
        <v>0</v>
      </c>
      <c r="F32" s="41">
        <v>0</v>
      </c>
      <c r="G32" s="42"/>
      <c r="H32" s="43">
        <f t="shared" si="1"/>
        <v>0</v>
      </c>
      <c r="I32" s="44" t="str">
        <f t="shared" si="0"/>
        <v>kg</v>
      </c>
      <c r="J32" s="45"/>
      <c r="K32" s="40">
        <v>74</v>
      </c>
      <c r="L32" s="40"/>
      <c r="M32" s="44">
        <f t="shared" si="2"/>
        <v>0</v>
      </c>
      <c r="N32" s="40"/>
      <c r="O32" s="40"/>
      <c r="P32" s="47" t="s">
        <v>211</v>
      </c>
      <c r="Q32" s="48" t="s">
        <v>258</v>
      </c>
    </row>
    <row r="33" spans="1:17" ht="24" x14ac:dyDescent="0.2">
      <c r="A33" s="49" t="s">
        <v>61</v>
      </c>
      <c r="B33" s="40" t="s">
        <v>209</v>
      </c>
      <c r="C33" s="41">
        <v>0</v>
      </c>
      <c r="D33" s="41">
        <v>23450</v>
      </c>
      <c r="E33" s="41">
        <v>0</v>
      </c>
      <c r="F33" s="41">
        <v>0</v>
      </c>
      <c r="G33" s="42"/>
      <c r="H33" s="43">
        <f t="shared" si="1"/>
        <v>23450</v>
      </c>
      <c r="I33" s="44" t="str">
        <f t="shared" si="0"/>
        <v>kg</v>
      </c>
      <c r="J33" s="45"/>
      <c r="K33" s="40">
        <v>70</v>
      </c>
      <c r="L33" s="40"/>
      <c r="M33" s="44">
        <f t="shared" si="2"/>
        <v>16415</v>
      </c>
      <c r="N33" s="40"/>
      <c r="O33" s="40"/>
      <c r="P33" s="47" t="s">
        <v>211</v>
      </c>
      <c r="Q33" s="48" t="s">
        <v>259</v>
      </c>
    </row>
    <row r="34" spans="1:17" ht="24" x14ac:dyDescent="0.2">
      <c r="A34" s="39" t="s">
        <v>260</v>
      </c>
      <c r="B34" s="40" t="s">
        <v>209</v>
      </c>
      <c r="C34" s="41">
        <v>0</v>
      </c>
      <c r="D34" s="41">
        <v>0</v>
      </c>
      <c r="E34" s="41">
        <v>0</v>
      </c>
      <c r="F34" s="41">
        <v>0</v>
      </c>
      <c r="G34" s="42"/>
      <c r="H34" s="43">
        <f t="shared" si="1"/>
        <v>0</v>
      </c>
      <c r="I34" s="44" t="str">
        <f t="shared" si="0"/>
        <v>kg</v>
      </c>
      <c r="J34" s="45"/>
      <c r="K34" s="40">
        <v>61</v>
      </c>
      <c r="L34" s="40"/>
      <c r="M34" s="44">
        <f t="shared" si="2"/>
        <v>0</v>
      </c>
      <c r="N34" s="40"/>
      <c r="O34" s="40"/>
      <c r="P34" s="47"/>
      <c r="Q34" s="48" t="s">
        <v>261</v>
      </c>
    </row>
    <row r="35" spans="1:17" ht="33.75" x14ac:dyDescent="0.2">
      <c r="A35" s="39" t="s">
        <v>262</v>
      </c>
      <c r="B35" s="40" t="s">
        <v>209</v>
      </c>
      <c r="C35" s="41">
        <v>0</v>
      </c>
      <c r="D35" s="41">
        <v>77050</v>
      </c>
      <c r="E35" s="41">
        <v>0</v>
      </c>
      <c r="F35" s="41">
        <v>0</v>
      </c>
      <c r="G35" s="42"/>
      <c r="H35" s="43">
        <f t="shared" si="1"/>
        <v>77050</v>
      </c>
      <c r="I35" s="44" t="str">
        <f t="shared" si="0"/>
        <v>kg</v>
      </c>
      <c r="J35" s="45"/>
      <c r="K35" s="40">
        <v>73</v>
      </c>
      <c r="L35" s="40"/>
      <c r="M35" s="44">
        <f t="shared" si="2"/>
        <v>56246.5</v>
      </c>
      <c r="N35" s="40"/>
      <c r="O35" s="40"/>
      <c r="P35" s="47" t="s">
        <v>211</v>
      </c>
      <c r="Q35" s="48" t="s">
        <v>263</v>
      </c>
    </row>
    <row r="36" spans="1:17" ht="22.5" x14ac:dyDescent="0.2">
      <c r="A36" s="39" t="s">
        <v>264</v>
      </c>
      <c r="B36" s="40" t="s">
        <v>209</v>
      </c>
      <c r="C36" s="41">
        <v>0</v>
      </c>
      <c r="D36" s="41">
        <v>0</v>
      </c>
      <c r="E36" s="41">
        <v>0</v>
      </c>
      <c r="F36" s="41">
        <v>0</v>
      </c>
      <c r="G36" s="42"/>
      <c r="H36" s="43">
        <f t="shared" si="1"/>
        <v>0</v>
      </c>
      <c r="I36" s="44" t="str">
        <f t="shared" si="0"/>
        <v>kg</v>
      </c>
      <c r="J36" s="45"/>
      <c r="K36" s="40">
        <v>70</v>
      </c>
      <c r="L36" s="40"/>
      <c r="M36" s="44">
        <f t="shared" si="2"/>
        <v>0</v>
      </c>
      <c r="N36" s="40"/>
      <c r="O36" s="40"/>
      <c r="P36" s="47"/>
      <c r="Q36" s="48" t="s">
        <v>265</v>
      </c>
    </row>
    <row r="37" spans="1:17" ht="24" x14ac:dyDescent="0.2">
      <c r="A37" s="39" t="s">
        <v>62</v>
      </c>
      <c r="B37" s="40" t="s">
        <v>209</v>
      </c>
      <c r="C37" s="41">
        <v>0</v>
      </c>
      <c r="D37" s="41">
        <v>1730</v>
      </c>
      <c r="E37" s="41">
        <v>0</v>
      </c>
      <c r="F37" s="41">
        <v>0</v>
      </c>
      <c r="G37" s="42"/>
      <c r="H37" s="43">
        <f t="shared" si="1"/>
        <v>1730</v>
      </c>
      <c r="I37" s="44" t="str">
        <f t="shared" si="0"/>
        <v>kg</v>
      </c>
      <c r="J37" s="45"/>
      <c r="K37" s="40">
        <v>75</v>
      </c>
      <c r="L37" s="40"/>
      <c r="M37" s="44">
        <f t="shared" si="2"/>
        <v>1297.5</v>
      </c>
      <c r="N37" s="40"/>
      <c r="O37" s="40"/>
      <c r="P37" s="47" t="s">
        <v>211</v>
      </c>
      <c r="Q37" s="48" t="s">
        <v>266</v>
      </c>
    </row>
    <row r="38" spans="1:17" ht="22.5" x14ac:dyDescent="0.2">
      <c r="A38" s="39" t="s">
        <v>267</v>
      </c>
      <c r="B38" s="40" t="s">
        <v>209</v>
      </c>
      <c r="C38" s="41">
        <v>0</v>
      </c>
      <c r="D38" s="41">
        <v>0</v>
      </c>
      <c r="E38" s="41">
        <v>0</v>
      </c>
      <c r="F38" s="41">
        <v>0</v>
      </c>
      <c r="G38" s="42"/>
      <c r="H38" s="43">
        <f t="shared" si="1"/>
        <v>0</v>
      </c>
      <c r="I38" s="44" t="str">
        <f t="shared" si="0"/>
        <v>kg</v>
      </c>
      <c r="J38" s="45"/>
      <c r="K38" s="40">
        <v>67</v>
      </c>
      <c r="L38" s="40"/>
      <c r="M38" s="44">
        <f t="shared" si="2"/>
        <v>0</v>
      </c>
      <c r="N38" s="40"/>
      <c r="O38" s="40"/>
      <c r="P38" s="47"/>
      <c r="Q38" s="48" t="s">
        <v>268</v>
      </c>
    </row>
    <row r="39" spans="1:17" ht="22.5" x14ac:dyDescent="0.2">
      <c r="A39" s="39" t="s">
        <v>269</v>
      </c>
      <c r="B39" s="40" t="s">
        <v>209</v>
      </c>
      <c r="C39" s="41">
        <v>0</v>
      </c>
      <c r="D39" s="41">
        <v>0</v>
      </c>
      <c r="E39" s="41">
        <v>0</v>
      </c>
      <c r="F39" s="41">
        <v>0</v>
      </c>
      <c r="G39" s="42"/>
      <c r="H39" s="43">
        <f t="shared" si="1"/>
        <v>0</v>
      </c>
      <c r="I39" s="44" t="str">
        <f t="shared" si="0"/>
        <v>kg</v>
      </c>
      <c r="J39" s="45"/>
      <c r="K39" s="40">
        <v>85</v>
      </c>
      <c r="L39" s="40"/>
      <c r="M39" s="44">
        <f t="shared" si="2"/>
        <v>0</v>
      </c>
      <c r="N39" s="40"/>
      <c r="O39" s="40"/>
      <c r="P39" s="47" t="s">
        <v>211</v>
      </c>
      <c r="Q39" s="48" t="s">
        <v>270</v>
      </c>
    </row>
    <row r="40" spans="1:17" ht="24" x14ac:dyDescent="0.2">
      <c r="A40" s="39" t="s">
        <v>63</v>
      </c>
      <c r="B40" s="40" t="s">
        <v>209</v>
      </c>
      <c r="C40" s="41">
        <v>0</v>
      </c>
      <c r="D40" s="41">
        <v>0</v>
      </c>
      <c r="E40" s="41">
        <v>0</v>
      </c>
      <c r="F40" s="41">
        <v>0</v>
      </c>
      <c r="G40" s="42"/>
      <c r="H40" s="43">
        <f t="shared" si="1"/>
        <v>0</v>
      </c>
      <c r="I40" s="44" t="str">
        <f t="shared" si="0"/>
        <v>kg</v>
      </c>
      <c r="J40" s="45"/>
      <c r="K40" s="40">
        <v>66</v>
      </c>
      <c r="L40" s="40"/>
      <c r="M40" s="44">
        <f t="shared" si="2"/>
        <v>0</v>
      </c>
      <c r="N40" s="40"/>
      <c r="O40" s="40"/>
      <c r="P40" s="47"/>
      <c r="Q40" s="48" t="s">
        <v>271</v>
      </c>
    </row>
    <row r="41" spans="1:17" ht="24" x14ac:dyDescent="0.2">
      <c r="A41" s="39" t="s">
        <v>272</v>
      </c>
      <c r="B41" s="40" t="s">
        <v>209</v>
      </c>
      <c r="C41" s="41">
        <v>0</v>
      </c>
      <c r="D41" s="41">
        <v>0</v>
      </c>
      <c r="E41" s="41">
        <v>0</v>
      </c>
      <c r="F41" s="41">
        <v>0</v>
      </c>
      <c r="G41" s="42"/>
      <c r="H41" s="43">
        <f t="shared" si="1"/>
        <v>0</v>
      </c>
      <c r="I41" s="44" t="str">
        <f>IF(G41="","kg","l")</f>
        <v>kg</v>
      </c>
      <c r="J41" s="45"/>
      <c r="K41" s="40">
        <v>63</v>
      </c>
      <c r="L41" s="40"/>
      <c r="M41" s="44">
        <f t="shared" si="2"/>
        <v>0</v>
      </c>
      <c r="N41" s="40"/>
      <c r="O41" s="40"/>
      <c r="P41" s="47"/>
      <c r="Q41" s="48" t="s">
        <v>273</v>
      </c>
    </row>
    <row r="42" spans="1:17" ht="33.75" x14ac:dyDescent="0.2">
      <c r="A42" s="39" t="s">
        <v>274</v>
      </c>
      <c r="B42" s="40" t="s">
        <v>209</v>
      </c>
      <c r="C42" s="41">
        <v>0</v>
      </c>
      <c r="D42" s="41">
        <v>0</v>
      </c>
      <c r="E42" s="41">
        <v>0</v>
      </c>
      <c r="F42" s="41">
        <v>0</v>
      </c>
      <c r="G42" s="42"/>
      <c r="H42" s="43">
        <f t="shared" si="1"/>
        <v>0</v>
      </c>
      <c r="I42" s="44" t="str">
        <f>IF(G42="","kg","l")</f>
        <v>kg</v>
      </c>
      <c r="J42" s="45"/>
      <c r="K42" s="40">
        <v>68</v>
      </c>
      <c r="L42" s="40"/>
      <c r="M42" s="44">
        <f t="shared" si="2"/>
        <v>0</v>
      </c>
      <c r="N42" s="40"/>
      <c r="O42" s="40"/>
      <c r="P42" s="47"/>
      <c r="Q42" s="48" t="s">
        <v>275</v>
      </c>
    </row>
    <row r="43" spans="1:17" ht="33.75" x14ac:dyDescent="0.2">
      <c r="A43" s="39" t="s">
        <v>276</v>
      </c>
      <c r="B43" s="40" t="s">
        <v>209</v>
      </c>
      <c r="C43" s="41">
        <v>0</v>
      </c>
      <c r="D43" s="41">
        <v>0</v>
      </c>
      <c r="E43" s="41">
        <v>0</v>
      </c>
      <c r="F43" s="41">
        <v>0</v>
      </c>
      <c r="G43" s="42"/>
      <c r="H43" s="43">
        <f t="shared" si="1"/>
        <v>0</v>
      </c>
      <c r="I43" s="44" t="str">
        <f t="shared" si="0"/>
        <v>kg</v>
      </c>
      <c r="J43" s="45"/>
      <c r="K43" s="40">
        <v>62</v>
      </c>
      <c r="L43" s="40"/>
      <c r="M43" s="44">
        <f t="shared" si="2"/>
        <v>0</v>
      </c>
      <c r="N43" s="40"/>
      <c r="O43" s="40"/>
      <c r="P43" s="47" t="s">
        <v>211</v>
      </c>
      <c r="Q43" s="48" t="s">
        <v>277</v>
      </c>
    </row>
    <row r="44" spans="1:17" ht="18" x14ac:dyDescent="0.2">
      <c r="A44" s="39" t="s">
        <v>278</v>
      </c>
      <c r="B44" s="40" t="s">
        <v>209</v>
      </c>
      <c r="C44" s="41">
        <v>0</v>
      </c>
      <c r="D44" s="41">
        <v>0</v>
      </c>
      <c r="E44" s="41">
        <v>0</v>
      </c>
      <c r="F44" s="41">
        <v>0</v>
      </c>
      <c r="G44" s="42"/>
      <c r="H44" s="43">
        <f t="shared" si="1"/>
        <v>0</v>
      </c>
      <c r="I44" s="44" t="str">
        <f t="shared" si="0"/>
        <v>kg</v>
      </c>
      <c r="J44" s="45"/>
      <c r="K44" s="40">
        <v>60</v>
      </c>
      <c r="L44" s="40"/>
      <c r="M44" s="44">
        <f t="shared" si="2"/>
        <v>0</v>
      </c>
      <c r="N44" s="40"/>
      <c r="O44" s="40"/>
      <c r="P44" s="47"/>
      <c r="Q44" s="48" t="s">
        <v>279</v>
      </c>
    </row>
    <row r="45" spans="1:17" ht="24" x14ac:dyDescent="0.2">
      <c r="A45" s="39" t="s">
        <v>280</v>
      </c>
      <c r="B45" s="40" t="s">
        <v>209</v>
      </c>
      <c r="C45" s="41">
        <v>0</v>
      </c>
      <c r="D45" s="41">
        <v>0</v>
      </c>
      <c r="E45" s="41">
        <v>0</v>
      </c>
      <c r="F45" s="41">
        <v>0</v>
      </c>
      <c r="G45" s="42"/>
      <c r="H45" s="43">
        <f t="shared" si="1"/>
        <v>0</v>
      </c>
      <c r="I45" s="44" t="str">
        <f>IF(G45="","kg","l")</f>
        <v>kg</v>
      </c>
      <c r="J45" s="45"/>
      <c r="K45" s="40">
        <v>70</v>
      </c>
      <c r="L45" s="40"/>
      <c r="M45" s="44">
        <f t="shared" si="2"/>
        <v>0</v>
      </c>
      <c r="N45" s="40"/>
      <c r="O45" s="40"/>
      <c r="P45" s="47"/>
      <c r="Q45" s="48"/>
    </row>
    <row r="46" spans="1:17" ht="18" x14ac:dyDescent="0.2">
      <c r="A46" s="39" t="s">
        <v>281</v>
      </c>
      <c r="B46" s="40" t="s">
        <v>209</v>
      </c>
      <c r="C46" s="41">
        <v>0</v>
      </c>
      <c r="D46" s="41">
        <v>0</v>
      </c>
      <c r="E46" s="41">
        <v>0</v>
      </c>
      <c r="F46" s="41">
        <v>0</v>
      </c>
      <c r="G46" s="42"/>
      <c r="H46" s="43">
        <f t="shared" si="1"/>
        <v>0</v>
      </c>
      <c r="I46" s="44" t="str">
        <f>IF(G46="","kg","l")</f>
        <v>kg</v>
      </c>
      <c r="J46" s="45"/>
      <c r="K46" s="40">
        <v>70</v>
      </c>
      <c r="L46" s="40"/>
      <c r="M46" s="44">
        <f t="shared" si="2"/>
        <v>0</v>
      </c>
      <c r="N46" s="40"/>
      <c r="O46" s="40"/>
      <c r="P46" s="47"/>
      <c r="Q46" s="48"/>
    </row>
    <row r="47" spans="1:17" ht="24" x14ac:dyDescent="0.2">
      <c r="A47" s="39" t="s">
        <v>64</v>
      </c>
      <c r="B47" s="40" t="s">
        <v>209</v>
      </c>
      <c r="C47" s="41">
        <v>0</v>
      </c>
      <c r="D47" s="41">
        <v>0</v>
      </c>
      <c r="E47" s="41">
        <v>0</v>
      </c>
      <c r="F47" s="41">
        <v>0</v>
      </c>
      <c r="G47" s="42"/>
      <c r="H47" s="43">
        <f t="shared" si="1"/>
        <v>0</v>
      </c>
      <c r="I47" s="44" t="str">
        <f>IF(G47="","kg","l")</f>
        <v>kg</v>
      </c>
      <c r="J47" s="45"/>
      <c r="K47" s="40">
        <v>65</v>
      </c>
      <c r="L47" s="40"/>
      <c r="M47" s="44">
        <f t="shared" si="2"/>
        <v>0</v>
      </c>
      <c r="N47" s="40"/>
      <c r="O47" s="40"/>
      <c r="P47" s="47"/>
      <c r="Q47" s="48" t="s">
        <v>282</v>
      </c>
    </row>
    <row r="48" spans="1:17" ht="48" x14ac:dyDescent="0.2">
      <c r="A48" s="49" t="s">
        <v>65</v>
      </c>
      <c r="B48" s="40" t="s">
        <v>209</v>
      </c>
      <c r="C48" s="41">
        <v>0</v>
      </c>
      <c r="D48" s="41">
        <v>210</v>
      </c>
      <c r="E48" s="41">
        <v>0</v>
      </c>
      <c r="F48" s="41">
        <v>0</v>
      </c>
      <c r="G48" s="42" t="s">
        <v>283</v>
      </c>
      <c r="H48" s="43">
        <f t="shared" si="1"/>
        <v>210</v>
      </c>
      <c r="I48" s="44" t="s">
        <v>284</v>
      </c>
      <c r="J48" s="45"/>
      <c r="K48" s="40">
        <v>75</v>
      </c>
      <c r="L48" s="40"/>
      <c r="M48" s="44">
        <f t="shared" si="2"/>
        <v>157.5</v>
      </c>
      <c r="N48" s="40"/>
      <c r="O48" s="40"/>
      <c r="P48" s="47"/>
      <c r="Q48" s="48" t="s">
        <v>285</v>
      </c>
    </row>
    <row r="49" spans="1:17" ht="24" x14ac:dyDescent="0.2">
      <c r="A49" s="49" t="s">
        <v>66</v>
      </c>
      <c r="B49" s="40" t="s">
        <v>209</v>
      </c>
      <c r="C49" s="41">
        <v>0</v>
      </c>
      <c r="D49" s="41">
        <v>0</v>
      </c>
      <c r="E49" s="41">
        <v>0</v>
      </c>
      <c r="F49" s="41">
        <v>0</v>
      </c>
      <c r="G49" s="42"/>
      <c r="H49" s="43">
        <f t="shared" si="1"/>
        <v>0</v>
      </c>
      <c r="I49" s="44" t="s">
        <v>284</v>
      </c>
      <c r="J49" s="45"/>
      <c r="K49" s="40">
        <v>59</v>
      </c>
      <c r="L49" s="40"/>
      <c r="M49" s="44">
        <f t="shared" si="2"/>
        <v>0</v>
      </c>
      <c r="N49" s="40"/>
      <c r="O49" s="40"/>
      <c r="P49" s="47" t="s">
        <v>211</v>
      </c>
      <c r="Q49" s="48" t="s">
        <v>286</v>
      </c>
    </row>
    <row r="50" spans="1:17" ht="24" x14ac:dyDescent="0.2">
      <c r="A50" s="39" t="s">
        <v>287</v>
      </c>
      <c r="B50" s="40" t="s">
        <v>209</v>
      </c>
      <c r="C50" s="41">
        <v>0</v>
      </c>
      <c r="D50" s="41">
        <v>0</v>
      </c>
      <c r="E50" s="41">
        <v>0</v>
      </c>
      <c r="F50" s="41">
        <v>0</v>
      </c>
      <c r="G50" s="42"/>
      <c r="H50" s="43">
        <f t="shared" si="1"/>
        <v>0</v>
      </c>
      <c r="I50" s="44" t="s">
        <v>284</v>
      </c>
      <c r="J50" s="45"/>
      <c r="K50" s="40">
        <v>70</v>
      </c>
      <c r="L50" s="40"/>
      <c r="M50" s="44">
        <f t="shared" si="2"/>
        <v>0</v>
      </c>
      <c r="N50" s="40"/>
      <c r="O50" s="40"/>
      <c r="P50" s="47"/>
      <c r="Q50" s="48"/>
    </row>
    <row r="51" spans="1:17" ht="24" x14ac:dyDescent="0.2">
      <c r="A51" s="39" t="s">
        <v>67</v>
      </c>
      <c r="B51" s="40" t="s">
        <v>209</v>
      </c>
      <c r="C51" s="41">
        <v>0</v>
      </c>
      <c r="D51" s="41">
        <v>28400</v>
      </c>
      <c r="E51" s="41">
        <v>0</v>
      </c>
      <c r="F51" s="41">
        <v>0</v>
      </c>
      <c r="G51" s="42"/>
      <c r="H51" s="43">
        <f t="shared" si="1"/>
        <v>28400</v>
      </c>
      <c r="I51" s="44" t="s">
        <v>284</v>
      </c>
      <c r="J51" s="45"/>
      <c r="K51" s="40">
        <v>64</v>
      </c>
      <c r="L51" s="40"/>
      <c r="M51" s="44">
        <f t="shared" si="2"/>
        <v>18176</v>
      </c>
      <c r="N51" s="40"/>
      <c r="O51" s="40"/>
      <c r="P51" s="47"/>
      <c r="Q51" s="48" t="s">
        <v>288</v>
      </c>
    </row>
    <row r="52" spans="1:17" ht="18" x14ac:dyDescent="0.2">
      <c r="A52" s="39" t="s">
        <v>289</v>
      </c>
      <c r="B52" s="40" t="s">
        <v>209</v>
      </c>
      <c r="C52" s="41">
        <v>0</v>
      </c>
      <c r="D52" s="41">
        <v>0</v>
      </c>
      <c r="E52" s="41">
        <v>0</v>
      </c>
      <c r="F52" s="41">
        <v>0</v>
      </c>
      <c r="G52" s="42"/>
      <c r="H52" s="43">
        <f t="shared" si="1"/>
        <v>0</v>
      </c>
      <c r="I52" s="44" t="s">
        <v>284</v>
      </c>
      <c r="J52" s="45"/>
      <c r="K52" s="40">
        <v>66</v>
      </c>
      <c r="L52" s="40"/>
      <c r="M52" s="44">
        <f t="shared" si="2"/>
        <v>0</v>
      </c>
      <c r="N52" s="40"/>
      <c r="O52" s="40"/>
      <c r="P52" s="47"/>
      <c r="Q52" s="48"/>
    </row>
    <row r="53" spans="1:17" ht="24" x14ac:dyDescent="0.2">
      <c r="A53" s="39" t="s">
        <v>290</v>
      </c>
      <c r="B53" s="40" t="s">
        <v>209</v>
      </c>
      <c r="C53" s="41">
        <v>0</v>
      </c>
      <c r="D53" s="41">
        <v>0</v>
      </c>
      <c r="E53" s="41">
        <v>0</v>
      </c>
      <c r="F53" s="41">
        <v>0</v>
      </c>
      <c r="G53" s="42"/>
      <c r="H53" s="43">
        <f t="shared" si="1"/>
        <v>0</v>
      </c>
      <c r="I53" s="44" t="s">
        <v>284</v>
      </c>
      <c r="J53" s="45"/>
      <c r="K53" s="40">
        <v>62</v>
      </c>
      <c r="L53" s="40"/>
      <c r="M53" s="44">
        <f t="shared" si="2"/>
        <v>0</v>
      </c>
      <c r="N53" s="40"/>
      <c r="O53" s="40"/>
      <c r="P53" s="47"/>
      <c r="Q53" s="48"/>
    </row>
    <row r="54" spans="1:17" ht="18" x14ac:dyDescent="0.2">
      <c r="A54" s="39" t="s">
        <v>291</v>
      </c>
      <c r="B54" s="40" t="s">
        <v>209</v>
      </c>
      <c r="C54" s="41">
        <v>0</v>
      </c>
      <c r="D54" s="41">
        <v>0</v>
      </c>
      <c r="E54" s="41">
        <v>0</v>
      </c>
      <c r="F54" s="41">
        <v>0</v>
      </c>
      <c r="G54" s="42"/>
      <c r="H54" s="43">
        <f t="shared" si="1"/>
        <v>0</v>
      </c>
      <c r="I54" s="44" t="s">
        <v>284</v>
      </c>
      <c r="J54" s="45"/>
      <c r="K54" s="40">
        <v>70</v>
      </c>
      <c r="L54" s="40"/>
      <c r="M54" s="44">
        <f t="shared" si="2"/>
        <v>0</v>
      </c>
      <c r="N54" s="40"/>
      <c r="O54" s="40"/>
      <c r="P54" s="47"/>
      <c r="Q54" s="48"/>
    </row>
    <row r="55" spans="1:17" ht="18" x14ac:dyDescent="0.2">
      <c r="A55" s="39" t="s">
        <v>292</v>
      </c>
      <c r="B55" s="40" t="s">
        <v>209</v>
      </c>
      <c r="C55" s="41">
        <v>0</v>
      </c>
      <c r="D55" s="41">
        <v>0</v>
      </c>
      <c r="E55" s="41">
        <v>0</v>
      </c>
      <c r="F55" s="41">
        <v>0</v>
      </c>
      <c r="G55" s="42"/>
      <c r="H55" s="43">
        <f t="shared" si="1"/>
        <v>0</v>
      </c>
      <c r="I55" s="44" t="s">
        <v>284</v>
      </c>
      <c r="J55" s="45"/>
      <c r="K55" s="40">
        <v>65</v>
      </c>
      <c r="L55" s="40"/>
      <c r="M55" s="44">
        <f t="shared" si="2"/>
        <v>0</v>
      </c>
      <c r="N55" s="40"/>
      <c r="O55" s="40"/>
      <c r="P55" s="47"/>
      <c r="Q55" s="48"/>
    </row>
    <row r="56" spans="1:17" ht="18" x14ac:dyDescent="0.2">
      <c r="A56" s="39" t="s">
        <v>293</v>
      </c>
      <c r="B56" s="40" t="s">
        <v>209</v>
      </c>
      <c r="C56" s="41">
        <v>0</v>
      </c>
      <c r="D56" s="41">
        <v>0</v>
      </c>
      <c r="E56" s="41">
        <v>0</v>
      </c>
      <c r="F56" s="41">
        <v>0</v>
      </c>
      <c r="G56" s="42"/>
      <c r="H56" s="43">
        <f t="shared" si="1"/>
        <v>0</v>
      </c>
      <c r="I56" s="44" t="s">
        <v>284</v>
      </c>
      <c r="J56" s="45"/>
      <c r="K56" s="40">
        <v>87</v>
      </c>
      <c r="L56" s="40"/>
      <c r="M56" s="44">
        <f t="shared" si="2"/>
        <v>0</v>
      </c>
      <c r="N56" s="40"/>
      <c r="O56" s="40"/>
      <c r="P56" s="47"/>
      <c r="Q56" s="48"/>
    </row>
    <row r="57" spans="1:17" ht="24" x14ac:dyDescent="0.2">
      <c r="A57" s="49" t="s">
        <v>68</v>
      </c>
      <c r="B57" s="40" t="s">
        <v>209</v>
      </c>
      <c r="C57" s="41">
        <v>0</v>
      </c>
      <c r="D57" s="41">
        <v>74000</v>
      </c>
      <c r="E57" s="41">
        <v>0</v>
      </c>
      <c r="F57" s="41">
        <v>0</v>
      </c>
      <c r="G57" s="42"/>
      <c r="H57" s="43">
        <f t="shared" si="1"/>
        <v>74000</v>
      </c>
      <c r="I57" s="44" t="s">
        <v>284</v>
      </c>
      <c r="J57" s="45"/>
      <c r="K57" s="40">
        <v>70</v>
      </c>
      <c r="L57" s="40"/>
      <c r="M57" s="44">
        <f t="shared" si="2"/>
        <v>51800</v>
      </c>
      <c r="N57" s="40"/>
      <c r="O57" s="40"/>
      <c r="P57" s="47" t="s">
        <v>211</v>
      </c>
      <c r="Q57" s="48" t="s">
        <v>294</v>
      </c>
    </row>
    <row r="58" spans="1:17" ht="24" x14ac:dyDescent="0.2">
      <c r="A58" s="49" t="s">
        <v>69</v>
      </c>
      <c r="B58" s="40" t="s">
        <v>209</v>
      </c>
      <c r="C58" s="41">
        <v>0</v>
      </c>
      <c r="D58" s="41">
        <v>0</v>
      </c>
      <c r="E58" s="41">
        <v>0</v>
      </c>
      <c r="F58" s="41">
        <v>0</v>
      </c>
      <c r="G58" s="42"/>
      <c r="H58" s="43">
        <v>48500</v>
      </c>
      <c r="I58" s="44" t="s">
        <v>284</v>
      </c>
      <c r="J58" s="45"/>
      <c r="K58" s="40">
        <v>64</v>
      </c>
      <c r="L58" s="40"/>
      <c r="M58" s="44">
        <f t="shared" si="2"/>
        <v>31040</v>
      </c>
      <c r="N58" s="40"/>
      <c r="O58" s="40"/>
      <c r="P58" s="47" t="s">
        <v>211</v>
      </c>
      <c r="Q58" s="48" t="s">
        <v>295</v>
      </c>
    </row>
    <row r="59" spans="1:17" ht="24" x14ac:dyDescent="0.2">
      <c r="A59" s="39" t="s">
        <v>296</v>
      </c>
      <c r="B59" s="40" t="s">
        <v>209</v>
      </c>
      <c r="C59" s="41">
        <v>0</v>
      </c>
      <c r="D59" s="41">
        <v>0</v>
      </c>
      <c r="E59" s="41">
        <v>0</v>
      </c>
      <c r="F59" s="41">
        <v>0</v>
      </c>
      <c r="G59" s="42"/>
      <c r="H59" s="43">
        <f t="shared" si="1"/>
        <v>0</v>
      </c>
      <c r="I59" s="44" t="s">
        <v>284</v>
      </c>
      <c r="J59" s="45"/>
      <c r="K59" s="40">
        <v>73</v>
      </c>
      <c r="L59" s="40"/>
      <c r="M59" s="44">
        <f t="shared" si="2"/>
        <v>0</v>
      </c>
      <c r="N59" s="40"/>
      <c r="O59" s="40"/>
      <c r="P59" s="47" t="s">
        <v>297</v>
      </c>
      <c r="Q59" s="48" t="s">
        <v>298</v>
      </c>
    </row>
    <row r="60" spans="1:17" ht="45" x14ac:dyDescent="0.2">
      <c r="A60" s="39" t="s">
        <v>299</v>
      </c>
      <c r="B60" s="40" t="s">
        <v>209</v>
      </c>
      <c r="C60" s="41">
        <v>0</v>
      </c>
      <c r="D60" s="41">
        <v>0</v>
      </c>
      <c r="E60" s="41">
        <v>0</v>
      </c>
      <c r="F60" s="41">
        <v>0</v>
      </c>
      <c r="G60" s="42"/>
      <c r="H60" s="43">
        <f t="shared" si="1"/>
        <v>0</v>
      </c>
      <c r="I60" s="44" t="s">
        <v>284</v>
      </c>
      <c r="J60" s="45"/>
      <c r="K60" s="40">
        <v>62</v>
      </c>
      <c r="L60" s="40"/>
      <c r="M60" s="44">
        <f t="shared" si="2"/>
        <v>0</v>
      </c>
      <c r="N60" s="40"/>
      <c r="O60" s="40"/>
      <c r="P60" s="47"/>
      <c r="Q60" s="48" t="s">
        <v>300</v>
      </c>
    </row>
    <row r="61" spans="1:17" ht="24" x14ac:dyDescent="0.2">
      <c r="A61" s="39" t="s">
        <v>301</v>
      </c>
      <c r="B61" s="40" t="s">
        <v>209</v>
      </c>
      <c r="C61" s="41">
        <v>0</v>
      </c>
      <c r="D61" s="41">
        <v>0</v>
      </c>
      <c r="E61" s="41">
        <v>0</v>
      </c>
      <c r="F61" s="41">
        <v>0</v>
      </c>
      <c r="G61" s="42"/>
      <c r="H61" s="43">
        <f t="shared" si="1"/>
        <v>0</v>
      </c>
      <c r="I61" s="44" t="s">
        <v>284</v>
      </c>
      <c r="J61" s="45"/>
      <c r="K61" s="40">
        <v>60</v>
      </c>
      <c r="L61" s="40"/>
      <c r="M61" s="44">
        <f t="shared" si="2"/>
        <v>0</v>
      </c>
      <c r="N61" s="40"/>
      <c r="O61" s="40"/>
      <c r="P61" s="47"/>
      <c r="Q61" s="48" t="s">
        <v>302</v>
      </c>
    </row>
    <row r="62" spans="1:17" ht="33.75" x14ac:dyDescent="0.2">
      <c r="A62" s="39" t="s">
        <v>303</v>
      </c>
      <c r="B62" s="40" t="s">
        <v>209</v>
      </c>
      <c r="C62" s="41">
        <v>0</v>
      </c>
      <c r="D62" s="41">
        <v>0</v>
      </c>
      <c r="E62" s="41">
        <v>0</v>
      </c>
      <c r="F62" s="41">
        <v>0</v>
      </c>
      <c r="G62" s="42"/>
      <c r="H62" s="43">
        <f t="shared" si="1"/>
        <v>0</v>
      </c>
      <c r="I62" s="44" t="s">
        <v>284</v>
      </c>
      <c r="J62" s="45"/>
      <c r="K62" s="40">
        <v>58</v>
      </c>
      <c r="L62" s="40"/>
      <c r="M62" s="44">
        <f t="shared" si="2"/>
        <v>0</v>
      </c>
      <c r="N62" s="40"/>
      <c r="O62" s="40"/>
      <c r="P62" s="47"/>
      <c r="Q62" s="48" t="s">
        <v>304</v>
      </c>
    </row>
    <row r="63" spans="1:17" ht="22.5" x14ac:dyDescent="0.2">
      <c r="A63" s="39" t="s">
        <v>305</v>
      </c>
      <c r="B63" s="40" t="s">
        <v>209</v>
      </c>
      <c r="C63" s="41">
        <v>0</v>
      </c>
      <c r="D63" s="41">
        <v>0</v>
      </c>
      <c r="E63" s="41">
        <v>0</v>
      </c>
      <c r="F63" s="41">
        <v>0</v>
      </c>
      <c r="G63" s="42"/>
      <c r="H63" s="43">
        <f t="shared" si="1"/>
        <v>0</v>
      </c>
      <c r="I63" s="44" t="s">
        <v>284</v>
      </c>
      <c r="J63" s="45"/>
      <c r="K63" s="40">
        <v>60</v>
      </c>
      <c r="L63" s="40"/>
      <c r="M63" s="44">
        <f t="shared" si="2"/>
        <v>0</v>
      </c>
      <c r="N63" s="40"/>
      <c r="O63" s="40"/>
      <c r="P63" s="47"/>
      <c r="Q63" s="48" t="s">
        <v>306</v>
      </c>
    </row>
    <row r="64" spans="1:17" ht="24" x14ac:dyDescent="0.2">
      <c r="A64" s="39" t="s">
        <v>70</v>
      </c>
      <c r="B64" s="40" t="s">
        <v>209</v>
      </c>
      <c r="C64" s="41">
        <v>0</v>
      </c>
      <c r="D64" s="41">
        <v>0</v>
      </c>
      <c r="E64" s="41">
        <v>0</v>
      </c>
      <c r="F64" s="41">
        <v>0</v>
      </c>
      <c r="G64" s="42"/>
      <c r="H64" s="43">
        <f t="shared" si="1"/>
        <v>0</v>
      </c>
      <c r="I64" s="44" t="s">
        <v>284</v>
      </c>
      <c r="J64" s="45"/>
      <c r="K64" s="40">
        <v>75</v>
      </c>
      <c r="L64" s="40"/>
      <c r="M64" s="44">
        <f t="shared" si="2"/>
        <v>0</v>
      </c>
      <c r="N64" s="40"/>
      <c r="O64" s="40"/>
      <c r="P64" s="47" t="s">
        <v>211</v>
      </c>
      <c r="Q64" s="48" t="s">
        <v>307</v>
      </c>
    </row>
    <row r="65" spans="1:17" ht="22.5" x14ac:dyDescent="0.2">
      <c r="A65" s="39" t="s">
        <v>308</v>
      </c>
      <c r="B65" s="40" t="s">
        <v>209</v>
      </c>
      <c r="C65" s="41">
        <v>0</v>
      </c>
      <c r="D65" s="41">
        <v>0</v>
      </c>
      <c r="E65" s="41">
        <v>0</v>
      </c>
      <c r="F65" s="41">
        <v>0</v>
      </c>
      <c r="G65" s="42"/>
      <c r="H65" s="43">
        <f t="shared" si="1"/>
        <v>0</v>
      </c>
      <c r="I65" s="44" t="s">
        <v>284</v>
      </c>
      <c r="J65" s="45"/>
      <c r="K65" s="40">
        <v>72</v>
      </c>
      <c r="L65" s="40"/>
      <c r="M65" s="44">
        <f t="shared" si="2"/>
        <v>0</v>
      </c>
      <c r="N65" s="40"/>
      <c r="O65" s="40"/>
      <c r="P65" s="47"/>
      <c r="Q65" s="48" t="s">
        <v>309</v>
      </c>
    </row>
    <row r="66" spans="1:17" ht="33.75" x14ac:dyDescent="0.2">
      <c r="A66" s="39" t="s">
        <v>310</v>
      </c>
      <c r="B66" s="40" t="s">
        <v>209</v>
      </c>
      <c r="C66" s="41">
        <v>0</v>
      </c>
      <c r="D66" s="41">
        <v>0</v>
      </c>
      <c r="E66" s="41">
        <v>0</v>
      </c>
      <c r="F66" s="41">
        <v>0</v>
      </c>
      <c r="G66" s="42"/>
      <c r="H66" s="43">
        <f t="shared" si="1"/>
        <v>0</v>
      </c>
      <c r="I66" s="44" t="s">
        <v>284</v>
      </c>
      <c r="J66" s="45"/>
      <c r="K66" s="40">
        <v>70</v>
      </c>
      <c r="L66" s="40"/>
      <c r="M66" s="44">
        <f t="shared" si="2"/>
        <v>0</v>
      </c>
      <c r="N66" s="40"/>
      <c r="O66" s="40"/>
      <c r="P66" s="47"/>
      <c r="Q66" s="48" t="s">
        <v>311</v>
      </c>
    </row>
    <row r="67" spans="1:17" ht="24" x14ac:dyDescent="0.2">
      <c r="A67" s="39" t="s">
        <v>71</v>
      </c>
      <c r="B67" s="40" t="s">
        <v>209</v>
      </c>
      <c r="C67" s="41">
        <v>0</v>
      </c>
      <c r="D67" s="41">
        <v>1800</v>
      </c>
      <c r="E67" s="41">
        <v>0</v>
      </c>
      <c r="F67" s="41">
        <v>0</v>
      </c>
      <c r="G67" s="42"/>
      <c r="H67" s="43">
        <f t="shared" si="1"/>
        <v>1800</v>
      </c>
      <c r="I67" s="44" t="s">
        <v>284</v>
      </c>
      <c r="J67" s="45"/>
      <c r="K67" s="40">
        <v>82</v>
      </c>
      <c r="L67" s="40"/>
      <c r="M67" s="44">
        <f t="shared" si="2"/>
        <v>1476</v>
      </c>
      <c r="N67" s="40"/>
      <c r="O67" s="40"/>
      <c r="P67" s="47" t="s">
        <v>211</v>
      </c>
      <c r="Q67" s="48" t="s">
        <v>312</v>
      </c>
    </row>
    <row r="68" spans="1:17" ht="24" x14ac:dyDescent="0.2">
      <c r="A68" s="49" t="s">
        <v>72</v>
      </c>
      <c r="B68" s="40" t="s">
        <v>239</v>
      </c>
      <c r="C68" s="41">
        <v>0</v>
      </c>
      <c r="D68" s="41">
        <v>0</v>
      </c>
      <c r="E68" s="41">
        <v>0</v>
      </c>
      <c r="F68" s="41">
        <v>0</v>
      </c>
      <c r="G68" s="42"/>
      <c r="H68" s="43">
        <f t="shared" ref="H68:H88" si="3">C68+D68-F68</f>
        <v>0</v>
      </c>
      <c r="I68" s="44" t="s">
        <v>284</v>
      </c>
      <c r="J68" s="45"/>
      <c r="K68" s="40">
        <v>98.8</v>
      </c>
      <c r="L68" s="40"/>
      <c r="M68" s="44">
        <f t="shared" ref="M68:M88" si="4">IF(AND(K68&lt;&gt;"",L68&lt;&gt;""),"REVISAR",IF(I68="l",IF(K68&lt;&gt;"",IF(J68=0,0,H68*J68*K68/100),H68*L68/1000),IF(K68&lt;&gt;"",H68*K68/100,IF(J68=0,0,H68/J68*L68/1000))))</f>
        <v>0</v>
      </c>
      <c r="N68" s="40"/>
      <c r="O68" s="40"/>
      <c r="P68" s="47" t="s">
        <v>211</v>
      </c>
      <c r="Q68" s="48" t="s">
        <v>313</v>
      </c>
    </row>
    <row r="69" spans="1:17" ht="24" x14ac:dyDescent="0.2">
      <c r="A69" s="49" t="s">
        <v>314</v>
      </c>
      <c r="B69" s="40" t="s">
        <v>209</v>
      </c>
      <c r="C69" s="41">
        <v>0</v>
      </c>
      <c r="D69" s="41">
        <v>0</v>
      </c>
      <c r="E69" s="41">
        <v>0</v>
      </c>
      <c r="F69" s="41">
        <v>0</v>
      </c>
      <c r="G69" s="42"/>
      <c r="H69" s="43">
        <f t="shared" si="3"/>
        <v>0</v>
      </c>
      <c r="I69" s="44" t="s">
        <v>284</v>
      </c>
      <c r="J69" s="45"/>
      <c r="K69" s="40">
        <v>64</v>
      </c>
      <c r="L69" s="40"/>
      <c r="M69" s="44">
        <f t="shared" si="4"/>
        <v>0</v>
      </c>
      <c r="N69" s="40"/>
      <c r="O69" s="40"/>
      <c r="P69" s="47"/>
      <c r="Q69" s="48"/>
    </row>
    <row r="70" spans="1:17" ht="18" x14ac:dyDescent="0.2">
      <c r="A70" s="49" t="s">
        <v>315</v>
      </c>
      <c r="B70" s="40" t="s">
        <v>209</v>
      </c>
      <c r="C70" s="41">
        <v>0</v>
      </c>
      <c r="D70" s="41">
        <v>0</v>
      </c>
      <c r="E70" s="41">
        <v>0</v>
      </c>
      <c r="F70" s="41">
        <v>0</v>
      </c>
      <c r="G70" s="42"/>
      <c r="H70" s="43">
        <f t="shared" si="3"/>
        <v>0</v>
      </c>
      <c r="I70" s="44" t="s">
        <v>284</v>
      </c>
      <c r="J70" s="45"/>
      <c r="K70" s="40">
        <v>60</v>
      </c>
      <c r="L70" s="40"/>
      <c r="M70" s="44">
        <f t="shared" si="4"/>
        <v>0</v>
      </c>
      <c r="N70" s="40"/>
      <c r="O70" s="40"/>
      <c r="P70" s="47"/>
      <c r="Q70" s="48"/>
    </row>
    <row r="71" spans="1:17" ht="18" x14ac:dyDescent="0.2">
      <c r="A71" s="39" t="s">
        <v>316</v>
      </c>
      <c r="B71" s="40" t="s">
        <v>209</v>
      </c>
      <c r="C71" s="41">
        <v>0</v>
      </c>
      <c r="D71" s="41">
        <v>0</v>
      </c>
      <c r="E71" s="41">
        <v>0</v>
      </c>
      <c r="F71" s="41">
        <v>0</v>
      </c>
      <c r="G71" s="42"/>
      <c r="H71" s="43">
        <f t="shared" si="3"/>
        <v>0</v>
      </c>
      <c r="I71" s="44" t="s">
        <v>284</v>
      </c>
      <c r="J71" s="45"/>
      <c r="K71" s="40">
        <v>73</v>
      </c>
      <c r="L71" s="40"/>
      <c r="M71" s="44">
        <f t="shared" si="4"/>
        <v>0</v>
      </c>
      <c r="N71" s="40"/>
      <c r="O71" s="40"/>
      <c r="P71" s="47"/>
      <c r="Q71" s="50"/>
    </row>
    <row r="72" spans="1:17" ht="24" x14ac:dyDescent="0.2">
      <c r="A72" s="39" t="s">
        <v>73</v>
      </c>
      <c r="B72" s="40" t="s">
        <v>209</v>
      </c>
      <c r="C72" s="41">
        <v>0</v>
      </c>
      <c r="D72" s="41">
        <v>690</v>
      </c>
      <c r="E72" s="41">
        <v>0</v>
      </c>
      <c r="F72" s="41">
        <v>0</v>
      </c>
      <c r="G72" s="42"/>
      <c r="H72" s="43">
        <f t="shared" si="3"/>
        <v>690</v>
      </c>
      <c r="I72" s="44" t="s">
        <v>284</v>
      </c>
      <c r="J72" s="45"/>
      <c r="K72" s="40">
        <v>67</v>
      </c>
      <c r="L72" s="40"/>
      <c r="M72" s="44">
        <f t="shared" si="4"/>
        <v>462.3</v>
      </c>
      <c r="N72" s="40"/>
      <c r="O72" s="40"/>
      <c r="P72" s="47" t="s">
        <v>211</v>
      </c>
      <c r="Q72" s="48" t="s">
        <v>317</v>
      </c>
    </row>
    <row r="73" spans="1:17" ht="24" x14ac:dyDescent="0.2">
      <c r="A73" s="39" t="s">
        <v>74</v>
      </c>
      <c r="B73" s="40" t="s">
        <v>209</v>
      </c>
      <c r="C73" s="41">
        <v>0</v>
      </c>
      <c r="D73" s="41">
        <v>1980</v>
      </c>
      <c r="E73" s="41">
        <v>0</v>
      </c>
      <c r="F73" s="41">
        <v>0</v>
      </c>
      <c r="G73" s="42"/>
      <c r="H73" s="43">
        <f t="shared" si="3"/>
        <v>1980</v>
      </c>
      <c r="I73" s="44" t="s">
        <v>284</v>
      </c>
      <c r="J73" s="45"/>
      <c r="K73" s="40">
        <v>82</v>
      </c>
      <c r="L73" s="40"/>
      <c r="M73" s="44">
        <f t="shared" si="4"/>
        <v>1623.6</v>
      </c>
      <c r="N73" s="40"/>
      <c r="O73" s="40"/>
      <c r="P73" s="47" t="s">
        <v>211</v>
      </c>
      <c r="Q73" s="48" t="s">
        <v>318</v>
      </c>
    </row>
    <row r="74" spans="1:17" ht="24" x14ac:dyDescent="0.2">
      <c r="A74" s="39" t="s">
        <v>75</v>
      </c>
      <c r="B74" s="40" t="s">
        <v>209</v>
      </c>
      <c r="C74" s="41">
        <v>0</v>
      </c>
      <c r="D74" s="41">
        <v>0</v>
      </c>
      <c r="E74" s="41">
        <v>0</v>
      </c>
      <c r="F74" s="41">
        <v>0</v>
      </c>
      <c r="G74" s="42"/>
      <c r="H74" s="43">
        <f t="shared" si="3"/>
        <v>0</v>
      </c>
      <c r="I74" s="44" t="s">
        <v>284</v>
      </c>
      <c r="J74" s="45"/>
      <c r="K74" s="40">
        <v>56</v>
      </c>
      <c r="L74" s="40"/>
      <c r="M74" s="44">
        <f t="shared" si="4"/>
        <v>0</v>
      </c>
      <c r="N74" s="40"/>
      <c r="O74" s="40"/>
      <c r="P74" s="47" t="s">
        <v>211</v>
      </c>
      <c r="Q74" s="48" t="s">
        <v>319</v>
      </c>
    </row>
    <row r="75" spans="1:17" ht="24" x14ac:dyDescent="0.2">
      <c r="A75" s="39" t="s">
        <v>320</v>
      </c>
      <c r="B75" s="40" t="s">
        <v>209</v>
      </c>
      <c r="C75" s="41">
        <v>0</v>
      </c>
      <c r="D75" s="41">
        <v>0</v>
      </c>
      <c r="E75" s="41">
        <v>0</v>
      </c>
      <c r="F75" s="41">
        <v>0</v>
      </c>
      <c r="G75" s="42"/>
      <c r="H75" s="43">
        <f t="shared" si="3"/>
        <v>0</v>
      </c>
      <c r="I75" s="44" t="s">
        <v>284</v>
      </c>
      <c r="J75" s="45"/>
      <c r="K75" s="40">
        <v>60</v>
      </c>
      <c r="L75" s="40"/>
      <c r="M75" s="44">
        <f t="shared" si="4"/>
        <v>0</v>
      </c>
      <c r="N75" s="40"/>
      <c r="O75" s="40"/>
      <c r="P75" s="47"/>
      <c r="Q75" s="48" t="s">
        <v>321</v>
      </c>
    </row>
    <row r="76" spans="1:17" ht="33.75" x14ac:dyDescent="0.2">
      <c r="A76" s="39" t="s">
        <v>322</v>
      </c>
      <c r="B76" s="40" t="s">
        <v>209</v>
      </c>
      <c r="C76" s="41">
        <v>0</v>
      </c>
      <c r="D76" s="41">
        <v>0</v>
      </c>
      <c r="E76" s="41">
        <v>0</v>
      </c>
      <c r="F76" s="41">
        <v>0</v>
      </c>
      <c r="G76" s="42"/>
      <c r="H76" s="43">
        <f t="shared" si="3"/>
        <v>0</v>
      </c>
      <c r="I76" s="44" t="s">
        <v>284</v>
      </c>
      <c r="J76" s="45"/>
      <c r="K76" s="40">
        <v>64</v>
      </c>
      <c r="L76" s="40"/>
      <c r="M76" s="44">
        <f t="shared" si="4"/>
        <v>0</v>
      </c>
      <c r="N76" s="40"/>
      <c r="O76" s="40"/>
      <c r="P76" s="47"/>
      <c r="Q76" s="48" t="s">
        <v>323</v>
      </c>
    </row>
    <row r="77" spans="1:17" ht="22.5" x14ac:dyDescent="0.2">
      <c r="A77" s="39" t="s">
        <v>324</v>
      </c>
      <c r="B77" s="40" t="s">
        <v>209</v>
      </c>
      <c r="C77" s="41">
        <v>0</v>
      </c>
      <c r="D77" s="41">
        <v>0</v>
      </c>
      <c r="E77" s="41">
        <v>0</v>
      </c>
      <c r="F77" s="41">
        <v>0</v>
      </c>
      <c r="G77" s="42"/>
      <c r="H77" s="43">
        <f t="shared" si="3"/>
        <v>0</v>
      </c>
      <c r="I77" s="44" t="s">
        <v>284</v>
      </c>
      <c r="J77" s="45"/>
      <c r="K77" s="40">
        <v>73</v>
      </c>
      <c r="L77" s="40"/>
      <c r="M77" s="44">
        <f t="shared" si="4"/>
        <v>0</v>
      </c>
      <c r="N77" s="40"/>
      <c r="O77" s="40"/>
      <c r="P77" s="47" t="s">
        <v>211</v>
      </c>
      <c r="Q77" s="48" t="s">
        <v>325</v>
      </c>
    </row>
    <row r="78" spans="1:17" ht="22.5" x14ac:dyDescent="0.2">
      <c r="A78" s="39" t="s">
        <v>326</v>
      </c>
      <c r="B78" s="40" t="s">
        <v>209</v>
      </c>
      <c r="C78" s="41">
        <v>0</v>
      </c>
      <c r="D78" s="41">
        <v>0</v>
      </c>
      <c r="E78" s="41">
        <v>0</v>
      </c>
      <c r="F78" s="41">
        <v>0</v>
      </c>
      <c r="G78" s="42"/>
      <c r="H78" s="43">
        <f t="shared" si="3"/>
        <v>0</v>
      </c>
      <c r="I78" s="44" t="s">
        <v>284</v>
      </c>
      <c r="J78" s="45"/>
      <c r="K78" s="40">
        <v>64</v>
      </c>
      <c r="L78" s="40"/>
      <c r="M78" s="44">
        <f t="shared" si="4"/>
        <v>0</v>
      </c>
      <c r="N78" s="40"/>
      <c r="O78" s="40"/>
      <c r="P78" s="47" t="s">
        <v>211</v>
      </c>
      <c r="Q78" s="48" t="s">
        <v>327</v>
      </c>
    </row>
    <row r="79" spans="1:17" ht="24" x14ac:dyDescent="0.2">
      <c r="A79" s="39" t="s">
        <v>328</v>
      </c>
      <c r="B79" s="40" t="s">
        <v>209</v>
      </c>
      <c r="C79" s="41">
        <v>0</v>
      </c>
      <c r="D79" s="41">
        <v>0</v>
      </c>
      <c r="E79" s="41">
        <v>0</v>
      </c>
      <c r="F79" s="41">
        <v>0</v>
      </c>
      <c r="G79" s="42"/>
      <c r="H79" s="43">
        <f t="shared" si="3"/>
        <v>0</v>
      </c>
      <c r="I79" s="44" t="s">
        <v>284</v>
      </c>
      <c r="J79" s="45"/>
      <c r="K79" s="40">
        <v>64</v>
      </c>
      <c r="L79" s="40"/>
      <c r="M79" s="44">
        <f t="shared" si="4"/>
        <v>0</v>
      </c>
      <c r="N79" s="40"/>
      <c r="O79" s="40"/>
      <c r="P79" s="47" t="s">
        <v>211</v>
      </c>
      <c r="Q79" s="48" t="s">
        <v>329</v>
      </c>
    </row>
    <row r="80" spans="1:17" ht="24" x14ac:dyDescent="0.2">
      <c r="A80" s="39" t="s">
        <v>76</v>
      </c>
      <c r="B80" s="40" t="s">
        <v>209</v>
      </c>
      <c r="C80" s="41">
        <v>0</v>
      </c>
      <c r="D80" s="41">
        <v>140</v>
      </c>
      <c r="E80" s="41">
        <v>0</v>
      </c>
      <c r="F80" s="41">
        <v>0</v>
      </c>
      <c r="G80" s="42"/>
      <c r="H80" s="43">
        <f t="shared" si="3"/>
        <v>140</v>
      </c>
      <c r="I80" s="44" t="s">
        <v>284</v>
      </c>
      <c r="J80" s="45"/>
      <c r="K80" s="40">
        <v>73</v>
      </c>
      <c r="L80" s="40"/>
      <c r="M80" s="44">
        <f t="shared" si="4"/>
        <v>102.2</v>
      </c>
      <c r="N80" s="40"/>
      <c r="O80" s="40"/>
      <c r="P80" s="47" t="s">
        <v>211</v>
      </c>
      <c r="Q80" s="48" t="s">
        <v>330</v>
      </c>
    </row>
    <row r="81" spans="1:17" ht="22.5" x14ac:dyDescent="0.2">
      <c r="A81" s="39" t="s">
        <v>331</v>
      </c>
      <c r="B81" s="40" t="s">
        <v>209</v>
      </c>
      <c r="C81" s="41">
        <v>0</v>
      </c>
      <c r="D81" s="41">
        <v>0</v>
      </c>
      <c r="E81" s="41">
        <v>0</v>
      </c>
      <c r="F81" s="41">
        <v>0</v>
      </c>
      <c r="G81" s="42"/>
      <c r="H81" s="43">
        <f t="shared" si="3"/>
        <v>0</v>
      </c>
      <c r="I81" s="44" t="s">
        <v>284</v>
      </c>
      <c r="J81" s="45"/>
      <c r="K81" s="40">
        <v>66</v>
      </c>
      <c r="L81" s="40"/>
      <c r="M81" s="44">
        <f t="shared" si="4"/>
        <v>0</v>
      </c>
      <c r="N81" s="40"/>
      <c r="O81" s="40"/>
      <c r="P81" s="47" t="s">
        <v>297</v>
      </c>
      <c r="Q81" s="48" t="s">
        <v>332</v>
      </c>
    </row>
    <row r="82" spans="1:17" ht="24" x14ac:dyDescent="0.2">
      <c r="A82" s="39" t="s">
        <v>77</v>
      </c>
      <c r="B82" s="40" t="s">
        <v>209</v>
      </c>
      <c r="C82" s="41">
        <v>0</v>
      </c>
      <c r="D82" s="41">
        <v>10000</v>
      </c>
      <c r="E82" s="41">
        <v>0</v>
      </c>
      <c r="F82" s="41">
        <v>0</v>
      </c>
      <c r="G82" s="42"/>
      <c r="H82" s="43">
        <f t="shared" si="3"/>
        <v>10000</v>
      </c>
      <c r="I82" s="44" t="s">
        <v>284</v>
      </c>
      <c r="J82" s="45"/>
      <c r="K82" s="40">
        <v>64</v>
      </c>
      <c r="L82" s="40"/>
      <c r="M82" s="44">
        <f t="shared" si="4"/>
        <v>6400</v>
      </c>
      <c r="N82" s="40"/>
      <c r="O82" s="40"/>
      <c r="P82" s="47" t="s">
        <v>211</v>
      </c>
      <c r="Q82" s="50" t="s">
        <v>333</v>
      </c>
    </row>
    <row r="83" spans="1:17" ht="24" x14ac:dyDescent="0.2">
      <c r="A83" s="39" t="s">
        <v>78</v>
      </c>
      <c r="B83" s="41" t="s">
        <v>209</v>
      </c>
      <c r="C83" s="41">
        <v>0</v>
      </c>
      <c r="D83" s="41">
        <v>0</v>
      </c>
      <c r="E83" s="41">
        <v>0</v>
      </c>
      <c r="F83" s="41">
        <v>0</v>
      </c>
      <c r="G83" s="41"/>
      <c r="H83" s="43">
        <f t="shared" si="3"/>
        <v>0</v>
      </c>
      <c r="I83" s="44" t="s">
        <v>284</v>
      </c>
      <c r="J83" s="41"/>
      <c r="K83" s="41">
        <v>58</v>
      </c>
      <c r="L83" s="41"/>
      <c r="M83" s="44">
        <f t="shared" si="4"/>
        <v>0</v>
      </c>
      <c r="N83" s="41"/>
      <c r="O83" s="41"/>
      <c r="P83" s="47"/>
      <c r="Q83" s="50" t="s">
        <v>334</v>
      </c>
    </row>
    <row r="84" spans="1:17" ht="48" x14ac:dyDescent="0.2">
      <c r="A84" s="39" t="s">
        <v>79</v>
      </c>
      <c r="B84" s="41" t="s">
        <v>209</v>
      </c>
      <c r="C84" s="41">
        <v>0</v>
      </c>
      <c r="D84" s="41">
        <v>600</v>
      </c>
      <c r="E84" s="41">
        <v>0</v>
      </c>
      <c r="F84" s="41">
        <v>0</v>
      </c>
      <c r="G84" s="41"/>
      <c r="H84" s="43">
        <f t="shared" si="3"/>
        <v>600</v>
      </c>
      <c r="I84" s="44" t="s">
        <v>284</v>
      </c>
      <c r="J84" s="41"/>
      <c r="K84" s="41">
        <v>73</v>
      </c>
      <c r="L84" s="41"/>
      <c r="M84" s="44">
        <f t="shared" si="4"/>
        <v>438</v>
      </c>
      <c r="N84" s="41"/>
      <c r="O84" s="41"/>
      <c r="P84" s="47"/>
      <c r="Q84" s="50" t="s">
        <v>335</v>
      </c>
    </row>
    <row r="85" spans="1:17" ht="24" x14ac:dyDescent="0.2">
      <c r="A85" s="39" t="s">
        <v>80</v>
      </c>
      <c r="B85" s="41" t="s">
        <v>209</v>
      </c>
      <c r="C85" s="41">
        <v>0</v>
      </c>
      <c r="D85" s="41">
        <v>270</v>
      </c>
      <c r="E85" s="41">
        <v>0</v>
      </c>
      <c r="F85" s="41">
        <v>0</v>
      </c>
      <c r="G85" s="41"/>
      <c r="H85" s="43">
        <f t="shared" si="3"/>
        <v>270</v>
      </c>
      <c r="I85" s="44" t="s">
        <v>284</v>
      </c>
      <c r="J85" s="41"/>
      <c r="K85" s="41">
        <v>69</v>
      </c>
      <c r="L85" s="41"/>
      <c r="M85" s="44">
        <f t="shared" si="4"/>
        <v>186.3</v>
      </c>
      <c r="N85" s="41"/>
      <c r="O85" s="41"/>
      <c r="P85" s="47" t="s">
        <v>211</v>
      </c>
      <c r="Q85" s="50" t="s">
        <v>336</v>
      </c>
    </row>
    <row r="86" spans="1:17" ht="24" x14ac:dyDescent="0.2">
      <c r="A86" s="39" t="s">
        <v>81</v>
      </c>
      <c r="B86" s="41" t="s">
        <v>209</v>
      </c>
      <c r="C86" s="41">
        <v>0</v>
      </c>
      <c r="D86" s="41">
        <v>0</v>
      </c>
      <c r="E86" s="41">
        <v>0</v>
      </c>
      <c r="F86" s="41">
        <v>0</v>
      </c>
      <c r="G86" s="41"/>
      <c r="H86" s="43">
        <v>20</v>
      </c>
      <c r="I86" s="44" t="s">
        <v>284</v>
      </c>
      <c r="J86" s="41"/>
      <c r="K86" s="41">
        <v>87</v>
      </c>
      <c r="L86" s="41"/>
      <c r="M86" s="44">
        <f t="shared" si="4"/>
        <v>17.399999999999999</v>
      </c>
      <c r="N86" s="41"/>
      <c r="O86" s="41"/>
      <c r="P86" s="47" t="s">
        <v>211</v>
      </c>
      <c r="Q86" s="50" t="s">
        <v>337</v>
      </c>
    </row>
    <row r="87" spans="1:17" ht="24" x14ac:dyDescent="0.2">
      <c r="A87" s="39" t="s">
        <v>82</v>
      </c>
      <c r="B87" s="41" t="s">
        <v>338</v>
      </c>
      <c r="C87" s="41">
        <v>0</v>
      </c>
      <c r="D87" s="41">
        <v>0</v>
      </c>
      <c r="E87" s="41">
        <v>0</v>
      </c>
      <c r="F87" s="41">
        <v>0</v>
      </c>
      <c r="G87" s="41"/>
      <c r="H87" s="43">
        <f t="shared" si="3"/>
        <v>0</v>
      </c>
      <c r="I87" s="44" t="s">
        <v>284</v>
      </c>
      <c r="J87" s="41"/>
      <c r="K87" s="41">
        <v>100</v>
      </c>
      <c r="L87" s="41"/>
      <c r="M87" s="44">
        <f t="shared" si="4"/>
        <v>0</v>
      </c>
      <c r="N87" s="41"/>
      <c r="O87" s="41"/>
      <c r="P87" s="47" t="s">
        <v>211</v>
      </c>
      <c r="Q87" s="50" t="s">
        <v>339</v>
      </c>
    </row>
    <row r="88" spans="1:17" ht="24.75" thickBot="1" x14ac:dyDescent="0.25">
      <c r="A88" s="51" t="s">
        <v>83</v>
      </c>
      <c r="B88" s="52" t="s">
        <v>209</v>
      </c>
      <c r="C88" s="52">
        <v>0</v>
      </c>
      <c r="D88" s="41">
        <v>35</v>
      </c>
      <c r="E88" s="52">
        <v>0</v>
      </c>
      <c r="F88" s="52">
        <v>0</v>
      </c>
      <c r="G88" s="52"/>
      <c r="H88" s="53">
        <f t="shared" si="3"/>
        <v>35</v>
      </c>
      <c r="I88" s="54" t="s">
        <v>284</v>
      </c>
      <c r="J88" s="52"/>
      <c r="K88" s="52">
        <v>73</v>
      </c>
      <c r="L88" s="52"/>
      <c r="M88" s="54">
        <f t="shared" si="4"/>
        <v>25.55</v>
      </c>
      <c r="N88" s="52"/>
      <c r="O88" s="52"/>
      <c r="P88" s="55" t="s">
        <v>211</v>
      </c>
      <c r="Q88" s="56" t="s">
        <v>340</v>
      </c>
    </row>
    <row r="89" spans="1:17" x14ac:dyDescent="0.2">
      <c r="A89" s="32"/>
    </row>
    <row r="90" spans="1:17" x14ac:dyDescent="0.2">
      <c r="A90" s="32"/>
    </row>
    <row r="91" spans="1:17" x14ac:dyDescent="0.2">
      <c r="A91" s="32"/>
    </row>
    <row r="92" spans="1:17" x14ac:dyDescent="0.2">
      <c r="A92" s="32"/>
    </row>
    <row r="93" spans="1:17" x14ac:dyDescent="0.2">
      <c r="A93" s="32"/>
    </row>
    <row r="94" spans="1:17" x14ac:dyDescent="0.2">
      <c r="A94" s="32"/>
    </row>
    <row r="95" spans="1:17" x14ac:dyDescent="0.2">
      <c r="A95" s="32"/>
    </row>
    <row r="96" spans="1:17" x14ac:dyDescent="0.2">
      <c r="A96" s="32"/>
    </row>
    <row r="97" spans="1:1" x14ac:dyDescent="0.2">
      <c r="A97" s="32"/>
    </row>
    <row r="98" spans="1:1" x14ac:dyDescent="0.2">
      <c r="A98" s="32"/>
    </row>
    <row r="99" spans="1:1" x14ac:dyDescent="0.2">
      <c r="A99" s="32"/>
    </row>
    <row r="100" spans="1:1" x14ac:dyDescent="0.2">
      <c r="A100" s="32"/>
    </row>
    <row r="101" spans="1:1" x14ac:dyDescent="0.2">
      <c r="A101" s="32"/>
    </row>
    <row r="102" spans="1:1" x14ac:dyDescent="0.2">
      <c r="A102" s="32"/>
    </row>
    <row r="103" spans="1:1" x14ac:dyDescent="0.2">
      <c r="A103" s="32"/>
    </row>
    <row r="104" spans="1:1" x14ac:dyDescent="0.2">
      <c r="A104" s="32"/>
    </row>
    <row r="105" spans="1:1" x14ac:dyDescent="0.2">
      <c r="A105" s="32"/>
    </row>
    <row r="106" spans="1:1" x14ac:dyDescent="0.2">
      <c r="A106" s="32"/>
    </row>
    <row r="107" spans="1:1" x14ac:dyDescent="0.2">
      <c r="A107" s="32"/>
    </row>
    <row r="108" spans="1:1" x14ac:dyDescent="0.2">
      <c r="A108" s="32"/>
    </row>
    <row r="109" spans="1:1" x14ac:dyDescent="0.2">
      <c r="A109" s="32"/>
    </row>
    <row r="110" spans="1:1" x14ac:dyDescent="0.2">
      <c r="A110" s="32"/>
    </row>
    <row r="111" spans="1:1" x14ac:dyDescent="0.2">
      <c r="A111" s="32"/>
    </row>
    <row r="112" spans="1:1" x14ac:dyDescent="0.2">
      <c r="A112" s="32"/>
    </row>
    <row r="113" spans="1:1" x14ac:dyDescent="0.2">
      <c r="A113" s="32"/>
    </row>
    <row r="114" spans="1:1" x14ac:dyDescent="0.2">
      <c r="A114" s="32"/>
    </row>
    <row r="115" spans="1:1" x14ac:dyDescent="0.2">
      <c r="A115" s="32"/>
    </row>
    <row r="116" spans="1:1" x14ac:dyDescent="0.2">
      <c r="A116" s="32"/>
    </row>
    <row r="117" spans="1:1" x14ac:dyDescent="0.2">
      <c r="A117" s="32"/>
    </row>
    <row r="118" spans="1:1" x14ac:dyDescent="0.2">
      <c r="A118" s="32"/>
    </row>
    <row r="119" spans="1:1" x14ac:dyDescent="0.2">
      <c r="A119" s="32"/>
    </row>
    <row r="120" spans="1:1" x14ac:dyDescent="0.2">
      <c r="A120" s="32"/>
    </row>
    <row r="121" spans="1:1" x14ac:dyDescent="0.2">
      <c r="A121" s="32"/>
    </row>
    <row r="122" spans="1:1" x14ac:dyDescent="0.2">
      <c r="A122" s="32"/>
    </row>
    <row r="123" spans="1:1" x14ac:dyDescent="0.2">
      <c r="A123" s="32"/>
    </row>
    <row r="124" spans="1:1" x14ac:dyDescent="0.2">
      <c r="A124" s="32"/>
    </row>
    <row r="125" spans="1:1" x14ac:dyDescent="0.2">
      <c r="A125" s="32"/>
    </row>
    <row r="126" spans="1:1" x14ac:dyDescent="0.2">
      <c r="A126" s="32"/>
    </row>
    <row r="127" spans="1:1" x14ac:dyDescent="0.2">
      <c r="A127" s="32"/>
    </row>
    <row r="128" spans="1:1" x14ac:dyDescent="0.2">
      <c r="A128" s="32"/>
    </row>
    <row r="129" spans="1:1" x14ac:dyDescent="0.2">
      <c r="A129" s="32"/>
    </row>
    <row r="130" spans="1:1" x14ac:dyDescent="0.2">
      <c r="A130" s="32"/>
    </row>
    <row r="131" spans="1:1" x14ac:dyDescent="0.2">
      <c r="A131" s="32"/>
    </row>
    <row r="132" spans="1:1" x14ac:dyDescent="0.2">
      <c r="A132" s="32"/>
    </row>
    <row r="133" spans="1:1" x14ac:dyDescent="0.2">
      <c r="A133" s="32"/>
    </row>
    <row r="134" spans="1:1" x14ac:dyDescent="0.2">
      <c r="A134" s="32"/>
    </row>
    <row r="135" spans="1:1" x14ac:dyDescent="0.2">
      <c r="A135" s="32"/>
    </row>
    <row r="136" spans="1:1" x14ac:dyDescent="0.2">
      <c r="A136" s="32"/>
    </row>
    <row r="137" spans="1:1" x14ac:dyDescent="0.2">
      <c r="A137" s="32"/>
    </row>
    <row r="138" spans="1:1" x14ac:dyDescent="0.2">
      <c r="A138" s="32"/>
    </row>
    <row r="139" spans="1:1" x14ac:dyDescent="0.2">
      <c r="A139" s="32"/>
    </row>
    <row r="140" spans="1:1" x14ac:dyDescent="0.2">
      <c r="A140" s="32"/>
    </row>
    <row r="141" spans="1:1" x14ac:dyDescent="0.2">
      <c r="A141" s="32"/>
    </row>
    <row r="142" spans="1:1" x14ac:dyDescent="0.2">
      <c r="A142" s="32"/>
    </row>
    <row r="143" spans="1:1" x14ac:dyDescent="0.2">
      <c r="A143" s="32"/>
    </row>
    <row r="144" spans="1:1" x14ac:dyDescent="0.2">
      <c r="A144" s="32"/>
    </row>
    <row r="145" spans="1:1" x14ac:dyDescent="0.2">
      <c r="A145" s="32"/>
    </row>
    <row r="146" spans="1:1" x14ac:dyDescent="0.2">
      <c r="A146" s="32"/>
    </row>
    <row r="147" spans="1:1" x14ac:dyDescent="0.2">
      <c r="A147" s="32"/>
    </row>
    <row r="148" spans="1:1" x14ac:dyDescent="0.2">
      <c r="A148" s="32"/>
    </row>
    <row r="149" spans="1:1" x14ac:dyDescent="0.2">
      <c r="A149" s="32"/>
    </row>
    <row r="150" spans="1:1" x14ac:dyDescent="0.2">
      <c r="A150" s="32"/>
    </row>
    <row r="151" spans="1:1" x14ac:dyDescent="0.2">
      <c r="A151" s="32"/>
    </row>
    <row r="152" spans="1:1" x14ac:dyDescent="0.2">
      <c r="A152" s="32"/>
    </row>
    <row r="153" spans="1:1" x14ac:dyDescent="0.2">
      <c r="A153" s="32"/>
    </row>
    <row r="154" spans="1:1" x14ac:dyDescent="0.2">
      <c r="A154" s="32"/>
    </row>
    <row r="155" spans="1:1" x14ac:dyDescent="0.2">
      <c r="A155" s="32"/>
    </row>
    <row r="156" spans="1:1" x14ac:dyDescent="0.2">
      <c r="A156" s="32"/>
    </row>
    <row r="157" spans="1:1" x14ac:dyDescent="0.2">
      <c r="A157" s="32"/>
    </row>
    <row r="158" spans="1:1" x14ac:dyDescent="0.2">
      <c r="A158" s="32"/>
    </row>
    <row r="159" spans="1:1" x14ac:dyDescent="0.2">
      <c r="A159" s="32"/>
    </row>
    <row r="160" spans="1:1" x14ac:dyDescent="0.2">
      <c r="A160" s="32"/>
    </row>
    <row r="161" spans="1:1" x14ac:dyDescent="0.2">
      <c r="A161" s="32"/>
    </row>
    <row r="162" spans="1:1" x14ac:dyDescent="0.2">
      <c r="A162" s="32"/>
    </row>
    <row r="163" spans="1:1" x14ac:dyDescent="0.2">
      <c r="A163" s="32"/>
    </row>
    <row r="164" spans="1:1" x14ac:dyDescent="0.2">
      <c r="A164" s="32"/>
    </row>
    <row r="165" spans="1:1" x14ac:dyDescent="0.2">
      <c r="A165" s="32"/>
    </row>
    <row r="166" spans="1:1" x14ac:dyDescent="0.2">
      <c r="A166" s="32"/>
    </row>
    <row r="167" spans="1:1" x14ac:dyDescent="0.2">
      <c r="A167" s="32"/>
    </row>
    <row r="168" spans="1:1" x14ac:dyDescent="0.2">
      <c r="A168" s="32"/>
    </row>
    <row r="169" spans="1:1" x14ac:dyDescent="0.2">
      <c r="A169" s="32"/>
    </row>
    <row r="170" spans="1:1" x14ac:dyDescent="0.2">
      <c r="A170" s="32"/>
    </row>
    <row r="171" spans="1:1" x14ac:dyDescent="0.2">
      <c r="A171" s="32"/>
    </row>
    <row r="172" spans="1:1" x14ac:dyDescent="0.2">
      <c r="A172" s="32"/>
    </row>
    <row r="173" spans="1:1" x14ac:dyDescent="0.2">
      <c r="A173" s="32"/>
    </row>
    <row r="174" spans="1:1" x14ac:dyDescent="0.2">
      <c r="A174" s="32"/>
    </row>
    <row r="175" spans="1:1" x14ac:dyDescent="0.2">
      <c r="A175" s="32"/>
    </row>
    <row r="176" spans="1:1" x14ac:dyDescent="0.2">
      <c r="A176" s="32"/>
    </row>
    <row r="177" spans="1:1" x14ac:dyDescent="0.2">
      <c r="A177" s="32"/>
    </row>
    <row r="178" spans="1:1" x14ac:dyDescent="0.2">
      <c r="A178" s="32"/>
    </row>
    <row r="179" spans="1:1" x14ac:dyDescent="0.2">
      <c r="A179" s="32"/>
    </row>
    <row r="180" spans="1:1" x14ac:dyDescent="0.2">
      <c r="A180" s="32"/>
    </row>
    <row r="181" spans="1:1" x14ac:dyDescent="0.2">
      <c r="A181" s="32"/>
    </row>
    <row r="182" spans="1:1" x14ac:dyDescent="0.2">
      <c r="A182" s="32"/>
    </row>
    <row r="183" spans="1:1" x14ac:dyDescent="0.2">
      <c r="A183" s="32"/>
    </row>
    <row r="184" spans="1:1" x14ac:dyDescent="0.2">
      <c r="A184" s="32"/>
    </row>
    <row r="185" spans="1:1" x14ac:dyDescent="0.2">
      <c r="A185" s="32"/>
    </row>
    <row r="186" spans="1:1" x14ac:dyDescent="0.2">
      <c r="A186" s="32"/>
    </row>
    <row r="187" spans="1:1" x14ac:dyDescent="0.2">
      <c r="A187" s="32"/>
    </row>
    <row r="188" spans="1:1" x14ac:dyDescent="0.2">
      <c r="A188" s="32"/>
    </row>
    <row r="189" spans="1:1" x14ac:dyDescent="0.2">
      <c r="A189" s="32"/>
    </row>
    <row r="190" spans="1:1" x14ac:dyDescent="0.2">
      <c r="A190" s="32"/>
    </row>
    <row r="191" spans="1:1" x14ac:dyDescent="0.2">
      <c r="A191" s="32"/>
    </row>
    <row r="192" spans="1:1" x14ac:dyDescent="0.2">
      <c r="A192" s="32"/>
    </row>
    <row r="193" spans="1:1" x14ac:dyDescent="0.2">
      <c r="A193" s="32"/>
    </row>
    <row r="194" spans="1:1" x14ac:dyDescent="0.2">
      <c r="A194" s="32"/>
    </row>
    <row r="195" spans="1:1" x14ac:dyDescent="0.2">
      <c r="A195" s="32"/>
    </row>
    <row r="196" spans="1:1" x14ac:dyDescent="0.2">
      <c r="A196" s="32"/>
    </row>
    <row r="197" spans="1:1" x14ac:dyDescent="0.2">
      <c r="A197" s="32"/>
    </row>
    <row r="198" spans="1:1" x14ac:dyDescent="0.2">
      <c r="A198" s="32"/>
    </row>
    <row r="199" spans="1:1" x14ac:dyDescent="0.2">
      <c r="A199" s="32"/>
    </row>
    <row r="200" spans="1:1" x14ac:dyDescent="0.2">
      <c r="A200" s="32"/>
    </row>
    <row r="201" spans="1:1" x14ac:dyDescent="0.2">
      <c r="A201" s="32"/>
    </row>
    <row r="202" spans="1:1" x14ac:dyDescent="0.2">
      <c r="A202" s="32"/>
    </row>
    <row r="203" spans="1:1" x14ac:dyDescent="0.2">
      <c r="A203" s="32"/>
    </row>
    <row r="204" spans="1:1" x14ac:dyDescent="0.2">
      <c r="A204" s="32"/>
    </row>
    <row r="205" spans="1:1" x14ac:dyDescent="0.2">
      <c r="A205" s="32"/>
    </row>
  </sheetData>
  <mergeCells count="13">
    <mergeCell ref="F1:F2"/>
    <mergeCell ref="A1:A2"/>
    <mergeCell ref="B1:B2"/>
    <mergeCell ref="C1:C2"/>
    <mergeCell ref="D1:D2"/>
    <mergeCell ref="E1:E2"/>
    <mergeCell ref="Q1:Q2"/>
    <mergeCell ref="G1:G2"/>
    <mergeCell ref="H1:I2"/>
    <mergeCell ref="J1:J2"/>
    <mergeCell ref="K1:L1"/>
    <mergeCell ref="M1:M2"/>
    <mergeCell ref="N1:P1"/>
  </mergeCells>
  <dataValidations count="2">
    <dataValidation type="list" allowBlank="1" showInputMessage="1" showErrorMessage="1" sqref="N3:N88" xr:uid="{9958C35A-A5C0-4B88-BE19-6FB8DF999446}">
      <formula1>$D$253:$D$256</formula1>
    </dataValidation>
    <dataValidation type="list" allowBlank="1" showInputMessage="1" showErrorMessage="1" sqref="O3:O88" xr:uid="{EE1F904A-00E2-4180-B906-E4B7B90E0F55}">
      <formula1>#REF!</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EJEMPLOS</vt:lpstr>
      <vt:lpstr>TODOS LOS FOCOS</vt:lpstr>
      <vt:lpstr>Hoja1</vt:lpstr>
      <vt:lpstr>'TODOS LOS FOCOS'!Área_de_impresión</vt:lpstr>
    </vt:vector>
  </TitlesOfParts>
  <Company>Gobierno de Navarra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N224239</dc:creator>
  <cp:lastModifiedBy>Usuario de Windows</cp:lastModifiedBy>
  <cp:lastPrinted>2022-02-23T17:36:38Z</cp:lastPrinted>
  <dcterms:created xsi:type="dcterms:W3CDTF">2008-12-16T11:50:30Z</dcterms:created>
  <dcterms:modified xsi:type="dcterms:W3CDTF">2025-03-24T17:36:55Z</dcterms:modified>
</cp:coreProperties>
</file>